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9.bin" ContentType="application/vnd.openxmlformats-officedocument.spreadsheetml.customProperty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adianconsulting.sharepoint.com/sites/ACGFS/Shared Documents/FS_Shared/Current/WA-PSE-RTC/Testimony-ACG/Direct/Drafts-Schedules and Exhibits/"/>
    </mc:Choice>
  </mc:AlternateContent>
  <xr:revisionPtr revIDLastSave="0" documentId="8_{79D45891-481F-4575-A48F-FA8980606E50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Exhibit DED-17" sheetId="150" r:id="rId1"/>
    <sheet name="Table of Contents" sheetId="139" r:id="rId2"/>
    <sheet name="Overall Rate Impacts--&gt;" sheetId="126" r:id="rId3"/>
    <sheet name="Rate Impacts_RY#1" sheetId="102" r:id="rId4"/>
    <sheet name="Rate Impacts_RY#2" sheetId="112" r:id="rId5"/>
    <sheet name="Res. Bill Impacts--&gt;" sheetId="127" r:id="rId6"/>
    <sheet name="Res Bill Summary" sheetId="134" r:id="rId7"/>
    <sheet name="Typical Res Bill Impacts--&gt;" sheetId="128" r:id="rId8"/>
    <sheet name="Typical Res Bill_RY#1 " sheetId="103" r:id="rId9"/>
    <sheet name="Typical Res Bill_RY#2" sheetId="147" r:id="rId10"/>
    <sheet name="Avg Per Therm Impacts--&gt;" sheetId="129" r:id="rId11"/>
    <sheet name="Avg Per Therm_RY#1 " sheetId="104" r:id="rId12"/>
    <sheet name="Avg Per Therm_RY#2" sheetId="114" r:id="rId13"/>
    <sheet name="Work Papers--&gt;" sheetId="51" r:id="rId14"/>
    <sheet name="Revenue Calculations--&gt;" sheetId="105" r:id="rId15"/>
    <sheet name="Revenue by Sch_RY#1" sheetId="111" r:id="rId16"/>
    <sheet name="Revenue by Sch_RY#2" sheetId="149" r:id="rId17"/>
    <sheet name="Rider Revenue Calculation--&gt;" sheetId="28" r:id="rId18"/>
    <sheet name="Sch. 101" sheetId="60" r:id="rId19"/>
    <sheet name="Sch. 106" sheetId="24" r:id="rId20"/>
    <sheet name="Sch. 111 Charge" sheetId="141" r:id="rId21"/>
    <sheet name="Sch. 111 Credit" sheetId="142" r:id="rId22"/>
    <sheet name="Sch. 120" sheetId="25" r:id="rId23"/>
    <sheet name="Sch. 129" sheetId="11" r:id="rId24"/>
    <sheet name="Sch. 129D" sheetId="143" r:id="rId25"/>
    <sheet name="Sch. 140" sheetId="21" r:id="rId26"/>
    <sheet name="Sch. 141D" sheetId="140" r:id="rId27"/>
    <sheet name="Sch. 141DCARB" sheetId="148" r:id="rId28"/>
    <sheet name="Sch. 141N" sheetId="135" r:id="rId29"/>
    <sheet name="Sch. 141R" sheetId="145" r:id="rId30"/>
    <sheet name="Sch. 141R (Supp.)" sheetId="146" r:id="rId31"/>
    <sheet name="Sch. 142" sheetId="48" r:id="rId32"/>
    <sheet name="Data--&gt;" sheetId="36" r:id="rId33"/>
    <sheet name="Res Billing Data" sheetId="132" r:id="rId34"/>
    <sheet name="Rate Year Therms" sheetId="10" r:id="rId35"/>
    <sheet name="RY#1 Therms by Block%" sheetId="13" r:id="rId36"/>
    <sheet name="RY#1 Therms by Block" sheetId="123" r:id="rId37"/>
    <sheet name="RY#1 Bills &amp; Demand" sheetId="15" r:id="rId38"/>
  </sheets>
  <definedNames>
    <definedName name="Base1_Billing2">#REF!</definedName>
    <definedName name="Company">#REF!</definedName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11">'Avg Per Therm_RY#1 '!$A$1:$L$39</definedName>
    <definedName name="_xlnm.Print_Area" localSheetId="12">'Avg Per Therm_RY#2'!$A$1:$L$39</definedName>
    <definedName name="_xlnm.Print_Area" localSheetId="3">'Rate Impacts_RY#1'!$A$1:$T$40</definedName>
    <definedName name="_xlnm.Print_Area" localSheetId="4">'Rate Impacts_RY#2'!$A$1:$M$40</definedName>
    <definedName name="_xlnm.Print_Area" localSheetId="34">'Rate Year Therms'!$B$1:$AE$43</definedName>
    <definedName name="_xlnm.Print_Area" localSheetId="6">'Res Bill Summary'!$A$1:$N$41</definedName>
    <definedName name="_xlnm.Print_Area" localSheetId="15">'Revenue by Sch_RY#1'!$A$1:$S$39</definedName>
    <definedName name="_xlnm.Print_Area" localSheetId="16">'Revenue by Sch_RY#2'!$A$1:$S$39</definedName>
    <definedName name="_xlnm.Print_Area" localSheetId="36">'RY#1 Therms by Block'!$A$1:$N$67</definedName>
    <definedName name="_xlnm.Print_Area" localSheetId="35">'RY#1 Therms by Block%'!$A$1:$N$65</definedName>
    <definedName name="_xlnm.Print_Area" localSheetId="18">'Sch. 101'!$A$1:$J$40</definedName>
    <definedName name="_xlnm.Print_Area" localSheetId="20">'Sch. 111 Charge'!$A$1:$M$26</definedName>
    <definedName name="_xlnm.Print_Area" localSheetId="21">'Sch. 111 Credit'!$A$1:$M$36</definedName>
    <definedName name="_xlnm.Print_Area" localSheetId="23">'Sch. 129'!$A$1:$I$59</definedName>
    <definedName name="_xlnm.Print_Area" localSheetId="24">'Sch. 129D'!$A$1:$I$59</definedName>
    <definedName name="_xlnm.Print_Area" localSheetId="25">'Sch. 140'!$A$1:$I$23</definedName>
    <definedName name="_xlnm.Print_Area" localSheetId="26">'Sch. 141D'!$A$1:$I$49</definedName>
    <definedName name="_xlnm.Print_Area" localSheetId="27">'Sch. 141DCARB'!$A$1:$I$23</definedName>
    <definedName name="_xlnm.Print_Area" localSheetId="28">'Sch. 141N'!$A$1:$I$49</definedName>
    <definedName name="_xlnm.Print_Area" localSheetId="29">'Sch. 141R'!$A$1:$I$49</definedName>
    <definedName name="_xlnm.Print_Area" localSheetId="30">'Sch. 141R (Supp.)'!$A$1:$I$49</definedName>
    <definedName name="_xlnm.Print_Area" localSheetId="8">'Typical Res Bill_RY#1 '!$A$1:$T$42</definedName>
    <definedName name="_xlnm.Print_Area" localSheetId="9">'Typical Res Bill_RY#2'!$A$1:$H$42</definedName>
    <definedName name="_xlnm.Print_Titles" localSheetId="36">'RY#1 Therms by Block'!$3:$5</definedName>
    <definedName name="_xlnm.Print_Titles" localSheetId="35">'RY#1 Therms by Block%'!$3:$5</definedName>
    <definedName name="_xlnm.Print_Titles" localSheetId="31">'Sch. 142'!$1:$8</definedName>
    <definedName name="RateCase">#REF!</definedName>
    <definedName name="Test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50" l="1"/>
  <c r="E28" i="150"/>
  <c r="G28" i="150"/>
  <c r="H28" i="150"/>
  <c r="J28" i="150"/>
  <c r="K28" i="150"/>
  <c r="G19" i="150"/>
  <c r="H19" i="150" s="1"/>
  <c r="E19" i="150"/>
  <c r="D28" i="150"/>
  <c r="D19" i="150"/>
  <c r="D29" i="150"/>
  <c r="G29" i="150" s="1"/>
  <c r="J29" i="150" s="1"/>
  <c r="D27" i="150"/>
  <c r="G27" i="150" s="1"/>
  <c r="D36" i="103"/>
  <c r="D20" i="150"/>
  <c r="D18" i="150"/>
  <c r="J14" i="150"/>
  <c r="G20" i="150"/>
  <c r="G18" i="150"/>
  <c r="J19" i="150" l="1"/>
  <c r="K19" i="150" s="1"/>
  <c r="E20" i="150"/>
  <c r="E22" i="150" s="1"/>
  <c r="E29" i="150"/>
  <c r="E31" i="150" s="1"/>
  <c r="J27" i="150"/>
  <c r="K27" i="150" s="1"/>
  <c r="H27" i="150"/>
  <c r="J18" i="150"/>
  <c r="K18" i="150" s="1"/>
  <c r="H18" i="150"/>
  <c r="J20" i="150"/>
  <c r="K20" i="150" s="1"/>
  <c r="K22" i="150" s="1"/>
  <c r="K29" i="150"/>
  <c r="K31" i="150" s="1"/>
  <c r="E27" i="150"/>
  <c r="G14" i="150"/>
  <c r="H20" i="150" s="1"/>
  <c r="H22" i="150" s="1"/>
  <c r="E18" i="150"/>
  <c r="H29" i="150" l="1"/>
  <c r="H31" i="150" s="1"/>
  <c r="E32" i="150" l="1"/>
  <c r="K32" i="150"/>
  <c r="H32" i="150"/>
  <c r="A12" i="149" l="1"/>
  <c r="A13" i="149" s="1"/>
  <c r="A14" i="149" s="1"/>
  <c r="A15" i="149" s="1"/>
  <c r="A16" i="149" s="1"/>
  <c r="A17" i="149" s="1"/>
  <c r="A18" i="149" s="1"/>
  <c r="A19" i="149" s="1"/>
  <c r="A20" i="149" s="1"/>
  <c r="A21" i="149" s="1"/>
  <c r="A22" i="149" s="1"/>
  <c r="A23" i="149" s="1"/>
  <c r="A24" i="149" s="1"/>
  <c r="A25" i="149" s="1"/>
  <c r="A27" i="149" s="1"/>
  <c r="A12" i="111"/>
  <c r="A13" i="111" s="1"/>
  <c r="A14" i="111" s="1"/>
  <c r="A15" i="111" s="1"/>
  <c r="A16" i="111" s="1"/>
  <c r="A17" i="111" s="1"/>
  <c r="A18" i="111" s="1"/>
  <c r="A19" i="111" s="1"/>
  <c r="A20" i="111" s="1"/>
  <c r="A21" i="111" s="1"/>
  <c r="A22" i="111" s="1"/>
  <c r="A23" i="111" s="1"/>
  <c r="A24" i="111" s="1"/>
  <c r="A25" i="111" s="1"/>
  <c r="A12" i="114"/>
  <c r="A13" i="114" s="1"/>
  <c r="A14" i="114" s="1"/>
  <c r="A15" i="114" s="1"/>
  <c r="A16" i="114" s="1"/>
  <c r="A17" i="114" s="1"/>
  <c r="A18" i="114" s="1"/>
  <c r="A19" i="114" s="1"/>
  <c r="A20" i="114" s="1"/>
  <c r="A21" i="114" s="1"/>
  <c r="A22" i="114" s="1"/>
  <c r="A23" i="114" s="1"/>
  <c r="A24" i="114" s="1"/>
  <c r="A25" i="114" s="1"/>
  <c r="A12" i="104"/>
  <c r="A13" i="104" s="1"/>
  <c r="A14" i="104" s="1"/>
  <c r="A15" i="104" s="1"/>
  <c r="A16" i="104" s="1"/>
  <c r="A17" i="104" s="1"/>
  <c r="A18" i="104" s="1"/>
  <c r="A19" i="104" s="1"/>
  <c r="A20" i="104" s="1"/>
  <c r="A21" i="104" s="1"/>
  <c r="A22" i="104" s="1"/>
  <c r="A23" i="104" s="1"/>
  <c r="A24" i="104" s="1"/>
  <c r="A25" i="104" s="1"/>
  <c r="A28" i="104" s="1"/>
  <c r="B2" i="114"/>
  <c r="B2" i="104"/>
  <c r="B2" i="147"/>
  <c r="B2" i="103"/>
  <c r="B2" i="134"/>
  <c r="B2" i="112"/>
  <c r="B2" i="102"/>
  <c r="A10" i="147"/>
  <c r="A11" i="147" s="1"/>
  <c r="A12" i="147" s="1"/>
  <c r="A13" i="147" s="1"/>
  <c r="A14" i="147" s="1"/>
  <c r="A15" i="147" s="1"/>
  <c r="A16" i="147" s="1"/>
  <c r="A17" i="147" s="1"/>
  <c r="A18" i="147" s="1"/>
  <c r="A19" i="147" s="1"/>
  <c r="A20" i="147" s="1"/>
  <c r="A21" i="147" s="1"/>
  <c r="A22" i="147" s="1"/>
  <c r="A23" i="147" s="1"/>
  <c r="A24" i="147" s="1"/>
  <c r="A25" i="147" s="1"/>
  <c r="A26" i="147" s="1"/>
  <c r="A27" i="147" s="1"/>
  <c r="A28" i="147" s="1"/>
  <c r="A29" i="147" s="1"/>
  <c r="A30" i="147" s="1"/>
  <c r="A31" i="147" s="1"/>
  <c r="A32" i="147" s="1"/>
  <c r="A33" i="147" s="1"/>
  <c r="A34" i="147" s="1"/>
  <c r="A35" i="147" s="1"/>
  <c r="A36" i="147" s="1"/>
  <c r="A37" i="147" s="1"/>
  <c r="A38" i="147" s="1"/>
  <c r="A39" i="147" s="1"/>
  <c r="A40" i="147" s="1"/>
  <c r="A10" i="103"/>
  <c r="A11" i="103" s="1"/>
  <c r="A12" i="103" s="1"/>
  <c r="A13" i="103" s="1"/>
  <c r="A14" i="103" s="1"/>
  <c r="A15" i="103" s="1"/>
  <c r="A16" i="103" s="1"/>
  <c r="A17" i="103" s="1"/>
  <c r="A18" i="103" s="1"/>
  <c r="A19" i="103" s="1"/>
  <c r="A20" i="103" s="1"/>
  <c r="A21" i="103" s="1"/>
  <c r="A22" i="103" s="1"/>
  <c r="A23" i="103" s="1"/>
  <c r="A24" i="103" s="1"/>
  <c r="A25" i="103" s="1"/>
  <c r="A26" i="103" s="1"/>
  <c r="A27" i="103" s="1"/>
  <c r="A28" i="103" s="1"/>
  <c r="A29" i="103" s="1"/>
  <c r="A30" i="103" s="1"/>
  <c r="A31" i="103" s="1"/>
  <c r="A32" i="103" s="1"/>
  <c r="A33" i="103" s="1"/>
  <c r="A34" i="103" s="1"/>
  <c r="A35" i="103" s="1"/>
  <c r="A36" i="103" s="1"/>
  <c r="A37" i="103" s="1"/>
  <c r="A38" i="103" s="1"/>
  <c r="A39" i="103" s="1"/>
  <c r="A40" i="103" s="1"/>
  <c r="A12" i="134"/>
  <c r="A13" i="134" s="1"/>
  <c r="A14" i="134" s="1"/>
  <c r="A15" i="134" s="1"/>
  <c r="A16" i="134" s="1"/>
  <c r="A17" i="134" s="1"/>
  <c r="A18" i="134" s="1"/>
  <c r="A19" i="134" s="1"/>
  <c r="A20" i="134" s="1"/>
  <c r="A21" i="134" s="1"/>
  <c r="A22" i="134" s="1"/>
  <c r="A23" i="134" s="1"/>
  <c r="A24" i="134" s="1"/>
  <c r="A25" i="134" s="1"/>
  <c r="A26" i="134" s="1"/>
  <c r="A27" i="134" s="1"/>
  <c r="A28" i="134" s="1"/>
  <c r="A29" i="134" s="1"/>
  <c r="A30" i="134" s="1"/>
  <c r="A31" i="134" s="1"/>
  <c r="A32" i="134" s="1"/>
  <c r="A33" i="134" s="1"/>
  <c r="A34" i="134" s="1"/>
  <c r="A35" i="134" s="1"/>
  <c r="A36" i="134" s="1"/>
  <c r="A37" i="134" s="1"/>
  <c r="A12" i="112"/>
  <c r="A13" i="112" s="1"/>
  <c r="A14" i="112" s="1"/>
  <c r="A15" i="112" s="1"/>
  <c r="A16" i="112" s="1"/>
  <c r="A17" i="112" s="1"/>
  <c r="A18" i="112" s="1"/>
  <c r="A19" i="112" s="1"/>
  <c r="A20" i="112" s="1"/>
  <c r="A21" i="112" s="1"/>
  <c r="A22" i="112" s="1"/>
  <c r="A23" i="112" s="1"/>
  <c r="A24" i="112" s="1"/>
  <c r="A25" i="112" s="1"/>
  <c r="A28" i="112" s="1"/>
  <c r="A12" i="102"/>
  <c r="A13" i="102" s="1"/>
  <c r="A14" i="102" s="1"/>
  <c r="A15" i="102" s="1"/>
  <c r="A16" i="102" s="1"/>
  <c r="A17" i="102" s="1"/>
  <c r="A18" i="102" s="1"/>
  <c r="A19" i="102" s="1"/>
  <c r="A20" i="102" s="1"/>
  <c r="A21" i="102" s="1"/>
  <c r="A22" i="102" s="1"/>
  <c r="A23" i="102" s="1"/>
  <c r="A24" i="102" s="1"/>
  <c r="A25" i="102" s="1"/>
  <c r="A28" i="102" s="1"/>
  <c r="A27" i="111" l="1"/>
  <c r="A28" i="111" s="1"/>
  <c r="A29" i="111" s="1"/>
  <c r="A30" i="111" s="1"/>
  <c r="A31" i="111" s="1"/>
  <c r="A32" i="111" s="1"/>
  <c r="A33" i="111" s="1"/>
  <c r="A34" i="111" s="1"/>
  <c r="A35" i="111" s="1"/>
  <c r="A36" i="111" s="1"/>
  <c r="A28" i="114"/>
  <c r="A29" i="114" s="1"/>
  <c r="A30" i="114" s="1"/>
  <c r="A31" i="114" s="1"/>
  <c r="A32" i="114" s="1"/>
  <c r="A33" i="114" s="1"/>
  <c r="A34" i="114" s="1"/>
  <c r="A35" i="114" s="1"/>
  <c r="A36" i="114" s="1"/>
  <c r="A37" i="114" s="1"/>
  <c r="A28" i="149"/>
  <c r="A29" i="149" s="1"/>
  <c r="A30" i="149" s="1"/>
  <c r="A31" i="149" s="1"/>
  <c r="A32" i="149" s="1"/>
  <c r="A33" i="149" s="1"/>
  <c r="A34" i="149" s="1"/>
  <c r="A35" i="149" s="1"/>
  <c r="A36" i="149" s="1"/>
  <c r="A29" i="104"/>
  <c r="A30" i="104" s="1"/>
  <c r="A31" i="104" s="1"/>
  <c r="A32" i="104" s="1"/>
  <c r="A33" i="104" s="1"/>
  <c r="A34" i="104" s="1"/>
  <c r="A35" i="104" s="1"/>
  <c r="A36" i="104" s="1"/>
  <c r="A37" i="104" s="1"/>
  <c r="A29" i="112"/>
  <c r="A30" i="112" s="1"/>
  <c r="A31" i="112" s="1"/>
  <c r="A32" i="112" s="1"/>
  <c r="A33" i="112" s="1"/>
  <c r="A34" i="112" s="1"/>
  <c r="A35" i="112" s="1"/>
  <c r="A36" i="112" s="1"/>
  <c r="A37" i="112" s="1"/>
  <c r="A29" i="102"/>
  <c r="A30" i="102" s="1"/>
  <c r="A31" i="102" s="1"/>
  <c r="A32" i="102" s="1"/>
  <c r="A33" i="102" s="1"/>
  <c r="A34" i="102" s="1"/>
  <c r="A35" i="102" s="1"/>
  <c r="A36" i="102" s="1"/>
  <c r="A37" i="102" s="1"/>
  <c r="R35" i="149"/>
  <c r="Q35" i="149"/>
  <c r="P35" i="149"/>
  <c r="O35" i="149"/>
  <c r="M35" i="149"/>
  <c r="K35" i="149"/>
  <c r="J35" i="149"/>
  <c r="I35" i="149"/>
  <c r="G35" i="149"/>
  <c r="F35" i="149"/>
  <c r="R34" i="149"/>
  <c r="M34" i="149"/>
  <c r="I34" i="149"/>
  <c r="G34" i="149"/>
  <c r="F34" i="149"/>
  <c r="R33" i="149"/>
  <c r="R31" i="149"/>
  <c r="B2" i="149"/>
  <c r="D24" i="103" l="1"/>
  <c r="P24" i="103" s="1"/>
  <c r="G24" i="103" l="1"/>
  <c r="M24" i="103"/>
  <c r="C8" i="148"/>
  <c r="K6" i="112" l="1"/>
  <c r="O36" i="102" l="1"/>
  <c r="L36" i="102"/>
  <c r="R31" i="111"/>
  <c r="R33" i="111"/>
  <c r="F34" i="111"/>
  <c r="G34" i="111"/>
  <c r="I34" i="111"/>
  <c r="M34" i="111"/>
  <c r="R34" i="111"/>
  <c r="F35" i="111"/>
  <c r="G35" i="111"/>
  <c r="I35" i="111"/>
  <c r="J35" i="111"/>
  <c r="K35" i="111"/>
  <c r="M35" i="111"/>
  <c r="O35" i="111"/>
  <c r="P35" i="111"/>
  <c r="Q35" i="111"/>
  <c r="R35" i="111"/>
  <c r="E35" i="111" l="1"/>
  <c r="E34" i="111"/>
  <c r="F22" i="142" l="1"/>
  <c r="I22" i="142"/>
  <c r="K22" i="142" s="1"/>
  <c r="J22" i="142"/>
  <c r="K22" i="141"/>
  <c r="I22" i="141"/>
  <c r="F22" i="141"/>
  <c r="J22" i="141" s="1"/>
  <c r="L22" i="141" l="1"/>
  <c r="M22" i="141" s="1"/>
  <c r="L22" i="142"/>
  <c r="M22" i="142" s="1"/>
  <c r="H23" i="149"/>
  <c r="H23" i="111"/>
  <c r="H34" i="111" s="1"/>
  <c r="N39" i="15" l="1"/>
  <c r="M65" i="123"/>
  <c r="M64" i="13" s="1"/>
  <c r="H34" i="149"/>
  <c r="N60" i="123"/>
  <c r="F65" i="123"/>
  <c r="F63" i="13" s="1"/>
  <c r="N61" i="123"/>
  <c r="I65" i="123"/>
  <c r="J65" i="123"/>
  <c r="J62" i="13" s="1"/>
  <c r="E65" i="123"/>
  <c r="E62" i="13" s="1"/>
  <c r="N63" i="123"/>
  <c r="N64" i="123"/>
  <c r="N20" i="15"/>
  <c r="N62" i="123"/>
  <c r="B65" i="123"/>
  <c r="B62" i="13" s="1"/>
  <c r="C65" i="123"/>
  <c r="C62" i="13" s="1"/>
  <c r="G65" i="123"/>
  <c r="G61" i="13" s="1"/>
  <c r="K65" i="123"/>
  <c r="K64" i="13" s="1"/>
  <c r="D65" i="123"/>
  <c r="D61" i="13" s="1"/>
  <c r="H65" i="123"/>
  <c r="H62" i="13" s="1"/>
  <c r="L65" i="123"/>
  <c r="L62" i="13" s="1"/>
  <c r="N59" i="123"/>
  <c r="M62" i="13" l="1"/>
  <c r="M59" i="13"/>
  <c r="M60" i="13"/>
  <c r="F59" i="13"/>
  <c r="M63" i="13"/>
  <c r="F60" i="13"/>
  <c r="F61" i="13"/>
  <c r="M61" i="13"/>
  <c r="L61" i="13"/>
  <c r="B63" i="13"/>
  <c r="F62" i="13"/>
  <c r="D62" i="13"/>
  <c r="G62" i="13"/>
  <c r="L60" i="13"/>
  <c r="G63" i="13"/>
  <c r="K60" i="13"/>
  <c r="L63" i="13"/>
  <c r="G59" i="13"/>
  <c r="L64" i="13"/>
  <c r="L59" i="13"/>
  <c r="F64" i="13"/>
  <c r="C59" i="13"/>
  <c r="C63" i="13"/>
  <c r="C64" i="13"/>
  <c r="I60" i="13"/>
  <c r="I59" i="13"/>
  <c r="I61" i="13"/>
  <c r="I63" i="13"/>
  <c r="I64" i="13"/>
  <c r="H61" i="13"/>
  <c r="B61" i="13"/>
  <c r="K62" i="13"/>
  <c r="J60" i="13"/>
  <c r="B60" i="13"/>
  <c r="J63" i="13"/>
  <c r="C61" i="13"/>
  <c r="H64" i="13"/>
  <c r="K59" i="13"/>
  <c r="K63" i="13"/>
  <c r="J64" i="13"/>
  <c r="I62" i="13"/>
  <c r="D59" i="13"/>
  <c r="J61" i="13"/>
  <c r="D63" i="13"/>
  <c r="K61" i="13"/>
  <c r="G60" i="13"/>
  <c r="G64" i="13"/>
  <c r="H60" i="13"/>
  <c r="N65" i="123"/>
  <c r="N60" i="13" s="1"/>
  <c r="E61" i="13"/>
  <c r="E63" i="13"/>
  <c r="E64" i="13"/>
  <c r="E59" i="13"/>
  <c r="E60" i="13"/>
  <c r="J59" i="13"/>
  <c r="C60" i="13"/>
  <c r="D60" i="13"/>
  <c r="D64" i="13"/>
  <c r="B64" i="13"/>
  <c r="H59" i="13"/>
  <c r="H63" i="13"/>
  <c r="B59" i="13"/>
  <c r="M65" i="13" l="1"/>
  <c r="F65" i="13"/>
  <c r="G65" i="13"/>
  <c r="L65" i="13"/>
  <c r="J65" i="13"/>
  <c r="B65" i="13"/>
  <c r="N59" i="13"/>
  <c r="D65" i="13"/>
  <c r="E65" i="13"/>
  <c r="N64" i="13"/>
  <c r="N61" i="13"/>
  <c r="C65" i="13"/>
  <c r="K65" i="13"/>
  <c r="I65" i="13"/>
  <c r="H65" i="13"/>
  <c r="N62" i="13"/>
  <c r="N63" i="13"/>
  <c r="N65" i="13" l="1"/>
  <c r="Q5" i="10"/>
  <c r="T7" i="10"/>
  <c r="U7" i="10" s="1"/>
  <c r="V7" i="10" s="1"/>
  <c r="W7" i="10" s="1"/>
  <c r="X7" i="10" s="1"/>
  <c r="Y7" i="10" s="1"/>
  <c r="Z7" i="10" s="1"/>
  <c r="AA7" i="10" s="1"/>
  <c r="AB7" i="10" s="1"/>
  <c r="AC7" i="10" s="1"/>
  <c r="AD7" i="10" s="1"/>
  <c r="U36" i="10"/>
  <c r="W36" i="10"/>
  <c r="AC36" i="10"/>
  <c r="S37" i="10"/>
  <c r="W37" i="10"/>
  <c r="AA37" i="10"/>
  <c r="U38" i="10"/>
  <c r="W38" i="10"/>
  <c r="AA38" i="10"/>
  <c r="AC38" i="10"/>
  <c r="S39" i="10"/>
  <c r="U39" i="10"/>
  <c r="W39" i="10"/>
  <c r="AA39" i="10"/>
  <c r="S40" i="10"/>
  <c r="U40" i="10"/>
  <c r="V40" i="10"/>
  <c r="W40" i="10"/>
  <c r="Y40" i="10"/>
  <c r="Z40" i="10"/>
  <c r="AA40" i="10"/>
  <c r="AD40" i="10"/>
  <c r="S41" i="10"/>
  <c r="T41" i="10"/>
  <c r="V41" i="10"/>
  <c r="W41" i="10"/>
  <c r="X41" i="10"/>
  <c r="Y41" i="10"/>
  <c r="Z41" i="10"/>
  <c r="AA41" i="10"/>
  <c r="AB41" i="10"/>
  <c r="AC41" i="10"/>
  <c r="AD41" i="10"/>
  <c r="S42" i="10"/>
  <c r="U42" i="10"/>
  <c r="V42" i="10"/>
  <c r="W42" i="10"/>
  <c r="X42" i="10"/>
  <c r="Y42" i="10"/>
  <c r="Z42" i="10"/>
  <c r="AA42" i="10"/>
  <c r="AB42" i="10"/>
  <c r="AC42" i="10"/>
  <c r="AD42" i="10"/>
  <c r="E41" i="10"/>
  <c r="F41" i="10"/>
  <c r="G41" i="10"/>
  <c r="H41" i="10"/>
  <c r="I41" i="10"/>
  <c r="J41" i="10"/>
  <c r="K41" i="10"/>
  <c r="L41" i="10"/>
  <c r="M41" i="10"/>
  <c r="N41" i="10"/>
  <c r="O41" i="10"/>
  <c r="D41" i="10"/>
  <c r="T37" i="10" l="1"/>
  <c r="W27" i="10"/>
  <c r="S27" i="10"/>
  <c r="AD39" i="10"/>
  <c r="AC40" i="10"/>
  <c r="AC27" i="10"/>
  <c r="V26" i="10"/>
  <c r="AA27" i="10"/>
  <c r="Y39" i="10"/>
  <c r="AC39" i="10"/>
  <c r="Y38" i="10"/>
  <c r="U27" i="10"/>
  <c r="Y36" i="10"/>
  <c r="Y27" i="10"/>
  <c r="S38" i="10"/>
  <c r="V39" i="10"/>
  <c r="AD37" i="10"/>
  <c r="V38" i="10"/>
  <c r="Z37" i="10"/>
  <c r="V37" i="10"/>
  <c r="AD26" i="10"/>
  <c r="Z26" i="10"/>
  <c r="Z27" i="10"/>
  <c r="Z38" i="10"/>
  <c r="V27" i="10"/>
  <c r="Z39" i="10"/>
  <c r="AD38" i="10"/>
  <c r="AD27" i="10"/>
  <c r="AA36" i="10"/>
  <c r="AA35" i="10"/>
  <c r="W35" i="10"/>
  <c r="S35" i="10"/>
  <c r="AE20" i="10"/>
  <c r="AB40" i="10"/>
  <c r="X40" i="10"/>
  <c r="X39" i="10"/>
  <c r="AE15" i="10"/>
  <c r="AE39" i="10" s="1"/>
  <c r="AB35" i="10"/>
  <c r="AE16" i="10"/>
  <c r="AB37" i="10"/>
  <c r="AB36" i="10"/>
  <c r="T36" i="10"/>
  <c r="X35" i="10"/>
  <c r="AA24" i="10"/>
  <c r="S24" i="10"/>
  <c r="AB39" i="10"/>
  <c r="X37" i="10"/>
  <c r="X36" i="10"/>
  <c r="AE13" i="10"/>
  <c r="X24" i="10"/>
  <c r="AE9" i="10"/>
  <c r="T40" i="10"/>
  <c r="AA30" i="10"/>
  <c r="AE22" i="10"/>
  <c r="AD30" i="10"/>
  <c r="Z30" i="10"/>
  <c r="V30" i="10"/>
  <c r="AA26" i="10"/>
  <c r="W26" i="10"/>
  <c r="W28" i="10" s="1"/>
  <c r="S26" i="10"/>
  <c r="S28" i="10" s="1"/>
  <c r="X27" i="10"/>
  <c r="AB24" i="10"/>
  <c r="S36" i="10"/>
  <c r="W30" i="10"/>
  <c r="W24" i="10"/>
  <c r="AE23" i="10"/>
  <c r="AE21" i="10"/>
  <c r="AC30" i="10"/>
  <c r="Y30" i="10"/>
  <c r="AE18" i="10"/>
  <c r="AD35" i="10"/>
  <c r="Z35" i="10"/>
  <c r="V35" i="10"/>
  <c r="AB27" i="10"/>
  <c r="T24" i="10"/>
  <c r="T39" i="10"/>
  <c r="T35" i="10"/>
  <c r="S30" i="10"/>
  <c r="AB30" i="10"/>
  <c r="X30" i="10"/>
  <c r="T30" i="10"/>
  <c r="AE17" i="10"/>
  <c r="AE14" i="10"/>
  <c r="AC35" i="10"/>
  <c r="Y35" i="10"/>
  <c r="U35" i="10"/>
  <c r="AE12" i="10"/>
  <c r="T42" i="10"/>
  <c r="U41" i="10"/>
  <c r="AB38" i="10"/>
  <c r="X38" i="10"/>
  <c r="T38" i="10"/>
  <c r="AC37" i="10"/>
  <c r="Y37" i="10"/>
  <c r="U37" i="10"/>
  <c r="AD36" i="10"/>
  <c r="Z36" i="10"/>
  <c r="V36" i="10"/>
  <c r="T27" i="10"/>
  <c r="AC26" i="10"/>
  <c r="Y26" i="10"/>
  <c r="U26" i="10"/>
  <c r="AD24" i="10"/>
  <c r="Z24" i="10"/>
  <c r="V24" i="10"/>
  <c r="AE19" i="10"/>
  <c r="AE11" i="10"/>
  <c r="U30" i="10"/>
  <c r="AB26" i="10"/>
  <c r="X26" i="10"/>
  <c r="T26" i="10"/>
  <c r="AC24" i="10"/>
  <c r="Y24" i="10"/>
  <c r="U24" i="10"/>
  <c r="AE10" i="10"/>
  <c r="P22" i="10"/>
  <c r="C21" i="148" s="1"/>
  <c r="T28" i="10" l="1"/>
  <c r="AC28" i="10"/>
  <c r="AA28" i="10"/>
  <c r="AA31" i="10" s="1"/>
  <c r="AA32" i="10" s="1"/>
  <c r="V28" i="10"/>
  <c r="V31" i="10" s="1"/>
  <c r="V32" i="10" s="1"/>
  <c r="Y28" i="10"/>
  <c r="Y31" i="10" s="1"/>
  <c r="Y32" i="10" s="1"/>
  <c r="U28" i="10"/>
  <c r="U31" i="10" s="1"/>
  <c r="U32" i="10" s="1"/>
  <c r="Z28" i="10"/>
  <c r="Z31" i="10" s="1"/>
  <c r="Z32" i="10" s="1"/>
  <c r="AD28" i="10"/>
  <c r="AD31" i="10" s="1"/>
  <c r="AD32" i="10" s="1"/>
  <c r="S31" i="10"/>
  <c r="S32" i="10" s="1"/>
  <c r="AA43" i="10"/>
  <c r="AB28" i="10"/>
  <c r="AB31" i="10" s="1"/>
  <c r="AB32" i="10" s="1"/>
  <c r="D19" i="149"/>
  <c r="D19" i="114" s="1"/>
  <c r="D24" i="149"/>
  <c r="D16" i="149"/>
  <c r="D16" i="114" s="1"/>
  <c r="D21" i="149"/>
  <c r="D12" i="149"/>
  <c r="D12" i="114" s="1"/>
  <c r="T31" i="10"/>
  <c r="T32" i="10" s="1"/>
  <c r="D15" i="149"/>
  <c r="D15" i="114" s="1"/>
  <c r="D23" i="149"/>
  <c r="D17" i="149"/>
  <c r="D17" i="114" s="1"/>
  <c r="D11" i="149"/>
  <c r="D11" i="114" s="1"/>
  <c r="D20" i="149"/>
  <c r="D20" i="114" s="1"/>
  <c r="D13" i="149"/>
  <c r="D18" i="149"/>
  <c r="D18" i="114" s="1"/>
  <c r="D22" i="149"/>
  <c r="D22" i="114" s="1"/>
  <c r="D14" i="149"/>
  <c r="AE42" i="10"/>
  <c r="F21" i="148"/>
  <c r="N23" i="111" s="1"/>
  <c r="N34" i="111" s="1"/>
  <c r="X28" i="10"/>
  <c r="X31" i="10" s="1"/>
  <c r="X32" i="10" s="1"/>
  <c r="AE38" i="10"/>
  <c r="W43" i="10"/>
  <c r="AE41" i="10"/>
  <c r="AE40" i="10"/>
  <c r="AC31" i="10"/>
  <c r="AC32" i="10" s="1"/>
  <c r="AE27" i="10"/>
  <c r="X43" i="10"/>
  <c r="AE37" i="10"/>
  <c r="S43" i="10"/>
  <c r="W31" i="10"/>
  <c r="W32" i="10" s="1"/>
  <c r="AE30" i="10"/>
  <c r="T43" i="10"/>
  <c r="AE35" i="10"/>
  <c r="D23" i="111"/>
  <c r="C41" i="140"/>
  <c r="C45" i="140"/>
  <c r="C43" i="146"/>
  <c r="C44" i="145"/>
  <c r="C44" i="135"/>
  <c r="C44" i="140"/>
  <c r="C43" i="145"/>
  <c r="C42" i="140"/>
  <c r="C40" i="140"/>
  <c r="C44" i="146"/>
  <c r="C41" i="145"/>
  <c r="C45" i="145"/>
  <c r="C41" i="135"/>
  <c r="C45" i="135"/>
  <c r="C40" i="146"/>
  <c r="C43" i="140"/>
  <c r="C41" i="146"/>
  <c r="C45" i="146"/>
  <c r="C42" i="145"/>
  <c r="C40" i="145"/>
  <c r="C42" i="135"/>
  <c r="C40" i="135"/>
  <c r="C42" i="146"/>
  <c r="C43" i="135"/>
  <c r="D54" i="143"/>
  <c r="D52" i="11"/>
  <c r="D56" i="11"/>
  <c r="C21" i="25"/>
  <c r="D53" i="143"/>
  <c r="D55" i="143"/>
  <c r="D53" i="11"/>
  <c r="D51" i="11"/>
  <c r="C21" i="21"/>
  <c r="D52" i="143"/>
  <c r="D56" i="143"/>
  <c r="D54" i="11"/>
  <c r="D51" i="143"/>
  <c r="D55" i="11"/>
  <c r="AE36" i="10"/>
  <c r="AB43" i="10"/>
  <c r="U43" i="10"/>
  <c r="V43" i="10"/>
  <c r="AC43" i="10"/>
  <c r="Z43" i="10"/>
  <c r="Y43" i="10"/>
  <c r="AE24" i="10"/>
  <c r="AD43" i="10"/>
  <c r="AE26" i="10"/>
  <c r="D30" i="149" l="1"/>
  <c r="D14" i="114"/>
  <c r="D29" i="149"/>
  <c r="D13" i="114"/>
  <c r="D34" i="149"/>
  <c r="D23" i="114"/>
  <c r="D35" i="114" s="1"/>
  <c r="D32" i="149"/>
  <c r="D21" i="114"/>
  <c r="D35" i="149"/>
  <c r="D24" i="114"/>
  <c r="D25" i="149"/>
  <c r="D28" i="149"/>
  <c r="D34" i="111"/>
  <c r="D23" i="104"/>
  <c r="D33" i="149"/>
  <c r="D31" i="149"/>
  <c r="AE28" i="10"/>
  <c r="AE31" i="10" s="1"/>
  <c r="AE32" i="10" s="1"/>
  <c r="H53" i="11"/>
  <c r="G53" i="11"/>
  <c r="G42" i="146"/>
  <c r="F42" i="146"/>
  <c r="G41" i="145"/>
  <c r="F41" i="145"/>
  <c r="G43" i="146"/>
  <c r="F43" i="146"/>
  <c r="H55" i="11"/>
  <c r="G55" i="11"/>
  <c r="H55" i="143"/>
  <c r="G55" i="143"/>
  <c r="H52" i="11"/>
  <c r="G52" i="11"/>
  <c r="C46" i="135"/>
  <c r="F40" i="135"/>
  <c r="G40" i="135"/>
  <c r="F45" i="146"/>
  <c r="G45" i="146"/>
  <c r="H45" i="146" s="1"/>
  <c r="I45" i="146" s="1"/>
  <c r="F45" i="135"/>
  <c r="G45" i="135"/>
  <c r="G44" i="146"/>
  <c r="F44" i="146"/>
  <c r="G44" i="140"/>
  <c r="F44" i="140"/>
  <c r="F45" i="140"/>
  <c r="G45" i="140"/>
  <c r="H45" i="140" s="1"/>
  <c r="I45" i="140" s="1"/>
  <c r="H56" i="143"/>
  <c r="G56" i="143"/>
  <c r="C46" i="146"/>
  <c r="F40" i="146"/>
  <c r="G40" i="146"/>
  <c r="H52" i="143"/>
  <c r="G52" i="143"/>
  <c r="D57" i="143"/>
  <c r="G51" i="143"/>
  <c r="H51" i="143"/>
  <c r="H54" i="143"/>
  <c r="G54" i="143"/>
  <c r="G42" i="135"/>
  <c r="F42" i="135"/>
  <c r="F41" i="146"/>
  <c r="G41" i="146"/>
  <c r="G41" i="135"/>
  <c r="F41" i="135"/>
  <c r="C46" i="140"/>
  <c r="F40" i="140"/>
  <c r="G40" i="140"/>
  <c r="G44" i="135"/>
  <c r="F44" i="135"/>
  <c r="F41" i="140"/>
  <c r="G41" i="140"/>
  <c r="G56" i="11"/>
  <c r="H56" i="11"/>
  <c r="F42" i="145"/>
  <c r="G42" i="145"/>
  <c r="G43" i="145"/>
  <c r="F43" i="145"/>
  <c r="G21" i="21"/>
  <c r="F21" i="21"/>
  <c r="G53" i="143"/>
  <c r="H53" i="143"/>
  <c r="G54" i="11"/>
  <c r="H54" i="11"/>
  <c r="D57" i="11"/>
  <c r="H51" i="11"/>
  <c r="G51" i="11"/>
  <c r="F21" i="25"/>
  <c r="G21" i="25"/>
  <c r="F43" i="135"/>
  <c r="G43" i="135"/>
  <c r="F40" i="145"/>
  <c r="C46" i="145"/>
  <c r="G40" i="145"/>
  <c r="G43" i="140"/>
  <c r="F43" i="140"/>
  <c r="F45" i="145"/>
  <c r="G45" i="145"/>
  <c r="G42" i="140"/>
  <c r="F42" i="140"/>
  <c r="F44" i="145"/>
  <c r="G44" i="145"/>
  <c r="AE43" i="10"/>
  <c r="H44" i="146" l="1"/>
  <c r="I44" i="146" s="1"/>
  <c r="H23" i="114"/>
  <c r="H35" i="114" s="1"/>
  <c r="L23" i="111"/>
  <c r="L34" i="111" s="1"/>
  <c r="L23" i="149"/>
  <c r="L34" i="149" s="1"/>
  <c r="H23" i="104"/>
  <c r="H35" i="104" s="1"/>
  <c r="D35" i="104"/>
  <c r="D36" i="149"/>
  <c r="G57" i="11"/>
  <c r="H44" i="145"/>
  <c r="I44" i="145" s="1"/>
  <c r="H45" i="145"/>
  <c r="I45" i="145" s="1"/>
  <c r="I53" i="143"/>
  <c r="J53" i="143" s="1"/>
  <c r="I56" i="11"/>
  <c r="J56" i="11" s="1"/>
  <c r="H44" i="135"/>
  <c r="I44" i="135" s="1"/>
  <c r="I55" i="11"/>
  <c r="J55" i="11" s="1"/>
  <c r="H41" i="135"/>
  <c r="I41" i="135" s="1"/>
  <c r="I56" i="143"/>
  <c r="J56" i="143" s="1"/>
  <c r="H43" i="140"/>
  <c r="I43" i="140" s="1"/>
  <c r="I54" i="11"/>
  <c r="J54" i="11" s="1"/>
  <c r="H42" i="145"/>
  <c r="I42" i="145" s="1"/>
  <c r="H41" i="140"/>
  <c r="I41" i="140" s="1"/>
  <c r="H43" i="146"/>
  <c r="I43" i="146" s="1"/>
  <c r="H42" i="146"/>
  <c r="I42" i="146" s="1"/>
  <c r="I54" i="143"/>
  <c r="J54" i="143" s="1"/>
  <c r="G57" i="143"/>
  <c r="G46" i="146"/>
  <c r="H40" i="146"/>
  <c r="F46" i="135"/>
  <c r="H42" i="140"/>
  <c r="I42" i="140" s="1"/>
  <c r="H43" i="135"/>
  <c r="I43" i="135" s="1"/>
  <c r="H21" i="21"/>
  <c r="I21" i="21" s="1"/>
  <c r="F46" i="140"/>
  <c r="H41" i="146"/>
  <c r="I41" i="146" s="1"/>
  <c r="F46" i="146"/>
  <c r="I55" i="143"/>
  <c r="J55" i="143" s="1"/>
  <c r="F46" i="145"/>
  <c r="G46" i="140"/>
  <c r="H40" i="140"/>
  <c r="H40" i="145"/>
  <c r="G46" i="145"/>
  <c r="P23" i="149" s="1"/>
  <c r="I51" i="11"/>
  <c r="H57" i="11"/>
  <c r="H21" i="25"/>
  <c r="I21" i="25" s="1"/>
  <c r="H43" i="145"/>
  <c r="I43" i="145" s="1"/>
  <c r="H42" i="135"/>
  <c r="I42" i="135" s="1"/>
  <c r="I51" i="143"/>
  <c r="J51" i="143" s="1"/>
  <c r="H57" i="143"/>
  <c r="I52" i="143"/>
  <c r="J52" i="143" s="1"/>
  <c r="H44" i="140"/>
  <c r="I44" i="140" s="1"/>
  <c r="H45" i="135"/>
  <c r="I45" i="135" s="1"/>
  <c r="G46" i="135"/>
  <c r="O23" i="149" s="1"/>
  <c r="H40" i="135"/>
  <c r="I52" i="11"/>
  <c r="J52" i="11" s="1"/>
  <c r="H41" i="145"/>
  <c r="I41" i="145" s="1"/>
  <c r="I53" i="11"/>
  <c r="J53" i="11" s="1"/>
  <c r="D42" i="10"/>
  <c r="D40" i="10"/>
  <c r="B40" i="15" l="1"/>
  <c r="E40" i="15"/>
  <c r="B21" i="15"/>
  <c r="F40" i="15"/>
  <c r="H40" i="15"/>
  <c r="E21" i="15"/>
  <c r="I40" i="15"/>
  <c r="F21" i="15"/>
  <c r="J40" i="15"/>
  <c r="D40" i="15"/>
  <c r="K40" i="15"/>
  <c r="C21" i="15"/>
  <c r="H21" i="15"/>
  <c r="L40" i="15"/>
  <c r="I21" i="15"/>
  <c r="M40" i="15"/>
  <c r="J21" i="15"/>
  <c r="D21" i="15"/>
  <c r="K21" i="15"/>
  <c r="C40" i="15"/>
  <c r="L21" i="15"/>
  <c r="M21" i="15"/>
  <c r="G40" i="15"/>
  <c r="G21" i="15"/>
  <c r="E29" i="111"/>
  <c r="K23" i="111"/>
  <c r="K34" i="111" s="1"/>
  <c r="K23" i="149"/>
  <c r="K34" i="149" s="1"/>
  <c r="P23" i="111"/>
  <c r="P34" i="111" s="1"/>
  <c r="P34" i="149"/>
  <c r="O23" i="111"/>
  <c r="O34" i="111" s="1"/>
  <c r="O34" i="149"/>
  <c r="J23" i="111"/>
  <c r="J34" i="111" s="1"/>
  <c r="J23" i="149"/>
  <c r="Q23" i="111"/>
  <c r="Q34" i="111" s="1"/>
  <c r="Q23" i="149"/>
  <c r="Q34" i="149" s="1"/>
  <c r="E33" i="111"/>
  <c r="E28" i="111"/>
  <c r="E31" i="111"/>
  <c r="E30" i="111"/>
  <c r="E32" i="111"/>
  <c r="H46" i="140"/>
  <c r="I46" i="140" s="1"/>
  <c r="I40" i="140"/>
  <c r="I40" i="146"/>
  <c r="H46" i="146"/>
  <c r="I46" i="146" s="1"/>
  <c r="H46" i="135"/>
  <c r="I40" i="135"/>
  <c r="I57" i="11"/>
  <c r="J57" i="11" s="1"/>
  <c r="J51" i="11"/>
  <c r="I57" i="143"/>
  <c r="J57" i="143" s="1"/>
  <c r="I40" i="145"/>
  <c r="H46" i="145"/>
  <c r="S26" i="103"/>
  <c r="D26" i="147" s="1"/>
  <c r="S25" i="103"/>
  <c r="D25" i="147" s="1"/>
  <c r="P26" i="103"/>
  <c r="M25" i="103"/>
  <c r="D27" i="103"/>
  <c r="M27" i="103" s="1"/>
  <c r="D26" i="103"/>
  <c r="J26" i="103" s="1"/>
  <c r="D25" i="103"/>
  <c r="D23" i="103"/>
  <c r="D21" i="103"/>
  <c r="P21" i="103" s="1"/>
  <c r="D19" i="103"/>
  <c r="G19" i="103" s="1"/>
  <c r="S23" i="111" l="1"/>
  <c r="E23" i="104" s="1"/>
  <c r="E35" i="104" s="1"/>
  <c r="F35" i="104" s="1"/>
  <c r="J34" i="149"/>
  <c r="I46" i="135"/>
  <c r="L23" i="102"/>
  <c r="I46" i="145"/>
  <c r="O23" i="102"/>
  <c r="M19" i="103"/>
  <c r="G25" i="147"/>
  <c r="G26" i="147"/>
  <c r="P27" i="103"/>
  <c r="J21" i="103"/>
  <c r="M23" i="103"/>
  <c r="S21" i="103"/>
  <c r="D21" i="147" s="1"/>
  <c r="G21" i="103"/>
  <c r="J27" i="103"/>
  <c r="P19" i="103"/>
  <c r="P23" i="103"/>
  <c r="S27" i="103"/>
  <c r="D27" i="147" s="1"/>
  <c r="G27" i="147" s="1"/>
  <c r="J19" i="103"/>
  <c r="J23" i="103"/>
  <c r="M21" i="103"/>
  <c r="M26" i="103"/>
  <c r="P25" i="103"/>
  <c r="S19" i="103"/>
  <c r="D19" i="147" s="1"/>
  <c r="G19" i="147" s="1"/>
  <c r="S23" i="103"/>
  <c r="D23" i="147" s="1"/>
  <c r="J25" i="103"/>
  <c r="P8" i="102"/>
  <c r="S34" i="111" l="1"/>
  <c r="F23" i="104"/>
  <c r="D23" i="102"/>
  <c r="P23" i="102" s="1"/>
  <c r="O35" i="102"/>
  <c r="L35" i="102"/>
  <c r="G21" i="147"/>
  <c r="G23" i="147"/>
  <c r="D35" i="102" l="1"/>
  <c r="M23" i="102"/>
  <c r="P35" i="102"/>
  <c r="M35" i="102" l="1"/>
  <c r="C8" i="146"/>
  <c r="C8" i="145"/>
  <c r="C8" i="135" l="1"/>
  <c r="C8" i="140"/>
  <c r="D8" i="143"/>
  <c r="C9" i="142"/>
  <c r="C29" i="142" s="1"/>
  <c r="C9" i="141"/>
  <c r="I30" i="142"/>
  <c r="K30" i="142" s="1"/>
  <c r="F30" i="142"/>
  <c r="J30" i="142" s="1"/>
  <c r="I23" i="142"/>
  <c r="F23" i="142"/>
  <c r="K23" i="142"/>
  <c r="I21" i="142"/>
  <c r="K21" i="142" s="1"/>
  <c r="F21" i="142"/>
  <c r="J21" i="142" s="1"/>
  <c r="I20" i="142"/>
  <c r="K20" i="142" s="1"/>
  <c r="F20" i="142"/>
  <c r="J20" i="142" s="1"/>
  <c r="I19" i="142"/>
  <c r="F19" i="142"/>
  <c r="K19" i="142"/>
  <c r="I18" i="142"/>
  <c r="K18" i="142" s="1"/>
  <c r="F18" i="142"/>
  <c r="I17" i="142"/>
  <c r="K17" i="142" s="1"/>
  <c r="F17" i="142"/>
  <c r="J17" i="142" s="1"/>
  <c r="I16" i="142"/>
  <c r="K16" i="142" s="1"/>
  <c r="F16" i="142"/>
  <c r="J16" i="142"/>
  <c r="I15" i="142"/>
  <c r="F15" i="142"/>
  <c r="I14" i="142"/>
  <c r="F14" i="142"/>
  <c r="K14" i="142"/>
  <c r="I13" i="142"/>
  <c r="K13" i="142" s="1"/>
  <c r="F13" i="142"/>
  <c r="J13" i="142" s="1"/>
  <c r="I12" i="142"/>
  <c r="K12" i="142" s="1"/>
  <c r="F12" i="142"/>
  <c r="J12" i="142" s="1"/>
  <c r="I11" i="142"/>
  <c r="F11" i="142"/>
  <c r="K11" i="142"/>
  <c r="I10" i="142"/>
  <c r="K10" i="142" s="1"/>
  <c r="F10" i="142"/>
  <c r="D15" i="103" s="1"/>
  <c r="I23" i="141"/>
  <c r="K23" i="141" s="1"/>
  <c r="F23" i="141"/>
  <c r="J23" i="141" s="1"/>
  <c r="I21" i="141"/>
  <c r="F21" i="141"/>
  <c r="K21" i="141"/>
  <c r="I20" i="141"/>
  <c r="K20" i="141" s="1"/>
  <c r="F20" i="141"/>
  <c r="I19" i="141"/>
  <c r="K19" i="141" s="1"/>
  <c r="F19" i="141"/>
  <c r="J19" i="141" s="1"/>
  <c r="I18" i="141"/>
  <c r="K18" i="141" s="1"/>
  <c r="F18" i="141"/>
  <c r="J18" i="141" s="1"/>
  <c r="I17" i="141"/>
  <c r="K17" i="141" s="1"/>
  <c r="F17" i="141"/>
  <c r="I16" i="141"/>
  <c r="F16" i="141"/>
  <c r="J16" i="141" s="1"/>
  <c r="I15" i="141"/>
  <c r="K15" i="141" s="1"/>
  <c r="F15" i="141"/>
  <c r="J15" i="141" s="1"/>
  <c r="I14" i="141"/>
  <c r="F14" i="141"/>
  <c r="J14" i="141" s="1"/>
  <c r="I13" i="141"/>
  <c r="F13" i="141"/>
  <c r="K13" i="141"/>
  <c r="I12" i="141"/>
  <c r="K12" i="141" s="1"/>
  <c r="F12" i="141"/>
  <c r="I11" i="141"/>
  <c r="K11" i="141" s="1"/>
  <c r="F11" i="141"/>
  <c r="J11" i="141"/>
  <c r="I10" i="141"/>
  <c r="K10" i="141" s="1"/>
  <c r="F10" i="141"/>
  <c r="D31" i="103" s="1"/>
  <c r="E31" i="103" s="1"/>
  <c r="P15" i="103" l="1"/>
  <c r="Q15" i="103" s="1"/>
  <c r="E15" i="103"/>
  <c r="J15" i="103"/>
  <c r="K15" i="103" s="1"/>
  <c r="M15" i="103"/>
  <c r="N15" i="103" s="1"/>
  <c r="G15" i="103"/>
  <c r="H15" i="103" s="1"/>
  <c r="S15" i="103"/>
  <c r="H15" i="149"/>
  <c r="H12" i="149"/>
  <c r="H24" i="149"/>
  <c r="H35" i="149" s="1"/>
  <c r="H17" i="111"/>
  <c r="H17" i="149"/>
  <c r="H19" i="149"/>
  <c r="H16" i="149"/>
  <c r="H32" i="149" s="1"/>
  <c r="H24" i="111"/>
  <c r="H35" i="111" s="1"/>
  <c r="L18" i="141"/>
  <c r="M18" i="141" s="1"/>
  <c r="L30" i="142"/>
  <c r="M30" i="142" s="1"/>
  <c r="L20" i="142"/>
  <c r="M20" i="142" s="1"/>
  <c r="L13" i="142"/>
  <c r="M13" i="142" s="1"/>
  <c r="L21" i="142"/>
  <c r="M21" i="142" s="1"/>
  <c r="L23" i="141"/>
  <c r="M23" i="141" s="1"/>
  <c r="J20" i="141"/>
  <c r="H21" i="149" s="1"/>
  <c r="J12" i="141"/>
  <c r="H13" i="149" s="1"/>
  <c r="J10" i="141"/>
  <c r="L15" i="141"/>
  <c r="M15" i="141" s="1"/>
  <c r="L11" i="141"/>
  <c r="M11" i="141" s="1"/>
  <c r="K15" i="142"/>
  <c r="L10" i="141"/>
  <c r="L19" i="141"/>
  <c r="M19" i="141" s="1"/>
  <c r="L12" i="142"/>
  <c r="M12" i="142" s="1"/>
  <c r="L19" i="142"/>
  <c r="M19" i="142" s="1"/>
  <c r="K14" i="141"/>
  <c r="L14" i="141" s="1"/>
  <c r="M14" i="141" s="1"/>
  <c r="K16" i="141"/>
  <c r="L16" i="141" s="1"/>
  <c r="M16" i="141" s="1"/>
  <c r="K24" i="142"/>
  <c r="K33" i="142" s="1"/>
  <c r="L16" i="142"/>
  <c r="M16" i="142" s="1"/>
  <c r="L17" i="142"/>
  <c r="M17" i="142" s="1"/>
  <c r="J13" i="141"/>
  <c r="H14" i="149" s="1"/>
  <c r="H30" i="149" s="1"/>
  <c r="J17" i="141"/>
  <c r="L17" i="141" s="1"/>
  <c r="M17" i="141" s="1"/>
  <c r="J21" i="141"/>
  <c r="H22" i="149" s="1"/>
  <c r="J10" i="142"/>
  <c r="L10" i="142" s="1"/>
  <c r="J14" i="142"/>
  <c r="L14" i="142" s="1"/>
  <c r="M14" i="142" s="1"/>
  <c r="J18" i="142"/>
  <c r="L18" i="142" s="1"/>
  <c r="M18" i="142" s="1"/>
  <c r="J23" i="142"/>
  <c r="L23" i="142" s="1"/>
  <c r="M23" i="142" s="1"/>
  <c r="C24" i="142"/>
  <c r="C24" i="141"/>
  <c r="J11" i="142"/>
  <c r="L11" i="142" s="1"/>
  <c r="M11" i="142" s="1"/>
  <c r="J15" i="142"/>
  <c r="H16" i="111" s="1"/>
  <c r="J19" i="142"/>
  <c r="H20" i="111" s="1"/>
  <c r="H33" i="149" l="1"/>
  <c r="H11" i="149"/>
  <c r="H28" i="149" s="1"/>
  <c r="H11" i="111"/>
  <c r="T15" i="103"/>
  <c r="D15" i="147"/>
  <c r="H20" i="149"/>
  <c r="H31" i="149" s="1"/>
  <c r="H18" i="111"/>
  <c r="H18" i="149"/>
  <c r="H12" i="111"/>
  <c r="H28" i="111" s="1"/>
  <c r="H19" i="111"/>
  <c r="H15" i="111"/>
  <c r="H31" i="111" s="1"/>
  <c r="L13" i="141"/>
  <c r="M13" i="141" s="1"/>
  <c r="H14" i="111"/>
  <c r="L20" i="141"/>
  <c r="M20" i="141" s="1"/>
  <c r="H21" i="111"/>
  <c r="H32" i="111" s="1"/>
  <c r="L21" i="141"/>
  <c r="M21" i="141" s="1"/>
  <c r="H22" i="111"/>
  <c r="H33" i="111" s="1"/>
  <c r="L12" i="141"/>
  <c r="M12" i="141" s="1"/>
  <c r="H13" i="111"/>
  <c r="M10" i="142"/>
  <c r="M10" i="141"/>
  <c r="K24" i="141"/>
  <c r="J24" i="142"/>
  <c r="J33" i="142" s="1"/>
  <c r="J24" i="141"/>
  <c r="L15" i="142"/>
  <c r="M15" i="142" s="1"/>
  <c r="G15" i="147" l="1"/>
  <c r="H15" i="147" s="1"/>
  <c r="E15" i="147"/>
  <c r="H29" i="111"/>
  <c r="H29" i="149"/>
  <c r="H36" i="149" s="1"/>
  <c r="H25" i="149"/>
  <c r="H30" i="111"/>
  <c r="H36" i="111" s="1"/>
  <c r="L24" i="141"/>
  <c r="M24" i="141" s="1"/>
  <c r="H25" i="111"/>
  <c r="L24" i="142"/>
  <c r="L33" i="142" l="1"/>
  <c r="M33" i="142" s="1"/>
  <c r="M24" i="142"/>
  <c r="R6" i="102" l="1"/>
  <c r="N7" i="134"/>
  <c r="M7" i="134"/>
  <c r="K7" i="134"/>
  <c r="J7" i="134"/>
  <c r="G23" i="103" l="1"/>
  <c r="M8" i="102" l="1"/>
  <c r="M7" i="102"/>
  <c r="D8" i="48" l="1"/>
  <c r="C8" i="21"/>
  <c r="D8" i="11"/>
  <c r="C8" i="25"/>
  <c r="C9" i="24"/>
  <c r="C33" i="132" l="1"/>
  <c r="C32" i="132"/>
  <c r="C31" i="132"/>
  <c r="C30" i="132"/>
  <c r="C29" i="132"/>
  <c r="C28" i="132"/>
  <c r="C27" i="132"/>
  <c r="C26" i="132"/>
  <c r="C25" i="132"/>
  <c r="C24" i="132"/>
  <c r="C23" i="132"/>
  <c r="C22" i="132"/>
  <c r="C21" i="132"/>
  <c r="C20" i="132"/>
  <c r="C19" i="132"/>
  <c r="C18" i="132"/>
  <c r="C17" i="132"/>
  <c r="C16" i="132"/>
  <c r="C15" i="132"/>
  <c r="C14" i="132"/>
  <c r="C13" i="132"/>
  <c r="C12" i="132"/>
  <c r="C11" i="132"/>
  <c r="C10" i="132"/>
  <c r="C9" i="132"/>
  <c r="M34" i="132"/>
  <c r="I34" i="132"/>
  <c r="C8" i="132"/>
  <c r="O34" i="132"/>
  <c r="N34" i="132"/>
  <c r="L34" i="132"/>
  <c r="K34" i="132"/>
  <c r="J34" i="132"/>
  <c r="H34" i="132"/>
  <c r="G34" i="132"/>
  <c r="F34" i="132"/>
  <c r="D34" i="132"/>
  <c r="C7" i="132"/>
  <c r="E6" i="132"/>
  <c r="F6" i="132" s="1"/>
  <c r="G6" i="132" s="1"/>
  <c r="H6" i="132" s="1"/>
  <c r="I6" i="132" s="1"/>
  <c r="J6" i="132" s="1"/>
  <c r="K6" i="132" s="1"/>
  <c r="L6" i="132" s="1"/>
  <c r="M6" i="132" s="1"/>
  <c r="N6" i="132" s="1"/>
  <c r="O6" i="132" s="1"/>
  <c r="C34" i="132" l="1"/>
  <c r="B10" i="132" s="1"/>
  <c r="D14" i="134" s="1"/>
  <c r="B16" i="132"/>
  <c r="D20" i="134" s="1"/>
  <c r="B7" i="132"/>
  <c r="D11" i="134" s="1"/>
  <c r="E34" i="132"/>
  <c r="B17" i="132" l="1"/>
  <c r="D21" i="134" s="1"/>
  <c r="B25" i="132"/>
  <c r="D29" i="134" s="1"/>
  <c r="B30" i="132"/>
  <c r="D34" i="134" s="1"/>
  <c r="B9" i="132"/>
  <c r="D13" i="134" s="1"/>
  <c r="B11" i="132"/>
  <c r="D15" i="134" s="1"/>
  <c r="B27" i="132"/>
  <c r="D31" i="134" s="1"/>
  <c r="B8" i="132"/>
  <c r="B18" i="132"/>
  <c r="D22" i="134" s="1"/>
  <c r="B26" i="132"/>
  <c r="D30" i="134" s="1"/>
  <c r="B13" i="132"/>
  <c r="D17" i="134" s="1"/>
  <c r="B33" i="132"/>
  <c r="D37" i="134" s="1"/>
  <c r="B14" i="132"/>
  <c r="D18" i="134" s="1"/>
  <c r="B21" i="132"/>
  <c r="D25" i="134" s="1"/>
  <c r="B28" i="132"/>
  <c r="D32" i="134" s="1"/>
  <c r="B23" i="132"/>
  <c r="D27" i="134" s="1"/>
  <c r="B32" i="132"/>
  <c r="D36" i="134" s="1"/>
  <c r="B29" i="132"/>
  <c r="D33" i="134" s="1"/>
  <c r="B15" i="132"/>
  <c r="D19" i="134" s="1"/>
  <c r="B19" i="132"/>
  <c r="D23" i="134" s="1"/>
  <c r="B24" i="132"/>
  <c r="D28" i="134" s="1"/>
  <c r="B20" i="132"/>
  <c r="D24" i="134" s="1"/>
  <c r="B31" i="132"/>
  <c r="D35" i="134" s="1"/>
  <c r="B22" i="132"/>
  <c r="D26" i="134" s="1"/>
  <c r="B12" i="132"/>
  <c r="D16" i="134" s="1"/>
  <c r="B34" i="132" l="1"/>
  <c r="D12" i="134"/>
  <c r="B28" i="123" l="1"/>
  <c r="B27" i="13" s="1"/>
  <c r="E33" i="123"/>
  <c r="E32" i="13" s="1"/>
  <c r="N55" i="123"/>
  <c r="N50" i="123"/>
  <c r="N37" i="123"/>
  <c r="F33" i="123"/>
  <c r="F32" i="13" s="1"/>
  <c r="N25" i="123"/>
  <c r="D28" i="123"/>
  <c r="D26" i="13" s="1"/>
  <c r="N21" i="123"/>
  <c r="N19" i="123"/>
  <c r="J16" i="123"/>
  <c r="C16" i="123"/>
  <c r="N13" i="123"/>
  <c r="N9" i="123"/>
  <c r="G56" i="123"/>
  <c r="E56" i="123"/>
  <c r="B47" i="123"/>
  <c r="I38" i="123"/>
  <c r="B38" i="123"/>
  <c r="B36" i="13" s="1"/>
  <c r="L38" i="123"/>
  <c r="L36" i="13" s="1"/>
  <c r="D38" i="123"/>
  <c r="L33" i="123"/>
  <c r="H33" i="123"/>
  <c r="D33" i="123"/>
  <c r="M33" i="123"/>
  <c r="I33" i="123"/>
  <c r="I31" i="13" s="1"/>
  <c r="B33" i="123"/>
  <c r="M28" i="123"/>
  <c r="G22" i="123"/>
  <c r="H22" i="123"/>
  <c r="E22" i="123"/>
  <c r="E20" i="13" s="1"/>
  <c r="M16" i="123"/>
  <c r="I16" i="123"/>
  <c r="E16" i="123"/>
  <c r="D10" i="123"/>
  <c r="C5" i="123"/>
  <c r="D5" i="123" s="1"/>
  <c r="E5" i="123" s="1"/>
  <c r="F5" i="123" s="1"/>
  <c r="G5" i="123" s="1"/>
  <c r="H5" i="123" s="1"/>
  <c r="I5" i="123" s="1"/>
  <c r="J5" i="123" s="1"/>
  <c r="K5" i="123" s="1"/>
  <c r="L5" i="123" s="1"/>
  <c r="M5" i="123" s="1"/>
  <c r="B26" i="13" l="1"/>
  <c r="E19" i="13"/>
  <c r="L16" i="123"/>
  <c r="L15" i="13" s="1"/>
  <c r="K16" i="123"/>
  <c r="K15" i="13" s="1"/>
  <c r="G16" i="123"/>
  <c r="G15" i="13" s="1"/>
  <c r="D36" i="13"/>
  <c r="N45" i="123"/>
  <c r="B45" i="13"/>
  <c r="K47" i="123"/>
  <c r="K43" i="13" s="1"/>
  <c r="J47" i="123"/>
  <c r="J44" i="13" s="1"/>
  <c r="M47" i="123"/>
  <c r="M42" i="13" s="1"/>
  <c r="E47" i="123"/>
  <c r="E46" i="13" s="1"/>
  <c r="M31" i="13"/>
  <c r="J13" i="13"/>
  <c r="H16" i="123"/>
  <c r="B22" i="123"/>
  <c r="G21" i="13"/>
  <c r="F22" i="123"/>
  <c r="F20" i="13" s="1"/>
  <c r="M22" i="123"/>
  <c r="M19" i="13" s="1"/>
  <c r="I22" i="123"/>
  <c r="I19" i="13" s="1"/>
  <c r="I36" i="13"/>
  <c r="F38" i="123"/>
  <c r="F37" i="13" s="1"/>
  <c r="J38" i="123"/>
  <c r="J37" i="13" s="1"/>
  <c r="N36" i="123"/>
  <c r="D16" i="123"/>
  <c r="D14" i="13" s="1"/>
  <c r="C14" i="13"/>
  <c r="F16" i="123"/>
  <c r="F14" i="13" s="1"/>
  <c r="L10" i="123"/>
  <c r="H10" i="123"/>
  <c r="D8" i="13"/>
  <c r="K10" i="123"/>
  <c r="G10" i="123"/>
  <c r="C10" i="123"/>
  <c r="C8" i="13" s="1"/>
  <c r="E38" i="123"/>
  <c r="E36" i="13" s="1"/>
  <c r="N42" i="123"/>
  <c r="N53" i="123"/>
  <c r="D56" i="123"/>
  <c r="D50" i="13" s="1"/>
  <c r="G54" i="13"/>
  <c r="G50" i="13"/>
  <c r="D9" i="13"/>
  <c r="N7" i="123"/>
  <c r="C15" i="13"/>
  <c r="J14" i="13"/>
  <c r="M13" i="13"/>
  <c r="I13" i="13"/>
  <c r="E13" i="13"/>
  <c r="N15" i="123"/>
  <c r="H19" i="13"/>
  <c r="N20" i="123"/>
  <c r="N22" i="123" s="1"/>
  <c r="N19" i="13" s="1"/>
  <c r="C38" i="123"/>
  <c r="K38" i="123"/>
  <c r="K37" i="13" s="1"/>
  <c r="B44" i="13"/>
  <c r="N52" i="123"/>
  <c r="G55" i="13"/>
  <c r="G51" i="13"/>
  <c r="M32" i="13"/>
  <c r="I32" i="13"/>
  <c r="D25" i="13"/>
  <c r="B16" i="123"/>
  <c r="B15" i="13" s="1"/>
  <c r="J15" i="13"/>
  <c r="M14" i="13"/>
  <c r="I14" i="13"/>
  <c r="E14" i="13"/>
  <c r="N14" i="123"/>
  <c r="E21" i="13"/>
  <c r="H20" i="13"/>
  <c r="G19" i="13"/>
  <c r="B37" i="13"/>
  <c r="D37" i="13"/>
  <c r="L37" i="13"/>
  <c r="B41" i="13"/>
  <c r="N41" i="123"/>
  <c r="B43" i="13"/>
  <c r="N43" i="123"/>
  <c r="L47" i="123"/>
  <c r="L42" i="13" s="1"/>
  <c r="H47" i="123"/>
  <c r="H42" i="13" s="1"/>
  <c r="D47" i="123"/>
  <c r="D45" i="13" s="1"/>
  <c r="G47" i="123"/>
  <c r="C47" i="123"/>
  <c r="C46" i="13" s="1"/>
  <c r="N46" i="123"/>
  <c r="E54" i="13"/>
  <c r="G52" i="13"/>
  <c r="E50" i="13"/>
  <c r="N51" i="123"/>
  <c r="L32" i="13"/>
  <c r="H32" i="13"/>
  <c r="D32" i="13"/>
  <c r="M27" i="13"/>
  <c r="D7" i="13"/>
  <c r="N8" i="123"/>
  <c r="M15" i="13"/>
  <c r="I15" i="13"/>
  <c r="E15" i="13"/>
  <c r="C13" i="13"/>
  <c r="L22" i="123"/>
  <c r="L19" i="13" s="1"/>
  <c r="H21" i="13"/>
  <c r="D22" i="123"/>
  <c r="D21" i="13" s="1"/>
  <c r="K22" i="123"/>
  <c r="G20" i="13"/>
  <c r="C22" i="123"/>
  <c r="C21" i="13" s="1"/>
  <c r="J22" i="123"/>
  <c r="J19" i="13" s="1"/>
  <c r="G38" i="123"/>
  <c r="G36" i="13" s="1"/>
  <c r="H38" i="123"/>
  <c r="H37" i="13" s="1"/>
  <c r="I37" i="13"/>
  <c r="M38" i="123"/>
  <c r="M36" i="13" s="1"/>
  <c r="B46" i="13"/>
  <c r="B42" i="13"/>
  <c r="I47" i="123"/>
  <c r="I46" i="13" s="1"/>
  <c r="N44" i="123"/>
  <c r="G53" i="13"/>
  <c r="D27" i="13"/>
  <c r="F47" i="123"/>
  <c r="F45" i="13" s="1"/>
  <c r="E55" i="13"/>
  <c r="E51" i="13"/>
  <c r="N54" i="123"/>
  <c r="B31" i="13"/>
  <c r="K33" i="123"/>
  <c r="K31" i="13" s="1"/>
  <c r="G33" i="123"/>
  <c r="G32" i="13" s="1"/>
  <c r="N32" i="123"/>
  <c r="J33" i="123"/>
  <c r="N31" i="123"/>
  <c r="B25" i="13"/>
  <c r="L28" i="123"/>
  <c r="L26" i="13" s="1"/>
  <c r="K28" i="123"/>
  <c r="K26" i="13" s="1"/>
  <c r="G28" i="123"/>
  <c r="G27" i="13" s="1"/>
  <c r="C28" i="123"/>
  <c r="C27" i="13" s="1"/>
  <c r="J28" i="123"/>
  <c r="J25" i="13" s="1"/>
  <c r="F28" i="123"/>
  <c r="F27" i="13" s="1"/>
  <c r="E52" i="13"/>
  <c r="B32" i="13"/>
  <c r="M25" i="13"/>
  <c r="I28" i="123"/>
  <c r="I26" i="13" s="1"/>
  <c r="E28" i="123"/>
  <c r="E26" i="13" s="1"/>
  <c r="F31" i="13"/>
  <c r="M56" i="123"/>
  <c r="M50" i="13" s="1"/>
  <c r="I56" i="123"/>
  <c r="I55" i="13" s="1"/>
  <c r="E53" i="13"/>
  <c r="L56" i="123"/>
  <c r="H56" i="123"/>
  <c r="H53" i="13" s="1"/>
  <c r="K56" i="123"/>
  <c r="K54" i="13" s="1"/>
  <c r="C56" i="123"/>
  <c r="C50" i="13" s="1"/>
  <c r="L31" i="13"/>
  <c r="H31" i="13"/>
  <c r="D31" i="13"/>
  <c r="M26" i="13"/>
  <c r="H28" i="123"/>
  <c r="H26" i="13" s="1"/>
  <c r="E31" i="13"/>
  <c r="N26" i="123"/>
  <c r="N27" i="123"/>
  <c r="C33" i="123"/>
  <c r="C31" i="13" s="1"/>
  <c r="B10" i="123"/>
  <c r="F10" i="123"/>
  <c r="J10" i="123"/>
  <c r="E10" i="123"/>
  <c r="I10" i="123"/>
  <c r="M10" i="123"/>
  <c r="B56" i="123"/>
  <c r="B50" i="13" s="1"/>
  <c r="F56" i="123"/>
  <c r="F53" i="13" s="1"/>
  <c r="J56" i="123"/>
  <c r="J54" i="13" s="1"/>
  <c r="I67" i="123" l="1"/>
  <c r="I68" i="123" s="1"/>
  <c r="J67" i="123"/>
  <c r="J68" i="123" s="1"/>
  <c r="M8" i="13"/>
  <c r="M67" i="123"/>
  <c r="M68" i="123" s="1"/>
  <c r="F67" i="123"/>
  <c r="F68" i="123" s="1"/>
  <c r="C7" i="13"/>
  <c r="C67" i="123"/>
  <c r="C68" i="123" s="1"/>
  <c r="H9" i="13"/>
  <c r="H67" i="123"/>
  <c r="H68" i="123" s="1"/>
  <c r="E9" i="13"/>
  <c r="E67" i="123"/>
  <c r="E68" i="123" s="1"/>
  <c r="K67" i="123"/>
  <c r="K68" i="123" s="1"/>
  <c r="B9" i="13"/>
  <c r="B67" i="123"/>
  <c r="B68" i="123" s="1"/>
  <c r="G67" i="123"/>
  <c r="G68" i="123" s="1"/>
  <c r="L8" i="13"/>
  <c r="L67" i="123"/>
  <c r="L68" i="123" s="1"/>
  <c r="D67" i="123"/>
  <c r="D68" i="123" s="1"/>
  <c r="G13" i="13"/>
  <c r="K13" i="13"/>
  <c r="L44" i="13"/>
  <c r="F26" i="13"/>
  <c r="M41" i="13"/>
  <c r="F25" i="13"/>
  <c r="I53" i="13"/>
  <c r="L13" i="13"/>
  <c r="L14" i="13"/>
  <c r="E41" i="13"/>
  <c r="E45" i="13"/>
  <c r="N16" i="123"/>
  <c r="N13" i="13" s="1"/>
  <c r="E44" i="13"/>
  <c r="E43" i="13"/>
  <c r="G26" i="13"/>
  <c r="I21" i="13"/>
  <c r="F21" i="13"/>
  <c r="J42" i="13"/>
  <c r="E37" i="13"/>
  <c r="D52" i="13"/>
  <c r="F36" i="13"/>
  <c r="M37" i="13"/>
  <c r="H36" i="13"/>
  <c r="D54" i="13"/>
  <c r="L21" i="13"/>
  <c r="M21" i="13"/>
  <c r="D55" i="13"/>
  <c r="F13" i="13"/>
  <c r="G14" i="13"/>
  <c r="M20" i="13"/>
  <c r="F54" i="13"/>
  <c r="I52" i="13"/>
  <c r="C43" i="13"/>
  <c r="F15" i="13"/>
  <c r="I45" i="13"/>
  <c r="I54" i="13"/>
  <c r="D13" i="13"/>
  <c r="M53" i="13"/>
  <c r="I41" i="13"/>
  <c r="H46" i="13"/>
  <c r="D41" i="13"/>
  <c r="I51" i="13"/>
  <c r="F19" i="13"/>
  <c r="H43" i="13"/>
  <c r="M44" i="13"/>
  <c r="H7" i="13"/>
  <c r="D20" i="13"/>
  <c r="D19" i="13"/>
  <c r="E25" i="13"/>
  <c r="C26" i="13"/>
  <c r="D44" i="13"/>
  <c r="M45" i="13"/>
  <c r="C20" i="13"/>
  <c r="L9" i="13"/>
  <c r="E42" i="13"/>
  <c r="J21" i="13"/>
  <c r="F52" i="13"/>
  <c r="L7" i="13"/>
  <c r="G31" i="13"/>
  <c r="J55" i="13"/>
  <c r="I44" i="13"/>
  <c r="N56" i="123"/>
  <c r="N55" i="13" s="1"/>
  <c r="I43" i="13"/>
  <c r="L46" i="13"/>
  <c r="J36" i="13"/>
  <c r="I42" i="13"/>
  <c r="L45" i="13"/>
  <c r="K53" i="13"/>
  <c r="J50" i="13"/>
  <c r="B52" i="13"/>
  <c r="E8" i="13"/>
  <c r="B51" i="13"/>
  <c r="D43" i="13"/>
  <c r="L43" i="13"/>
  <c r="C19" i="13"/>
  <c r="L20" i="13"/>
  <c r="D42" i="13"/>
  <c r="F44" i="13"/>
  <c r="L41" i="13"/>
  <c r="C9" i="13"/>
  <c r="J20" i="13"/>
  <c r="F41" i="13"/>
  <c r="K32" i="13"/>
  <c r="B54" i="13"/>
  <c r="I50" i="13"/>
  <c r="D46" i="13"/>
  <c r="B53" i="13"/>
  <c r="M46" i="13"/>
  <c r="N21" i="13"/>
  <c r="K14" i="13"/>
  <c r="L51" i="13"/>
  <c r="L53" i="13"/>
  <c r="L54" i="13"/>
  <c r="L55" i="13"/>
  <c r="J31" i="13"/>
  <c r="J32" i="13"/>
  <c r="L52" i="13"/>
  <c r="B20" i="13"/>
  <c r="B19" i="13"/>
  <c r="J8" i="13"/>
  <c r="F8" i="13"/>
  <c r="F7" i="13"/>
  <c r="F9" i="13"/>
  <c r="C54" i="13"/>
  <c r="C53" i="13"/>
  <c r="M54" i="13"/>
  <c r="M51" i="13"/>
  <c r="M52" i="13"/>
  <c r="J26" i="13"/>
  <c r="J27" i="13"/>
  <c r="M55" i="13"/>
  <c r="J9" i="13"/>
  <c r="J51" i="13"/>
  <c r="G42" i="13"/>
  <c r="G43" i="13"/>
  <c r="G46" i="13"/>
  <c r="K36" i="13"/>
  <c r="C51" i="13"/>
  <c r="C55" i="13"/>
  <c r="C45" i="13"/>
  <c r="G37" i="13"/>
  <c r="N38" i="123"/>
  <c r="N37" i="13" s="1"/>
  <c r="B21" i="13"/>
  <c r="F43" i="13"/>
  <c r="H45" i="13"/>
  <c r="K21" i="13"/>
  <c r="K19" i="13"/>
  <c r="K25" i="13"/>
  <c r="K27" i="13"/>
  <c r="K45" i="13"/>
  <c r="K44" i="13"/>
  <c r="N28" i="123"/>
  <c r="N25" i="13" s="1"/>
  <c r="C32" i="13"/>
  <c r="B7" i="13"/>
  <c r="I27" i="13"/>
  <c r="I25" i="13"/>
  <c r="L50" i="13"/>
  <c r="B8" i="13"/>
  <c r="E27" i="13"/>
  <c r="C52" i="13"/>
  <c r="K42" i="13"/>
  <c r="K46" i="13"/>
  <c r="L25" i="13"/>
  <c r="G41" i="13"/>
  <c r="G45" i="13"/>
  <c r="C37" i="13"/>
  <c r="C36" i="13"/>
  <c r="G9" i="13"/>
  <c r="G8" i="13"/>
  <c r="H8" i="13"/>
  <c r="F42" i="13"/>
  <c r="H15" i="13"/>
  <c r="H13" i="13"/>
  <c r="H14" i="13"/>
  <c r="J45" i="13"/>
  <c r="J43" i="13"/>
  <c r="J41" i="13"/>
  <c r="J46" i="13"/>
  <c r="C44" i="13"/>
  <c r="C41" i="13"/>
  <c r="M7" i="13"/>
  <c r="M9" i="13"/>
  <c r="H27" i="13"/>
  <c r="H25" i="13"/>
  <c r="I7" i="13"/>
  <c r="I9" i="13"/>
  <c r="K51" i="13"/>
  <c r="K52" i="13"/>
  <c r="K50" i="13"/>
  <c r="F51" i="13"/>
  <c r="F50" i="13"/>
  <c r="N33" i="123"/>
  <c r="N31" i="13" s="1"/>
  <c r="L27" i="13"/>
  <c r="J52" i="13"/>
  <c r="H44" i="13"/>
  <c r="K20" i="13"/>
  <c r="I8" i="13"/>
  <c r="C25" i="13"/>
  <c r="F55" i="13"/>
  <c r="C42" i="13"/>
  <c r="B13" i="13"/>
  <c r="B14" i="13"/>
  <c r="K55" i="13"/>
  <c r="K41" i="13"/>
  <c r="J7" i="13"/>
  <c r="J53" i="13"/>
  <c r="G7" i="13"/>
  <c r="F46" i="13"/>
  <c r="D15" i="13"/>
  <c r="H41" i="13"/>
  <c r="G44" i="13"/>
  <c r="E7" i="13"/>
  <c r="D51" i="13"/>
  <c r="D53" i="13"/>
  <c r="N47" i="123"/>
  <c r="N46" i="13" s="1"/>
  <c r="K9" i="13"/>
  <c r="N10" i="123"/>
  <c r="H54" i="13"/>
  <c r="H52" i="13"/>
  <c r="H50" i="13"/>
  <c r="G25" i="13"/>
  <c r="B55" i="13"/>
  <c r="M43" i="13"/>
  <c r="N20" i="13"/>
  <c r="I20" i="13"/>
  <c r="K8" i="13"/>
  <c r="H51" i="13"/>
  <c r="H55" i="13"/>
  <c r="K7" i="13"/>
  <c r="N67" i="123" l="1"/>
  <c r="N14" i="13"/>
  <c r="N43" i="13"/>
  <c r="N15" i="13"/>
  <c r="N51" i="13"/>
  <c r="N54" i="13"/>
  <c r="N53" i="13"/>
  <c r="N52" i="13"/>
  <c r="N44" i="13"/>
  <c r="N36" i="13"/>
  <c r="N50" i="13"/>
  <c r="N42" i="13"/>
  <c r="N32" i="13"/>
  <c r="N45" i="13"/>
  <c r="N41" i="13"/>
  <c r="N9" i="13"/>
  <c r="N7" i="13"/>
  <c r="N26" i="13"/>
  <c r="N8" i="13"/>
  <c r="N27" i="13"/>
  <c r="P18" i="103" l="1"/>
  <c r="J18" i="103"/>
  <c r="M18" i="103"/>
  <c r="I9" i="114" l="1"/>
  <c r="H9" i="114"/>
  <c r="E9" i="114"/>
  <c r="I8" i="112" l="1"/>
  <c r="B2" i="111"/>
  <c r="P7" i="102"/>
  <c r="E25" i="111" l="1"/>
  <c r="E36" i="111" l="1"/>
  <c r="H22" i="114" l="1"/>
  <c r="H18" i="114"/>
  <c r="H19" i="114"/>
  <c r="H21" i="114"/>
  <c r="H12" i="114"/>
  <c r="H20" i="114"/>
  <c r="H13" i="114" l="1"/>
  <c r="H30" i="114" s="1"/>
  <c r="D30" i="114"/>
  <c r="H11" i="114"/>
  <c r="D29" i="114"/>
  <c r="D25" i="114"/>
  <c r="H17" i="114"/>
  <c r="H34" i="114" s="1"/>
  <c r="D34" i="114"/>
  <c r="H16" i="114"/>
  <c r="H33" i="114" s="1"/>
  <c r="D33" i="114"/>
  <c r="H24" i="114"/>
  <c r="H36" i="114" s="1"/>
  <c r="D36" i="114"/>
  <c r="H15" i="114"/>
  <c r="H32" i="114" s="1"/>
  <c r="D32" i="114"/>
  <c r="H14" i="114"/>
  <c r="H31" i="114" s="1"/>
  <c r="D31" i="114"/>
  <c r="D37" i="114" l="1"/>
  <c r="H29" i="114"/>
  <c r="H37" i="114" s="1"/>
  <c r="H25" i="114"/>
  <c r="P10" i="10"/>
  <c r="D33" i="103" l="1"/>
  <c r="D28" i="103"/>
  <c r="D22" i="103"/>
  <c r="D20" i="103"/>
  <c r="I9" i="104"/>
  <c r="H9" i="104"/>
  <c r="E9" i="104"/>
  <c r="G25" i="103"/>
  <c r="J8" i="102"/>
  <c r="G8" i="102"/>
  <c r="J7" i="102"/>
  <c r="S28" i="103" l="1"/>
  <c r="D28" i="147" s="1"/>
  <c r="J28" i="103"/>
  <c r="M28" i="103"/>
  <c r="P28" i="103"/>
  <c r="S20" i="103"/>
  <c r="D20" i="147" s="1"/>
  <c r="J20" i="103"/>
  <c r="P20" i="103"/>
  <c r="M20" i="103"/>
  <c r="M22" i="103"/>
  <c r="S22" i="103"/>
  <c r="D22" i="147" s="1"/>
  <c r="J22" i="103"/>
  <c r="P22" i="103"/>
  <c r="M31" i="103"/>
  <c r="N31" i="103" s="1"/>
  <c r="P31" i="103"/>
  <c r="Q31" i="103" s="1"/>
  <c r="J31" i="103"/>
  <c r="K31" i="103" s="1"/>
  <c r="M12" i="103"/>
  <c r="P12" i="103"/>
  <c r="J12" i="103"/>
  <c r="P33" i="103"/>
  <c r="G33" i="103"/>
  <c r="J33" i="103"/>
  <c r="S33" i="103"/>
  <c r="D33" i="147" s="1"/>
  <c r="M33" i="103"/>
  <c r="G20" i="103"/>
  <c r="S31" i="103"/>
  <c r="D31" i="147" s="1"/>
  <c r="G31" i="103"/>
  <c r="H31" i="103" s="1"/>
  <c r="G27" i="103"/>
  <c r="E12" i="103"/>
  <c r="E13" i="103" s="1"/>
  <c r="G28" i="103"/>
  <c r="D13" i="103"/>
  <c r="D29" i="103"/>
  <c r="G22" i="103"/>
  <c r="G26" i="103"/>
  <c r="G33" i="147" l="1"/>
  <c r="G22" i="147"/>
  <c r="G31" i="147"/>
  <c r="H31" i="147" s="1"/>
  <c r="E31" i="147"/>
  <c r="G20" i="147"/>
  <c r="G28" i="147"/>
  <c r="T31" i="103"/>
  <c r="P13" i="103"/>
  <c r="Q12" i="103"/>
  <c r="Q13" i="103" s="1"/>
  <c r="M29" i="103"/>
  <c r="N29" i="103" s="1"/>
  <c r="N12" i="103"/>
  <c r="N13" i="103" s="1"/>
  <c r="M13" i="103"/>
  <c r="P29" i="103"/>
  <c r="Q29" i="103" s="1"/>
  <c r="K12" i="103"/>
  <c r="K13" i="103" s="1"/>
  <c r="J13" i="103"/>
  <c r="E29" i="103"/>
  <c r="G14" i="24" l="1"/>
  <c r="G11" i="24"/>
  <c r="G13" i="24"/>
  <c r="G15" i="24"/>
  <c r="G10" i="24"/>
  <c r="G12" i="24"/>
  <c r="G16" i="24"/>
  <c r="D34" i="103" l="1"/>
  <c r="P34" i="103" l="1"/>
  <c r="P35" i="103" s="1"/>
  <c r="J34" i="103"/>
  <c r="J35" i="103" s="1"/>
  <c r="S34" i="103"/>
  <c r="D34" i="147" s="1"/>
  <c r="M34" i="103"/>
  <c r="M35" i="103" s="1"/>
  <c r="D35" i="103"/>
  <c r="G34" i="103"/>
  <c r="G34" i="147" l="1"/>
  <c r="G35" i="147" s="1"/>
  <c r="D35" i="147"/>
  <c r="E35" i="147" s="1"/>
  <c r="N35" i="103"/>
  <c r="N36" i="103" s="1"/>
  <c r="N38" i="103" s="1"/>
  <c r="M36" i="103"/>
  <c r="K35" i="103"/>
  <c r="Q35" i="103"/>
  <c r="Q36" i="103" s="1"/>
  <c r="Q38" i="103" s="1"/>
  <c r="P36" i="103"/>
  <c r="E35" i="103"/>
  <c r="F36" i="134" l="1"/>
  <c r="F15" i="134"/>
  <c r="F19" i="134"/>
  <c r="F23" i="134"/>
  <c r="F27" i="134"/>
  <c r="F31" i="134"/>
  <c r="F35" i="134"/>
  <c r="F12" i="134"/>
  <c r="F16" i="134"/>
  <c r="F20" i="134"/>
  <c r="F24" i="134"/>
  <c r="F28" i="134"/>
  <c r="F32" i="134"/>
  <c r="F11" i="134"/>
  <c r="F13" i="134"/>
  <c r="F17" i="134"/>
  <c r="F21" i="134"/>
  <c r="F25" i="134"/>
  <c r="F29" i="134"/>
  <c r="F33" i="134"/>
  <c r="F14" i="134"/>
  <c r="F18" i="134"/>
  <c r="F22" i="134"/>
  <c r="F26" i="134"/>
  <c r="F30" i="134"/>
  <c r="F34" i="134"/>
  <c r="H35" i="147"/>
  <c r="E36" i="103"/>
  <c r="E38" i="103" s="1"/>
  <c r="N39" i="103" l="1"/>
  <c r="N40" i="103" s="1"/>
  <c r="Q39" i="103"/>
  <c r="Q40" i="103" s="1"/>
  <c r="C6" i="15"/>
  <c r="D6" i="15" s="1"/>
  <c r="E6" i="15" s="1"/>
  <c r="F6" i="15" s="1"/>
  <c r="G6" i="15" s="1"/>
  <c r="H6" i="15" s="1"/>
  <c r="I6" i="15" s="1"/>
  <c r="J6" i="15" s="1"/>
  <c r="K6" i="15" s="1"/>
  <c r="L6" i="15" s="1"/>
  <c r="M6" i="15" s="1"/>
  <c r="N26" i="15"/>
  <c r="N38" i="13" l="1"/>
  <c r="C56" i="13"/>
  <c r="D56" i="13"/>
  <c r="E56" i="13"/>
  <c r="F56" i="13"/>
  <c r="G56" i="13"/>
  <c r="H56" i="13"/>
  <c r="I56" i="13"/>
  <c r="J56" i="13"/>
  <c r="K56" i="13"/>
  <c r="L56" i="13"/>
  <c r="M56" i="13"/>
  <c r="N56" i="13"/>
  <c r="B56" i="13"/>
  <c r="E7" i="10" l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C5" i="13" l="1"/>
  <c r="D5" i="13" s="1"/>
  <c r="E5" i="13" s="1"/>
  <c r="F5" i="13" s="1"/>
  <c r="G5" i="13" s="1"/>
  <c r="H5" i="13" s="1"/>
  <c r="I5" i="13" s="1"/>
  <c r="J5" i="13" s="1"/>
  <c r="K5" i="13" s="1"/>
  <c r="L5" i="13" s="1"/>
  <c r="M5" i="13" s="1"/>
  <c r="N38" i="15"/>
  <c r="N37" i="15"/>
  <c r="N36" i="15"/>
  <c r="N35" i="15"/>
  <c r="N34" i="15"/>
  <c r="N33" i="15"/>
  <c r="N30" i="15"/>
  <c r="N32" i="15"/>
  <c r="N31" i="15"/>
  <c r="N29" i="15"/>
  <c r="N28" i="15"/>
  <c r="N27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N19" i="15"/>
  <c r="N18" i="15"/>
  <c r="N17" i="15"/>
  <c r="N16" i="15"/>
  <c r="N15" i="15"/>
  <c r="N14" i="15"/>
  <c r="N11" i="15"/>
  <c r="N12" i="15"/>
  <c r="N10" i="15"/>
  <c r="N9" i="15"/>
  <c r="N8" i="15"/>
  <c r="N7" i="15"/>
  <c r="N40" i="15" l="1"/>
  <c r="D46" i="48"/>
  <c r="D21" i="48"/>
  <c r="D20" i="60"/>
  <c r="H20" i="60" s="1"/>
  <c r="D25" i="60"/>
  <c r="H25" i="60" s="1"/>
  <c r="D35" i="60"/>
  <c r="H35" i="60" s="1"/>
  <c r="D38" i="48"/>
  <c r="D30" i="60"/>
  <c r="H30" i="60" s="1"/>
  <c r="N13" i="15"/>
  <c r="N21" i="15" s="1"/>
  <c r="G38" i="48" l="1"/>
  <c r="G25" i="60"/>
  <c r="I25" i="60" s="1"/>
  <c r="J25" i="60" s="1"/>
  <c r="G35" i="60"/>
  <c r="I35" i="60" s="1"/>
  <c r="J35" i="60" s="1"/>
  <c r="G20" i="60"/>
  <c r="I20" i="60" s="1"/>
  <c r="J20" i="60" s="1"/>
  <c r="G30" i="60"/>
  <c r="I30" i="60" s="1"/>
  <c r="J30" i="60" s="1"/>
  <c r="G21" i="48"/>
  <c r="G46" i="48"/>
  <c r="D40" i="60"/>
  <c r="D30" i="48"/>
  <c r="D54" i="48" l="1"/>
  <c r="G30" i="48"/>
  <c r="P9" i="10" l="1"/>
  <c r="C10" i="148" s="1"/>
  <c r="F10" i="148" l="1"/>
  <c r="N12" i="111" s="1"/>
  <c r="C10" i="145"/>
  <c r="C10" i="146"/>
  <c r="C10" i="140"/>
  <c r="C10" i="135"/>
  <c r="D12" i="111"/>
  <c r="D13" i="60"/>
  <c r="C10" i="25"/>
  <c r="C11" i="24"/>
  <c r="C10" i="21"/>
  <c r="G10" i="21" s="1"/>
  <c r="G10" i="140" l="1"/>
  <c r="F10" i="140"/>
  <c r="M12" i="149" s="1"/>
  <c r="G10" i="146"/>
  <c r="F10" i="146"/>
  <c r="Q12" i="149" s="1"/>
  <c r="G10" i="145"/>
  <c r="P12" i="149" s="1"/>
  <c r="F10" i="145"/>
  <c r="D12" i="104"/>
  <c r="H12" i="104" s="1"/>
  <c r="G10" i="25"/>
  <c r="F10" i="25"/>
  <c r="I12" i="149" s="1"/>
  <c r="L11" i="24"/>
  <c r="G12" i="149" s="1"/>
  <c r="G13" i="60"/>
  <c r="F12" i="149" s="1"/>
  <c r="F10" i="21"/>
  <c r="L12" i="149" s="1"/>
  <c r="H10" i="146" l="1"/>
  <c r="H10" i="145"/>
  <c r="O12" i="102" s="1"/>
  <c r="H10" i="140"/>
  <c r="P12" i="111"/>
  <c r="M12" i="111"/>
  <c r="Q12" i="111"/>
  <c r="L12" i="111"/>
  <c r="F12" i="111"/>
  <c r="I12" i="111"/>
  <c r="G12" i="111"/>
  <c r="H10" i="21"/>
  <c r="H10" i="25"/>
  <c r="I10" i="145" l="1"/>
  <c r="I10" i="140"/>
  <c r="I10" i="146"/>
  <c r="I10" i="25"/>
  <c r="I10" i="21"/>
  <c r="H33" i="13" l="1"/>
  <c r="D33" i="13"/>
  <c r="L38" i="13"/>
  <c r="K38" i="13"/>
  <c r="J38" i="13"/>
  <c r="I38" i="13"/>
  <c r="F38" i="13"/>
  <c r="D38" i="13"/>
  <c r="C38" i="13"/>
  <c r="L28" i="13"/>
  <c r="I28" i="13"/>
  <c r="H28" i="13"/>
  <c r="G28" i="13"/>
  <c r="D28" i="13"/>
  <c r="D47" i="13" l="1"/>
  <c r="H38" i="13"/>
  <c r="F16" i="13"/>
  <c r="M38" i="13"/>
  <c r="F10" i="13"/>
  <c r="J16" i="13"/>
  <c r="J10" i="13"/>
  <c r="H16" i="13"/>
  <c r="E16" i="13"/>
  <c r="K10" i="13"/>
  <c r="D22" i="13"/>
  <c r="H22" i="13"/>
  <c r="L22" i="13"/>
  <c r="E22" i="13"/>
  <c r="G33" i="13"/>
  <c r="I16" i="13"/>
  <c r="M16" i="13"/>
  <c r="E28" i="13"/>
  <c r="M28" i="13"/>
  <c r="C10" i="13"/>
  <c r="G10" i="13"/>
  <c r="L33" i="13"/>
  <c r="D16" i="13"/>
  <c r="L16" i="13"/>
  <c r="C16" i="13"/>
  <c r="G16" i="13"/>
  <c r="K16" i="13"/>
  <c r="D10" i="13"/>
  <c r="H10" i="13"/>
  <c r="L10" i="13"/>
  <c r="E10" i="13"/>
  <c r="I10" i="13"/>
  <c r="M10" i="13"/>
  <c r="I22" i="13"/>
  <c r="M22" i="13"/>
  <c r="F22" i="13"/>
  <c r="J22" i="13"/>
  <c r="E33" i="13"/>
  <c r="I33" i="13"/>
  <c r="M33" i="13"/>
  <c r="C47" i="13"/>
  <c r="G47" i="13"/>
  <c r="B10" i="13"/>
  <c r="H47" i="13" l="1"/>
  <c r="B22" i="13"/>
  <c r="C33" i="13"/>
  <c r="J33" i="13"/>
  <c r="E38" i="13"/>
  <c r="J28" i="13"/>
  <c r="G38" i="13"/>
  <c r="N22" i="13"/>
  <c r="F33" i="13"/>
  <c r="K28" i="13"/>
  <c r="F28" i="13"/>
  <c r="M47" i="13"/>
  <c r="K33" i="13"/>
  <c r="K22" i="13"/>
  <c r="C28" i="13"/>
  <c r="J47" i="13"/>
  <c r="I47" i="13"/>
  <c r="B47" i="13"/>
  <c r="B38" i="13"/>
  <c r="G22" i="13"/>
  <c r="F47" i="13"/>
  <c r="N16" i="13"/>
  <c r="B28" i="13"/>
  <c r="E47" i="13"/>
  <c r="N28" i="13"/>
  <c r="L47" i="13"/>
  <c r="C22" i="13"/>
  <c r="N33" i="13"/>
  <c r="B33" i="13"/>
  <c r="B16" i="13"/>
  <c r="K47" i="13"/>
  <c r="N47" i="13" l="1"/>
  <c r="N10" i="13"/>
  <c r="O42" i="10" l="1"/>
  <c r="N42" i="10"/>
  <c r="M42" i="10"/>
  <c r="L42" i="10"/>
  <c r="K42" i="10"/>
  <c r="J42" i="10"/>
  <c r="I42" i="10"/>
  <c r="H42" i="10"/>
  <c r="G42" i="10"/>
  <c r="F42" i="10"/>
  <c r="E42" i="10"/>
  <c r="O30" i="10"/>
  <c r="N30" i="10"/>
  <c r="M30" i="10"/>
  <c r="L30" i="10"/>
  <c r="K30" i="10"/>
  <c r="J30" i="10"/>
  <c r="I30" i="10"/>
  <c r="H30" i="10"/>
  <c r="G30" i="10"/>
  <c r="D30" i="10"/>
  <c r="O40" i="10"/>
  <c r="N40" i="10"/>
  <c r="M40" i="10"/>
  <c r="L40" i="10"/>
  <c r="K40" i="10"/>
  <c r="J40" i="10"/>
  <c r="I40" i="10"/>
  <c r="H40" i="10"/>
  <c r="G40" i="10"/>
  <c r="F40" i="10"/>
  <c r="E40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N38" i="10"/>
  <c r="L38" i="10"/>
  <c r="J38" i="10"/>
  <c r="H38" i="10"/>
  <c r="F38" i="10"/>
  <c r="D38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H26" i="10" l="1"/>
  <c r="H35" i="10"/>
  <c r="E24" i="10"/>
  <c r="E35" i="10"/>
  <c r="M24" i="10"/>
  <c r="M35" i="10"/>
  <c r="E27" i="10"/>
  <c r="E38" i="10"/>
  <c r="M27" i="10"/>
  <c r="M38" i="10"/>
  <c r="F26" i="10"/>
  <c r="F35" i="10"/>
  <c r="J26" i="10"/>
  <c r="J35" i="10"/>
  <c r="N26" i="10"/>
  <c r="N35" i="10"/>
  <c r="D26" i="10"/>
  <c r="D35" i="10"/>
  <c r="L26" i="10"/>
  <c r="L35" i="10"/>
  <c r="I24" i="10"/>
  <c r="I35" i="10"/>
  <c r="I27" i="10"/>
  <c r="I38" i="10"/>
  <c r="G26" i="10"/>
  <c r="G35" i="10"/>
  <c r="K26" i="10"/>
  <c r="K35" i="10"/>
  <c r="O26" i="10"/>
  <c r="O35" i="10"/>
  <c r="G27" i="10"/>
  <c r="G38" i="10"/>
  <c r="K27" i="10"/>
  <c r="K38" i="10"/>
  <c r="O27" i="10"/>
  <c r="O38" i="10"/>
  <c r="F30" i="10"/>
  <c r="E30" i="10"/>
  <c r="D24" i="10"/>
  <c r="H24" i="10"/>
  <c r="L24" i="10"/>
  <c r="P12" i="10"/>
  <c r="C11" i="148" s="1"/>
  <c r="P13" i="10"/>
  <c r="C12" i="148" s="1"/>
  <c r="P14" i="10"/>
  <c r="C13" i="148" s="1"/>
  <c r="P15" i="10"/>
  <c r="C14" i="148" s="1"/>
  <c r="H27" i="10"/>
  <c r="L27" i="10"/>
  <c r="P16" i="10"/>
  <c r="C15" i="148" s="1"/>
  <c r="P18" i="10"/>
  <c r="C17" i="148" s="1"/>
  <c r="P19" i="10"/>
  <c r="C18" i="148" s="1"/>
  <c r="P20" i="10"/>
  <c r="C19" i="148" s="1"/>
  <c r="P21" i="10"/>
  <c r="C20" i="148" s="1"/>
  <c r="P23" i="10"/>
  <c r="C22" i="148" s="1"/>
  <c r="F24" i="10"/>
  <c r="J24" i="10"/>
  <c r="N24" i="10"/>
  <c r="F27" i="10"/>
  <c r="J27" i="10"/>
  <c r="N27" i="10"/>
  <c r="N28" i="10" s="1"/>
  <c r="N31" i="10" s="1"/>
  <c r="P17" i="10"/>
  <c r="E26" i="10"/>
  <c r="I26" i="10"/>
  <c r="M26" i="10"/>
  <c r="D27" i="10"/>
  <c r="G24" i="10"/>
  <c r="K24" i="10"/>
  <c r="O24" i="10"/>
  <c r="P11" i="10"/>
  <c r="C9" i="148" s="1"/>
  <c r="P41" i="10" l="1"/>
  <c r="C16" i="148"/>
  <c r="F15" i="148"/>
  <c r="N17" i="111" s="1"/>
  <c r="F19" i="148"/>
  <c r="N21" i="111" s="1"/>
  <c r="F20" i="148"/>
  <c r="F18" i="148"/>
  <c r="N20" i="111" s="1"/>
  <c r="F11" i="148"/>
  <c r="N13" i="111" s="1"/>
  <c r="F9" i="148"/>
  <c r="N11" i="111" s="1"/>
  <c r="F13" i="148"/>
  <c r="N15" i="111" s="1"/>
  <c r="F12" i="148"/>
  <c r="N14" i="111" s="1"/>
  <c r="F22" i="148"/>
  <c r="N24" i="111" s="1"/>
  <c r="N35" i="111" s="1"/>
  <c r="F17" i="148"/>
  <c r="F14" i="148"/>
  <c r="N16" i="111" s="1"/>
  <c r="N68" i="123"/>
  <c r="D43" i="10"/>
  <c r="C9" i="146"/>
  <c r="C9" i="135"/>
  <c r="C9" i="140"/>
  <c r="C9" i="145"/>
  <c r="D9" i="143"/>
  <c r="C25" i="146"/>
  <c r="C25" i="145"/>
  <c r="C25" i="140"/>
  <c r="C25" i="135"/>
  <c r="D12" i="143"/>
  <c r="C21" i="145"/>
  <c r="C17" i="145"/>
  <c r="C19" i="146"/>
  <c r="C22" i="146"/>
  <c r="C20" i="146"/>
  <c r="C18" i="146"/>
  <c r="C19" i="145"/>
  <c r="C21" i="146"/>
  <c r="C17" i="146"/>
  <c r="C22" i="145"/>
  <c r="C20" i="145"/>
  <c r="C18" i="145"/>
  <c r="C21" i="135"/>
  <c r="G21" i="135" s="1"/>
  <c r="C17" i="135"/>
  <c r="C21" i="140"/>
  <c r="D30" i="143"/>
  <c r="C18" i="135"/>
  <c r="G18" i="135" s="1"/>
  <c r="C20" i="135"/>
  <c r="G20" i="135" s="1"/>
  <c r="C18" i="140"/>
  <c r="C22" i="140"/>
  <c r="D29" i="143"/>
  <c r="C22" i="135"/>
  <c r="G22" i="135" s="1"/>
  <c r="D27" i="143"/>
  <c r="C19" i="135"/>
  <c r="G19" i="135" s="1"/>
  <c r="C19" i="140"/>
  <c r="C17" i="140"/>
  <c r="D32" i="143"/>
  <c r="D28" i="143"/>
  <c r="C20" i="140"/>
  <c r="D31" i="143"/>
  <c r="C12" i="146"/>
  <c r="C12" i="145"/>
  <c r="C12" i="135"/>
  <c r="C12" i="140"/>
  <c r="D14" i="143"/>
  <c r="C36" i="146"/>
  <c r="C35" i="145"/>
  <c r="C32" i="145"/>
  <c r="C34" i="146"/>
  <c r="C36" i="145"/>
  <c r="C33" i="146"/>
  <c r="C31" i="146"/>
  <c r="C34" i="145"/>
  <c r="C35" i="146"/>
  <c r="C32" i="146"/>
  <c r="C33" i="145"/>
  <c r="C31" i="145"/>
  <c r="C33" i="135"/>
  <c r="G33" i="135" s="1"/>
  <c r="C33" i="140"/>
  <c r="C31" i="140"/>
  <c r="D44" i="143"/>
  <c r="C36" i="135"/>
  <c r="G36" i="135" s="1"/>
  <c r="C32" i="135"/>
  <c r="G32" i="135" s="1"/>
  <c r="C34" i="140"/>
  <c r="D47" i="143"/>
  <c r="D43" i="143"/>
  <c r="C32" i="140"/>
  <c r="D45" i="143"/>
  <c r="C35" i="135"/>
  <c r="G35" i="135" s="1"/>
  <c r="C31" i="135"/>
  <c r="C35" i="140"/>
  <c r="D46" i="143"/>
  <c r="D42" i="143"/>
  <c r="C34" i="135"/>
  <c r="G34" i="135" s="1"/>
  <c r="C36" i="140"/>
  <c r="C13" i="146"/>
  <c r="C13" i="145"/>
  <c r="D18" i="143"/>
  <c r="D19" i="143"/>
  <c r="C13" i="140"/>
  <c r="D20" i="143"/>
  <c r="C13" i="135"/>
  <c r="C28" i="146"/>
  <c r="C28" i="145"/>
  <c r="C28" i="140"/>
  <c r="D24" i="143"/>
  <c r="C28" i="135"/>
  <c r="C27" i="146"/>
  <c r="C27" i="145"/>
  <c r="D37" i="143"/>
  <c r="D38" i="143"/>
  <c r="C27" i="140"/>
  <c r="D36" i="143"/>
  <c r="C27" i="135"/>
  <c r="C11" i="145"/>
  <c r="C11" i="146"/>
  <c r="D11" i="143"/>
  <c r="C11" i="135"/>
  <c r="C11" i="140"/>
  <c r="C48" i="145"/>
  <c r="C48" i="146"/>
  <c r="C48" i="135"/>
  <c r="C48" i="140"/>
  <c r="C26" i="146"/>
  <c r="C26" i="145"/>
  <c r="C26" i="135"/>
  <c r="D15" i="143"/>
  <c r="C26" i="140"/>
  <c r="C14" i="146"/>
  <c r="C14" i="145"/>
  <c r="C14" i="140"/>
  <c r="D23" i="143"/>
  <c r="C14" i="135"/>
  <c r="D18" i="111"/>
  <c r="D22" i="111"/>
  <c r="D15" i="111"/>
  <c r="D21" i="111"/>
  <c r="D20" i="111"/>
  <c r="D11" i="111"/>
  <c r="D17" i="111"/>
  <c r="D14" i="111"/>
  <c r="D13" i="111"/>
  <c r="D24" i="111"/>
  <c r="D19" i="111"/>
  <c r="D16" i="111"/>
  <c r="L28" i="10"/>
  <c r="L31" i="10" s="1"/>
  <c r="L32" i="10" s="1"/>
  <c r="C16" i="25"/>
  <c r="C20" i="25"/>
  <c r="C19" i="25"/>
  <c r="C18" i="25"/>
  <c r="C22" i="25"/>
  <c r="C17" i="25"/>
  <c r="D24" i="48"/>
  <c r="G24" i="48" s="1"/>
  <c r="D32" i="48"/>
  <c r="H32" i="48" s="1"/>
  <c r="D29" i="60"/>
  <c r="D34" i="60"/>
  <c r="D24" i="60"/>
  <c r="D19" i="60"/>
  <c r="D16" i="60"/>
  <c r="D10" i="60"/>
  <c r="D18" i="48"/>
  <c r="I28" i="10"/>
  <c r="I31" i="10" s="1"/>
  <c r="I32" i="10" s="1"/>
  <c r="P42" i="10"/>
  <c r="D34" i="48"/>
  <c r="D33" i="48"/>
  <c r="D49" i="48"/>
  <c r="D48" i="48"/>
  <c r="D42" i="48"/>
  <c r="D41" i="48"/>
  <c r="D39" i="48"/>
  <c r="D14" i="48"/>
  <c r="D13" i="48"/>
  <c r="D26" i="48"/>
  <c r="D25" i="48"/>
  <c r="D22" i="48"/>
  <c r="D10" i="48"/>
  <c r="M28" i="10"/>
  <c r="M31" i="10" s="1"/>
  <c r="M32" i="10" s="1"/>
  <c r="G43" i="10"/>
  <c r="K28" i="10"/>
  <c r="K31" i="10" s="1"/>
  <c r="K32" i="10" s="1"/>
  <c r="J28" i="10"/>
  <c r="J31" i="10" s="1"/>
  <c r="J32" i="10" s="1"/>
  <c r="H28" i="10"/>
  <c r="H31" i="10" s="1"/>
  <c r="H32" i="10" s="1"/>
  <c r="E43" i="10"/>
  <c r="P36" i="10"/>
  <c r="P30" i="10"/>
  <c r="D9" i="11"/>
  <c r="C9" i="21"/>
  <c r="G9" i="21" s="1"/>
  <c r="C10" i="24"/>
  <c r="C9" i="25"/>
  <c r="P35" i="10"/>
  <c r="E28" i="10"/>
  <c r="E31" i="10" s="1"/>
  <c r="E32" i="10" s="1"/>
  <c r="O43" i="10"/>
  <c r="K43" i="10"/>
  <c r="P40" i="10"/>
  <c r="P38" i="10"/>
  <c r="P37" i="10"/>
  <c r="F28" i="10"/>
  <c r="F31" i="10" s="1"/>
  <c r="F32" i="10" s="1"/>
  <c r="P39" i="10"/>
  <c r="O28" i="10"/>
  <c r="O31" i="10" s="1"/>
  <c r="O32" i="10" s="1"/>
  <c r="G28" i="10"/>
  <c r="G31" i="10" s="1"/>
  <c r="G32" i="10" s="1"/>
  <c r="I43" i="10"/>
  <c r="M43" i="10"/>
  <c r="F43" i="10"/>
  <c r="N43" i="10"/>
  <c r="L43" i="10"/>
  <c r="J43" i="10"/>
  <c r="H43" i="10"/>
  <c r="P27" i="10"/>
  <c r="N32" i="10"/>
  <c r="C16" i="21"/>
  <c r="G16" i="21" s="1"/>
  <c r="D12" i="11"/>
  <c r="C20" i="21"/>
  <c r="G20" i="21" s="1"/>
  <c r="D45" i="11"/>
  <c r="D44" i="11"/>
  <c r="D47" i="11"/>
  <c r="D43" i="11"/>
  <c r="D46" i="11"/>
  <c r="D42" i="11"/>
  <c r="C14" i="21"/>
  <c r="G14" i="21" s="1"/>
  <c r="C14" i="25"/>
  <c r="C15" i="24"/>
  <c r="D23" i="11"/>
  <c r="C19" i="21"/>
  <c r="G19" i="21" s="1"/>
  <c r="D24" i="11"/>
  <c r="C15" i="21"/>
  <c r="G15" i="21" s="1"/>
  <c r="C15" i="25"/>
  <c r="C16" i="24"/>
  <c r="D31" i="11"/>
  <c r="D27" i="11"/>
  <c r="D30" i="11"/>
  <c r="D29" i="11"/>
  <c r="D32" i="11"/>
  <c r="D28" i="11"/>
  <c r="C13" i="25"/>
  <c r="C13" i="21"/>
  <c r="G13" i="21" s="1"/>
  <c r="C14" i="24"/>
  <c r="D20" i="11"/>
  <c r="D19" i="11"/>
  <c r="D18" i="11"/>
  <c r="C18" i="21"/>
  <c r="G18" i="21" s="1"/>
  <c r="D38" i="11"/>
  <c r="D37" i="11"/>
  <c r="D36" i="11"/>
  <c r="C13" i="24"/>
  <c r="C12" i="21"/>
  <c r="G12" i="21" s="1"/>
  <c r="C12" i="25"/>
  <c r="D14" i="11"/>
  <c r="C22" i="21"/>
  <c r="C17" i="21"/>
  <c r="G17" i="21" s="1"/>
  <c r="D15" i="11"/>
  <c r="C11" i="25"/>
  <c r="C11" i="21"/>
  <c r="G11" i="21" s="1"/>
  <c r="C12" i="24"/>
  <c r="D11" i="11"/>
  <c r="P24" i="10"/>
  <c r="D28" i="10"/>
  <c r="D31" i="10" s="1"/>
  <c r="D32" i="10" s="1"/>
  <c r="P26" i="10"/>
  <c r="N32" i="111" l="1"/>
  <c r="N31" i="111"/>
  <c r="N22" i="111"/>
  <c r="N33" i="111" s="1"/>
  <c r="N19" i="111"/>
  <c r="N30" i="111" s="1"/>
  <c r="N28" i="111"/>
  <c r="F16" i="148"/>
  <c r="N18" i="111" s="1"/>
  <c r="C23" i="148"/>
  <c r="D18" i="104"/>
  <c r="H18" i="104" s="1"/>
  <c r="G26" i="146"/>
  <c r="F26" i="146"/>
  <c r="Q19" i="149" s="1"/>
  <c r="H38" i="143"/>
  <c r="G38" i="143"/>
  <c r="F28" i="145"/>
  <c r="G28" i="145"/>
  <c r="P21" i="149" s="1"/>
  <c r="G42" i="143"/>
  <c r="H42" i="143"/>
  <c r="F34" i="140"/>
  <c r="G34" i="140"/>
  <c r="G32" i="146"/>
  <c r="F32" i="146"/>
  <c r="H31" i="143"/>
  <c r="G31" i="143"/>
  <c r="G18" i="145"/>
  <c r="F18" i="145"/>
  <c r="G22" i="146"/>
  <c r="F22" i="146"/>
  <c r="G25" i="145"/>
  <c r="P18" i="149" s="1"/>
  <c r="F25" i="145"/>
  <c r="D20" i="104"/>
  <c r="H20" i="104" s="1"/>
  <c r="H15" i="143"/>
  <c r="G15" i="143"/>
  <c r="G13" i="145"/>
  <c r="P15" i="149" s="1"/>
  <c r="F13" i="145"/>
  <c r="G32" i="140"/>
  <c r="F32" i="140"/>
  <c r="F33" i="140"/>
  <c r="G33" i="140"/>
  <c r="G35" i="145"/>
  <c r="F35" i="145"/>
  <c r="G19" i="140"/>
  <c r="F19" i="140"/>
  <c r="G12" i="143"/>
  <c r="H12" i="143"/>
  <c r="D21" i="104"/>
  <c r="H21" i="104" s="1"/>
  <c r="G14" i="145"/>
  <c r="P16" i="149" s="1"/>
  <c r="F14" i="145"/>
  <c r="G48" i="140"/>
  <c r="F48" i="140"/>
  <c r="H11" i="143"/>
  <c r="G11" i="143"/>
  <c r="K13" i="149" s="1"/>
  <c r="F28" i="146"/>
  <c r="G28" i="146"/>
  <c r="F13" i="146"/>
  <c r="G13" i="146"/>
  <c r="G35" i="146"/>
  <c r="F35" i="146"/>
  <c r="F36" i="145"/>
  <c r="G36" i="145"/>
  <c r="G21" i="140"/>
  <c r="F21" i="140"/>
  <c r="G20" i="145"/>
  <c r="F20" i="145"/>
  <c r="G19" i="145"/>
  <c r="F19" i="145"/>
  <c r="F19" i="146"/>
  <c r="G19" i="146"/>
  <c r="F9" i="140"/>
  <c r="M11" i="149" s="1"/>
  <c r="G9" i="140"/>
  <c r="G14" i="146"/>
  <c r="F14" i="146"/>
  <c r="F11" i="140"/>
  <c r="M13" i="149" s="1"/>
  <c r="M29" i="149" s="1"/>
  <c r="G11" i="140"/>
  <c r="G11" i="146"/>
  <c r="F11" i="146"/>
  <c r="Q13" i="149" s="1"/>
  <c r="D39" i="143"/>
  <c r="G36" i="143"/>
  <c r="H36" i="143"/>
  <c r="G27" i="145"/>
  <c r="P20" i="149" s="1"/>
  <c r="F27" i="145"/>
  <c r="H24" i="143"/>
  <c r="G24" i="143"/>
  <c r="G19" i="143"/>
  <c r="H19" i="143"/>
  <c r="G36" i="140"/>
  <c r="F36" i="140"/>
  <c r="G45" i="143"/>
  <c r="H45" i="143"/>
  <c r="H47" i="143"/>
  <c r="G47" i="143"/>
  <c r="G31" i="145"/>
  <c r="F31" i="145"/>
  <c r="C37" i="145"/>
  <c r="F34" i="145"/>
  <c r="G34" i="145"/>
  <c r="F34" i="146"/>
  <c r="G34" i="146"/>
  <c r="H14" i="143"/>
  <c r="G14" i="143"/>
  <c r="G12" i="145"/>
  <c r="P14" i="149" s="1"/>
  <c r="F12" i="145"/>
  <c r="F20" i="140"/>
  <c r="G20" i="140"/>
  <c r="G27" i="143"/>
  <c r="H27" i="143"/>
  <c r="D33" i="143"/>
  <c r="F22" i="140"/>
  <c r="G22" i="140"/>
  <c r="G17" i="135"/>
  <c r="G23" i="135" s="1"/>
  <c r="O17" i="149" s="1"/>
  <c r="C23" i="135"/>
  <c r="G22" i="145"/>
  <c r="F22" i="145"/>
  <c r="G18" i="146"/>
  <c r="F18" i="146"/>
  <c r="F17" i="145"/>
  <c r="G17" i="145"/>
  <c r="C23" i="145"/>
  <c r="C49" i="145" s="1"/>
  <c r="H9" i="143"/>
  <c r="G9" i="143"/>
  <c r="K11" i="149" s="1"/>
  <c r="G14" i="140"/>
  <c r="F14" i="140"/>
  <c r="M16" i="149" s="1"/>
  <c r="M32" i="149" s="1"/>
  <c r="F48" i="146"/>
  <c r="G48" i="146"/>
  <c r="H20" i="143"/>
  <c r="G20" i="143"/>
  <c r="G31" i="135"/>
  <c r="G37" i="135" s="1"/>
  <c r="O22" i="149" s="1"/>
  <c r="C37" i="135"/>
  <c r="D48" i="143"/>
  <c r="G44" i="143"/>
  <c r="H44" i="143"/>
  <c r="G33" i="146"/>
  <c r="F33" i="146"/>
  <c r="G32" i="143"/>
  <c r="H32" i="143"/>
  <c r="H29" i="143"/>
  <c r="G29" i="143"/>
  <c r="G21" i="146"/>
  <c r="F21" i="146"/>
  <c r="G9" i="145"/>
  <c r="P11" i="149" s="1"/>
  <c r="F9" i="145"/>
  <c r="F48" i="145"/>
  <c r="G48" i="145"/>
  <c r="H37" i="143"/>
  <c r="G37" i="143"/>
  <c r="G13" i="140"/>
  <c r="F13" i="140"/>
  <c r="M15" i="149" s="1"/>
  <c r="M31" i="149" s="1"/>
  <c r="H46" i="143"/>
  <c r="G46" i="143"/>
  <c r="H43" i="143"/>
  <c r="G43" i="143"/>
  <c r="G36" i="146"/>
  <c r="F36" i="146"/>
  <c r="F25" i="146"/>
  <c r="G25" i="146"/>
  <c r="D19" i="104"/>
  <c r="H19" i="104" s="1"/>
  <c r="D22" i="104"/>
  <c r="H22" i="104" s="1"/>
  <c r="H23" i="143"/>
  <c r="G23" i="143"/>
  <c r="G26" i="140"/>
  <c r="F26" i="140"/>
  <c r="F26" i="145"/>
  <c r="G26" i="145"/>
  <c r="P19" i="149" s="1"/>
  <c r="G48" i="135"/>
  <c r="F48" i="135"/>
  <c r="F11" i="145"/>
  <c r="G11" i="145"/>
  <c r="P13" i="149" s="1"/>
  <c r="F27" i="140"/>
  <c r="G27" i="140"/>
  <c r="G27" i="146"/>
  <c r="F27" i="146"/>
  <c r="Q20" i="149" s="1"/>
  <c r="G28" i="140"/>
  <c r="F28" i="140"/>
  <c r="D21" i="143"/>
  <c r="H18" i="143"/>
  <c r="G18" i="143"/>
  <c r="G35" i="140"/>
  <c r="F35" i="140"/>
  <c r="G31" i="140"/>
  <c r="F31" i="140"/>
  <c r="C37" i="140"/>
  <c r="G33" i="145"/>
  <c r="F33" i="145"/>
  <c r="C37" i="146"/>
  <c r="G31" i="146"/>
  <c r="F31" i="146"/>
  <c r="G32" i="145"/>
  <c r="F32" i="145"/>
  <c r="F12" i="140"/>
  <c r="M14" i="149" s="1"/>
  <c r="M30" i="149" s="1"/>
  <c r="G12" i="140"/>
  <c r="G12" i="146"/>
  <c r="F12" i="146"/>
  <c r="Q14" i="149" s="1"/>
  <c r="Q30" i="149" s="1"/>
  <c r="H28" i="143"/>
  <c r="G28" i="143"/>
  <c r="F17" i="140"/>
  <c r="C23" i="140"/>
  <c r="G17" i="140"/>
  <c r="G18" i="140"/>
  <c r="F18" i="140"/>
  <c r="H30" i="143"/>
  <c r="G30" i="143"/>
  <c r="C23" i="146"/>
  <c r="G17" i="146"/>
  <c r="F17" i="146"/>
  <c r="G20" i="146"/>
  <c r="F20" i="146"/>
  <c r="F21" i="145"/>
  <c r="G21" i="145"/>
  <c r="G25" i="140"/>
  <c r="F25" i="140"/>
  <c r="G9" i="146"/>
  <c r="F9" i="146"/>
  <c r="Q11" i="149" s="1"/>
  <c r="H24" i="48"/>
  <c r="I24" i="48" s="1"/>
  <c r="D24" i="104"/>
  <c r="H24" i="104" s="1"/>
  <c r="H36" i="104" s="1"/>
  <c r="D35" i="111"/>
  <c r="D13" i="104"/>
  <c r="H13" i="104" s="1"/>
  <c r="D29" i="111"/>
  <c r="D17" i="104"/>
  <c r="H17" i="104" s="1"/>
  <c r="D33" i="111"/>
  <c r="D15" i="104"/>
  <c r="H15" i="104" s="1"/>
  <c r="D31" i="111"/>
  <c r="D16" i="104"/>
  <c r="H16" i="104" s="1"/>
  <c r="D32" i="111"/>
  <c r="D14" i="104"/>
  <c r="H14" i="104" s="1"/>
  <c r="D30" i="111"/>
  <c r="D11" i="104"/>
  <c r="D28" i="111"/>
  <c r="D25" i="111"/>
  <c r="G32" i="48"/>
  <c r="I32" i="48" s="1"/>
  <c r="G17" i="25"/>
  <c r="F17" i="25"/>
  <c r="G18" i="25"/>
  <c r="F18" i="25"/>
  <c r="F20" i="25"/>
  <c r="G20" i="25"/>
  <c r="C23" i="25"/>
  <c r="F22" i="25"/>
  <c r="G22" i="25"/>
  <c r="G19" i="25"/>
  <c r="F19" i="25"/>
  <c r="F16" i="25"/>
  <c r="G16" i="25"/>
  <c r="D53" i="48"/>
  <c r="F22" i="21"/>
  <c r="L24" i="149" s="1"/>
  <c r="G22" i="21"/>
  <c r="H20" i="11"/>
  <c r="G20" i="11"/>
  <c r="H43" i="11"/>
  <c r="G43" i="11"/>
  <c r="H23" i="11"/>
  <c r="G23" i="11"/>
  <c r="J16" i="149" s="1"/>
  <c r="H36" i="11"/>
  <c r="G36" i="11"/>
  <c r="H18" i="11"/>
  <c r="G18" i="11"/>
  <c r="G28" i="11"/>
  <c r="H28" i="11"/>
  <c r="H27" i="11"/>
  <c r="G27" i="11"/>
  <c r="G42" i="11"/>
  <c r="H42" i="11"/>
  <c r="H44" i="11"/>
  <c r="G44" i="11"/>
  <c r="H38" i="11"/>
  <c r="G38" i="11"/>
  <c r="H29" i="11"/>
  <c r="G29" i="11"/>
  <c r="H30" i="11"/>
  <c r="G30" i="11"/>
  <c r="H47" i="11"/>
  <c r="G47" i="11"/>
  <c r="H37" i="11"/>
  <c r="G37" i="11"/>
  <c r="G19" i="11"/>
  <c r="H19" i="11"/>
  <c r="H32" i="11"/>
  <c r="G32" i="11"/>
  <c r="G31" i="11"/>
  <c r="H31" i="11"/>
  <c r="H24" i="11"/>
  <c r="G24" i="11"/>
  <c r="J21" i="149" s="1"/>
  <c r="H46" i="11"/>
  <c r="G46" i="11"/>
  <c r="G45" i="11"/>
  <c r="H45" i="11"/>
  <c r="G13" i="25"/>
  <c r="F13" i="25"/>
  <c r="I15" i="149" s="1"/>
  <c r="I31" i="149" s="1"/>
  <c r="F9" i="25"/>
  <c r="I11" i="149" s="1"/>
  <c r="G9" i="25"/>
  <c r="F15" i="25"/>
  <c r="I17" i="149" s="1"/>
  <c r="I33" i="149" s="1"/>
  <c r="G15" i="25"/>
  <c r="G12" i="25"/>
  <c r="F12" i="25"/>
  <c r="I14" i="149" s="1"/>
  <c r="I30" i="149" s="1"/>
  <c r="F11" i="25"/>
  <c r="I13" i="149" s="1"/>
  <c r="I29" i="149" s="1"/>
  <c r="G11" i="25"/>
  <c r="F14" i="25"/>
  <c r="I16" i="149" s="1"/>
  <c r="I32" i="149" s="1"/>
  <c r="G14" i="25"/>
  <c r="L12" i="24"/>
  <c r="G13" i="149" s="1"/>
  <c r="G29" i="149" s="1"/>
  <c r="L13" i="24"/>
  <c r="G14" i="149" s="1"/>
  <c r="G30" i="149" s="1"/>
  <c r="L14" i="24"/>
  <c r="G15" i="149" s="1"/>
  <c r="G31" i="149" s="1"/>
  <c r="L15" i="24"/>
  <c r="G16" i="149" s="1"/>
  <c r="G32" i="149" s="1"/>
  <c r="L16" i="24"/>
  <c r="G17" i="149" s="1"/>
  <c r="G33" i="149" s="1"/>
  <c r="G18" i="48"/>
  <c r="R18" i="149" s="1"/>
  <c r="G29" i="60"/>
  <c r="G31" i="60" s="1"/>
  <c r="F16" i="149" s="1"/>
  <c r="G19" i="60"/>
  <c r="G21" i="60" s="1"/>
  <c r="F14" i="149" s="1"/>
  <c r="G34" i="60"/>
  <c r="G36" i="60" s="1"/>
  <c r="F17" i="149" s="1"/>
  <c r="G24" i="60"/>
  <c r="G26" i="60" s="1"/>
  <c r="F15" i="149" s="1"/>
  <c r="L10" i="24"/>
  <c r="G11" i="149" s="1"/>
  <c r="G16" i="60"/>
  <c r="F13" i="149" s="1"/>
  <c r="G10" i="60"/>
  <c r="F11" i="149" s="1"/>
  <c r="D39" i="60"/>
  <c r="G10" i="48"/>
  <c r="R11" i="149" s="1"/>
  <c r="G33" i="48"/>
  <c r="G48" i="48"/>
  <c r="G34" i="48"/>
  <c r="G49" i="48"/>
  <c r="G41" i="48"/>
  <c r="G39" i="48"/>
  <c r="G42" i="48"/>
  <c r="G25" i="48"/>
  <c r="G14" i="48"/>
  <c r="G22" i="48"/>
  <c r="G13" i="48"/>
  <c r="G26" i="48"/>
  <c r="P43" i="10"/>
  <c r="P28" i="10"/>
  <c r="P31" i="10" s="1"/>
  <c r="P32" i="10" s="1"/>
  <c r="H14" i="11"/>
  <c r="G14" i="11"/>
  <c r="J14" i="149" s="1"/>
  <c r="F18" i="21"/>
  <c r="L20" i="149" s="1"/>
  <c r="D21" i="11"/>
  <c r="F11" i="21"/>
  <c r="L13" i="149" s="1"/>
  <c r="D33" i="11"/>
  <c r="D48" i="11"/>
  <c r="F9" i="21"/>
  <c r="L11" i="149" s="1"/>
  <c r="C23" i="21"/>
  <c r="G15" i="11"/>
  <c r="J19" i="149" s="1"/>
  <c r="H15" i="11"/>
  <c r="C17" i="24"/>
  <c r="F12" i="21"/>
  <c r="L14" i="149" s="1"/>
  <c r="F13" i="21"/>
  <c r="L15" i="149" s="1"/>
  <c r="F15" i="21"/>
  <c r="L17" i="149" s="1"/>
  <c r="F19" i="21"/>
  <c r="L21" i="149" s="1"/>
  <c r="F16" i="21"/>
  <c r="L18" i="149" s="1"/>
  <c r="H11" i="11"/>
  <c r="G11" i="11"/>
  <c r="J13" i="149" s="1"/>
  <c r="F17" i="21"/>
  <c r="L19" i="149" s="1"/>
  <c r="H9" i="11"/>
  <c r="G9" i="11"/>
  <c r="J11" i="149" s="1"/>
  <c r="D39" i="11"/>
  <c r="F14" i="21"/>
  <c r="L16" i="149" s="1"/>
  <c r="F20" i="21"/>
  <c r="L22" i="149" s="1"/>
  <c r="H12" i="11"/>
  <c r="G12" i="11"/>
  <c r="J18" i="149" s="1"/>
  <c r="L32" i="149" l="1"/>
  <c r="N25" i="111"/>
  <c r="L30" i="149"/>
  <c r="J32" i="149"/>
  <c r="N29" i="111"/>
  <c r="N36" i="111" s="1"/>
  <c r="F31" i="149"/>
  <c r="F28" i="149"/>
  <c r="F25" i="149"/>
  <c r="K16" i="111"/>
  <c r="K16" i="149"/>
  <c r="M28" i="149"/>
  <c r="Q21" i="111"/>
  <c r="Q21" i="149"/>
  <c r="J29" i="149"/>
  <c r="F29" i="149"/>
  <c r="P19" i="111"/>
  <c r="K19" i="111"/>
  <c r="K19" i="149"/>
  <c r="P18" i="111"/>
  <c r="J28" i="149"/>
  <c r="L31" i="149"/>
  <c r="J30" i="149"/>
  <c r="R28" i="149"/>
  <c r="G25" i="149"/>
  <c r="G28" i="149"/>
  <c r="G36" i="149" s="1"/>
  <c r="F32" i="149"/>
  <c r="I25" i="149"/>
  <c r="I28" i="149"/>
  <c r="I36" i="149" s="1"/>
  <c r="L35" i="149"/>
  <c r="K21" i="111"/>
  <c r="K21" i="149"/>
  <c r="Q15" i="111"/>
  <c r="Q15" i="149"/>
  <c r="Q31" i="149" s="1"/>
  <c r="K18" i="111"/>
  <c r="K18" i="149"/>
  <c r="K29" i="149" s="1"/>
  <c r="L29" i="149"/>
  <c r="Q28" i="149"/>
  <c r="Q18" i="111"/>
  <c r="Q18" i="149"/>
  <c r="Q29" i="149" s="1"/>
  <c r="P30" i="149"/>
  <c r="P15" i="111"/>
  <c r="P31" i="149"/>
  <c r="L25" i="149"/>
  <c r="L28" i="149"/>
  <c r="F33" i="149"/>
  <c r="P28" i="149"/>
  <c r="P21" i="111"/>
  <c r="L33" i="149"/>
  <c r="F30" i="149"/>
  <c r="P13" i="111"/>
  <c r="K28" i="149"/>
  <c r="K14" i="111"/>
  <c r="K14" i="149"/>
  <c r="Q16" i="111"/>
  <c r="Q16" i="149"/>
  <c r="P16" i="111"/>
  <c r="P32" i="149"/>
  <c r="H13" i="146"/>
  <c r="I13" i="146" s="1"/>
  <c r="I12" i="143"/>
  <c r="J12" i="143" s="1"/>
  <c r="H32" i="146"/>
  <c r="I32" i="146" s="1"/>
  <c r="F23" i="148"/>
  <c r="C49" i="140"/>
  <c r="C49" i="135"/>
  <c r="D59" i="143"/>
  <c r="D59" i="11"/>
  <c r="C49" i="146"/>
  <c r="H28" i="146"/>
  <c r="I28" i="146" s="1"/>
  <c r="H33" i="140"/>
  <c r="I33" i="140" s="1"/>
  <c r="H34" i="140"/>
  <c r="I34" i="140" s="1"/>
  <c r="H33" i="104"/>
  <c r="H11" i="145"/>
  <c r="I11" i="145" s="1"/>
  <c r="H26" i="145"/>
  <c r="O19" i="102" s="1"/>
  <c r="H28" i="145"/>
  <c r="I28" i="145" s="1"/>
  <c r="H19" i="145"/>
  <c r="I19" i="145" s="1"/>
  <c r="H35" i="146"/>
  <c r="I35" i="146" s="1"/>
  <c r="H25" i="140"/>
  <c r="I25" i="140" s="1"/>
  <c r="F37" i="140"/>
  <c r="H36" i="140"/>
  <c r="I36" i="140" s="1"/>
  <c r="H21" i="145"/>
  <c r="I21" i="145" s="1"/>
  <c r="H20" i="140"/>
  <c r="I20" i="140" s="1"/>
  <c r="H19" i="146"/>
  <c r="I19" i="146" s="1"/>
  <c r="H33" i="145"/>
  <c r="I33" i="145" s="1"/>
  <c r="H18" i="146"/>
  <c r="I18" i="146" s="1"/>
  <c r="H20" i="146"/>
  <c r="I20" i="146" s="1"/>
  <c r="I28" i="143"/>
  <c r="J28" i="143" s="1"/>
  <c r="H27" i="140"/>
  <c r="I27" i="140" s="1"/>
  <c r="H25" i="146"/>
  <c r="I25" i="146" s="1"/>
  <c r="H33" i="146"/>
  <c r="I33" i="146" s="1"/>
  <c r="H48" i="145"/>
  <c r="I48" i="145" s="1"/>
  <c r="H48" i="146"/>
  <c r="I48" i="146" s="1"/>
  <c r="F23" i="145"/>
  <c r="H34" i="145"/>
  <c r="I34" i="145" s="1"/>
  <c r="H36" i="145"/>
  <c r="I36" i="145" s="1"/>
  <c r="H31" i="104"/>
  <c r="H36" i="146"/>
  <c r="I36" i="146" s="1"/>
  <c r="H34" i="146"/>
  <c r="I34" i="146" s="1"/>
  <c r="H11" i="140"/>
  <c r="I11" i="140" s="1"/>
  <c r="H9" i="146"/>
  <c r="F23" i="146"/>
  <c r="I30" i="143"/>
  <c r="J30" i="143" s="1"/>
  <c r="H12" i="146"/>
  <c r="I12" i="146" s="1"/>
  <c r="Q14" i="111"/>
  <c r="G21" i="143"/>
  <c r="K15" i="149" s="1"/>
  <c r="H28" i="140"/>
  <c r="I28" i="140" s="1"/>
  <c r="H48" i="135"/>
  <c r="I48" i="135" s="1"/>
  <c r="H26" i="140"/>
  <c r="I26" i="140" s="1"/>
  <c r="I37" i="143"/>
  <c r="J37" i="143" s="1"/>
  <c r="P11" i="111"/>
  <c r="P28" i="111" s="1"/>
  <c r="H14" i="140"/>
  <c r="I9" i="143"/>
  <c r="I14" i="143"/>
  <c r="J14" i="143" s="1"/>
  <c r="H39" i="143"/>
  <c r="I36" i="143"/>
  <c r="H14" i="146"/>
  <c r="I14" i="146" s="1"/>
  <c r="H48" i="140"/>
  <c r="I48" i="140" s="1"/>
  <c r="H19" i="140"/>
  <c r="I19" i="140" s="1"/>
  <c r="H13" i="145"/>
  <c r="H22" i="146"/>
  <c r="I22" i="146" s="1"/>
  <c r="I31" i="143"/>
  <c r="J31" i="143" s="1"/>
  <c r="H17" i="140"/>
  <c r="G23" i="140"/>
  <c r="M14" i="111"/>
  <c r="M30" i="111" s="1"/>
  <c r="M11" i="111"/>
  <c r="M28" i="111" s="1"/>
  <c r="H17" i="146"/>
  <c r="G23" i="146"/>
  <c r="F23" i="140"/>
  <c r="M17" i="149" s="1"/>
  <c r="M33" i="149" s="1"/>
  <c r="H32" i="145"/>
  <c r="I32" i="145" s="1"/>
  <c r="H31" i="140"/>
  <c r="G37" i="140"/>
  <c r="I18" i="143"/>
  <c r="J18" i="143" s="1"/>
  <c r="H21" i="143"/>
  <c r="H27" i="146"/>
  <c r="I27" i="146" s="1"/>
  <c r="Q20" i="111"/>
  <c r="M15" i="111"/>
  <c r="M31" i="111" s="1"/>
  <c r="H9" i="145"/>
  <c r="I29" i="143"/>
  <c r="J29" i="143" s="1"/>
  <c r="I27" i="143"/>
  <c r="J27" i="143" s="1"/>
  <c r="H33" i="143"/>
  <c r="H12" i="145"/>
  <c r="P14" i="111"/>
  <c r="I47" i="143"/>
  <c r="J47" i="143" s="1"/>
  <c r="I24" i="143"/>
  <c r="J24" i="143" s="1"/>
  <c r="G39" i="143"/>
  <c r="K20" i="149" s="1"/>
  <c r="H20" i="145"/>
  <c r="I20" i="145" s="1"/>
  <c r="K13" i="111"/>
  <c r="I42" i="143"/>
  <c r="J42" i="143" s="1"/>
  <c r="H48" i="143"/>
  <c r="Q11" i="111"/>
  <c r="Q28" i="111" s="1"/>
  <c r="H31" i="146"/>
  <c r="G37" i="146"/>
  <c r="I46" i="143"/>
  <c r="J46" i="143" s="1"/>
  <c r="I20" i="143"/>
  <c r="J20" i="143" s="1"/>
  <c r="M16" i="111"/>
  <c r="M32" i="111" s="1"/>
  <c r="K11" i="111"/>
  <c r="K28" i="111" s="1"/>
  <c r="H31" i="145"/>
  <c r="G37" i="145"/>
  <c r="P22" i="149" s="1"/>
  <c r="H11" i="146"/>
  <c r="I11" i="146" s="1"/>
  <c r="Q13" i="111"/>
  <c r="H26" i="146"/>
  <c r="I26" i="146" s="1"/>
  <c r="Q19" i="111"/>
  <c r="H18" i="140"/>
  <c r="I18" i="140" s="1"/>
  <c r="H12" i="140"/>
  <c r="F37" i="146"/>
  <c r="H35" i="140"/>
  <c r="I35" i="140" s="1"/>
  <c r="I23" i="143"/>
  <c r="J23" i="143" s="1"/>
  <c r="I43" i="143"/>
  <c r="J43" i="143" s="1"/>
  <c r="H13" i="140"/>
  <c r="H21" i="146"/>
  <c r="I21" i="146" s="1"/>
  <c r="I32" i="143"/>
  <c r="J32" i="143" s="1"/>
  <c r="I44" i="143"/>
  <c r="J44" i="143" s="1"/>
  <c r="H17" i="145"/>
  <c r="G23" i="145"/>
  <c r="P17" i="149" s="1"/>
  <c r="H22" i="145"/>
  <c r="I22" i="145" s="1"/>
  <c r="H22" i="140"/>
  <c r="I22" i="140" s="1"/>
  <c r="G33" i="143"/>
  <c r="K17" i="149" s="1"/>
  <c r="F37" i="145"/>
  <c r="I45" i="143"/>
  <c r="J45" i="143" s="1"/>
  <c r="I19" i="143"/>
  <c r="H27" i="145"/>
  <c r="P20" i="111"/>
  <c r="M13" i="111"/>
  <c r="M29" i="111" s="1"/>
  <c r="H9" i="140"/>
  <c r="H21" i="140"/>
  <c r="I21" i="140" s="1"/>
  <c r="I11" i="143"/>
  <c r="J11" i="143" s="1"/>
  <c r="H14" i="145"/>
  <c r="H35" i="145"/>
  <c r="I35" i="145" s="1"/>
  <c r="H32" i="140"/>
  <c r="I32" i="140" s="1"/>
  <c r="I15" i="143"/>
  <c r="J15" i="143" s="1"/>
  <c r="H25" i="145"/>
  <c r="H18" i="145"/>
  <c r="I18" i="145" s="1"/>
  <c r="G48" i="143"/>
  <c r="K22" i="149" s="1"/>
  <c r="I38" i="143"/>
  <c r="J38" i="143" s="1"/>
  <c r="D33" i="104"/>
  <c r="R11" i="111"/>
  <c r="R28" i="111" s="1"/>
  <c r="G11" i="111"/>
  <c r="I16" i="111"/>
  <c r="I11" i="111"/>
  <c r="I28" i="111" s="1"/>
  <c r="L22" i="111"/>
  <c r="J13" i="111"/>
  <c r="L21" i="111"/>
  <c r="L11" i="111"/>
  <c r="L13" i="111"/>
  <c r="F15" i="111"/>
  <c r="R18" i="111"/>
  <c r="G14" i="111"/>
  <c r="I15" i="111"/>
  <c r="J16" i="111"/>
  <c r="D36" i="111"/>
  <c r="L14" i="111"/>
  <c r="F16" i="111"/>
  <c r="L24" i="111"/>
  <c r="L35" i="111" s="1"/>
  <c r="L16" i="111"/>
  <c r="J11" i="111"/>
  <c r="J28" i="111" s="1"/>
  <c r="L17" i="111"/>
  <c r="L20" i="111"/>
  <c r="F11" i="111"/>
  <c r="F28" i="111" s="1"/>
  <c r="F17" i="111"/>
  <c r="G17" i="111"/>
  <c r="G13" i="111"/>
  <c r="I13" i="111"/>
  <c r="I17" i="111"/>
  <c r="H11" i="104"/>
  <c r="H29" i="104" s="1"/>
  <c r="D29" i="104"/>
  <c r="L19" i="111"/>
  <c r="G15" i="111"/>
  <c r="J18" i="111"/>
  <c r="L18" i="111"/>
  <c r="L15" i="111"/>
  <c r="J19" i="111"/>
  <c r="J14" i="111"/>
  <c r="F13" i="111"/>
  <c r="F14" i="111"/>
  <c r="G16" i="111"/>
  <c r="I14" i="111"/>
  <c r="J21" i="111"/>
  <c r="D36" i="104"/>
  <c r="D30" i="104"/>
  <c r="D25" i="104"/>
  <c r="H30" i="104"/>
  <c r="D31" i="104"/>
  <c r="D32" i="104"/>
  <c r="H34" i="104"/>
  <c r="H32" i="104"/>
  <c r="D34" i="104"/>
  <c r="H20" i="25"/>
  <c r="I20" i="25" s="1"/>
  <c r="H19" i="25"/>
  <c r="I19" i="25" s="1"/>
  <c r="H16" i="25"/>
  <c r="I16" i="25" s="1"/>
  <c r="H22" i="25"/>
  <c r="I22" i="25" s="1"/>
  <c r="H18" i="25"/>
  <c r="H17" i="25"/>
  <c r="F23" i="25"/>
  <c r="G23" i="25"/>
  <c r="H20" i="21"/>
  <c r="H14" i="21"/>
  <c r="H16" i="21"/>
  <c r="I16" i="21" s="1"/>
  <c r="H19" i="21"/>
  <c r="I19" i="21" s="1"/>
  <c r="H12" i="21"/>
  <c r="H17" i="21"/>
  <c r="I17" i="21" s="1"/>
  <c r="H11" i="21"/>
  <c r="H15" i="21"/>
  <c r="I15" i="21" s="1"/>
  <c r="H13" i="21"/>
  <c r="H18" i="21"/>
  <c r="H9" i="21"/>
  <c r="H14" i="25"/>
  <c r="I45" i="11"/>
  <c r="J45" i="11" s="1"/>
  <c r="I28" i="11"/>
  <c r="J28" i="11" s="1"/>
  <c r="I31" i="11"/>
  <c r="J31" i="11" s="1"/>
  <c r="I19" i="11"/>
  <c r="J19" i="11" s="1"/>
  <c r="G21" i="11"/>
  <c r="J15" i="149" s="1"/>
  <c r="H11" i="25"/>
  <c r="H15" i="25"/>
  <c r="H22" i="21"/>
  <c r="G23" i="21"/>
  <c r="I32" i="11"/>
  <c r="J32" i="11" s="1"/>
  <c r="I37" i="11"/>
  <c r="J37" i="11" s="1"/>
  <c r="I30" i="11"/>
  <c r="J30" i="11" s="1"/>
  <c r="H39" i="11"/>
  <c r="I36" i="11"/>
  <c r="I43" i="11"/>
  <c r="J43" i="11" s="1"/>
  <c r="H48" i="11"/>
  <c r="I42" i="11"/>
  <c r="G39" i="11"/>
  <c r="J20" i="149" s="1"/>
  <c r="G48" i="11"/>
  <c r="J22" i="149" s="1"/>
  <c r="G33" i="11"/>
  <c r="J17" i="149" s="1"/>
  <c r="I24" i="11"/>
  <c r="I38" i="11"/>
  <c r="J38" i="11" s="1"/>
  <c r="I46" i="11"/>
  <c r="J46" i="11" s="1"/>
  <c r="I47" i="11"/>
  <c r="J47" i="11" s="1"/>
  <c r="I29" i="11"/>
  <c r="J29" i="11" s="1"/>
  <c r="I44" i="11"/>
  <c r="J44" i="11" s="1"/>
  <c r="I27" i="11"/>
  <c r="H33" i="11"/>
  <c r="I18" i="11"/>
  <c r="H21" i="11"/>
  <c r="I23" i="11"/>
  <c r="I20" i="11"/>
  <c r="J20" i="11" s="1"/>
  <c r="H12" i="25"/>
  <c r="H9" i="25"/>
  <c r="I9" i="25" s="1"/>
  <c r="H13" i="25"/>
  <c r="G38" i="60"/>
  <c r="G15" i="48"/>
  <c r="R13" i="149" s="1"/>
  <c r="R29" i="149" s="1"/>
  <c r="G43" i="48"/>
  <c r="R16" i="149" s="1"/>
  <c r="G50" i="48"/>
  <c r="R21" i="149" s="1"/>
  <c r="G35" i="48"/>
  <c r="R19" i="149" s="1"/>
  <c r="G27" i="48"/>
  <c r="R14" i="149" s="1"/>
  <c r="I9" i="11"/>
  <c r="I14" i="11"/>
  <c r="I11" i="11"/>
  <c r="I12" i="11"/>
  <c r="F23" i="21"/>
  <c r="L17" i="24"/>
  <c r="I15" i="11"/>
  <c r="O13" i="102" l="1"/>
  <c r="Q29" i="111"/>
  <c r="K30" i="149"/>
  <c r="R30" i="149"/>
  <c r="P31" i="111"/>
  <c r="K30" i="111"/>
  <c r="Q32" i="149"/>
  <c r="P32" i="111"/>
  <c r="P30" i="111"/>
  <c r="R32" i="149"/>
  <c r="M25" i="149"/>
  <c r="L36" i="149"/>
  <c r="K32" i="149"/>
  <c r="K31" i="149"/>
  <c r="Q32" i="111"/>
  <c r="K25" i="149"/>
  <c r="F36" i="149"/>
  <c r="J33" i="149"/>
  <c r="P29" i="149"/>
  <c r="R25" i="149"/>
  <c r="J25" i="149"/>
  <c r="P22" i="111"/>
  <c r="J31" i="149"/>
  <c r="K33" i="149"/>
  <c r="Q22" i="111"/>
  <c r="Q22" i="149"/>
  <c r="K29" i="111"/>
  <c r="Q17" i="111"/>
  <c r="Q17" i="149"/>
  <c r="P17" i="111"/>
  <c r="K32" i="111"/>
  <c r="P29" i="111"/>
  <c r="M36" i="149"/>
  <c r="H59" i="11"/>
  <c r="G49" i="145"/>
  <c r="F49" i="140"/>
  <c r="G59" i="143"/>
  <c r="G49" i="146"/>
  <c r="G49" i="140"/>
  <c r="F30" i="111"/>
  <c r="L31" i="111"/>
  <c r="I29" i="111"/>
  <c r="L32" i="111"/>
  <c r="G30" i="111"/>
  <c r="L28" i="111"/>
  <c r="F29" i="111"/>
  <c r="G29" i="111"/>
  <c r="I32" i="111"/>
  <c r="H59" i="143"/>
  <c r="Q31" i="111"/>
  <c r="I30" i="111"/>
  <c r="J30" i="111"/>
  <c r="G33" i="111"/>
  <c r="L33" i="111"/>
  <c r="F32" i="111"/>
  <c r="J32" i="111"/>
  <c r="F31" i="111"/>
  <c r="J29" i="111"/>
  <c r="G28" i="111"/>
  <c r="Q30" i="111"/>
  <c r="G59" i="11"/>
  <c r="G32" i="111"/>
  <c r="G31" i="111"/>
  <c r="I33" i="111"/>
  <c r="F33" i="111"/>
  <c r="L30" i="111"/>
  <c r="I31" i="111"/>
  <c r="L29" i="111"/>
  <c r="J9" i="143"/>
  <c r="O11" i="102"/>
  <c r="O29" i="102" s="1"/>
  <c r="O21" i="102"/>
  <c r="F49" i="145"/>
  <c r="F49" i="146"/>
  <c r="I26" i="145"/>
  <c r="I14" i="145"/>
  <c r="O16" i="102"/>
  <c r="I27" i="145"/>
  <c r="O20" i="102"/>
  <c r="I12" i="145"/>
  <c r="O14" i="102"/>
  <c r="O31" i="102" s="1"/>
  <c r="I13" i="145"/>
  <c r="O15" i="102"/>
  <c r="I25" i="145"/>
  <c r="O18" i="102"/>
  <c r="I21" i="143"/>
  <c r="J21" i="143" s="1"/>
  <c r="J19" i="143"/>
  <c r="I39" i="143"/>
  <c r="J39" i="143" s="1"/>
  <c r="K22" i="111"/>
  <c r="K17" i="111"/>
  <c r="I31" i="146"/>
  <c r="H37" i="146"/>
  <c r="I37" i="146" s="1"/>
  <c r="I31" i="140"/>
  <c r="H37" i="140"/>
  <c r="I37" i="140" s="1"/>
  <c r="I48" i="143"/>
  <c r="J48" i="143" s="1"/>
  <c r="I33" i="143"/>
  <c r="J33" i="143" s="1"/>
  <c r="I13" i="140"/>
  <c r="I12" i="140"/>
  <c r="I9" i="145"/>
  <c r="I17" i="146"/>
  <c r="H23" i="146"/>
  <c r="I23" i="146" s="1"/>
  <c r="I17" i="140"/>
  <c r="H23" i="140"/>
  <c r="I9" i="140"/>
  <c r="I31" i="145"/>
  <c r="H37" i="145"/>
  <c r="K20" i="111"/>
  <c r="M17" i="111"/>
  <c r="H23" i="145"/>
  <c r="I17" i="145"/>
  <c r="J36" i="143"/>
  <c r="I14" i="140"/>
  <c r="K15" i="111"/>
  <c r="I9" i="146"/>
  <c r="L25" i="111"/>
  <c r="I25" i="111"/>
  <c r="G25" i="111"/>
  <c r="S24" i="111"/>
  <c r="S35" i="111" s="1"/>
  <c r="R13" i="111"/>
  <c r="R29" i="111" s="1"/>
  <c r="J17" i="111"/>
  <c r="R16" i="111"/>
  <c r="J22" i="111"/>
  <c r="J15" i="111"/>
  <c r="H25" i="104"/>
  <c r="F25" i="111"/>
  <c r="R19" i="111"/>
  <c r="R21" i="111"/>
  <c r="R14" i="111"/>
  <c r="J20" i="111"/>
  <c r="D37" i="104"/>
  <c r="H37" i="104"/>
  <c r="I18" i="25"/>
  <c r="I17" i="25"/>
  <c r="H23" i="25"/>
  <c r="I23" i="25" s="1"/>
  <c r="I13" i="21"/>
  <c r="I9" i="21"/>
  <c r="I11" i="21"/>
  <c r="I22" i="21"/>
  <c r="I15" i="25"/>
  <c r="I14" i="25"/>
  <c r="I11" i="25"/>
  <c r="H23" i="21"/>
  <c r="I23" i="21" s="1"/>
  <c r="I14" i="21"/>
  <c r="I18" i="21"/>
  <c r="I20" i="21"/>
  <c r="I12" i="21"/>
  <c r="J12" i="11"/>
  <c r="J23" i="11"/>
  <c r="J24" i="11"/>
  <c r="J11" i="11"/>
  <c r="J15" i="11"/>
  <c r="J14" i="11"/>
  <c r="J9" i="11"/>
  <c r="I13" i="25"/>
  <c r="G52" i="48"/>
  <c r="I12" i="25"/>
  <c r="J42" i="11"/>
  <c r="I48" i="11"/>
  <c r="J27" i="11"/>
  <c r="I33" i="11"/>
  <c r="J18" i="11"/>
  <c r="I21" i="11"/>
  <c r="J36" i="11"/>
  <c r="I39" i="11"/>
  <c r="O30" i="102" l="1"/>
  <c r="P33" i="111"/>
  <c r="O32" i="102"/>
  <c r="R36" i="149"/>
  <c r="Q25" i="149"/>
  <c r="Q25" i="111"/>
  <c r="Q33" i="111"/>
  <c r="Q36" i="111" s="1"/>
  <c r="K31" i="111"/>
  <c r="P25" i="149"/>
  <c r="J36" i="149"/>
  <c r="K36" i="149"/>
  <c r="P25" i="111"/>
  <c r="Q33" i="149"/>
  <c r="Q36" i="149" s="1"/>
  <c r="K33" i="111"/>
  <c r="P33" i="149"/>
  <c r="P36" i="149" s="1"/>
  <c r="R30" i="111"/>
  <c r="O33" i="102"/>
  <c r="J31" i="111"/>
  <c r="H49" i="145"/>
  <c r="I49" i="145" s="1"/>
  <c r="H49" i="140"/>
  <c r="I49" i="140" s="1"/>
  <c r="J33" i="111"/>
  <c r="M25" i="111"/>
  <c r="M33" i="111"/>
  <c r="M36" i="111" s="1"/>
  <c r="I59" i="11"/>
  <c r="J59" i="11" s="1"/>
  <c r="R32" i="111"/>
  <c r="H49" i="146"/>
  <c r="I49" i="146" s="1"/>
  <c r="I59" i="143"/>
  <c r="J59" i="143" s="1"/>
  <c r="P36" i="111"/>
  <c r="I23" i="145"/>
  <c r="O17" i="102"/>
  <c r="I37" i="145"/>
  <c r="O22" i="102"/>
  <c r="K25" i="111"/>
  <c r="I23" i="140"/>
  <c r="G36" i="111"/>
  <c r="R25" i="111"/>
  <c r="F36" i="111"/>
  <c r="L36" i="111"/>
  <c r="J25" i="111"/>
  <c r="D24" i="102"/>
  <c r="I36" i="111"/>
  <c r="E24" i="104"/>
  <c r="J39" i="11"/>
  <c r="J33" i="11"/>
  <c r="J21" i="11"/>
  <c r="J48" i="11"/>
  <c r="O34" i="102" l="1"/>
  <c r="O37" i="102" s="1"/>
  <c r="K36" i="111"/>
  <c r="O25" i="102"/>
  <c r="M24" i="102"/>
  <c r="J36" i="111"/>
  <c r="R36" i="111"/>
  <c r="P24" i="102"/>
  <c r="D36" i="102"/>
  <c r="E36" i="104"/>
  <c r="F36" i="104" s="1"/>
  <c r="F24" i="104"/>
  <c r="M36" i="102" l="1"/>
  <c r="P36" i="102"/>
  <c r="H38" i="48" l="1"/>
  <c r="H39" i="48"/>
  <c r="I39" i="48" s="1"/>
  <c r="J39" i="48" s="1"/>
  <c r="H46" i="48"/>
  <c r="H34" i="48"/>
  <c r="I34" i="48" s="1"/>
  <c r="J34" i="48" s="1"/>
  <c r="H42" i="48"/>
  <c r="I42" i="48" s="1"/>
  <c r="J42" i="48" s="1"/>
  <c r="H26" i="48"/>
  <c r="I26" i="48" s="1"/>
  <c r="J26" i="48" s="1"/>
  <c r="H48" i="48"/>
  <c r="I48" i="48" s="1"/>
  <c r="J48" i="48" s="1"/>
  <c r="H49" i="48"/>
  <c r="I49" i="48" s="1"/>
  <c r="J49" i="48" s="1"/>
  <c r="H22" i="48"/>
  <c r="I22" i="48" s="1"/>
  <c r="J22" i="48" s="1"/>
  <c r="H21" i="48"/>
  <c r="H41" i="48"/>
  <c r="I41" i="48" s="1"/>
  <c r="J41" i="48" s="1"/>
  <c r="H25" i="48"/>
  <c r="I25" i="48" s="1"/>
  <c r="J25" i="48" s="1"/>
  <c r="H33" i="48"/>
  <c r="I33" i="48" s="1"/>
  <c r="J33" i="48" s="1"/>
  <c r="H30" i="48"/>
  <c r="I21" i="48" l="1"/>
  <c r="H27" i="48"/>
  <c r="I46" i="48"/>
  <c r="H50" i="48"/>
  <c r="I38" i="48"/>
  <c r="H43" i="48"/>
  <c r="I30" i="48"/>
  <c r="H35" i="48"/>
  <c r="J46" i="48" l="1"/>
  <c r="I50" i="48"/>
  <c r="J30" i="48"/>
  <c r="I35" i="48"/>
  <c r="J38" i="48"/>
  <c r="I43" i="48"/>
  <c r="J21" i="48"/>
  <c r="I27" i="48"/>
  <c r="J43" i="48" l="1"/>
  <c r="J50" i="48"/>
  <c r="J27" i="48"/>
  <c r="J35" i="48"/>
  <c r="H18" i="48" l="1"/>
  <c r="I18" i="48" s="1"/>
  <c r="H13" i="48"/>
  <c r="H14" i="48"/>
  <c r="I14" i="48" s="1"/>
  <c r="J14" i="48" s="1"/>
  <c r="H15" i="48" l="1"/>
  <c r="I13" i="48"/>
  <c r="J18" i="48"/>
  <c r="I15" i="48" l="1"/>
  <c r="J13" i="48"/>
  <c r="J15" i="48" l="1"/>
  <c r="H10" i="48" l="1"/>
  <c r="H52" i="48" l="1"/>
  <c r="I10" i="48"/>
  <c r="J10" i="48" l="1"/>
  <c r="I52" i="48"/>
  <c r="J52" i="48" l="1"/>
  <c r="H34" i="60" l="1"/>
  <c r="H19" i="60"/>
  <c r="H29" i="60"/>
  <c r="H16" i="60"/>
  <c r="I16" i="60" s="1"/>
  <c r="H13" i="60"/>
  <c r="I13" i="60" s="1"/>
  <c r="H24" i="60"/>
  <c r="G35" i="103" l="1"/>
  <c r="H10" i="60"/>
  <c r="J16" i="60"/>
  <c r="H36" i="60"/>
  <c r="I34" i="60"/>
  <c r="H26" i="60"/>
  <c r="I24" i="60"/>
  <c r="J13" i="60"/>
  <c r="H31" i="60"/>
  <c r="I29" i="60"/>
  <c r="I19" i="60"/>
  <c r="H21" i="60"/>
  <c r="I26" i="60" l="1"/>
  <c r="J24" i="60"/>
  <c r="J19" i="60"/>
  <c r="I21" i="60"/>
  <c r="I36" i="60"/>
  <c r="J34" i="60"/>
  <c r="J29" i="60"/>
  <c r="I31" i="60"/>
  <c r="I10" i="60"/>
  <c r="H38" i="60"/>
  <c r="H35" i="103"/>
  <c r="I38" i="60" l="1"/>
  <c r="J38" i="60" s="1"/>
  <c r="J10" i="60"/>
  <c r="J36" i="60"/>
  <c r="J31" i="60"/>
  <c r="J21" i="60"/>
  <c r="J26" i="60"/>
  <c r="K15" i="24" l="1"/>
  <c r="M15" i="24" s="1"/>
  <c r="N15" i="24" s="1"/>
  <c r="K12" i="24"/>
  <c r="M12" i="24" s="1"/>
  <c r="N12" i="24" s="1"/>
  <c r="K16" i="24"/>
  <c r="M16" i="24" s="1"/>
  <c r="N16" i="24" s="1"/>
  <c r="K13" i="24"/>
  <c r="M13" i="24" s="1"/>
  <c r="N13" i="24" s="1"/>
  <c r="K14" i="24"/>
  <c r="M14" i="24" s="1"/>
  <c r="N14" i="24" s="1"/>
  <c r="O14" i="24" l="1"/>
  <c r="O13" i="24"/>
  <c r="O12" i="24"/>
  <c r="O16" i="24"/>
  <c r="O15" i="24"/>
  <c r="K11" i="24"/>
  <c r="M11" i="24" s="1"/>
  <c r="N11" i="24" s="1"/>
  <c r="O11" i="24" l="1"/>
  <c r="K10" i="24"/>
  <c r="M10" i="24" l="1"/>
  <c r="S35" i="103"/>
  <c r="T35" i="103" l="1"/>
  <c r="M17" i="24"/>
  <c r="N10" i="24"/>
  <c r="N17" i="24" l="1"/>
  <c r="O17" i="24" s="1"/>
  <c r="O10" i="24"/>
  <c r="G10" i="135" l="1"/>
  <c r="O12" i="149" s="1"/>
  <c r="G26" i="135"/>
  <c r="O19" i="149" s="1"/>
  <c r="G12" i="135"/>
  <c r="O14" i="149" s="1"/>
  <c r="G25" i="135"/>
  <c r="O18" i="149" s="1"/>
  <c r="G11" i="135"/>
  <c r="O13" i="149" s="1"/>
  <c r="G27" i="135"/>
  <c r="O20" i="149" s="1"/>
  <c r="G13" i="135"/>
  <c r="O15" i="149" s="1"/>
  <c r="G14" i="135"/>
  <c r="O16" i="149" s="1"/>
  <c r="G28" i="135"/>
  <c r="O21" i="149" s="1"/>
  <c r="G9" i="135" l="1"/>
  <c r="G49" i="135" l="1"/>
  <c r="O11" i="149"/>
  <c r="F25" i="135"/>
  <c r="F11" i="135"/>
  <c r="F28" i="135"/>
  <c r="F14" i="135"/>
  <c r="F13" i="135"/>
  <c r="F27" i="135"/>
  <c r="F9" i="135"/>
  <c r="F10" i="135"/>
  <c r="F12" i="135"/>
  <c r="F26" i="135"/>
  <c r="O12" i="111" l="1"/>
  <c r="O16" i="111"/>
  <c r="S16" i="111" s="1"/>
  <c r="O19" i="111"/>
  <c r="S19" i="111" s="1"/>
  <c r="E19" i="104" s="1"/>
  <c r="F19" i="104" s="1"/>
  <c r="O20" i="111"/>
  <c r="S20" i="111" s="1"/>
  <c r="O13" i="111"/>
  <c r="S13" i="111" s="1"/>
  <c r="O21" i="111"/>
  <c r="S21" i="111" s="1"/>
  <c r="E21" i="104" s="1"/>
  <c r="F21" i="104" s="1"/>
  <c r="O14" i="111"/>
  <c r="S14" i="111" s="1"/>
  <c r="S30" i="111" s="1"/>
  <c r="O15" i="111"/>
  <c r="S15" i="111" s="1"/>
  <c r="E15" i="104" s="1"/>
  <c r="F15" i="104" s="1"/>
  <c r="O18" i="111"/>
  <c r="S18" i="111" s="1"/>
  <c r="E18" i="104" s="1"/>
  <c r="O32" i="111"/>
  <c r="O11" i="111"/>
  <c r="S12" i="111"/>
  <c r="H28" i="135"/>
  <c r="L21" i="102" s="1"/>
  <c r="F22" i="135"/>
  <c r="H22" i="135" s="1"/>
  <c r="I22" i="135" s="1"/>
  <c r="H26" i="135"/>
  <c r="L19" i="102" s="1"/>
  <c r="H10" i="135"/>
  <c r="L12" i="102" s="1"/>
  <c r="H27" i="135"/>
  <c r="L20" i="102" s="1"/>
  <c r="F36" i="135"/>
  <c r="H36" i="135" s="1"/>
  <c r="I36" i="135" s="1"/>
  <c r="H12" i="135"/>
  <c r="L14" i="102" s="1"/>
  <c r="H9" i="135"/>
  <c r="H13" i="135"/>
  <c r="L15" i="102" s="1"/>
  <c r="H11" i="135"/>
  <c r="L13" i="102" s="1"/>
  <c r="H14" i="135"/>
  <c r="L16" i="102" s="1"/>
  <c r="H25" i="135"/>
  <c r="L18" i="102" s="1"/>
  <c r="L33" i="102" l="1"/>
  <c r="D18" i="102"/>
  <c r="S32" i="111"/>
  <c r="D19" i="102"/>
  <c r="M19" i="102" s="1"/>
  <c r="D21" i="102"/>
  <c r="M21" i="102" s="1"/>
  <c r="O31" i="111"/>
  <c r="O32" i="149"/>
  <c r="L31" i="102"/>
  <c r="O30" i="111"/>
  <c r="O31" i="149"/>
  <c r="O28" i="149"/>
  <c r="S29" i="111"/>
  <c r="O29" i="149"/>
  <c r="O30" i="149"/>
  <c r="O29" i="111"/>
  <c r="D15" i="102"/>
  <c r="L32" i="102"/>
  <c r="S11" i="111"/>
  <c r="E11" i="104" s="1"/>
  <c r="F11" i="104" s="1"/>
  <c r="O28" i="111"/>
  <c r="L30" i="102"/>
  <c r="S31" i="111"/>
  <c r="L11" i="102"/>
  <c r="D14" i="102"/>
  <c r="E14" i="104"/>
  <c r="D20" i="102"/>
  <c r="E20" i="104"/>
  <c r="D13" i="102"/>
  <c r="E13" i="104"/>
  <c r="D16" i="102"/>
  <c r="E16" i="104"/>
  <c r="E12" i="104"/>
  <c r="D12" i="102"/>
  <c r="I25" i="135"/>
  <c r="I27" i="135"/>
  <c r="I10" i="135"/>
  <c r="I14" i="135"/>
  <c r="I11" i="135"/>
  <c r="I13" i="135"/>
  <c r="I12" i="135"/>
  <c r="I26" i="135"/>
  <c r="I9" i="135"/>
  <c r="I28" i="135"/>
  <c r="P19" i="102" l="1"/>
  <c r="M15" i="102"/>
  <c r="P21" i="102"/>
  <c r="P15" i="102"/>
  <c r="L29" i="102"/>
  <c r="D11" i="102"/>
  <c r="M11" i="102" s="1"/>
  <c r="S28" i="111"/>
  <c r="E30" i="104"/>
  <c r="F30" i="104" s="1"/>
  <c r="F13" i="104"/>
  <c r="F18" i="104" s="1"/>
  <c r="E32" i="104"/>
  <c r="F32" i="104" s="1"/>
  <c r="F20" i="104"/>
  <c r="M14" i="102"/>
  <c r="D31" i="102"/>
  <c r="P14" i="102"/>
  <c r="F16" i="104"/>
  <c r="E33" i="104"/>
  <c r="F33" i="104" s="1"/>
  <c r="P20" i="102"/>
  <c r="M20" i="102"/>
  <c r="D32" i="102"/>
  <c r="E31" i="104"/>
  <c r="F31" i="104" s="1"/>
  <c r="F14" i="104"/>
  <c r="M16" i="102"/>
  <c r="D33" i="102"/>
  <c r="P16" i="102"/>
  <c r="M13" i="102"/>
  <c r="M18" i="102" s="1"/>
  <c r="P13" i="102"/>
  <c r="P18" i="102" s="1"/>
  <c r="D30" i="102"/>
  <c r="M12" i="102"/>
  <c r="P12" i="102"/>
  <c r="F12" i="104"/>
  <c r="E29" i="104"/>
  <c r="F35" i="135"/>
  <c r="H35" i="135" s="1"/>
  <c r="I35" i="135" s="1"/>
  <c r="F33" i="135"/>
  <c r="H33" i="135" s="1"/>
  <c r="I33" i="135" s="1"/>
  <c r="F32" i="135"/>
  <c r="H32" i="135" s="1"/>
  <c r="I32" i="135" s="1"/>
  <c r="F17" i="135"/>
  <c r="F19" i="135"/>
  <c r="H19" i="135" s="1"/>
  <c r="I19" i="135" s="1"/>
  <c r="F21" i="135"/>
  <c r="H21" i="135" s="1"/>
  <c r="I21" i="135" s="1"/>
  <c r="F34" i="135"/>
  <c r="H34" i="135" s="1"/>
  <c r="I34" i="135" s="1"/>
  <c r="F20" i="135"/>
  <c r="H20" i="135" s="1"/>
  <c r="I20" i="135" s="1"/>
  <c r="F31" i="135"/>
  <c r="F18" i="135"/>
  <c r="H18" i="135" s="1"/>
  <c r="I18" i="135" s="1"/>
  <c r="D29" i="102" l="1"/>
  <c r="P11" i="102"/>
  <c r="M30" i="102"/>
  <c r="P30" i="102"/>
  <c r="M32" i="102"/>
  <c r="P32" i="102"/>
  <c r="M33" i="102"/>
  <c r="P33" i="102"/>
  <c r="M31" i="102"/>
  <c r="P31" i="102"/>
  <c r="F29" i="104"/>
  <c r="H17" i="135"/>
  <c r="F23" i="135"/>
  <c r="H31" i="135"/>
  <c r="F37" i="135"/>
  <c r="P29" i="102" l="1"/>
  <c r="M29" i="102"/>
  <c r="O33" i="149"/>
  <c r="O36" i="149" s="1"/>
  <c r="O25" i="149"/>
  <c r="O17" i="111"/>
  <c r="F49" i="135"/>
  <c r="O22" i="111"/>
  <c r="S22" i="111" s="1"/>
  <c r="I31" i="135"/>
  <c r="H37" i="135"/>
  <c r="L22" i="102" s="1"/>
  <c r="I17" i="135"/>
  <c r="H23" i="135"/>
  <c r="O33" i="111" l="1"/>
  <c r="O36" i="111" s="1"/>
  <c r="S17" i="111"/>
  <c r="S33" i="111" s="1"/>
  <c r="S36" i="111" s="1"/>
  <c r="L17" i="102"/>
  <c r="L34" i="102" s="1"/>
  <c r="L37" i="102" s="1"/>
  <c r="H49" i="135"/>
  <c r="I49" i="135" s="1"/>
  <c r="O25" i="111"/>
  <c r="D22" i="102"/>
  <c r="E22" i="104"/>
  <c r="F22" i="104" s="1"/>
  <c r="I37" i="135"/>
  <c r="I23" i="135"/>
  <c r="E17" i="104" l="1"/>
  <c r="F17" i="104" s="1"/>
  <c r="S25" i="111"/>
  <c r="L25" i="102"/>
  <c r="D17" i="102"/>
  <c r="E25" i="104"/>
  <c r="F25" i="104" s="1"/>
  <c r="M22" i="102"/>
  <c r="P22" i="102"/>
  <c r="E34" i="104" l="1"/>
  <c r="F34" i="104" s="1"/>
  <c r="M17" i="102"/>
  <c r="D25" i="102"/>
  <c r="P25" i="102" s="1"/>
  <c r="P17" i="102"/>
  <c r="D34" i="102"/>
  <c r="P34" i="102" s="1"/>
  <c r="E37" i="104" l="1"/>
  <c r="F37" i="104" s="1"/>
  <c r="M34" i="102"/>
  <c r="M25" i="102"/>
  <c r="D37" i="102"/>
  <c r="M37" i="102" l="1"/>
  <c r="P37" i="102"/>
  <c r="E36" i="112" l="1"/>
  <c r="E35" i="112" l="1"/>
  <c r="E32" i="112" l="1"/>
  <c r="E33" i="112"/>
  <c r="E31" i="112" l="1"/>
  <c r="E30" i="112" l="1"/>
  <c r="E34" i="112" l="1"/>
  <c r="H12" i="147" l="1"/>
  <c r="H13" i="147" s="1"/>
  <c r="G13" i="147"/>
  <c r="H12" i="103" l="1"/>
  <c r="H13" i="103" s="1"/>
  <c r="G13" i="103"/>
  <c r="D12" i="147"/>
  <c r="S13" i="103"/>
  <c r="T12" i="103"/>
  <c r="T13" i="103" s="1"/>
  <c r="D13" i="147" l="1"/>
  <c r="E12" i="147"/>
  <c r="E13" i="147" s="1"/>
  <c r="E29" i="112" l="1"/>
  <c r="E37" i="112" s="1"/>
  <c r="E25" i="112" l="1"/>
  <c r="G22" i="148" l="1"/>
  <c r="G21" i="148"/>
  <c r="G20" i="148" l="1"/>
  <c r="G15" i="148"/>
  <c r="G19" i="148"/>
  <c r="G14" i="148"/>
  <c r="G13" i="148"/>
  <c r="G18" i="148"/>
  <c r="N23" i="149"/>
  <c r="N34" i="149" s="1"/>
  <c r="H21" i="148"/>
  <c r="G11" i="148"/>
  <c r="G16" i="148"/>
  <c r="G12" i="148"/>
  <c r="G17" i="148"/>
  <c r="N24" i="149"/>
  <c r="N35" i="149" s="1"/>
  <c r="H22" i="148"/>
  <c r="N19" i="149" l="1"/>
  <c r="H17" i="148"/>
  <c r="I23" i="102"/>
  <c r="I21" i="148"/>
  <c r="N16" i="149"/>
  <c r="H14" i="148"/>
  <c r="N14" i="149"/>
  <c r="H12" i="148"/>
  <c r="N21" i="149"/>
  <c r="H19" i="148"/>
  <c r="I24" i="102"/>
  <c r="I22" i="148"/>
  <c r="H16" i="148"/>
  <c r="N18" i="149"/>
  <c r="N20" i="149"/>
  <c r="H18" i="148"/>
  <c r="H15" i="148"/>
  <c r="N17" i="149"/>
  <c r="N33" i="149" s="1"/>
  <c r="H11" i="148"/>
  <c r="N13" i="149"/>
  <c r="N15" i="149"/>
  <c r="H13" i="148"/>
  <c r="N22" i="149"/>
  <c r="H20" i="148"/>
  <c r="N30" i="149" l="1"/>
  <c r="I17" i="148"/>
  <c r="I19" i="102"/>
  <c r="J19" i="102" s="1"/>
  <c r="I11" i="148"/>
  <c r="I13" i="102"/>
  <c r="J24" i="102"/>
  <c r="I36" i="102"/>
  <c r="J36" i="102" s="1"/>
  <c r="I35" i="102"/>
  <c r="J35" i="102" s="1"/>
  <c r="J23" i="102"/>
  <c r="I19" i="148"/>
  <c r="I21" i="102"/>
  <c r="J21" i="102" s="1"/>
  <c r="N31" i="149"/>
  <c r="I17" i="102"/>
  <c r="I15" i="148"/>
  <c r="I18" i="102"/>
  <c r="I16" i="148"/>
  <c r="N32" i="149"/>
  <c r="I15" i="102"/>
  <c r="I13" i="148"/>
  <c r="I14" i="148"/>
  <c r="I16" i="102"/>
  <c r="I22" i="102"/>
  <c r="J22" i="102" s="1"/>
  <c r="I20" i="148"/>
  <c r="N29" i="149"/>
  <c r="I20" i="102"/>
  <c r="J20" i="102" s="1"/>
  <c r="I18" i="148"/>
  <c r="I14" i="102"/>
  <c r="I12" i="148"/>
  <c r="J14" i="102" l="1"/>
  <c r="I31" i="102"/>
  <c r="J31" i="102" s="1"/>
  <c r="J16" i="102"/>
  <c r="I33" i="102"/>
  <c r="J33" i="102" s="1"/>
  <c r="I34" i="102"/>
  <c r="J34" i="102" s="1"/>
  <c r="J17" i="102"/>
  <c r="J13" i="102"/>
  <c r="J18" i="102" s="1"/>
  <c r="I30" i="102"/>
  <c r="J30" i="102" s="1"/>
  <c r="G10" i="148"/>
  <c r="I32" i="102"/>
  <c r="J32" i="102" s="1"/>
  <c r="J15" i="102"/>
  <c r="G9" i="148" l="1"/>
  <c r="S24" i="103"/>
  <c r="D24" i="147" s="1"/>
  <c r="G24" i="147" s="1"/>
  <c r="J24" i="103"/>
  <c r="J29" i="103" s="1"/>
  <c r="N12" i="149"/>
  <c r="H10" i="148"/>
  <c r="K29" i="103" l="1"/>
  <c r="K36" i="103" s="1"/>
  <c r="K38" i="103" s="1"/>
  <c r="K39" i="103" s="1"/>
  <c r="K40" i="103" s="1"/>
  <c r="J36" i="103"/>
  <c r="I10" i="148"/>
  <c r="I12" i="102"/>
  <c r="J12" i="102" s="1"/>
  <c r="N11" i="149"/>
  <c r="H9" i="148"/>
  <c r="G23" i="148"/>
  <c r="I11" i="102" l="1"/>
  <c r="H23" i="148"/>
  <c r="I23" i="148" s="1"/>
  <c r="I9" i="148"/>
  <c r="N28" i="149"/>
  <c r="N36" i="149" s="1"/>
  <c r="N25" i="149"/>
  <c r="I25" i="102" l="1"/>
  <c r="J25" i="102" s="1"/>
  <c r="J11" i="102"/>
  <c r="I29" i="102"/>
  <c r="J29" i="102" l="1"/>
  <c r="I37" i="102"/>
  <c r="J37" i="102" s="1"/>
  <c r="F35" i="102" l="1"/>
  <c r="G35" i="102" s="1"/>
  <c r="G23" i="102"/>
  <c r="E23" i="149"/>
  <c r="R23" i="102"/>
  <c r="S23" i="102" l="1"/>
  <c r="D23" i="112"/>
  <c r="I23" i="104"/>
  <c r="R35" i="102"/>
  <c r="E34" i="149"/>
  <c r="S23" i="149"/>
  <c r="J23" i="104" l="1"/>
  <c r="I35" i="104"/>
  <c r="L23" i="104"/>
  <c r="D35" i="112"/>
  <c r="F23" i="112"/>
  <c r="E23" i="114"/>
  <c r="S34" i="149"/>
  <c r="S35" i="102"/>
  <c r="T35" i="102" s="1"/>
  <c r="T23" i="102"/>
  <c r="N23" i="104" l="1"/>
  <c r="F23" i="114"/>
  <c r="E35" i="114"/>
  <c r="F35" i="114" s="1"/>
  <c r="L35" i="104"/>
  <c r="N35" i="104" s="1"/>
  <c r="J35" i="104"/>
  <c r="F35" i="112"/>
  <c r="H35" i="112" l="1"/>
  <c r="I35" i="112" s="1"/>
  <c r="I23" i="112"/>
  <c r="K23" i="112"/>
  <c r="L23" i="112" l="1"/>
  <c r="I23" i="114"/>
  <c r="K35" i="112"/>
  <c r="J23" i="114" l="1"/>
  <c r="L23" i="114"/>
  <c r="I35" i="114"/>
  <c r="L35" i="112"/>
  <c r="M35" i="112" s="1"/>
  <c r="M23" i="112"/>
  <c r="N23" i="114" l="1"/>
  <c r="L35" i="114"/>
  <c r="N35" i="114" s="1"/>
  <c r="J35" i="114"/>
  <c r="F36" i="102"/>
  <c r="G36" i="102" s="1"/>
  <c r="H36" i="112"/>
  <c r="G24" i="102" l="1"/>
  <c r="R24" i="102"/>
  <c r="E24" i="149"/>
  <c r="E35" i="149" l="1"/>
  <c r="S24" i="149"/>
  <c r="R36" i="102"/>
  <c r="S24" i="102"/>
  <c r="D24" i="112"/>
  <c r="I24" i="104"/>
  <c r="F24" i="112" l="1"/>
  <c r="D36" i="112"/>
  <c r="S36" i="102"/>
  <c r="T36" i="102" s="1"/>
  <c r="T24" i="102"/>
  <c r="L24" i="104"/>
  <c r="I36" i="104"/>
  <c r="J24" i="104"/>
  <c r="S35" i="149"/>
  <c r="E24" i="114"/>
  <c r="F36" i="112" l="1"/>
  <c r="I36" i="112" s="1"/>
  <c r="K24" i="112"/>
  <c r="I24" i="112"/>
  <c r="E36" i="114"/>
  <c r="F36" i="114" s="1"/>
  <c r="F24" i="114"/>
  <c r="J36" i="104"/>
  <c r="L36" i="104"/>
  <c r="N36" i="104" s="1"/>
  <c r="N24" i="104"/>
  <c r="K36" i="112" l="1"/>
  <c r="L24" i="112"/>
  <c r="I24" i="114"/>
  <c r="J24" i="114" l="1"/>
  <c r="I36" i="114"/>
  <c r="L24" i="114"/>
  <c r="M24" i="112"/>
  <c r="L36" i="112"/>
  <c r="M36" i="112" s="1"/>
  <c r="N24" i="114" l="1"/>
  <c r="J36" i="114"/>
  <c r="L36" i="114"/>
  <c r="N36" i="114" s="1"/>
  <c r="G12" i="102" l="1"/>
  <c r="E12" i="149"/>
  <c r="S12" i="149" s="1"/>
  <c r="E12" i="114" s="1"/>
  <c r="F12" i="114" s="1"/>
  <c r="R12" i="102"/>
  <c r="I12" i="104" l="1"/>
  <c r="S12" i="102"/>
  <c r="T12" i="102" s="1"/>
  <c r="D12" i="112"/>
  <c r="F12" i="112" s="1"/>
  <c r="K12" i="112" s="1"/>
  <c r="I12" i="112"/>
  <c r="G29" i="103" l="1"/>
  <c r="L12" i="112"/>
  <c r="M12" i="112" s="1"/>
  <c r="I12" i="114"/>
  <c r="R18" i="102"/>
  <c r="E18" i="149"/>
  <c r="S18" i="149" s="1"/>
  <c r="E18" i="114" s="1"/>
  <c r="F30" i="102"/>
  <c r="G30" i="102" s="1"/>
  <c r="E13" i="149"/>
  <c r="R13" i="102"/>
  <c r="G13" i="102"/>
  <c r="G18" i="102" s="1"/>
  <c r="J12" i="104"/>
  <c r="L12" i="104"/>
  <c r="N12" i="104" s="1"/>
  <c r="G36" i="103" l="1"/>
  <c r="H29" i="103"/>
  <c r="H36" i="103" s="1"/>
  <c r="H38" i="103" s="1"/>
  <c r="H39" i="103" s="1"/>
  <c r="H40" i="103" s="1"/>
  <c r="G16" i="102"/>
  <c r="F33" i="102"/>
  <c r="G33" i="102" s="1"/>
  <c r="E16" i="149"/>
  <c r="R16" i="102"/>
  <c r="I18" i="104"/>
  <c r="S18" i="102"/>
  <c r="D18" i="112"/>
  <c r="F18" i="112" s="1"/>
  <c r="K18" i="112" s="1"/>
  <c r="H30" i="112"/>
  <c r="L12" i="114"/>
  <c r="N12" i="114" s="1"/>
  <c r="J12" i="114"/>
  <c r="E29" i="149"/>
  <c r="S13" i="149"/>
  <c r="S13" i="102"/>
  <c r="R30" i="102"/>
  <c r="I13" i="104"/>
  <c r="D13" i="112"/>
  <c r="G21" i="102"/>
  <c r="E21" i="149"/>
  <c r="S21" i="149" s="1"/>
  <c r="E21" i="114" s="1"/>
  <c r="F21" i="114" s="1"/>
  <c r="R21" i="102"/>
  <c r="G20" i="102"/>
  <c r="E20" i="149"/>
  <c r="S20" i="149" s="1"/>
  <c r="E20" i="114" s="1"/>
  <c r="F20" i="114" s="1"/>
  <c r="R20" i="102"/>
  <c r="D18" i="147"/>
  <c r="D29" i="147" s="1"/>
  <c r="S29" i="103"/>
  <c r="D36" i="147" l="1"/>
  <c r="E29" i="147"/>
  <c r="E36" i="147" s="1"/>
  <c r="E38" i="147" s="1"/>
  <c r="G11" i="102"/>
  <c r="F29" i="102"/>
  <c r="R11" i="102"/>
  <c r="E11" i="149"/>
  <c r="I20" i="104"/>
  <c r="S20" i="102"/>
  <c r="T20" i="102" s="1"/>
  <c r="D20" i="112"/>
  <c r="F20" i="112" s="1"/>
  <c r="S30" i="102"/>
  <c r="T30" i="102" s="1"/>
  <c r="T13" i="102"/>
  <c r="T18" i="102" s="1"/>
  <c r="G29" i="147"/>
  <c r="R33" i="102"/>
  <c r="S16" i="102"/>
  <c r="I16" i="104"/>
  <c r="D16" i="112"/>
  <c r="G19" i="102"/>
  <c r="R19" i="102"/>
  <c r="E19" i="149"/>
  <c r="S19" i="149" s="1"/>
  <c r="E19" i="114" s="1"/>
  <c r="F19" i="114" s="1"/>
  <c r="I18" i="114"/>
  <c r="L18" i="112"/>
  <c r="E32" i="149"/>
  <c r="S16" i="149"/>
  <c r="D30" i="112"/>
  <c r="F13" i="112"/>
  <c r="T29" i="103"/>
  <c r="T36" i="103" s="1"/>
  <c r="T38" i="103" s="1"/>
  <c r="T39" i="103" s="1"/>
  <c r="T40" i="103" s="1"/>
  <c r="S36" i="103"/>
  <c r="I21" i="104"/>
  <c r="S21" i="102"/>
  <c r="T21" i="102" s="1"/>
  <c r="D21" i="112"/>
  <c r="F21" i="112" s="1"/>
  <c r="L13" i="104"/>
  <c r="J13" i="104"/>
  <c r="J18" i="104" s="1"/>
  <c r="I30" i="104"/>
  <c r="S29" i="149"/>
  <c r="E13" i="114"/>
  <c r="G14" i="102"/>
  <c r="F31" i="102"/>
  <c r="G31" i="102" s="1"/>
  <c r="E14" i="149"/>
  <c r="R14" i="102"/>
  <c r="E15" i="149"/>
  <c r="G15" i="102"/>
  <c r="R15" i="102"/>
  <c r="F32" i="102"/>
  <c r="G32" i="102" s="1"/>
  <c r="I21" i="112" l="1"/>
  <c r="L20" i="104"/>
  <c r="N20" i="104" s="1"/>
  <c r="J20" i="104"/>
  <c r="F13" i="114"/>
  <c r="F18" i="114" s="1"/>
  <c r="E30" i="114"/>
  <c r="F30" i="114" s="1"/>
  <c r="N13" i="104"/>
  <c r="L18" i="104"/>
  <c r="N18" i="104" s="1"/>
  <c r="E28" i="149"/>
  <c r="S11" i="149"/>
  <c r="R32" i="102"/>
  <c r="S15" i="102"/>
  <c r="I15" i="104"/>
  <c r="D15" i="112"/>
  <c r="G14" i="134"/>
  <c r="J14" i="134" s="1"/>
  <c r="M14" i="134" s="1"/>
  <c r="G24" i="134"/>
  <c r="J24" i="134" s="1"/>
  <c r="M24" i="134" s="1"/>
  <c r="G15" i="134"/>
  <c r="J15" i="134" s="1"/>
  <c r="M15" i="134" s="1"/>
  <c r="G13" i="134"/>
  <c r="J13" i="134" s="1"/>
  <c r="M13" i="134" s="1"/>
  <c r="G33" i="134"/>
  <c r="J33" i="134" s="1"/>
  <c r="M33" i="134" s="1"/>
  <c r="G28" i="134"/>
  <c r="J28" i="134" s="1"/>
  <c r="M28" i="134" s="1"/>
  <c r="G29" i="134"/>
  <c r="J29" i="134" s="1"/>
  <c r="M29" i="134" s="1"/>
  <c r="G19" i="134"/>
  <c r="J19" i="134" s="1"/>
  <c r="M19" i="134" s="1"/>
  <c r="G30" i="134"/>
  <c r="J30" i="134" s="1"/>
  <c r="M30" i="134" s="1"/>
  <c r="G20" i="134"/>
  <c r="J20" i="134" s="1"/>
  <c r="M20" i="134" s="1"/>
  <c r="G27" i="134"/>
  <c r="J27" i="134" s="1"/>
  <c r="M27" i="134" s="1"/>
  <c r="G22" i="134"/>
  <c r="J22" i="134" s="1"/>
  <c r="M22" i="134" s="1"/>
  <c r="G23" i="134"/>
  <c r="J23" i="134" s="1"/>
  <c r="M23" i="134" s="1"/>
  <c r="G11" i="134"/>
  <c r="J11" i="134" s="1"/>
  <c r="M11" i="134" s="1"/>
  <c r="G32" i="134"/>
  <c r="J32" i="134" s="1"/>
  <c r="M32" i="134" s="1"/>
  <c r="G18" i="134"/>
  <c r="J18" i="134" s="1"/>
  <c r="M18" i="134" s="1"/>
  <c r="G16" i="134"/>
  <c r="J16" i="134" s="1"/>
  <c r="M16" i="134" s="1"/>
  <c r="G21" i="134"/>
  <c r="J21" i="134" s="1"/>
  <c r="M21" i="134" s="1"/>
  <c r="G34" i="134"/>
  <c r="J34" i="134" s="1"/>
  <c r="M34" i="134" s="1"/>
  <c r="G36" i="134"/>
  <c r="J36" i="134" s="1"/>
  <c r="M36" i="134" s="1"/>
  <c r="G17" i="134"/>
  <c r="J17" i="134" s="1"/>
  <c r="M17" i="134" s="1"/>
  <c r="G12" i="134"/>
  <c r="J12" i="134" s="1"/>
  <c r="M12" i="134" s="1"/>
  <c r="G31" i="134"/>
  <c r="J31" i="134" s="1"/>
  <c r="M31" i="134" s="1"/>
  <c r="G35" i="134"/>
  <c r="J35" i="134" s="1"/>
  <c r="M35" i="134" s="1"/>
  <c r="G25" i="134"/>
  <c r="J25" i="134" s="1"/>
  <c r="M25" i="134" s="1"/>
  <c r="G26" i="134"/>
  <c r="J26" i="134" s="1"/>
  <c r="M26" i="134" s="1"/>
  <c r="F30" i="112"/>
  <c r="I30" i="112" s="1"/>
  <c r="K13" i="112"/>
  <c r="I13" i="112"/>
  <c r="I18" i="112" s="1"/>
  <c r="D33" i="112"/>
  <c r="F16" i="112"/>
  <c r="I11" i="104"/>
  <c r="S11" i="102"/>
  <c r="D11" i="112"/>
  <c r="R29" i="102"/>
  <c r="E31" i="149"/>
  <c r="S15" i="149"/>
  <c r="J21" i="104"/>
  <c r="L21" i="104"/>
  <c r="N21" i="104" s="1"/>
  <c r="S33" i="102"/>
  <c r="T33" i="102" s="1"/>
  <c r="T16" i="102"/>
  <c r="H29" i="147"/>
  <c r="H36" i="147" s="1"/>
  <c r="H38" i="147" s="1"/>
  <c r="H39" i="147" s="1"/>
  <c r="H40" i="147" s="1"/>
  <c r="G36" i="147"/>
  <c r="I14" i="104"/>
  <c r="S14" i="102"/>
  <c r="D14" i="112"/>
  <c r="R31" i="102"/>
  <c r="S19" i="102"/>
  <c r="T19" i="102" s="1"/>
  <c r="I19" i="104"/>
  <c r="D19" i="112"/>
  <c r="F19" i="112" s="1"/>
  <c r="E30" i="149"/>
  <c r="S14" i="149"/>
  <c r="J30" i="104"/>
  <c r="L30" i="104"/>
  <c r="N30" i="104" s="1"/>
  <c r="S32" i="149"/>
  <c r="E16" i="114"/>
  <c r="J16" i="104"/>
  <c r="L16" i="104"/>
  <c r="I33" i="104"/>
  <c r="G29" i="102"/>
  <c r="N16" i="104" l="1"/>
  <c r="J19" i="104"/>
  <c r="L19" i="104"/>
  <c r="N19" i="104" s="1"/>
  <c r="E15" i="114"/>
  <c r="S31" i="149"/>
  <c r="T15" i="102"/>
  <c r="S32" i="102"/>
  <c r="T32" i="102" s="1"/>
  <c r="L11" i="104"/>
  <c r="J11" i="104"/>
  <c r="I29" i="104"/>
  <c r="T14" i="102"/>
  <c r="S31" i="102"/>
  <c r="T31" i="102" s="1"/>
  <c r="D32" i="112"/>
  <c r="F15" i="112"/>
  <c r="S28" i="149"/>
  <c r="E11" i="114"/>
  <c r="H33" i="112"/>
  <c r="I33" i="112" s="1"/>
  <c r="I16" i="112"/>
  <c r="J33" i="104"/>
  <c r="L33" i="104"/>
  <c r="N33" i="104" s="1"/>
  <c r="H13" i="134"/>
  <c r="K13" i="134" s="1"/>
  <c r="N13" i="134" s="1"/>
  <c r="H25" i="134"/>
  <c r="K25" i="134" s="1"/>
  <c r="N25" i="134" s="1"/>
  <c r="H21" i="134"/>
  <c r="K21" i="134" s="1"/>
  <c r="N21" i="134" s="1"/>
  <c r="H26" i="134"/>
  <c r="K26" i="134" s="1"/>
  <c r="N26" i="134" s="1"/>
  <c r="H36" i="134"/>
  <c r="K36" i="134" s="1"/>
  <c r="N36" i="134" s="1"/>
  <c r="H28" i="134"/>
  <c r="K28" i="134" s="1"/>
  <c r="N28" i="134" s="1"/>
  <c r="H23" i="134"/>
  <c r="K23" i="134" s="1"/>
  <c r="N23" i="134" s="1"/>
  <c r="H35" i="134"/>
  <c r="K35" i="134" s="1"/>
  <c r="N35" i="134" s="1"/>
  <c r="H22" i="134"/>
  <c r="K22" i="134" s="1"/>
  <c r="N22" i="134" s="1"/>
  <c r="H29" i="134"/>
  <c r="K29" i="134" s="1"/>
  <c r="N29" i="134" s="1"/>
  <c r="H33" i="134"/>
  <c r="K33" i="134" s="1"/>
  <c r="N33" i="134" s="1"/>
  <c r="H20" i="134"/>
  <c r="K20" i="134" s="1"/>
  <c r="N20" i="134" s="1"/>
  <c r="H16" i="134"/>
  <c r="K16" i="134" s="1"/>
  <c r="N16" i="134" s="1"/>
  <c r="H31" i="134"/>
  <c r="K31" i="134" s="1"/>
  <c r="N31" i="134" s="1"/>
  <c r="H19" i="134"/>
  <c r="K19" i="134" s="1"/>
  <c r="N19" i="134" s="1"/>
  <c r="H15" i="134"/>
  <c r="K15" i="134" s="1"/>
  <c r="N15" i="134" s="1"/>
  <c r="H27" i="134"/>
  <c r="K27" i="134" s="1"/>
  <c r="N27" i="134" s="1"/>
  <c r="H30" i="134"/>
  <c r="K30" i="134" s="1"/>
  <c r="N30" i="134" s="1"/>
  <c r="H12" i="134"/>
  <c r="K12" i="134" s="1"/>
  <c r="N12" i="134" s="1"/>
  <c r="H18" i="134"/>
  <c r="K18" i="134" s="1"/>
  <c r="N18" i="134" s="1"/>
  <c r="H14" i="134"/>
  <c r="K14" i="134" s="1"/>
  <c r="N14" i="134" s="1"/>
  <c r="H17" i="134"/>
  <c r="K17" i="134" s="1"/>
  <c r="N17" i="134" s="1"/>
  <c r="H24" i="134"/>
  <c r="K24" i="134" s="1"/>
  <c r="N24" i="134" s="1"/>
  <c r="H34" i="134"/>
  <c r="K34" i="134" s="1"/>
  <c r="N34" i="134" s="1"/>
  <c r="H32" i="134"/>
  <c r="K32" i="134" s="1"/>
  <c r="N32" i="134" s="1"/>
  <c r="H11" i="134"/>
  <c r="K11" i="134" s="1"/>
  <c r="N11" i="134" s="1"/>
  <c r="T11" i="102"/>
  <c r="S29" i="102"/>
  <c r="F33" i="112"/>
  <c r="K16" i="112"/>
  <c r="H29" i="112"/>
  <c r="S30" i="149"/>
  <c r="E14" i="114"/>
  <c r="D31" i="112"/>
  <c r="F14" i="112"/>
  <c r="G22" i="102"/>
  <c r="E22" i="149"/>
  <c r="S22" i="149" s="1"/>
  <c r="E22" i="114" s="1"/>
  <c r="F22" i="114" s="1"/>
  <c r="R22" i="102"/>
  <c r="I19" i="112"/>
  <c r="F16" i="114"/>
  <c r="E33" i="114"/>
  <c r="F33" i="114" s="1"/>
  <c r="L14" i="104"/>
  <c r="J14" i="104"/>
  <c r="I31" i="104"/>
  <c r="D29" i="112"/>
  <c r="F11" i="112"/>
  <c r="K30" i="112"/>
  <c r="L13" i="112"/>
  <c r="I13" i="114"/>
  <c r="K21" i="112"/>
  <c r="J15" i="104"/>
  <c r="L15" i="104"/>
  <c r="I32" i="104"/>
  <c r="N14" i="104" l="1"/>
  <c r="J29" i="104"/>
  <c r="L29" i="104"/>
  <c r="F29" i="112"/>
  <c r="K11" i="112"/>
  <c r="K33" i="112"/>
  <c r="I16" i="114"/>
  <c r="L16" i="112"/>
  <c r="I14" i="112"/>
  <c r="H31" i="112"/>
  <c r="I29" i="112"/>
  <c r="F32" i="112"/>
  <c r="K15" i="112"/>
  <c r="J31" i="104"/>
  <c r="L31" i="104"/>
  <c r="N31" i="104" s="1"/>
  <c r="E31" i="114"/>
  <c r="F31" i="114" s="1"/>
  <c r="F14" i="114"/>
  <c r="G17" i="102"/>
  <c r="E17" i="149"/>
  <c r="F34" i="102"/>
  <c r="R17" i="102"/>
  <c r="F25" i="102"/>
  <c r="G25" i="102" s="1"/>
  <c r="I21" i="114"/>
  <c r="L21" i="112"/>
  <c r="M21" i="112" s="1"/>
  <c r="I15" i="112"/>
  <c r="H32" i="112"/>
  <c r="J32" i="104"/>
  <c r="L32" i="104"/>
  <c r="N32" i="104" s="1"/>
  <c r="I30" i="114"/>
  <c r="J13" i="114"/>
  <c r="J18" i="114" s="1"/>
  <c r="L13" i="114"/>
  <c r="F31" i="112"/>
  <c r="K14" i="112"/>
  <c r="N15" i="104"/>
  <c r="M13" i="112"/>
  <c r="M18" i="112" s="1"/>
  <c r="L30" i="112"/>
  <c r="M30" i="112" s="1"/>
  <c r="K19" i="112"/>
  <c r="D22" i="112"/>
  <c r="F22" i="112" s="1"/>
  <c r="S22" i="102"/>
  <c r="T22" i="102" s="1"/>
  <c r="I22" i="104"/>
  <c r="I11" i="112"/>
  <c r="T29" i="102"/>
  <c r="F11" i="114"/>
  <c r="E29" i="114"/>
  <c r="N11" i="104"/>
  <c r="F15" i="114"/>
  <c r="E32" i="114"/>
  <c r="F32" i="114" s="1"/>
  <c r="I20" i="112"/>
  <c r="K20" i="112"/>
  <c r="I32" i="112" l="1"/>
  <c r="K31" i="112"/>
  <c r="L14" i="112"/>
  <c r="I14" i="114"/>
  <c r="J30" i="114"/>
  <c r="L30" i="114"/>
  <c r="N30" i="114" s="1"/>
  <c r="L21" i="114"/>
  <c r="N21" i="114" s="1"/>
  <c r="J21" i="114"/>
  <c r="G34" i="102"/>
  <c r="F37" i="102"/>
  <c r="G37" i="102" s="1"/>
  <c r="M16" i="112"/>
  <c r="L33" i="112"/>
  <c r="M33" i="112" s="1"/>
  <c r="R34" i="102"/>
  <c r="R37" i="102" s="1"/>
  <c r="D17" i="112"/>
  <c r="I17" i="104"/>
  <c r="S17" i="102"/>
  <c r="R25" i="102"/>
  <c r="K32" i="112"/>
  <c r="L15" i="112"/>
  <c r="I15" i="114"/>
  <c r="I31" i="112"/>
  <c r="I33" i="114"/>
  <c r="J16" i="114"/>
  <c r="L16" i="114"/>
  <c r="L11" i="112"/>
  <c r="K29" i="112"/>
  <c r="I11" i="114"/>
  <c r="N29" i="104"/>
  <c r="I20" i="114"/>
  <c r="L20" i="112"/>
  <c r="M20" i="112" s="1"/>
  <c r="I19" i="114"/>
  <c r="L19" i="112"/>
  <c r="M19" i="112" s="1"/>
  <c r="S17" i="149"/>
  <c r="E33" i="149"/>
  <c r="E36" i="149" s="1"/>
  <c r="E25" i="149"/>
  <c r="F29" i="114"/>
  <c r="J22" i="104"/>
  <c r="L22" i="104"/>
  <c r="N22" i="104" s="1"/>
  <c r="N13" i="114"/>
  <c r="L18" i="114"/>
  <c r="N18" i="114" s="1"/>
  <c r="N16" i="114" l="1"/>
  <c r="J15" i="114"/>
  <c r="I32" i="114"/>
  <c r="L15" i="114"/>
  <c r="T17" i="102"/>
  <c r="S34" i="102"/>
  <c r="S25" i="102"/>
  <c r="T25" i="102" s="1"/>
  <c r="L32" i="112"/>
  <c r="M32" i="112" s="1"/>
  <c r="M15" i="112"/>
  <c r="J17" i="104"/>
  <c r="L17" i="104"/>
  <c r="N17" i="104" s="1"/>
  <c r="I34" i="104"/>
  <c r="I25" i="104"/>
  <c r="I31" i="114"/>
  <c r="L14" i="114"/>
  <c r="N14" i="114" s="1"/>
  <c r="J14" i="114"/>
  <c r="J19" i="114"/>
  <c r="L19" i="114"/>
  <c r="N19" i="114" s="1"/>
  <c r="J11" i="114"/>
  <c r="I29" i="114"/>
  <c r="L11" i="114"/>
  <c r="S33" i="149"/>
  <c r="S36" i="149" s="1"/>
  <c r="E17" i="114"/>
  <c r="S25" i="149"/>
  <c r="J20" i="114"/>
  <c r="L20" i="114"/>
  <c r="N20" i="114" s="1"/>
  <c r="L29" i="112"/>
  <c r="M11" i="112"/>
  <c r="L33" i="114"/>
  <c r="N33" i="114" s="1"/>
  <c r="J33" i="114"/>
  <c r="D34" i="112"/>
  <c r="D37" i="112" s="1"/>
  <c r="F17" i="112"/>
  <c r="D25" i="112"/>
  <c r="M14" i="112"/>
  <c r="L31" i="112"/>
  <c r="M31" i="112" s="1"/>
  <c r="N15" i="114" l="1"/>
  <c r="L29" i="114"/>
  <c r="J29" i="114"/>
  <c r="J32" i="114"/>
  <c r="L32" i="114"/>
  <c r="N32" i="114" s="1"/>
  <c r="J34" i="104"/>
  <c r="L34" i="104"/>
  <c r="I37" i="104"/>
  <c r="N11" i="114"/>
  <c r="J31" i="114"/>
  <c r="L31" i="114"/>
  <c r="N31" i="114" s="1"/>
  <c r="T34" i="102"/>
  <c r="S37" i="102"/>
  <c r="T37" i="102" s="1"/>
  <c r="F34" i="112"/>
  <c r="F37" i="112" s="1"/>
  <c r="F25" i="112"/>
  <c r="M29" i="112"/>
  <c r="F17" i="114"/>
  <c r="E34" i="114"/>
  <c r="E25" i="114"/>
  <c r="F25" i="114" s="1"/>
  <c r="J25" i="104"/>
  <c r="L25" i="104"/>
  <c r="N25" i="104" s="1"/>
  <c r="N34" i="104" l="1"/>
  <c r="F34" i="114"/>
  <c r="E37" i="114"/>
  <c r="F37" i="114" s="1"/>
  <c r="N29" i="114"/>
  <c r="J37" i="104"/>
  <c r="L37" i="104"/>
  <c r="N37" i="104" s="1"/>
  <c r="I22" i="112" l="1"/>
  <c r="K22" i="112"/>
  <c r="L22" i="112" l="1"/>
  <c r="M22" i="112" s="1"/>
  <c r="I22" i="114"/>
  <c r="H34" i="112"/>
  <c r="I17" i="112"/>
  <c r="H25" i="112"/>
  <c r="I25" i="112" s="1"/>
  <c r="K17" i="112"/>
  <c r="J22" i="114" l="1"/>
  <c r="L22" i="114"/>
  <c r="N22" i="114" s="1"/>
  <c r="K34" i="112"/>
  <c r="K37" i="112" s="1"/>
  <c r="I17" i="114"/>
  <c r="L17" i="112"/>
  <c r="K25" i="112"/>
  <c r="I34" i="112"/>
  <c r="H37" i="112"/>
  <c r="I37" i="112" s="1"/>
  <c r="J17" i="114" l="1"/>
  <c r="L17" i="114"/>
  <c r="I34" i="114"/>
  <c r="I25" i="114"/>
  <c r="M17" i="112"/>
  <c r="L34" i="112"/>
  <c r="L25" i="112"/>
  <c r="M25" i="112" s="1"/>
  <c r="N17" i="114" l="1"/>
  <c r="M34" i="112"/>
  <c r="L37" i="112"/>
  <c r="M37" i="112" s="1"/>
  <c r="J25" i="114"/>
  <c r="L25" i="114"/>
  <c r="N25" i="114" s="1"/>
  <c r="J34" i="114"/>
  <c r="L34" i="114"/>
  <c r="N34" i="114" s="1"/>
  <c r="I37" i="114"/>
  <c r="L37" i="114" l="1"/>
  <c r="N37" i="114" s="1"/>
  <c r="J37" i="114"/>
</calcChain>
</file>

<file path=xl/sharedStrings.xml><?xml version="1.0" encoding="utf-8"?>
<sst xmlns="http://schemas.openxmlformats.org/spreadsheetml/2006/main" count="1971" uniqueCount="425">
  <si>
    <t>Puget Sound Energy</t>
  </si>
  <si>
    <t>Proposed</t>
  </si>
  <si>
    <t>Revenue</t>
  </si>
  <si>
    <t>Volume (Therms)</t>
  </si>
  <si>
    <t>Rate Class</t>
  </si>
  <si>
    <t>Current</t>
  </si>
  <si>
    <t>Total</t>
  </si>
  <si>
    <t>Residential</t>
  </si>
  <si>
    <t>Commercial &amp; Industrial</t>
  </si>
  <si>
    <t>Large Volume</t>
  </si>
  <si>
    <t>Interruptible</t>
  </si>
  <si>
    <t>Limited Interruptible</t>
  </si>
  <si>
    <t>Non-exclusive Interruptible</t>
  </si>
  <si>
    <t>Contracts</t>
  </si>
  <si>
    <t>Subtotal</t>
  </si>
  <si>
    <t>Forecasted</t>
  </si>
  <si>
    <t>Sched 140</t>
  </si>
  <si>
    <t>Rate</t>
  </si>
  <si>
    <t>Sched 101</t>
  </si>
  <si>
    <t>Sched 106</t>
  </si>
  <si>
    <t>Percent</t>
  </si>
  <si>
    <t>Schedule</t>
  </si>
  <si>
    <t>Rates</t>
  </si>
  <si>
    <t>Current Rates</t>
  </si>
  <si>
    <t>Change</t>
  </si>
  <si>
    <t>A</t>
  </si>
  <si>
    <t>B</t>
  </si>
  <si>
    <t>C</t>
  </si>
  <si>
    <t>D</t>
  </si>
  <si>
    <t>J</t>
  </si>
  <si>
    <t>23,53</t>
  </si>
  <si>
    <t>Residential Gas Lights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</si>
  <si>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</si>
  <si>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</si>
  <si>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</si>
  <si>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</si>
  <si>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</si>
  <si>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</si>
  <si>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</si>
  <si>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</si>
  <si>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</si>
  <si>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</si>
  <si>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Check</t>
  </si>
  <si>
    <t>Sched 120</t>
  </si>
  <si>
    <t>K</t>
  </si>
  <si>
    <t>Sch 142</t>
  </si>
  <si>
    <t>Decoupling</t>
  </si>
  <si>
    <t>23/53</t>
  </si>
  <si>
    <t>Commercial &amp; industrial</t>
  </si>
  <si>
    <t>Large volume</t>
  </si>
  <si>
    <t>Demand Charge</t>
  </si>
  <si>
    <t>Delivery Charge:</t>
  </si>
  <si>
    <t>901 to 5,000 therms</t>
  </si>
  <si>
    <t>Over 5,000 therms</t>
  </si>
  <si>
    <t>Large volume - Trans.</t>
  </si>
  <si>
    <t>Procurement Charge</t>
  </si>
  <si>
    <t>First 25,000 therms</t>
  </si>
  <si>
    <t>Next 25,000 therms</t>
  </si>
  <si>
    <t>Over 50,000 therms</t>
  </si>
  <si>
    <t>First 1,000 therms</t>
  </si>
  <si>
    <t>Over 1,000 therms</t>
  </si>
  <si>
    <t>Limited Interruptible - Trans.</t>
  </si>
  <si>
    <t>Next 50,000 therms</t>
  </si>
  <si>
    <t>Next 100,000 therms</t>
  </si>
  <si>
    <t>Next 300,000 therms</t>
  </si>
  <si>
    <t>Over 500,000 therms</t>
  </si>
  <si>
    <t>Firm Sales</t>
  </si>
  <si>
    <t>Interruptible Sales</t>
  </si>
  <si>
    <t>Total Sales</t>
  </si>
  <si>
    <t>Transport</t>
  </si>
  <si>
    <t>check</t>
  </si>
  <si>
    <t>H</t>
  </si>
  <si>
    <t>L</t>
  </si>
  <si>
    <t>Sched 129</t>
  </si>
  <si>
    <t>Customer Class</t>
  </si>
  <si>
    <t>Transportation</t>
  </si>
  <si>
    <t>Schedule Number</t>
  </si>
  <si>
    <t>First 900 therms</t>
  </si>
  <si>
    <t>Next 4,100 therms</t>
  </si>
  <si>
    <t>All over 5,000 therms</t>
  </si>
  <si>
    <t>All over 50,000 therms</t>
  </si>
  <si>
    <t>All over 1,000 therms</t>
  </si>
  <si>
    <t>All over 500,000 therms</t>
  </si>
  <si>
    <t xml:space="preserve">First 900 therms or less  </t>
  </si>
  <si>
    <t>41G</t>
  </si>
  <si>
    <t>85G</t>
  </si>
  <si>
    <t>86G</t>
  </si>
  <si>
    <t>87G</t>
  </si>
  <si>
    <t>12 MO Total</t>
  </si>
  <si>
    <t>Residential (16)</t>
  </si>
  <si>
    <t>Residential (23)</t>
  </si>
  <si>
    <t>Residential (53)</t>
  </si>
  <si>
    <t>Commercial &amp; industrial (31)</t>
  </si>
  <si>
    <t>Large volume (41)</t>
  </si>
  <si>
    <t>Transportation - large volume (41T)</t>
  </si>
  <si>
    <t>Transportation - general services (31T)</t>
  </si>
  <si>
    <t>Interruptible (85)</t>
  </si>
  <si>
    <t>Transportation - interruptible (85T)</t>
  </si>
  <si>
    <t>Limited interruptible (86)</t>
  </si>
  <si>
    <t>Transportation - limited interruptible (86T)</t>
  </si>
  <si>
    <t>Non exclusive interruptible (87)</t>
  </si>
  <si>
    <t>Transportation - non exclusive interrupt (87T)</t>
  </si>
  <si>
    <t>Demand</t>
  </si>
  <si>
    <t>Commercial &amp; industrial - Trans.</t>
  </si>
  <si>
    <t>Description</t>
  </si>
  <si>
    <t>Schedule 23 Residential</t>
  </si>
  <si>
    <t>Schedule 16 Gas Lights</t>
  </si>
  <si>
    <t>Schedule 31 Commercial &amp; Industrial - Sales</t>
  </si>
  <si>
    <t>Schedule 41 Large Volume High Load Factor - Sales</t>
  </si>
  <si>
    <t>Schedule 85 Interruptible - Sales</t>
  </si>
  <si>
    <t>Schedule 86 Limited Interruptible - Sales</t>
  </si>
  <si>
    <t>Schedule 87 Non-exclusive Interruptible - Sales</t>
  </si>
  <si>
    <t>Units</t>
  </si>
  <si>
    <t>Delivery Charge</t>
  </si>
  <si>
    <t>Therms</t>
  </si>
  <si>
    <t>Revenue Change</t>
  </si>
  <si>
    <t xml:space="preserve">Rate </t>
  </si>
  <si>
    <t>31, 31T</t>
  </si>
  <si>
    <t>41, 41T</t>
  </si>
  <si>
    <t>86, 86T</t>
  </si>
  <si>
    <t>87, 87T</t>
  </si>
  <si>
    <t>85, 85T</t>
  </si>
  <si>
    <t>I</t>
  </si>
  <si>
    <t>M</t>
  </si>
  <si>
    <t>Proposed Rates</t>
  </si>
  <si>
    <t>F</t>
  </si>
  <si>
    <t>G</t>
  </si>
  <si>
    <t>Sched 142</t>
  </si>
  <si>
    <t>Total Forecasted</t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</si>
  <si>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</si>
  <si>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 xml:space="preserve">SCH 106 </t>
  </si>
  <si>
    <t>SCH 106</t>
  </si>
  <si>
    <t>(Tracker)</t>
  </si>
  <si>
    <t>Combined</t>
  </si>
  <si>
    <t>SCH 106-A</t>
  </si>
  <si>
    <t>SCH 106-B</t>
  </si>
  <si>
    <t xml:space="preserve">(Supp) </t>
  </si>
  <si>
    <t>0 to 900 therms</t>
  </si>
  <si>
    <t>Gas Schedule 101</t>
  </si>
  <si>
    <t>Purchased Gas Adjustment</t>
  </si>
  <si>
    <t>Purchased Gas Adjustment - Deferred Account Adjustment</t>
  </si>
  <si>
    <t>Gas Schedule 120</t>
  </si>
  <si>
    <t>Conservation Program Tracker</t>
  </si>
  <si>
    <t>Gas Schedule 129</t>
  </si>
  <si>
    <t>Low Income Program</t>
  </si>
  <si>
    <t>Gas Schedule 140</t>
  </si>
  <si>
    <t>Property Tax Tracker</t>
  </si>
  <si>
    <t>Gas Schedule 142</t>
  </si>
  <si>
    <t>Revenue Decoupling Adjustment Mechanism - Decoupling Rates</t>
  </si>
  <si>
    <t>Gas Schedule 106</t>
  </si>
  <si>
    <t>By Customer Class:</t>
  </si>
  <si>
    <t>Current Rates (1)</t>
  </si>
  <si>
    <t>Average Rate</t>
  </si>
  <si>
    <t>Per Therm</t>
  </si>
  <si>
    <t>% Change</t>
  </si>
  <si>
    <t>E = D/C</t>
  </si>
  <si>
    <t>H = G/F</t>
  </si>
  <si>
    <t>I = (G-D)/D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</si>
  <si>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</si>
  <si>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</si>
  <si>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</si>
  <si>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Volume (therms)</t>
  </si>
  <si>
    <t>Customer charge ($/month)</t>
  </si>
  <si>
    <t>Volumetric charges ($/therm)</t>
  </si>
  <si>
    <t>Total volumetric charges</t>
  </si>
  <si>
    <t>Total monthly bill</t>
  </si>
  <si>
    <t>Change from bill under current rates</t>
  </si>
  <si>
    <t>Percent change from bill under current rates</t>
  </si>
  <si>
    <t>23,16,53</t>
  </si>
  <si>
    <t>Gas Forecasted Delivered Volume (Therms)</t>
  </si>
  <si>
    <t xml:space="preserve">Revenue at </t>
  </si>
  <si>
    <t>Revenue at</t>
  </si>
  <si>
    <t xml:space="preserve"> % Change</t>
  </si>
  <si>
    <t>G = F/C</t>
  </si>
  <si>
    <t>I = H/C</t>
  </si>
  <si>
    <t>Total Rate Change</t>
  </si>
  <si>
    <t>Base Rate</t>
  </si>
  <si>
    <t>Sch. 141R</t>
  </si>
  <si>
    <t>Rate Plan</t>
  </si>
  <si>
    <t>Sch. 141N</t>
  </si>
  <si>
    <t>Rate Change Impacts by Rate Schedule of Proposed Rate Year #1 Rates</t>
  </si>
  <si>
    <t>Rate Change Impacts by Rate Schedule of Proposed Rate Year #2 Rates</t>
  </si>
  <si>
    <t>Average Rate Per Therm Impacts by Rate Schedule of Proposed Rate Year #1 Rates</t>
  </si>
  <si>
    <t>Average Rate Per Therm Impacts by Rate Schedule of Proposed Rate Year #2 Rates</t>
  </si>
  <si>
    <t>Base Rate Change</t>
  </si>
  <si>
    <t>Delivery (Sch. 23)</t>
  </si>
  <si>
    <t>Low income (Sch. 129)</t>
  </si>
  <si>
    <t>Property Tax (Sch. 140)</t>
  </si>
  <si>
    <t>Non-Refund Rate Plan (Sch. 141N)</t>
  </si>
  <si>
    <t>Refundable Rate Plan (Sch. 141R)</t>
  </si>
  <si>
    <t>Decoupling (Sch. 142)</t>
  </si>
  <si>
    <t>Conservation (Sch. 120)</t>
  </si>
  <si>
    <t>Gas Cost (Sch. 101)</t>
  </si>
  <si>
    <t>Gas Cost Deferral Amort. (Sch. 106)</t>
  </si>
  <si>
    <t>Basic Charge (Sch. 23)</t>
  </si>
  <si>
    <t>Sch. 141N Rate Change</t>
  </si>
  <si>
    <t>Sch. 141R Rate Change</t>
  </si>
  <si>
    <t>E</t>
  </si>
  <si>
    <t>%</t>
  </si>
  <si>
    <t xml:space="preserve"> </t>
  </si>
  <si>
    <t>Customers</t>
  </si>
  <si>
    <t>*</t>
  </si>
  <si>
    <t>* Average Residential Customer (64 Therms)</t>
  </si>
  <si>
    <r>
      <t xml:space="preserve">Bill </t>
    </r>
    <r>
      <rPr>
        <vertAlign val="superscript"/>
        <sz val="11"/>
        <rFont val="Calibri"/>
        <family val="2"/>
        <scheme val="minor"/>
      </rPr>
      <t>2</t>
    </r>
  </si>
  <si>
    <t>&gt;250</t>
  </si>
  <si>
    <t>12ME Dec. 2025</t>
  </si>
  <si>
    <t>Proposed RY#1 Rates</t>
  </si>
  <si>
    <t>RY#1 Rates (1)</t>
  </si>
  <si>
    <t>Natural Gas Operations</t>
  </si>
  <si>
    <t>Total Therms</t>
  </si>
  <si>
    <t>Forecasted Therms by Rate Block</t>
  </si>
  <si>
    <t>Forecasted Therms by Rate Block Percent</t>
  </si>
  <si>
    <t>Forecasted Billing Determinants</t>
  </si>
  <si>
    <t>Demand Therms:</t>
  </si>
  <si>
    <t>Bills:</t>
  </si>
  <si>
    <t>Base Sched</t>
  </si>
  <si>
    <t>Sched 141N</t>
  </si>
  <si>
    <t>Sched 141R</t>
  </si>
  <si>
    <t>January 2025 - December 2025</t>
  </si>
  <si>
    <t>12-Months Ending December 2025</t>
  </si>
  <si>
    <t>Jan. 2025 -</t>
  </si>
  <si>
    <t>Dec. 2025</t>
  </si>
  <si>
    <t>Count of Gas Residential Installations by Therm Block</t>
  </si>
  <si>
    <t>Schedule 23</t>
  </si>
  <si>
    <t>Therm Block</t>
  </si>
  <si>
    <t>Annual % of Total</t>
  </si>
  <si>
    <t>Annual Total</t>
  </si>
  <si>
    <t>0-10</t>
  </si>
  <si>
    <t>10-20</t>
  </si>
  <si>
    <t>20-30</t>
  </si>
  <si>
    <t>30-40</t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</si>
  <si>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</si>
  <si>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</si>
  <si>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</si>
  <si>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</si>
  <si>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</si>
  <si>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</si>
  <si>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</si>
  <si>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</si>
  <si>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</si>
  <si>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</si>
  <si>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</si>
  <si>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</si>
  <si>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</si>
  <si>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</si>
  <si>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180-190</t>
  </si>
  <si>
    <t>190-200</t>
  </si>
  <si>
    <t>200-210</t>
  </si>
  <si>
    <t>210-220</t>
  </si>
  <si>
    <t>220-230</t>
  </si>
  <si>
    <t>230-240</t>
  </si>
  <si>
    <t>240-250</t>
  </si>
  <si>
    <t>Grand Total</t>
  </si>
  <si>
    <t>Effective</t>
  </si>
  <si>
    <t>Change in Bill $</t>
  </si>
  <si>
    <t>Change in Bill %</t>
  </si>
  <si>
    <t>Bill</t>
  </si>
  <si>
    <r>
      <t>Bill</t>
    </r>
    <r>
      <rPr>
        <sz val="11"/>
        <color theme="1"/>
        <rFont val="Calibri"/>
        <family val="2"/>
        <scheme val="minor"/>
      </rPr>
      <t/>
    </r>
  </si>
  <si>
    <r>
      <t xml:space="preserve">Monthly Bill Amounts $ </t>
    </r>
    <r>
      <rPr>
        <vertAlign val="superscript"/>
        <sz val="11"/>
        <rFont val="Calibri"/>
        <family val="2"/>
        <scheme val="minor"/>
      </rPr>
      <t>1</t>
    </r>
  </si>
  <si>
    <t>Sch. 23 Residential Monthly Billing Comparison of Proposed Rate Plan Rates</t>
  </si>
  <si>
    <t>Typical Sch. 23 Residential Bill Impacts of Proposed Rate Year #1 Rates</t>
  </si>
  <si>
    <t>Typical Sch. 23 Residential Bill Impacts of Proposed Rate Year #2 Rates</t>
  </si>
  <si>
    <t>Gas Schedule 141N</t>
  </si>
  <si>
    <t>Non-Refundable Rate Plan Rates</t>
  </si>
  <si>
    <t>Gas Schedule 141R</t>
  </si>
  <si>
    <t>K = J/C</t>
  </si>
  <si>
    <t>Index</t>
  </si>
  <si>
    <t>Work Sheet</t>
  </si>
  <si>
    <t>Category</t>
  </si>
  <si>
    <t>Work Papers</t>
  </si>
  <si>
    <t>Data</t>
  </si>
  <si>
    <t>Dependent (Linked) Work Papers</t>
  </si>
  <si>
    <t>JDT-5-GAS-RATE-SPREAD-DESIGN</t>
  </si>
  <si>
    <t>Precedent (Linked) Work Papers</t>
  </si>
  <si>
    <t>JDT-3-GAS-NORMALIZED-REVENUE</t>
  </si>
  <si>
    <t>Gas Customer Bill Impacts Work Paper</t>
  </si>
  <si>
    <t>Rate Impacts_RY#1</t>
  </si>
  <si>
    <t>Rate Impacts_RY#2</t>
  </si>
  <si>
    <t>Res Bill Summary</t>
  </si>
  <si>
    <t>Typical Res Bill_RY#1</t>
  </si>
  <si>
    <t>Typical Res Bill_RY#2</t>
  </si>
  <si>
    <t>Exhibit</t>
  </si>
  <si>
    <t>Average Per Therm Impacts</t>
  </si>
  <si>
    <t>Revenue Calculations</t>
  </si>
  <si>
    <t>Rider Revenue Calculations</t>
  </si>
  <si>
    <t>Summary of rate year #1 rate change impacts by rate schedule</t>
  </si>
  <si>
    <t>Summary of rate year #2 rate change impacts by rate schedule</t>
  </si>
  <si>
    <t>Rate year #1 bill impact for a typical residential customer using 64 therms</t>
  </si>
  <si>
    <t>Rate year #2 bill impact for a typical residential customer using 64 therms</t>
  </si>
  <si>
    <t>Average per them impacts by rate schedule</t>
  </si>
  <si>
    <t>Revenue calculations that support rate impacts</t>
  </si>
  <si>
    <t>Rider revenue calculations that support rate impacts</t>
  </si>
  <si>
    <t>Other data supporting rate impacts</t>
  </si>
  <si>
    <t>First 25,000 Therms</t>
  </si>
  <si>
    <t>Next 25,000 Therms</t>
  </si>
  <si>
    <t>Next 50,000 Therms</t>
  </si>
  <si>
    <t>Gas Schedule 141D</t>
  </si>
  <si>
    <t>Pipeline Provisional Recovery Adjustment</t>
  </si>
  <si>
    <t>Sched 141D</t>
  </si>
  <si>
    <t>N</t>
  </si>
  <si>
    <t>Pipeline Provisional (Sch. 141D)</t>
  </si>
  <si>
    <t>(1) Rates effective January 1, 2024</t>
  </si>
  <si>
    <t>12ME Dec. 2026</t>
  </si>
  <si>
    <r>
      <t xml:space="preserve">   </t>
    </r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Rates Effective 1/1/2024</t>
    </r>
  </si>
  <si>
    <r>
      <t xml:space="preserve">   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Total bill Including all Rider &amp; Tracker Schedules.</t>
    </r>
  </si>
  <si>
    <t>12 ME Dec. 2026</t>
  </si>
  <si>
    <t>Sched 111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</si>
  <si>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Pro forma base revenue for the 12 months ending Dec 31, 2025.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</si>
  <si>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January 1, 2024.</t>
    </r>
  </si>
  <si>
    <t>Rates Effective November 1, 2023</t>
  </si>
  <si>
    <t>Gas Schedule 111 State Carbon Reduction Charge</t>
  </si>
  <si>
    <t>Greenhouse Gas Emissions Cap and Invest Adjustment</t>
  </si>
  <si>
    <t>Sch. 111</t>
  </si>
  <si>
    <t>Base</t>
  </si>
  <si>
    <t>Deferral</t>
  </si>
  <si>
    <t>Gas Schedule 111 State Carbon Reduction Credits</t>
  </si>
  <si>
    <t>Non-Volumetric Credits:</t>
  </si>
  <si>
    <t>Customer Counts</t>
  </si>
  <si>
    <t>Monthly NVC</t>
  </si>
  <si>
    <r>
      <t xml:space="preserve">Residential Gas Lights </t>
    </r>
    <r>
      <rPr>
        <vertAlign val="superscript"/>
        <sz val="11"/>
        <color theme="1"/>
        <rFont val="Calibri"/>
        <family val="2"/>
        <scheme val="minor"/>
      </rPr>
      <t>(1)</t>
    </r>
  </si>
  <si>
    <t>Low Income Volumetric Credits:</t>
  </si>
  <si>
    <t>Cred. Rates</t>
  </si>
  <si>
    <t>Residential (Low Income)</t>
  </si>
  <si>
    <t>Total Non-Volumetric &amp; Volumetric Credits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</si>
  <si>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Customer Counts for this schedule are mantle counts since gas lighting is billed per mantle.</t>
    </r>
  </si>
  <si>
    <t>Rates Effective January 1, 2024</t>
  </si>
  <si>
    <t>Rates Effective May 1, 2023</t>
  </si>
  <si>
    <t>Rates Effective October 1, 2023</t>
  </si>
  <si>
    <t>Sched 129D</t>
  </si>
  <si>
    <t>Gas Schedule 129D</t>
  </si>
  <si>
    <t>Low Income Discount Rates</t>
  </si>
  <si>
    <t>Supp. Credit</t>
  </si>
  <si>
    <t>Gas Schedule 141R (Supplemental Credit)</t>
  </si>
  <si>
    <t>Sched 141R (Supp.)</t>
  </si>
  <si>
    <t>O</t>
  </si>
  <si>
    <t>P</t>
  </si>
  <si>
    <t>Development of Total Revenue by Rate Schedule for Bill Impacts</t>
  </si>
  <si>
    <t>12-Months Ending December 2026</t>
  </si>
  <si>
    <t>Jan. 2026 -</t>
  </si>
  <si>
    <t>Dec. 2026</t>
  </si>
  <si>
    <t>Source: F2023 Load Forecast (5-26-2023)</t>
  </si>
  <si>
    <t>January 2026 - December 2026</t>
  </si>
  <si>
    <t>Sch. 141DCARB</t>
  </si>
  <si>
    <t>Decarbonization</t>
  </si>
  <si>
    <t>Bill Discount (Sch. 129D)</t>
  </si>
  <si>
    <t>Supplemental Refundable (Sch. 141R)</t>
  </si>
  <si>
    <t>Cap &amp; Invest charge (Sch. 111)</t>
  </si>
  <si>
    <t>Cap &amp; Invest Non-Vol Credit (Sch. 111)</t>
  </si>
  <si>
    <t>Sch. 141DCARB Rate Change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</si>
  <si>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January 1, 2024</t>
    </r>
  </si>
  <si>
    <t>July 2022 to June 2023</t>
  </si>
  <si>
    <t>L = C+D+F+H+J</t>
  </si>
  <si>
    <t>M = L-C</t>
  </si>
  <si>
    <t>N = M/C</t>
  </si>
  <si>
    <t>Exclusive Interruptible Transportation</t>
  </si>
  <si>
    <t>88T</t>
  </si>
  <si>
    <t>Transportation - exclusive interrupt (88T)</t>
  </si>
  <si>
    <t>Load Change</t>
  </si>
  <si>
    <t>Impact on</t>
  </si>
  <si>
    <t>Base Revenues</t>
  </si>
  <si>
    <t>E = C+D</t>
  </si>
  <si>
    <t>G = F/E</t>
  </si>
  <si>
    <t>H = E+F</t>
  </si>
  <si>
    <t>I = H-E</t>
  </si>
  <si>
    <t>J = I/E</t>
  </si>
  <si>
    <t>16,23,53</t>
  </si>
  <si>
    <t>31,31T</t>
  </si>
  <si>
    <t>41,41T</t>
  </si>
  <si>
    <t>85,85T</t>
  </si>
  <si>
    <t>86,86T</t>
  </si>
  <si>
    <t>87,87T</t>
  </si>
  <si>
    <t>Limited interruptible</t>
  </si>
  <si>
    <t>Non exclusive interruptible</t>
  </si>
  <si>
    <t>Exclusive interruptible</t>
  </si>
  <si>
    <t>Proposed Rates Effective January 2025</t>
  </si>
  <si>
    <t>Proposed Rates Effective January 2026</t>
  </si>
  <si>
    <t>Jan. 2025</t>
  </si>
  <si>
    <t>Jan. 2026</t>
  </si>
  <si>
    <t>Gas Schedule 141DCARB</t>
  </si>
  <si>
    <t>Decarbonization (Sch. 141DCARB)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</si>
  <si>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Proposed Rates for Schedule 23 customers in effect January 2025</t>
    </r>
  </si>
  <si>
    <t>(1) Proposed Rates effective January 2025</t>
  </si>
  <si>
    <t>Q</t>
  </si>
  <si>
    <t>R = sum(D:Q)</t>
  </si>
  <si>
    <t>141DCARB</t>
  </si>
  <si>
    <t>Sched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</si>
  <si>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Forecasted base schedule revenues at proposed rates effective January 2025.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</si>
  <si>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proposed rates effective January 2025.</t>
    </r>
  </si>
  <si>
    <t>Note:  Forecasted revenues assumed to be same revenues from PSE's CCA filing for rates effective January 1, 2024</t>
  </si>
  <si>
    <t>SEF-8G-GAS-REV-REQ-MODEL</t>
  </si>
  <si>
    <t>Residential bill impacts by usage level for rate years 1 &amp; 2</t>
  </si>
  <si>
    <t>Line</t>
  </si>
  <si>
    <t>No.</t>
  </si>
  <si>
    <t>2024 Gas General Rate Case Filing (Dockets UE-240004 &amp; UG-240005)</t>
  </si>
  <si>
    <t>(1) Proposed Rates effective January 1, 2025, doesn't include Schedule 141LNG revenues that are currently pending before the Commission in Docket UG-230393.</t>
  </si>
  <si>
    <t>(1)  Rates effective January 1, 2024, doesn't include Schedule 141LNG revenues that are currently pending before the Commission in Docket UG-230393.</t>
  </si>
  <si>
    <t>Exclusive Interruptible Transportation (2)</t>
  </si>
  <si>
    <t>Exclusive interruptible (2)</t>
  </si>
  <si>
    <t>(2)  PSE proposed Schedule 88T in docket UG-230393 that is currently pending before the Commission, Sch. 88T will be subject to Sch. 141D rates that are approved in that Docket.</t>
  </si>
  <si>
    <t>Exhibit DED-17 - Residential Natural Gas Bill Comparison at Different Usage Levels</t>
  </si>
  <si>
    <t>Witness: Dismukes</t>
  </si>
  <si>
    <t>Dockets UE-240004 and UG-240005</t>
  </si>
  <si>
    <t>Exhibit DED-17</t>
  </si>
  <si>
    <t>Customer 1</t>
  </si>
  <si>
    <t>Customer 2</t>
  </si>
  <si>
    <t>Customer 3</t>
  </si>
  <si>
    <t>Hypothetical</t>
  </si>
  <si>
    <t>One-Third Less</t>
  </si>
  <si>
    <t>One-Third Greater</t>
  </si>
  <si>
    <t>Typical User</t>
  </si>
  <si>
    <t>Than Typical User</t>
  </si>
  <si>
    <t>Than System Average</t>
  </si>
  <si>
    <t>Average Usage per Month (therm)</t>
  </si>
  <si>
    <t>Bill Amount</t>
  </si>
  <si>
    <t>Utility Charges - Current Rates</t>
  </si>
  <si>
    <t>Monthly Basic Facilities Charge</t>
  </si>
  <si>
    <t>Average Monthly Utility Bill Under Existing Rates</t>
  </si>
  <si>
    <t>Utility Charges - Proposed Rates</t>
  </si>
  <si>
    <t>Average Monthly Utility Bill Under Proposed Rates</t>
  </si>
  <si>
    <t>Percent Increase from Existing Rates to Proposed Rates</t>
  </si>
  <si>
    <t>Prepared by: MD 8/3/2024</t>
  </si>
  <si>
    <t>Source: Exhibit JDT-6</t>
  </si>
  <si>
    <t>All Volumetric Charges</t>
  </si>
  <si>
    <t>Capital and Investment Fixed Credit</t>
  </si>
  <si>
    <t>Checked by: MG 8/3/2024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</si>
</sst>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00_);_(&quot;$&quot;* \(#,##0.00000\);_(&quot;$&quot;* &quot;-&quot;??_);_(@_)"/>
    <numFmt numFmtId="166" formatCode="_(&quot;$&quot;* #,##0.00000_);_(&quot;$&quot;* \(#,##0.00000\);_(&quot;$&quot;* &quot;-&quot;?????_);_(@_)"/>
    <numFmt numFmtId="167" formatCode="_(&quot;$&quot;* #,##0.00_);_(&quot;$&quot;* \(#,##0.00\);_(&quot;$&quot;* &quot;-&quot;?????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[$-409]mmm\-yy;@"/>
    <numFmt numFmtId="171" formatCode="_(&quot;$&quot;* #,##0.00_);_(&quot;$&quot;* \(#,##0.00\);_(&quot;$&quot;* &quot;-&quot;_);_(@_)"/>
    <numFmt numFmtId="172" formatCode="&quot;$&quot;#,##0.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8080"/>
      <name val="Arial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2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rgb="FF008080"/>
      <name val="Calibri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i/>
      <sz val="11"/>
      <color rgb="FF0000FF"/>
      <name val="Calibri"/>
      <family val="2"/>
      <scheme val="minor"/>
    </font>
    <font>
      <b/>
      <i/>
      <sz val="10"/>
      <color rgb="FF0000FF"/>
      <name val="Arial"/>
      <family val="2"/>
    </font>
    <font>
      <b/>
      <i/>
      <sz val="11"/>
      <color rgb="FF0000FF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Geneva"/>
    </font>
    <font>
      <sz val="10"/>
      <name val="Arial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230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CECEC"/>
      </left>
      <right/>
      <top/>
      <bottom style="thin">
        <color indexed="64"/>
      </bottom>
      <diagonal/>
    </border>
    <border>
      <left style="medium">
        <color rgb="FFECECEC"/>
      </left>
      <right style="medium">
        <color rgb="FFECECEC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rgb="FFECECEC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2" fillId="0" borderId="0"/>
    <xf numFmtId="0" fontId="33" fillId="0" borderId="0"/>
    <xf numFmtId="43" fontId="6" fillId="0" borderId="0" applyFont="0" applyFill="0" applyBorder="0" applyAlignment="0" applyProtection="0"/>
  </cellStyleXfs>
  <cellXfs count="273">
    <xf numFmtId="0" fontId="0" fillId="0" borderId="0" xfId="0"/>
    <xf numFmtId="164" fontId="0" fillId="0" borderId="0" xfId="0" applyNumberFormat="1"/>
    <xf numFmtId="164" fontId="0" fillId="0" borderId="2" xfId="0" applyNumberFormat="1" applyBorder="1"/>
    <xf numFmtId="0" fontId="0" fillId="0" borderId="0" xfId="0" applyAlignment="1">
      <alignment horizontal="center"/>
    </xf>
    <xf numFmtId="4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165" fontId="2" fillId="0" borderId="0" xfId="0" applyNumberFormat="1" applyFont="1"/>
    <xf numFmtId="42" fontId="0" fillId="0" borderId="0" xfId="0" applyNumberFormat="1"/>
    <xf numFmtId="165" fontId="2" fillId="0" borderId="1" xfId="0" applyNumberFormat="1" applyFont="1" applyBorder="1"/>
    <xf numFmtId="3" fontId="0" fillId="0" borderId="2" xfId="0" applyNumberFormat="1" applyBorder="1"/>
    <xf numFmtId="42" fontId="0" fillId="0" borderId="2" xfId="0" applyNumberFormat="1" applyBorder="1"/>
    <xf numFmtId="0" fontId="7" fillId="0" borderId="0" xfId="0" applyFont="1" applyAlignment="1">
      <alignment horizontal="left"/>
    </xf>
    <xf numFmtId="0" fontId="7" fillId="0" borderId="0" xfId="0" applyFont="1"/>
    <xf numFmtId="3" fontId="0" fillId="0" borderId="0" xfId="0" applyNumberFormat="1"/>
    <xf numFmtId="0" fontId="8" fillId="0" borderId="0" xfId="0" applyFont="1" applyAlignment="1">
      <alignment horizontal="left"/>
    </xf>
    <xf numFmtId="169" fontId="7" fillId="0" borderId="0" xfId="0" applyNumberFormat="1" applyFont="1"/>
    <xf numFmtId="0" fontId="7" fillId="0" borderId="0" xfId="0" applyFont="1" applyAlignment="1">
      <alignment horizontal="left" vertical="center" textRotation="180"/>
    </xf>
    <xf numFmtId="169" fontId="7" fillId="0" borderId="2" xfId="0" applyNumberFormat="1" applyFont="1" applyBorder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9" fillId="0" borderId="0" xfId="0" applyFont="1"/>
    <xf numFmtId="168" fontId="9" fillId="0" borderId="0" xfId="0" applyNumberFormat="1" applyFont="1"/>
    <xf numFmtId="3" fontId="9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3" fontId="9" fillId="0" borderId="2" xfId="0" applyNumberFormat="1" applyFont="1" applyBorder="1"/>
    <xf numFmtId="0" fontId="13" fillId="0" borderId="0" xfId="0" applyFont="1" applyAlignment="1">
      <alignment horizontal="left"/>
    </xf>
    <xf numFmtId="168" fontId="13" fillId="0" borderId="0" xfId="0" applyNumberFormat="1" applyFont="1"/>
    <xf numFmtId="170" fontId="0" fillId="0" borderId="1" xfId="0" applyNumberFormat="1" applyBorder="1"/>
    <xf numFmtId="168" fontId="6" fillId="0" borderId="0" xfId="0" applyNumberFormat="1" applyFont="1" applyAlignment="1">
      <alignment horizontal="left"/>
    </xf>
    <xf numFmtId="17" fontId="6" fillId="0" borderId="0" xfId="0" applyNumberFormat="1" applyFont="1"/>
    <xf numFmtId="43" fontId="11" fillId="0" borderId="0" xfId="0" applyNumberFormat="1" applyFont="1"/>
    <xf numFmtId="43" fontId="6" fillId="0" borderId="0" xfId="0" applyNumberFormat="1" applyFont="1"/>
    <xf numFmtId="168" fontId="0" fillId="0" borderId="0" xfId="0" applyNumberFormat="1"/>
    <xf numFmtId="42" fontId="3" fillId="0" borderId="0" xfId="0" applyNumberFormat="1" applyFont="1"/>
    <xf numFmtId="42" fontId="4" fillId="0" borderId="0" xfId="0" applyNumberFormat="1" applyFont="1"/>
    <xf numFmtId="42" fontId="4" fillId="0" borderId="2" xfId="0" applyNumberFormat="1" applyFont="1" applyBorder="1"/>
    <xf numFmtId="169" fontId="0" fillId="0" borderId="0" xfId="0" applyNumberFormat="1"/>
    <xf numFmtId="0" fontId="0" fillId="0" borderId="0" xfId="0" quotePrefix="1"/>
    <xf numFmtId="0" fontId="4" fillId="0" borderId="0" xfId="0" applyFont="1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3" fontId="3" fillId="0" borderId="0" xfId="0" applyNumberFormat="1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 applyProtection="1">
      <alignment horizontal="left"/>
      <protection locked="0"/>
    </xf>
    <xf numFmtId="169" fontId="4" fillId="0" borderId="0" xfId="0" applyNumberFormat="1" applyFont="1"/>
    <xf numFmtId="3" fontId="4" fillId="0" borderId="0" xfId="0" applyNumberFormat="1" applyFont="1"/>
    <xf numFmtId="168" fontId="6" fillId="0" borderId="0" xfId="0" applyNumberFormat="1" applyFont="1"/>
    <xf numFmtId="17" fontId="6" fillId="0" borderId="0" xfId="0" applyNumberFormat="1" applyFont="1" applyAlignment="1">
      <alignment horizontal="center"/>
    </xf>
    <xf numFmtId="42" fontId="2" fillId="0" borderId="0" xfId="0" applyNumberFormat="1" applyFont="1"/>
    <xf numFmtId="0" fontId="2" fillId="0" borderId="0" xfId="0" applyFont="1"/>
    <xf numFmtId="0" fontId="16" fillId="0" borderId="0" xfId="0" applyFont="1"/>
    <xf numFmtId="168" fontId="12" fillId="0" borderId="0" xfId="0" applyNumberFormat="1" applyFont="1"/>
    <xf numFmtId="10" fontId="0" fillId="0" borderId="0" xfId="0" applyNumberFormat="1"/>
    <xf numFmtId="10" fontId="0" fillId="0" borderId="2" xfId="0" applyNumberFormat="1" applyBorder="1"/>
    <xf numFmtId="0" fontId="1" fillId="0" borderId="0" xfId="0" applyFont="1" applyAlignment="1">
      <alignment horizontal="left"/>
    </xf>
    <xf numFmtId="166" fontId="0" fillId="0" borderId="0" xfId="0" applyNumberFormat="1"/>
    <xf numFmtId="0" fontId="2" fillId="0" borderId="0" xfId="0" applyFont="1" applyAlignment="1">
      <alignment horizontal="center"/>
    </xf>
    <xf numFmtId="10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168" fontId="7" fillId="0" borderId="0" xfId="0" applyNumberFormat="1" applyFont="1"/>
    <xf numFmtId="0" fontId="4" fillId="0" borderId="5" xfId="0" applyFont="1" applyBorder="1"/>
    <xf numFmtId="0" fontId="3" fillId="0" borderId="0" xfId="0" applyFont="1"/>
    <xf numFmtId="44" fontId="2" fillId="0" borderId="0" xfId="0" applyNumberFormat="1" applyFont="1"/>
    <xf numFmtId="169" fontId="0" fillId="0" borderId="2" xfId="0" applyNumberFormat="1" applyBorder="1"/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5" fontId="2" fillId="0" borderId="8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2" fillId="0" borderId="11" xfId="0" applyNumberFormat="1" applyFont="1" applyBorder="1"/>
    <xf numFmtId="0" fontId="14" fillId="0" borderId="0" xfId="0" applyFont="1"/>
    <xf numFmtId="166" fontId="3" fillId="0" borderId="0" xfId="0" applyNumberFormat="1" applyFont="1"/>
    <xf numFmtId="3" fontId="3" fillId="0" borderId="0" xfId="0" quotePrefix="1" applyNumberFormat="1" applyFont="1"/>
    <xf numFmtId="3" fontId="18" fillId="0" borderId="0" xfId="0" applyNumberFormat="1" applyFont="1"/>
    <xf numFmtId="3" fontId="4" fillId="0" borderId="2" xfId="0" applyNumberFormat="1" applyFont="1" applyBorder="1"/>
    <xf numFmtId="164" fontId="4" fillId="0" borderId="2" xfId="0" applyNumberFormat="1" applyFont="1" applyBorder="1"/>
    <xf numFmtId="166" fontId="2" fillId="0" borderId="0" xfId="0" applyNumberFormat="1" applyFont="1"/>
    <xf numFmtId="167" fontId="2" fillId="0" borderId="0" xfId="0" applyNumberFormat="1" applyFont="1"/>
    <xf numFmtId="0" fontId="0" fillId="0" borderId="0" xfId="0" quotePrefix="1" applyAlignment="1">
      <alignment vertical="top"/>
    </xf>
    <xf numFmtId="42" fontId="16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8" fontId="4" fillId="0" borderId="0" xfId="0" applyNumberFormat="1" applyFont="1"/>
    <xf numFmtId="0" fontId="4" fillId="0" borderId="0" xfId="0" quotePrefix="1" applyFont="1" applyAlignment="1">
      <alignment vertical="top"/>
    </xf>
    <xf numFmtId="0" fontId="21" fillId="0" borderId="0" xfId="0" applyFont="1"/>
    <xf numFmtId="41" fontId="4" fillId="0" borderId="0" xfId="0" quotePrefix="1" applyNumberFormat="1" applyFont="1" applyAlignment="1">
      <alignment horizontal="right"/>
    </xf>
    <xf numFmtId="0" fontId="0" fillId="0" borderId="5" xfId="0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9" fontId="0" fillId="0" borderId="0" xfId="0" applyNumberFormat="1" applyAlignment="1">
      <alignment wrapText="1"/>
    </xf>
    <xf numFmtId="166" fontId="4" fillId="0" borderId="0" xfId="0" applyNumberFormat="1" applyFont="1"/>
    <xf numFmtId="37" fontId="4" fillId="0" borderId="0" xfId="0" applyNumberFormat="1" applyFont="1"/>
    <xf numFmtId="0" fontId="19" fillId="0" borderId="0" xfId="0" applyFont="1"/>
    <xf numFmtId="0" fontId="14" fillId="0" borderId="0" xfId="0" applyFont="1" applyAlignment="1">
      <alignment horizontal="centerContinuous"/>
    </xf>
    <xf numFmtId="168" fontId="3" fillId="0" borderId="0" xfId="0" applyNumberFormat="1" applyFont="1" applyAlignment="1">
      <alignment horizontal="left"/>
    </xf>
    <xf numFmtId="42" fontId="3" fillId="0" borderId="0" xfId="0" applyNumberFormat="1" applyFont="1" applyAlignment="1">
      <alignment horizontal="left"/>
    </xf>
    <xf numFmtId="165" fontId="1" fillId="0" borderId="0" xfId="0" applyNumberFormat="1" applyFont="1"/>
    <xf numFmtId="169" fontId="3" fillId="0" borderId="0" xfId="0" applyNumberFormat="1" applyFont="1"/>
    <xf numFmtId="10" fontId="17" fillId="0" borderId="0" xfId="0" applyNumberFormat="1" applyFont="1"/>
    <xf numFmtId="168" fontId="0" fillId="0" borderId="2" xfId="0" applyNumberFormat="1" applyBorder="1"/>
    <xf numFmtId="165" fontId="0" fillId="0" borderId="2" xfId="0" applyNumberFormat="1" applyBorder="1"/>
    <xf numFmtId="43" fontId="17" fillId="0" borderId="0" xfId="0" applyNumberFormat="1" applyFont="1"/>
    <xf numFmtId="42" fontId="9" fillId="0" borderId="0" xfId="0" applyNumberFormat="1" applyFont="1"/>
    <xf numFmtId="165" fontId="7" fillId="0" borderId="0" xfId="0" applyNumberFormat="1" applyFont="1"/>
    <xf numFmtId="168" fontId="7" fillId="0" borderId="2" xfId="0" applyNumberFormat="1" applyFont="1" applyBorder="1" applyAlignment="1">
      <alignment horizontal="left"/>
    </xf>
    <xf numFmtId="169" fontId="7" fillId="0" borderId="2" xfId="0" applyNumberFormat="1" applyFont="1" applyBorder="1" applyAlignment="1">
      <alignment horizontal="left"/>
    </xf>
    <xf numFmtId="165" fontId="7" fillId="0" borderId="2" xfId="0" applyNumberFormat="1" applyFont="1" applyBorder="1"/>
    <xf numFmtId="165" fontId="4" fillId="0" borderId="8" xfId="0" applyNumberFormat="1" applyFont="1" applyBorder="1"/>
    <xf numFmtId="0" fontId="3" fillId="0" borderId="0" xfId="0" applyFont="1" applyAlignment="1">
      <alignment wrapText="1"/>
    </xf>
    <xf numFmtId="0" fontId="4" fillId="0" borderId="5" xfId="0" applyFont="1" applyBorder="1" applyAlignment="1">
      <alignment horizontal="centerContinuous"/>
    </xf>
    <xf numFmtId="0" fontId="23" fillId="0" borderId="0" xfId="0" applyFont="1"/>
    <xf numFmtId="171" fontId="4" fillId="0" borderId="0" xfId="0" applyNumberFormat="1" applyFont="1"/>
    <xf numFmtId="44" fontId="23" fillId="0" borderId="0" xfId="0" applyNumberFormat="1" applyFont="1"/>
    <xf numFmtId="44" fontId="4" fillId="0" borderId="0" xfId="0" applyNumberFormat="1" applyFont="1"/>
    <xf numFmtId="44" fontId="4" fillId="0" borderId="2" xfId="0" applyNumberFormat="1" applyFont="1" applyBorder="1"/>
    <xf numFmtId="166" fontId="23" fillId="0" borderId="0" xfId="0" applyNumberFormat="1" applyFont="1"/>
    <xf numFmtId="166" fontId="4" fillId="0" borderId="2" xfId="0" applyNumberFormat="1" applyFont="1" applyBorder="1"/>
    <xf numFmtId="171" fontId="4" fillId="0" borderId="2" xfId="0" applyNumberFormat="1" applyFont="1" applyBorder="1"/>
    <xf numFmtId="168" fontId="7" fillId="0" borderId="2" xfId="0" applyNumberFormat="1" applyFont="1" applyBorder="1"/>
    <xf numFmtId="169" fontId="1" fillId="0" borderId="0" xfId="0" applyNumberFormat="1" applyFont="1"/>
    <xf numFmtId="3" fontId="7" fillId="0" borderId="0" xfId="0" applyNumberFormat="1" applyFont="1"/>
    <xf numFmtId="166" fontId="9" fillId="0" borderId="0" xfId="0" applyNumberFormat="1" applyFont="1"/>
    <xf numFmtId="166" fontId="7" fillId="0" borderId="0" xfId="0" applyNumberFormat="1" applyFont="1"/>
    <xf numFmtId="10" fontId="7" fillId="0" borderId="0" xfId="0" applyNumberFormat="1" applyFont="1"/>
    <xf numFmtId="169" fontId="7" fillId="0" borderId="0" xfId="0" applyNumberFormat="1" applyFont="1" applyAlignment="1">
      <alignment horizontal="left"/>
    </xf>
    <xf numFmtId="169" fontId="9" fillId="0" borderId="0" xfId="0" applyNumberFormat="1" applyFont="1"/>
    <xf numFmtId="165" fontId="2" fillId="0" borderId="6" xfId="0" applyNumberFormat="1" applyFont="1" applyBorder="1"/>
    <xf numFmtId="0" fontId="0" fillId="0" borderId="0" xfId="0" applyAlignment="1">
      <alignment horizontal="centerContinuous"/>
    </xf>
    <xf numFmtId="168" fontId="0" fillId="0" borderId="0" xfId="0" applyNumberFormat="1" applyAlignment="1">
      <alignment horizontal="left"/>
    </xf>
    <xf numFmtId="0" fontId="4" fillId="0" borderId="14" xfId="0" applyFont="1" applyBorder="1" applyAlignment="1">
      <alignment horizontal="centerContinuous"/>
    </xf>
    <xf numFmtId="0" fontId="4" fillId="0" borderId="14" xfId="0" applyFont="1" applyBorder="1" applyAlignment="1">
      <alignment horizontal="center"/>
    </xf>
    <xf numFmtId="7" fontId="4" fillId="0" borderId="0" xfId="0" applyNumberFormat="1" applyFont="1"/>
    <xf numFmtId="3" fontId="24" fillId="0" borderId="0" xfId="0" applyNumberFormat="1" applyFont="1"/>
    <xf numFmtId="168" fontId="10" fillId="0" borderId="0" xfId="0" applyNumberFormat="1" applyFont="1"/>
    <xf numFmtId="170" fontId="6" fillId="0" borderId="0" xfId="0" applyNumberFormat="1" applyFont="1" applyAlignment="1">
      <alignment horizontal="center"/>
    </xf>
    <xf numFmtId="168" fontId="10" fillId="0" borderId="2" xfId="0" applyNumberFormat="1" applyFont="1" applyBorder="1"/>
    <xf numFmtId="168" fontId="6" fillId="0" borderId="2" xfId="0" applyNumberFormat="1" applyFont="1" applyBorder="1"/>
    <xf numFmtId="168" fontId="15" fillId="0" borderId="0" xfId="0" applyNumberFormat="1" applyFont="1"/>
    <xf numFmtId="9" fontId="12" fillId="0" borderId="0" xfId="0" applyNumberFormat="1" applyFont="1"/>
    <xf numFmtId="9" fontId="10" fillId="0" borderId="2" xfId="0" applyNumberFormat="1" applyFont="1" applyBorder="1"/>
    <xf numFmtId="9" fontId="10" fillId="0" borderId="0" xfId="0" applyNumberFormat="1" applyFont="1"/>
    <xf numFmtId="9" fontId="6" fillId="0" borderId="0" xfId="0" applyNumberFormat="1" applyFont="1"/>
    <xf numFmtId="9" fontId="6" fillId="0" borderId="2" xfId="0" applyNumberFormat="1" applyFont="1" applyBorder="1"/>
    <xf numFmtId="9" fontId="11" fillId="0" borderId="0" xfId="0" applyNumberFormat="1" applyFont="1"/>
    <xf numFmtId="0" fontId="16" fillId="0" borderId="5" xfId="0" applyFont="1" applyBorder="1" applyAlignment="1">
      <alignment horizontal="center" wrapText="1"/>
    </xf>
    <xf numFmtId="17" fontId="16" fillId="0" borderId="5" xfId="0" applyNumberFormat="1" applyFont="1" applyBorder="1" applyAlignment="1">
      <alignment horizontal="center" wrapText="1"/>
    </xf>
    <xf numFmtId="10" fontId="0" fillId="0" borderId="0" xfId="0" applyNumberFormat="1" applyAlignment="1">
      <alignment horizontal="right"/>
    </xf>
    <xf numFmtId="10" fontId="0" fillId="0" borderId="0" xfId="0" applyNumberFormat="1" applyAlignment="1">
      <alignment wrapText="1"/>
    </xf>
    <xf numFmtId="0" fontId="16" fillId="0" borderId="2" xfId="0" applyFont="1" applyBorder="1" applyAlignment="1">
      <alignment horizontal="center"/>
    </xf>
    <xf numFmtId="10" fontId="16" fillId="0" borderId="2" xfId="0" applyNumberFormat="1" applyFont="1" applyBorder="1"/>
    <xf numFmtId="168" fontId="16" fillId="0" borderId="2" xfId="0" applyNumberFormat="1" applyFont="1" applyBorder="1"/>
    <xf numFmtId="37" fontId="4" fillId="0" borderId="0" xfId="0" applyNumberFormat="1" applyFont="1" applyAlignment="1">
      <alignment horizontal="center"/>
    </xf>
    <xf numFmtId="0" fontId="4" fillId="0" borderId="0" xfId="0" quotePrefix="1" applyFont="1"/>
    <xf numFmtId="44" fontId="3" fillId="0" borderId="0" xfId="0" applyNumberFormat="1" applyFont="1"/>
    <xf numFmtId="165" fontId="3" fillId="0" borderId="0" xfId="0" applyNumberFormat="1" applyFont="1"/>
    <xf numFmtId="0" fontId="25" fillId="0" borderId="0" xfId="0" applyFont="1"/>
    <xf numFmtId="0" fontId="25" fillId="0" borderId="5" xfId="0" applyFont="1" applyBorder="1"/>
    <xf numFmtId="0" fontId="26" fillId="0" borderId="0" xfId="0" applyFont="1"/>
    <xf numFmtId="0" fontId="6" fillId="0" borderId="5" xfId="0" applyFont="1" applyBorder="1"/>
    <xf numFmtId="0" fontId="28" fillId="0" borderId="0" xfId="0" applyFont="1"/>
    <xf numFmtId="0" fontId="17" fillId="0" borderId="0" xfId="0" applyFont="1" applyAlignment="1">
      <alignment horizontal="center"/>
    </xf>
    <xf numFmtId="42" fontId="27" fillId="0" borderId="0" xfId="0" applyNumberFormat="1" applyFont="1"/>
    <xf numFmtId="166" fontId="29" fillId="0" borderId="0" xfId="0" applyNumberFormat="1" applyFont="1"/>
    <xf numFmtId="0" fontId="29" fillId="0" borderId="0" xfId="0" applyFont="1"/>
    <xf numFmtId="0" fontId="27" fillId="0" borderId="0" xfId="0" applyFont="1"/>
    <xf numFmtId="171" fontId="27" fillId="0" borderId="0" xfId="0" applyNumberFormat="1" applyFont="1"/>
    <xf numFmtId="166" fontId="27" fillId="0" borderId="0" xfId="0" applyNumberFormat="1" applyFont="1"/>
    <xf numFmtId="0" fontId="30" fillId="0" borderId="0" xfId="0" applyFont="1"/>
    <xf numFmtId="44" fontId="0" fillId="0" borderId="0" xfId="0" applyNumberFormat="1"/>
    <xf numFmtId="0" fontId="16" fillId="0" borderId="3" xfId="0" applyFont="1" applyBorder="1"/>
    <xf numFmtId="42" fontId="16" fillId="0" borderId="3" xfId="0" applyNumberFormat="1" applyFont="1" applyBorder="1"/>
    <xf numFmtId="164" fontId="16" fillId="0" borderId="3" xfId="0" applyNumberFormat="1" applyFont="1" applyBorder="1"/>
    <xf numFmtId="169" fontId="16" fillId="0" borderId="3" xfId="1" applyNumberFormat="1" applyFont="1" applyBorder="1"/>
    <xf numFmtId="0" fontId="10" fillId="0" borderId="0" xfId="0" applyFont="1"/>
    <xf numFmtId="0" fontId="31" fillId="0" borderId="0" xfId="0" applyFont="1"/>
    <xf numFmtId="0" fontId="10" fillId="0" borderId="15" xfId="0" applyFont="1" applyBorder="1"/>
    <xf numFmtId="17" fontId="10" fillId="0" borderId="13" xfId="0" applyNumberFormat="1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0" xfId="0" applyFont="1" applyAlignment="1">
      <alignment horizontal="left"/>
    </xf>
    <xf numFmtId="168" fontId="11" fillId="0" borderId="0" xfId="0" applyNumberFormat="1" applyFont="1"/>
    <xf numFmtId="3" fontId="10" fillId="0" borderId="0" xfId="0" applyNumberFormat="1" applyFont="1"/>
    <xf numFmtId="10" fontId="3" fillId="0" borderId="0" xfId="0" applyNumberFormat="1" applyFont="1"/>
    <xf numFmtId="168" fontId="2" fillId="0" borderId="0" xfId="0" applyNumberFormat="1" applyFont="1"/>
    <xf numFmtId="165" fontId="2" fillId="0" borderId="2" xfId="0" applyNumberFormat="1" applyFont="1" applyBorder="1"/>
    <xf numFmtId="169" fontId="4" fillId="0" borderId="2" xfId="1" applyNumberFormat="1" applyFont="1" applyBorder="1"/>
    <xf numFmtId="169" fontId="0" fillId="0" borderId="2" xfId="1" applyNumberFormat="1" applyFont="1" applyBorder="1"/>
    <xf numFmtId="0" fontId="7" fillId="0" borderId="0" xfId="0" applyFont="1" applyAlignment="1">
      <alignment horizontal="center"/>
    </xf>
    <xf numFmtId="42" fontId="0" fillId="0" borderId="0" xfId="0" applyNumberFormat="1" applyAlignment="1">
      <alignment horizontal="left"/>
    </xf>
    <xf numFmtId="165" fontId="3" fillId="0" borderId="1" xfId="0" applyNumberFormat="1" applyFont="1" applyBorder="1"/>
    <xf numFmtId="3" fontId="2" fillId="0" borderId="0" xfId="0" applyNumberFormat="1" applyFont="1"/>
    <xf numFmtId="0" fontId="4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1" fillId="0" borderId="0" xfId="2" applyFont="1"/>
    <xf numFmtId="0" fontId="10" fillId="0" borderId="0" xfId="2" applyFont="1"/>
    <xf numFmtId="0" fontId="32" fillId="0" borderId="0" xfId="2"/>
    <xf numFmtId="0" fontId="33" fillId="0" borderId="0" xfId="3"/>
    <xf numFmtId="0" fontId="10" fillId="0" borderId="0" xfId="3" applyFont="1" applyAlignment="1">
      <alignment horizontal="right"/>
    </xf>
    <xf numFmtId="0" fontId="10" fillId="2" borderId="0" xfId="2" applyFont="1" applyFill="1"/>
    <xf numFmtId="0" fontId="10" fillId="2" borderId="7" xfId="2" applyFont="1" applyFill="1" applyBorder="1"/>
    <xf numFmtId="0" fontId="10" fillId="2" borderId="3" xfId="2" applyFont="1" applyFill="1" applyBorder="1"/>
    <xf numFmtId="0" fontId="10" fillId="2" borderId="4" xfId="2" applyFont="1" applyFill="1" applyBorder="1"/>
    <xf numFmtId="0" fontId="34" fillId="3" borderId="17" xfId="2" applyFont="1" applyFill="1" applyBorder="1"/>
    <xf numFmtId="0" fontId="34" fillId="3" borderId="2" xfId="2" applyFont="1" applyFill="1" applyBorder="1"/>
    <xf numFmtId="0" fontId="34" fillId="3" borderId="18" xfId="2" applyFont="1" applyFill="1" applyBorder="1"/>
    <xf numFmtId="0" fontId="34" fillId="3" borderId="19" xfId="2" applyFont="1" applyFill="1" applyBorder="1"/>
    <xf numFmtId="0" fontId="34" fillId="3" borderId="0" xfId="2" applyFont="1" applyFill="1"/>
    <xf numFmtId="0" fontId="34" fillId="3" borderId="0" xfId="2" applyFont="1" applyFill="1" applyAlignment="1">
      <alignment horizontal="center"/>
    </xf>
    <xf numFmtId="0" fontId="34" fillId="3" borderId="8" xfId="2" applyFont="1" applyFill="1" applyBorder="1"/>
    <xf numFmtId="0" fontId="34" fillId="3" borderId="22" xfId="2" applyFont="1" applyFill="1" applyBorder="1"/>
    <xf numFmtId="0" fontId="34" fillId="3" borderId="16" xfId="2" applyFont="1" applyFill="1" applyBorder="1"/>
    <xf numFmtId="0" fontId="34" fillId="3" borderId="16" xfId="2" applyFont="1" applyFill="1" applyBorder="1" applyAlignment="1">
      <alignment horizontal="center"/>
    </xf>
    <xf numFmtId="0" fontId="34" fillId="3" borderId="23" xfId="2" applyFont="1" applyFill="1" applyBorder="1"/>
    <xf numFmtId="0" fontId="10" fillId="2" borderId="3" xfId="2" applyFont="1" applyFill="1" applyBorder="1" applyAlignment="1">
      <alignment horizontal="center"/>
    </xf>
    <xf numFmtId="0" fontId="10" fillId="2" borderId="17" xfId="2" applyFont="1" applyFill="1" applyBorder="1"/>
    <xf numFmtId="0" fontId="10" fillId="2" borderId="2" xfId="2" applyFont="1" applyFill="1" applyBorder="1"/>
    <xf numFmtId="1" fontId="10" fillId="2" borderId="2" xfId="2" applyNumberFormat="1" applyFont="1" applyFill="1" applyBorder="1"/>
    <xf numFmtId="0" fontId="10" fillId="2" borderId="2" xfId="2" applyFont="1" applyFill="1" applyBorder="1" applyAlignment="1">
      <alignment horizontal="center"/>
    </xf>
    <xf numFmtId="0" fontId="10" fillId="2" borderId="18" xfId="2" applyFont="1" applyFill="1" applyBorder="1"/>
    <xf numFmtId="0" fontId="10" fillId="2" borderId="19" xfId="2" applyFont="1" applyFill="1" applyBorder="1"/>
    <xf numFmtId="0" fontId="31" fillId="2" borderId="0" xfId="2" applyFont="1" applyFill="1"/>
    <xf numFmtId="1" fontId="31" fillId="2" borderId="0" xfId="2" applyNumberFormat="1" applyFont="1" applyFill="1"/>
    <xf numFmtId="0" fontId="10" fillId="2" borderId="8" xfId="2" applyFont="1" applyFill="1" applyBorder="1"/>
    <xf numFmtId="0" fontId="10" fillId="2" borderId="0" xfId="2" applyFont="1" applyFill="1" applyAlignment="1">
      <alignment horizontal="center"/>
    </xf>
    <xf numFmtId="0" fontId="10" fillId="2" borderId="8" xfId="2" applyFont="1" applyFill="1" applyBorder="1" applyAlignment="1">
      <alignment horizontal="center"/>
    </xf>
    <xf numFmtId="0" fontId="35" fillId="2" borderId="0" xfId="2" applyFont="1" applyFill="1"/>
    <xf numFmtId="44" fontId="10" fillId="2" borderId="0" xfId="2" applyNumberFormat="1" applyFont="1" applyFill="1"/>
    <xf numFmtId="167" fontId="10" fillId="2" borderId="0" xfId="2" applyNumberFormat="1" applyFont="1" applyFill="1"/>
    <xf numFmtId="166" fontId="10" fillId="2" borderId="0" xfId="2" applyNumberFormat="1" applyFont="1" applyFill="1"/>
    <xf numFmtId="43" fontId="10" fillId="2" borderId="0" xfId="4" applyFont="1" applyFill="1"/>
    <xf numFmtId="44" fontId="31" fillId="2" borderId="0" xfId="2" applyNumberFormat="1" applyFont="1" applyFill="1"/>
    <xf numFmtId="172" fontId="10" fillId="2" borderId="0" xfId="2" applyNumberFormat="1" applyFont="1" applyFill="1"/>
    <xf numFmtId="10" fontId="31" fillId="2" borderId="0" xfId="2" applyNumberFormat="1" applyFont="1" applyFill="1"/>
    <xf numFmtId="0" fontId="10" fillId="2" borderId="24" xfId="2" applyFont="1" applyFill="1" applyBorder="1"/>
    <xf numFmtId="0" fontId="10" fillId="2" borderId="25" xfId="2" applyFont="1" applyFill="1" applyBorder="1"/>
    <xf numFmtId="10" fontId="10" fillId="2" borderId="25" xfId="2" applyNumberFormat="1" applyFont="1" applyFill="1" applyBorder="1"/>
    <xf numFmtId="0" fontId="10" fillId="2" borderId="26" xfId="2" applyFont="1" applyFill="1" applyBorder="1" applyAlignment="1">
      <alignment horizontal="center"/>
    </xf>
    <xf numFmtId="0" fontId="6" fillId="0" borderId="0" xfId="3" applyFont="1"/>
    <xf numFmtId="0" fontId="34" fillId="3" borderId="0" xfId="2" applyFont="1" applyFill="1" applyAlignment="1">
      <alignment horizontal="center"/>
    </xf>
    <xf numFmtId="1" fontId="31" fillId="2" borderId="0" xfId="2" applyNumberFormat="1" applyFont="1" applyFill="1" applyAlignment="1">
      <alignment horizontal="center"/>
    </xf>
    <xf numFmtId="0" fontId="34" fillId="3" borderId="20" xfId="2" applyFont="1" applyFill="1" applyBorder="1" applyAlignment="1">
      <alignment horizontal="center"/>
    </xf>
    <xf numFmtId="0" fontId="34" fillId="3" borderId="21" xfId="2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Comma 2" xfId="4" xr:uid="{3D5F1572-5CBC-40B1-9146-AEBCA17C95A6}"/>
    <cellStyle name="Currency" xfId="1" builtinId="4"/>
    <cellStyle name="Normal" xfId="0" builtinId="0"/>
    <cellStyle name="Normal 3" xfId="3" xr:uid="{B3BEBAF9-25F4-44FA-A90E-D39D4EA4EC84}"/>
    <cellStyle name="Normal 4" xfId="2" xr:uid="{48118664-369E-48E1-987C-99AFD7BCA2D9}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47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4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8975C-1DA7-4CC0-99F2-9ABC07BF89F2}">
  <dimension ref="A1:M38"/>
  <sheetViews>
    <sheetView tabSelected="1" zoomScale="130" zoomScaleNormal="130" workbookViewId="0">
      <selection activeCell="A2" sqref="A2"/>
    </sheetView>
  </sheetViews>
  <sheetFormatPr defaultRowHeight="12.75"/>
  <cols>
    <col min="1" max="1" width="9.140625" style="211"/>
    <col min="2" max="2" width="0.85546875" style="211" customWidth="1"/>
    <col min="3" max="3" width="52.7109375" style="211" bestFit="1" customWidth="1"/>
    <col min="4" max="4" width="9.7109375" style="211" bestFit="1" customWidth="1"/>
    <col min="5" max="5" width="10.5703125" style="211" bestFit="1" customWidth="1"/>
    <col min="6" max="6" width="1.7109375" style="211" customWidth="1"/>
    <col min="7" max="7" width="9.7109375" style="211" bestFit="1" customWidth="1"/>
    <col min="8" max="8" width="10.5703125" style="211" bestFit="1" customWidth="1"/>
    <col min="9" max="9" width="1.7109375" style="211" customWidth="1"/>
    <col min="10" max="10" width="9.7109375" style="211" bestFit="1" customWidth="1"/>
    <col min="11" max="11" width="10.5703125" style="211" bestFit="1" customWidth="1"/>
    <col min="12" max="12" width="0.85546875" style="211" customWidth="1"/>
    <col min="13" max="16384" width="9.140625" style="211"/>
  </cols>
  <sheetData>
    <row r="1" spans="1:13">
      <c r="A1" s="208" t="s">
        <v>399</v>
      </c>
      <c r="B1" s="209"/>
      <c r="C1" s="210"/>
      <c r="D1" s="209"/>
      <c r="E1" s="209"/>
      <c r="F1" s="209"/>
      <c r="G1" s="209"/>
      <c r="H1" s="209"/>
      <c r="I1" s="209"/>
      <c r="J1" s="209"/>
      <c r="L1" s="212" t="s">
        <v>400</v>
      </c>
      <c r="M1" s="209"/>
    </row>
    <row r="2" spans="1:13">
      <c r="A2" s="209"/>
      <c r="B2" s="209"/>
      <c r="C2" s="209"/>
      <c r="D2" s="209"/>
      <c r="E2" s="209"/>
      <c r="F2" s="209"/>
      <c r="G2" s="209"/>
      <c r="H2" s="209"/>
      <c r="I2" s="209"/>
      <c r="J2" s="209"/>
      <c r="L2" s="212" t="s">
        <v>401</v>
      </c>
      <c r="M2" s="209"/>
    </row>
    <row r="3" spans="1:13">
      <c r="A3" s="209"/>
      <c r="B3" s="209"/>
      <c r="C3" s="209"/>
      <c r="D3" s="209"/>
      <c r="E3" s="209"/>
      <c r="F3" s="209"/>
      <c r="G3" s="209"/>
      <c r="H3" s="209"/>
      <c r="I3" s="209"/>
      <c r="J3" s="209"/>
      <c r="L3" s="212" t="s">
        <v>402</v>
      </c>
      <c r="M3" s="209"/>
    </row>
    <row r="4" spans="1:13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</row>
    <row r="5" spans="1:13">
      <c r="A5" s="209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09"/>
    </row>
    <row r="6" spans="1:13" ht="2.1" customHeight="1">
      <c r="A6" s="209"/>
      <c r="B6" s="214"/>
      <c r="C6" s="215"/>
      <c r="D6" s="215"/>
      <c r="E6" s="215"/>
      <c r="F6" s="215"/>
      <c r="G6" s="215"/>
      <c r="H6" s="215"/>
      <c r="I6" s="215"/>
      <c r="J6" s="215"/>
      <c r="K6" s="215"/>
      <c r="L6" s="216"/>
      <c r="M6" s="209"/>
    </row>
    <row r="7" spans="1:13" ht="8.1" customHeight="1">
      <c r="A7" s="209"/>
      <c r="B7" s="217"/>
      <c r="C7" s="218"/>
      <c r="D7" s="218"/>
      <c r="E7" s="218"/>
      <c r="F7" s="218"/>
      <c r="G7" s="218"/>
      <c r="H7" s="218"/>
      <c r="I7" s="218"/>
      <c r="J7" s="218"/>
      <c r="K7" s="218"/>
      <c r="L7" s="219"/>
      <c r="M7" s="209"/>
    </row>
    <row r="8" spans="1:13">
      <c r="A8" s="209"/>
      <c r="B8" s="220"/>
      <c r="C8" s="221"/>
      <c r="D8" s="255" t="s">
        <v>403</v>
      </c>
      <c r="E8" s="255"/>
      <c r="F8" s="222"/>
      <c r="G8" s="255" t="s">
        <v>404</v>
      </c>
      <c r="H8" s="255"/>
      <c r="I8" s="222"/>
      <c r="J8" s="255" t="s">
        <v>405</v>
      </c>
      <c r="K8" s="255"/>
      <c r="L8" s="223"/>
      <c r="M8" s="209"/>
    </row>
    <row r="9" spans="1:13">
      <c r="A9" s="209"/>
      <c r="B9" s="220"/>
      <c r="C9" s="221"/>
      <c r="D9" s="253" t="s">
        <v>406</v>
      </c>
      <c r="E9" s="253"/>
      <c r="F9" s="222"/>
      <c r="G9" s="256" t="s">
        <v>407</v>
      </c>
      <c r="H9" s="256"/>
      <c r="I9" s="222"/>
      <c r="J9" s="256" t="s">
        <v>408</v>
      </c>
      <c r="K9" s="256"/>
      <c r="L9" s="223"/>
      <c r="M9" s="209"/>
    </row>
    <row r="10" spans="1:13">
      <c r="A10" s="209"/>
      <c r="B10" s="220"/>
      <c r="C10" s="221"/>
      <c r="D10" s="253" t="s">
        <v>409</v>
      </c>
      <c r="E10" s="253"/>
      <c r="F10" s="222"/>
      <c r="G10" s="253" t="s">
        <v>410</v>
      </c>
      <c r="H10" s="253"/>
      <c r="I10" s="222"/>
      <c r="J10" s="253" t="s">
        <v>411</v>
      </c>
      <c r="K10" s="253"/>
      <c r="L10" s="223"/>
      <c r="M10" s="209"/>
    </row>
    <row r="11" spans="1:13" ht="8.1" customHeight="1">
      <c r="A11" s="209"/>
      <c r="B11" s="224"/>
      <c r="C11" s="225"/>
      <c r="D11" s="226"/>
      <c r="E11" s="226"/>
      <c r="F11" s="226"/>
      <c r="G11" s="226"/>
      <c r="H11" s="226"/>
      <c r="I11" s="226"/>
      <c r="J11" s="226"/>
      <c r="K11" s="226"/>
      <c r="L11" s="227"/>
      <c r="M11" s="209"/>
    </row>
    <row r="12" spans="1:13" ht="2.1" customHeight="1">
      <c r="A12" s="209"/>
      <c r="B12" s="214"/>
      <c r="C12" s="215"/>
      <c r="D12" s="228"/>
      <c r="E12" s="228"/>
      <c r="F12" s="228"/>
      <c r="G12" s="228"/>
      <c r="H12" s="228"/>
      <c r="I12" s="228"/>
      <c r="J12" s="228"/>
      <c r="K12" s="228"/>
      <c r="L12" s="216"/>
      <c r="M12" s="209"/>
    </row>
    <row r="13" spans="1:13" ht="8.1" customHeight="1">
      <c r="A13" s="209"/>
      <c r="B13" s="229"/>
      <c r="C13" s="230"/>
      <c r="D13" s="231"/>
      <c r="E13" s="231"/>
      <c r="F13" s="232"/>
      <c r="G13" s="232"/>
      <c r="H13" s="232"/>
      <c r="I13" s="232"/>
      <c r="J13" s="232"/>
      <c r="K13" s="232"/>
      <c r="L13" s="233"/>
      <c r="M13" s="209"/>
    </row>
    <row r="14" spans="1:13">
      <c r="A14" s="209"/>
      <c r="B14" s="234"/>
      <c r="C14" s="235" t="s">
        <v>412</v>
      </c>
      <c r="D14" s="254">
        <f>'Res Bill Summary'!B17</f>
        <v>60</v>
      </c>
      <c r="E14" s="254"/>
      <c r="F14" s="236"/>
      <c r="G14" s="254">
        <f>D14*2/3</f>
        <v>40</v>
      </c>
      <c r="H14" s="254"/>
      <c r="I14" s="236"/>
      <c r="J14" s="254">
        <f>D14*4/3</f>
        <v>80</v>
      </c>
      <c r="K14" s="254"/>
      <c r="L14" s="237"/>
      <c r="M14" s="209"/>
    </row>
    <row r="15" spans="1:13">
      <c r="A15" s="209"/>
      <c r="B15" s="234"/>
      <c r="C15" s="213"/>
      <c r="D15" s="238" t="s">
        <v>17</v>
      </c>
      <c r="E15" s="238" t="s">
        <v>413</v>
      </c>
      <c r="F15" s="213"/>
      <c r="G15" s="238" t="s">
        <v>17</v>
      </c>
      <c r="H15" s="238" t="s">
        <v>413</v>
      </c>
      <c r="I15" s="213"/>
      <c r="J15" s="238" t="s">
        <v>17</v>
      </c>
      <c r="K15" s="238" t="s">
        <v>413</v>
      </c>
      <c r="L15" s="239"/>
      <c r="M15" s="209"/>
    </row>
    <row r="16" spans="1:13">
      <c r="A16" s="209"/>
      <c r="B16" s="234"/>
      <c r="C16" s="240" t="s">
        <v>414</v>
      </c>
      <c r="D16" s="241"/>
      <c r="E16" s="241"/>
      <c r="F16" s="241"/>
      <c r="G16" s="241"/>
      <c r="H16" s="241"/>
      <c r="I16" s="241"/>
      <c r="J16" s="241"/>
      <c r="K16" s="241"/>
      <c r="L16" s="239"/>
      <c r="M16" s="209"/>
    </row>
    <row r="17" spans="1:13" ht="8.1" customHeight="1">
      <c r="A17" s="209"/>
      <c r="B17" s="234"/>
      <c r="C17" s="213"/>
      <c r="D17" s="213"/>
      <c r="E17" s="213"/>
      <c r="F17" s="213"/>
      <c r="G17" s="213"/>
      <c r="H17" s="213"/>
      <c r="I17" s="213"/>
      <c r="J17" s="213"/>
      <c r="K17" s="213"/>
      <c r="L17" s="239"/>
      <c r="M17" s="209"/>
    </row>
    <row r="18" spans="1:13">
      <c r="A18" s="209"/>
      <c r="B18" s="234"/>
      <c r="C18" s="213" t="s">
        <v>415</v>
      </c>
      <c r="D18" s="242">
        <f>'Typical Res Bill_RY#1 '!D12</f>
        <v>12.5</v>
      </c>
      <c r="E18" s="242">
        <f>D18</f>
        <v>12.5</v>
      </c>
      <c r="F18" s="243"/>
      <c r="G18" s="242">
        <f>D18</f>
        <v>12.5</v>
      </c>
      <c r="H18" s="242">
        <f>G18</f>
        <v>12.5</v>
      </c>
      <c r="I18" s="243"/>
      <c r="J18" s="242">
        <f>G18</f>
        <v>12.5</v>
      </c>
      <c r="K18" s="242">
        <f>J18</f>
        <v>12.5</v>
      </c>
      <c r="L18" s="239"/>
      <c r="M18" s="209"/>
    </row>
    <row r="19" spans="1:13">
      <c r="A19" s="209"/>
      <c r="B19" s="234"/>
      <c r="C19" s="213" t="s">
        <v>423</v>
      </c>
      <c r="D19" s="242">
        <f>'Typical Res Bill_RY#1 '!D15</f>
        <v>-18.47</v>
      </c>
      <c r="E19" s="242">
        <f>D19</f>
        <v>-18.47</v>
      </c>
      <c r="F19" s="243"/>
      <c r="G19" s="242">
        <f>D19</f>
        <v>-18.47</v>
      </c>
      <c r="H19" s="242">
        <f>G19</f>
        <v>-18.47</v>
      </c>
      <c r="I19" s="243"/>
      <c r="J19" s="242">
        <f>G19</f>
        <v>-18.47</v>
      </c>
      <c r="K19" s="242">
        <f>J19</f>
        <v>-18.47</v>
      </c>
      <c r="L19" s="239"/>
      <c r="M19" s="209"/>
    </row>
    <row r="20" spans="1:13">
      <c r="A20" s="209"/>
      <c r="B20" s="234"/>
      <c r="C20" s="213" t="s">
        <v>422</v>
      </c>
      <c r="D20" s="244">
        <f>'Typical Res Bill_RY#1 '!D36</f>
        <v>1.3544800000000001</v>
      </c>
      <c r="E20" s="244">
        <f>D20*D14</f>
        <v>81.268800000000013</v>
      </c>
      <c r="F20" s="244"/>
      <c r="G20" s="244">
        <f>D20</f>
        <v>1.3544800000000001</v>
      </c>
      <c r="H20" s="244">
        <f>G20*G14</f>
        <v>54.179200000000009</v>
      </c>
      <c r="I20" s="244"/>
      <c r="J20" s="244">
        <f>G20</f>
        <v>1.3544800000000001</v>
      </c>
      <c r="K20" s="244">
        <f>J20*J14</f>
        <v>108.35840000000002</v>
      </c>
      <c r="L20" s="239"/>
      <c r="M20" s="209"/>
    </row>
    <row r="21" spans="1:13" ht="8.1" customHeight="1">
      <c r="A21" s="209"/>
      <c r="B21" s="234"/>
      <c r="C21" s="213"/>
      <c r="D21" s="213"/>
      <c r="E21" s="213"/>
      <c r="F21" s="213"/>
      <c r="G21" s="213"/>
      <c r="H21" s="213"/>
      <c r="I21" s="213"/>
      <c r="J21" s="213"/>
      <c r="K21" s="213"/>
      <c r="L21" s="239"/>
      <c r="M21" s="209"/>
    </row>
    <row r="22" spans="1:13">
      <c r="A22" s="209"/>
      <c r="B22" s="234"/>
      <c r="C22" s="235" t="s">
        <v>416</v>
      </c>
      <c r="D22" s="245"/>
      <c r="E22" s="245">
        <f>E18+E19+E20</f>
        <v>75.298800000000014</v>
      </c>
      <c r="F22" s="245"/>
      <c r="G22" s="245"/>
      <c r="H22" s="245">
        <f>H18+H19+H20</f>
        <v>48.20920000000001</v>
      </c>
      <c r="I22" s="245"/>
      <c r="J22" s="245"/>
      <c r="K22" s="245">
        <f>K18+K19+K20</f>
        <v>102.38840000000002</v>
      </c>
      <c r="L22" s="239"/>
      <c r="M22" s="209"/>
    </row>
    <row r="23" spans="1:13" ht="8.1" customHeight="1">
      <c r="A23" s="209"/>
      <c r="B23" s="234"/>
      <c r="C23" s="235"/>
      <c r="D23" s="245"/>
      <c r="E23" s="245"/>
      <c r="F23" s="245"/>
      <c r="G23" s="245"/>
      <c r="H23" s="245"/>
      <c r="I23" s="245"/>
      <c r="J23" s="245"/>
      <c r="K23" s="245"/>
      <c r="L23" s="239"/>
      <c r="M23" s="209"/>
    </row>
    <row r="24" spans="1:13" ht="8.1" customHeight="1">
      <c r="A24" s="209"/>
      <c r="B24" s="234"/>
      <c r="C24" s="213"/>
      <c r="D24" s="246"/>
      <c r="E24" s="246"/>
      <c r="F24" s="246"/>
      <c r="G24" s="246"/>
      <c r="H24" s="246"/>
      <c r="I24" s="246"/>
      <c r="J24" s="246"/>
      <c r="K24" s="246"/>
      <c r="L24" s="239"/>
      <c r="M24" s="209"/>
    </row>
    <row r="25" spans="1:13">
      <c r="A25" s="209"/>
      <c r="B25" s="234"/>
      <c r="C25" s="240" t="s">
        <v>417</v>
      </c>
      <c r="D25" s="246"/>
      <c r="E25" s="246"/>
      <c r="F25" s="246"/>
      <c r="G25" s="246"/>
      <c r="H25" s="246"/>
      <c r="I25" s="246"/>
      <c r="J25" s="246"/>
      <c r="K25" s="246"/>
      <c r="L25" s="239"/>
      <c r="M25" s="209"/>
    </row>
    <row r="26" spans="1:13" ht="8.1" customHeight="1">
      <c r="A26" s="209"/>
      <c r="B26" s="234"/>
      <c r="C26" s="213"/>
      <c r="D26" s="213"/>
      <c r="E26" s="213"/>
      <c r="F26" s="213"/>
      <c r="G26" s="213"/>
      <c r="H26" s="213"/>
      <c r="I26" s="213"/>
      <c r="J26" s="213"/>
      <c r="K26" s="213"/>
      <c r="L26" s="239"/>
      <c r="M26" s="209"/>
    </row>
    <row r="27" spans="1:13">
      <c r="A27" s="209"/>
      <c r="B27" s="234"/>
      <c r="C27" s="213" t="s">
        <v>415</v>
      </c>
      <c r="D27" s="242">
        <f>'Typical Res Bill_RY#2'!G12</f>
        <v>17.670000000000002</v>
      </c>
      <c r="E27" s="242">
        <f>D27</f>
        <v>17.670000000000002</v>
      </c>
      <c r="F27" s="243"/>
      <c r="G27" s="242">
        <f>D27</f>
        <v>17.670000000000002</v>
      </c>
      <c r="H27" s="242">
        <f>G27</f>
        <v>17.670000000000002</v>
      </c>
      <c r="I27" s="243"/>
      <c r="J27" s="242">
        <f>G27</f>
        <v>17.670000000000002</v>
      </c>
      <c r="K27" s="242">
        <f>J27</f>
        <v>17.670000000000002</v>
      </c>
      <c r="L27" s="239"/>
      <c r="M27" s="209"/>
    </row>
    <row r="28" spans="1:13">
      <c r="A28" s="209"/>
      <c r="B28" s="234"/>
      <c r="C28" s="213" t="s">
        <v>423</v>
      </c>
      <c r="D28" s="242">
        <f>'Typical Res Bill_RY#2'!G15</f>
        <v>-18.47</v>
      </c>
      <c r="E28" s="242">
        <f>D28</f>
        <v>-18.47</v>
      </c>
      <c r="F28" s="243"/>
      <c r="G28" s="242">
        <f>D28</f>
        <v>-18.47</v>
      </c>
      <c r="H28" s="242">
        <f>G28</f>
        <v>-18.47</v>
      </c>
      <c r="I28" s="243"/>
      <c r="J28" s="242">
        <f>G28</f>
        <v>-18.47</v>
      </c>
      <c r="K28" s="242">
        <f>J28</f>
        <v>-18.47</v>
      </c>
      <c r="L28" s="239"/>
      <c r="M28" s="209"/>
    </row>
    <row r="29" spans="1:13">
      <c r="A29" s="209"/>
      <c r="B29" s="234"/>
      <c r="C29" s="213" t="s">
        <v>422</v>
      </c>
      <c r="D29" s="244">
        <f>'Typical Res Bill_RY#2'!G36</f>
        <v>1.5154830741360552</v>
      </c>
      <c r="E29" s="244">
        <f>D29*D14</f>
        <v>90.928984448163305</v>
      </c>
      <c r="F29" s="244"/>
      <c r="G29" s="244">
        <f>D29</f>
        <v>1.5154830741360552</v>
      </c>
      <c r="H29" s="244">
        <f>G29*G14</f>
        <v>60.619322965442208</v>
      </c>
      <c r="I29" s="244"/>
      <c r="J29" s="244">
        <f>G29</f>
        <v>1.5154830741360552</v>
      </c>
      <c r="K29" s="244">
        <f>J29*J14</f>
        <v>121.23864593088442</v>
      </c>
      <c r="L29" s="239"/>
      <c r="M29" s="209"/>
    </row>
    <row r="30" spans="1:13" ht="8.1" customHeight="1">
      <c r="A30" s="209"/>
      <c r="B30" s="234"/>
      <c r="C30" s="213"/>
      <c r="D30" s="213"/>
      <c r="E30" s="213"/>
      <c r="F30" s="213"/>
      <c r="G30" s="213"/>
      <c r="H30" s="213"/>
      <c r="I30" s="213"/>
      <c r="J30" s="213"/>
      <c r="K30" s="213"/>
      <c r="L30" s="239"/>
      <c r="M30" s="209"/>
    </row>
    <row r="31" spans="1:13">
      <c r="A31" s="209"/>
      <c r="B31" s="234"/>
      <c r="C31" s="235" t="s">
        <v>418</v>
      </c>
      <c r="D31" s="245"/>
      <c r="E31" s="245">
        <f>E27+E28+E29</f>
        <v>90.128984448163308</v>
      </c>
      <c r="F31" s="245"/>
      <c r="G31" s="245"/>
      <c r="H31" s="245">
        <f>H27+H28+H29</f>
        <v>59.819322965442211</v>
      </c>
      <c r="I31" s="245"/>
      <c r="J31" s="245"/>
      <c r="K31" s="245">
        <f>K27+K28+K29</f>
        <v>120.43864593088442</v>
      </c>
      <c r="L31" s="239"/>
      <c r="M31" s="209"/>
    </row>
    <row r="32" spans="1:13">
      <c r="A32" s="209"/>
      <c r="B32" s="234"/>
      <c r="C32" s="235" t="s">
        <v>419</v>
      </c>
      <c r="D32" s="247"/>
      <c r="E32" s="247">
        <f>(E31-E22)/E22</f>
        <v>0.1969511393031933</v>
      </c>
      <c r="F32" s="247"/>
      <c r="G32" s="247"/>
      <c r="H32" s="247">
        <f>(H31-H22)/H22</f>
        <v>0.24082795328365122</v>
      </c>
      <c r="I32" s="247"/>
      <c r="J32" s="247"/>
      <c r="K32" s="247">
        <f>(K31-K22)/K22</f>
        <v>0.17629190348598472</v>
      </c>
      <c r="L32" s="239"/>
      <c r="M32" s="209"/>
    </row>
    <row r="33" spans="1:13" ht="8.1" customHeight="1" thickBot="1">
      <c r="A33" s="209"/>
      <c r="B33" s="248"/>
      <c r="C33" s="249"/>
      <c r="D33" s="250"/>
      <c r="E33" s="250"/>
      <c r="F33" s="250"/>
      <c r="G33" s="250"/>
      <c r="H33" s="250"/>
      <c r="I33" s="250"/>
      <c r="J33" s="250"/>
      <c r="K33" s="250"/>
      <c r="L33" s="251"/>
      <c r="M33" s="209"/>
    </row>
    <row r="34" spans="1:13" ht="13.5" thickTop="1">
      <c r="A34" s="209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09"/>
    </row>
    <row r="35" spans="1:13">
      <c r="A35" s="209"/>
      <c r="B35" s="213"/>
      <c r="C35" s="213" t="s">
        <v>421</v>
      </c>
      <c r="D35" s="213"/>
      <c r="E35" s="213"/>
      <c r="F35" s="213"/>
      <c r="G35" s="213"/>
      <c r="H35" s="213"/>
      <c r="I35" s="213"/>
      <c r="J35" s="213"/>
      <c r="K35" s="213"/>
      <c r="L35" s="213"/>
      <c r="M35" s="209"/>
    </row>
    <row r="37" spans="1:13">
      <c r="B37" s="252" t="s">
        <v>420</v>
      </c>
    </row>
    <row r="38" spans="1:13">
      <c r="B38" s="252" t="s">
        <v>424</v>
      </c>
    </row>
  </sheetData>
  <mergeCells count="12">
    <mergeCell ref="D8:E8"/>
    <mergeCell ref="G8:H8"/>
    <mergeCell ref="J8:K8"/>
    <mergeCell ref="D9:E9"/>
    <mergeCell ref="G9:H9"/>
    <mergeCell ref="J9:K9"/>
    <mergeCell ref="D10:E10"/>
    <mergeCell ref="G10:H10"/>
    <mergeCell ref="J10:K10"/>
    <mergeCell ref="D14:E14"/>
    <mergeCell ref="G14:H14"/>
    <mergeCell ref="J14:K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6"/>
  <sheetViews>
    <sheetView zoomScale="90" zoomScaleNormal="90" workbookViewId="0">
      <selection activeCell="J21" sqref="J21"/>
    </sheetView>
  </sheetViews>
  <sheetFormatPr defaultColWidth="9.140625" defaultRowHeight="15"/>
  <cols>
    <col min="1" max="1" width="4.7109375" style="41" bestFit="1" customWidth="1"/>
    <col min="2" max="2" width="2.42578125" style="41" customWidth="1"/>
    <col min="3" max="3" width="33.5703125" style="41" customWidth="1"/>
    <col min="4" max="5" width="11.7109375" style="41" customWidth="1"/>
    <col min="6" max="6" width="2.5703125" style="41" customWidth="1"/>
    <col min="7" max="8" width="11.7109375" style="41" customWidth="1"/>
    <col min="9" max="16384" width="9.140625" style="41"/>
  </cols>
  <sheetData>
    <row r="1" spans="1:8">
      <c r="B1" s="40" t="s">
        <v>0</v>
      </c>
      <c r="C1" s="40"/>
      <c r="D1" s="40"/>
      <c r="E1" s="40"/>
      <c r="F1" s="40"/>
      <c r="G1" s="40"/>
      <c r="H1" s="40"/>
    </row>
    <row r="2" spans="1:8">
      <c r="B2" s="40" t="str">
        <f>'Table of Contents'!A2</f>
        <v>2024 Gas General Rate Case Filing (Dockets UE-240004 &amp; UG-240005)</v>
      </c>
      <c r="C2" s="40"/>
      <c r="D2" s="40"/>
      <c r="E2" s="40"/>
      <c r="F2" s="40"/>
      <c r="G2" s="40"/>
      <c r="H2" s="40"/>
    </row>
    <row r="3" spans="1:8">
      <c r="B3" s="40" t="s">
        <v>261</v>
      </c>
      <c r="C3" s="40"/>
      <c r="D3" s="40"/>
      <c r="E3" s="40"/>
      <c r="F3" s="40"/>
      <c r="G3" s="40"/>
      <c r="H3" s="40"/>
    </row>
    <row r="4" spans="1:8">
      <c r="B4" s="143" t="s">
        <v>375</v>
      </c>
      <c r="C4" s="40"/>
      <c r="D4" s="40"/>
      <c r="E4" s="40"/>
      <c r="F4" s="40"/>
      <c r="G4" s="40"/>
      <c r="H4" s="40"/>
    </row>
    <row r="6" spans="1:8">
      <c r="A6" s="46" t="s">
        <v>391</v>
      </c>
      <c r="D6" s="125" t="s">
        <v>206</v>
      </c>
      <c r="E6" s="125"/>
      <c r="F6" s="19"/>
      <c r="G6" s="125" t="s">
        <v>184</v>
      </c>
      <c r="H6" s="125"/>
    </row>
    <row r="7" spans="1:8" ht="17.25">
      <c r="A7" s="206" t="s">
        <v>392</v>
      </c>
      <c r="D7" s="65" t="s">
        <v>159</v>
      </c>
      <c r="E7" s="65" t="s">
        <v>160</v>
      </c>
      <c r="F7" s="46"/>
      <c r="G7" s="65" t="s">
        <v>22</v>
      </c>
      <c r="H7" s="65" t="s">
        <v>160</v>
      </c>
    </row>
    <row r="8" spans="1:8">
      <c r="A8" s="46"/>
      <c r="C8" s="46" t="s">
        <v>25</v>
      </c>
      <c r="D8" s="46" t="s">
        <v>26</v>
      </c>
      <c r="E8" s="46" t="s">
        <v>27</v>
      </c>
      <c r="F8" s="46"/>
      <c r="G8" s="46" t="s">
        <v>28</v>
      </c>
      <c r="H8" s="46" t="s">
        <v>197</v>
      </c>
    </row>
    <row r="9" spans="1:8">
      <c r="A9" s="46">
        <v>1</v>
      </c>
      <c r="B9" s="41" t="s">
        <v>161</v>
      </c>
      <c r="D9" s="126">
        <v>64</v>
      </c>
      <c r="E9" s="127"/>
      <c r="F9" s="126"/>
      <c r="G9" s="126">
        <v>64</v>
      </c>
      <c r="H9" s="127"/>
    </row>
    <row r="10" spans="1:8">
      <c r="A10" s="46">
        <f>A9+1</f>
        <v>2</v>
      </c>
      <c r="D10" s="126"/>
      <c r="E10" s="127"/>
      <c r="F10" s="126"/>
      <c r="G10" s="126"/>
      <c r="H10" s="127"/>
    </row>
    <row r="11" spans="1:8">
      <c r="A11" s="46">
        <f t="shared" ref="A11:A40" si="0">A10+1</f>
        <v>3</v>
      </c>
      <c r="B11" s="41" t="s">
        <v>162</v>
      </c>
      <c r="D11" s="126"/>
      <c r="E11" s="127"/>
      <c r="F11" s="126"/>
      <c r="G11" s="126"/>
      <c r="H11" s="127"/>
    </row>
    <row r="12" spans="1:8">
      <c r="A12" s="46">
        <f t="shared" si="0"/>
        <v>4</v>
      </c>
      <c r="C12" s="41" t="s">
        <v>194</v>
      </c>
      <c r="D12" s="169">
        <f>'Typical Res Bill_RY#1 '!S12</f>
        <v>14.86</v>
      </c>
      <c r="E12" s="127">
        <f>D12</f>
        <v>14.86</v>
      </c>
      <c r="F12" s="128"/>
      <c r="G12" s="169">
        <v>17.670000000000002</v>
      </c>
      <c r="H12" s="127">
        <f>G12</f>
        <v>17.670000000000002</v>
      </c>
    </row>
    <row r="13" spans="1:8">
      <c r="A13" s="46">
        <f t="shared" si="0"/>
        <v>5</v>
      </c>
      <c r="C13" s="41" t="s">
        <v>14</v>
      </c>
      <c r="D13" s="130">
        <f>SUM(D12:D12)</f>
        <v>14.86</v>
      </c>
      <c r="E13" s="130">
        <f>SUM(E12:E12)</f>
        <v>14.86</v>
      </c>
      <c r="F13" s="128"/>
      <c r="G13" s="130">
        <f>SUM(G12:G12)</f>
        <v>17.670000000000002</v>
      </c>
      <c r="H13" s="130">
        <f>SUM(H12:H12)</f>
        <v>17.670000000000002</v>
      </c>
    </row>
    <row r="14" spans="1:8">
      <c r="A14" s="46">
        <f t="shared" si="0"/>
        <v>6</v>
      </c>
      <c r="D14" s="128"/>
      <c r="E14" s="127"/>
      <c r="F14" s="128"/>
      <c r="G14" s="129"/>
      <c r="H14" s="127"/>
    </row>
    <row r="15" spans="1:8">
      <c r="A15" s="46">
        <f t="shared" si="0"/>
        <v>7</v>
      </c>
      <c r="C15" s="41" t="s">
        <v>347</v>
      </c>
      <c r="D15" s="169">
        <f>'Typical Res Bill_RY#1 '!S15</f>
        <v>-18.47</v>
      </c>
      <c r="E15" s="127">
        <f>D15</f>
        <v>-18.47</v>
      </c>
      <c r="F15" s="128"/>
      <c r="G15" s="129">
        <f>$D$15</f>
        <v>-18.47</v>
      </c>
      <c r="H15" s="127">
        <f>G15</f>
        <v>-18.47</v>
      </c>
    </row>
    <row r="16" spans="1:8">
      <c r="A16" s="46">
        <f t="shared" si="0"/>
        <v>8</v>
      </c>
      <c r="D16" s="128"/>
      <c r="E16" s="127"/>
      <c r="F16" s="128"/>
      <c r="G16" s="129"/>
      <c r="H16" s="127"/>
    </row>
    <row r="17" spans="1:8">
      <c r="A17" s="46">
        <f t="shared" si="0"/>
        <v>9</v>
      </c>
      <c r="B17" s="41" t="s">
        <v>163</v>
      </c>
      <c r="E17" s="127"/>
      <c r="H17" s="127"/>
    </row>
    <row r="18" spans="1:8">
      <c r="A18" s="46">
        <f t="shared" si="0"/>
        <v>10</v>
      </c>
      <c r="C18" s="41" t="s">
        <v>185</v>
      </c>
      <c r="D18" s="86">
        <f>'Typical Res Bill_RY#1 '!S18</f>
        <v>0.69932000000000005</v>
      </c>
      <c r="E18" s="127"/>
      <c r="F18" s="131"/>
      <c r="G18" s="86">
        <v>0.67893000000000003</v>
      </c>
      <c r="H18" s="127"/>
    </row>
    <row r="19" spans="1:8">
      <c r="A19" s="46">
        <f t="shared" si="0"/>
        <v>11</v>
      </c>
      <c r="C19" s="41" t="s">
        <v>191</v>
      </c>
      <c r="D19" s="86">
        <f>'Typical Res Bill_RY#1 '!S19</f>
        <v>2.8750000000000001E-2</v>
      </c>
      <c r="E19" s="127"/>
      <c r="F19" s="131"/>
      <c r="G19" s="59">
        <f>$D$19</f>
        <v>2.8750000000000001E-2</v>
      </c>
      <c r="H19" s="127"/>
    </row>
    <row r="20" spans="1:8">
      <c r="A20" s="46">
        <f t="shared" si="0"/>
        <v>12</v>
      </c>
      <c r="C20" s="41" t="s">
        <v>186</v>
      </c>
      <c r="D20" s="86">
        <f>'Typical Res Bill_RY#1 '!S20</f>
        <v>5.4999999999999997E-3</v>
      </c>
      <c r="E20" s="127"/>
      <c r="F20" s="131"/>
      <c r="G20" s="106">
        <f>$D$20</f>
        <v>5.4999999999999997E-3</v>
      </c>
      <c r="H20" s="127"/>
    </row>
    <row r="21" spans="1:8">
      <c r="A21" s="46">
        <f t="shared" si="0"/>
        <v>13</v>
      </c>
      <c r="C21" s="41" t="s">
        <v>344</v>
      </c>
      <c r="D21" s="86">
        <f>'Typical Res Bill_RY#1 '!S21</f>
        <v>1.5959999999999998E-2</v>
      </c>
      <c r="E21" s="127"/>
      <c r="F21" s="131"/>
      <c r="G21" s="106">
        <f>$D$21</f>
        <v>1.5959999999999998E-2</v>
      </c>
      <c r="H21" s="127"/>
    </row>
    <row r="22" spans="1:8">
      <c r="A22" s="46">
        <f t="shared" si="0"/>
        <v>14</v>
      </c>
      <c r="C22" s="41" t="s">
        <v>187</v>
      </c>
      <c r="D22" s="86">
        <f>'Typical Res Bill_RY#1 '!S22</f>
        <v>2.2849999999999999E-2</v>
      </c>
      <c r="E22" s="127"/>
      <c r="F22" s="131"/>
      <c r="G22" s="59">
        <f>$D$22</f>
        <v>2.2849999999999999E-2</v>
      </c>
      <c r="H22" s="127"/>
    </row>
    <row r="23" spans="1:8">
      <c r="A23" s="46">
        <f t="shared" si="0"/>
        <v>15</v>
      </c>
      <c r="C23" s="41" t="s">
        <v>300</v>
      </c>
      <c r="D23" s="86">
        <f>'Typical Res Bill_RY#1 '!S23</f>
        <v>3.15E-3</v>
      </c>
      <c r="E23" s="181"/>
      <c r="F23" s="182"/>
      <c r="G23" s="59">
        <f>$D$23</f>
        <v>3.15E-3</v>
      </c>
      <c r="H23" s="181"/>
    </row>
    <row r="24" spans="1:8">
      <c r="A24" s="46">
        <f t="shared" si="0"/>
        <v>16</v>
      </c>
      <c r="C24" s="41" t="s">
        <v>379</v>
      </c>
      <c r="D24" s="86">
        <f>'Typical Res Bill_RY#1 '!S24</f>
        <v>6.0830741360552963E-3</v>
      </c>
      <c r="E24" s="181"/>
      <c r="F24" s="182"/>
      <c r="G24" s="59">
        <f>$D$24</f>
        <v>6.0830741360552963E-3</v>
      </c>
      <c r="H24" s="181"/>
    </row>
    <row r="25" spans="1:8">
      <c r="A25" s="46">
        <f t="shared" si="0"/>
        <v>17</v>
      </c>
      <c r="C25" s="41" t="s">
        <v>188</v>
      </c>
      <c r="D25" s="86">
        <f>'Typical Res Bill_RY#1 '!S25</f>
        <v>0</v>
      </c>
      <c r="E25" s="127"/>
      <c r="F25" s="131"/>
      <c r="G25" s="106">
        <f>$D$25</f>
        <v>0</v>
      </c>
      <c r="H25" s="127"/>
    </row>
    <row r="26" spans="1:8">
      <c r="A26" s="46">
        <f t="shared" si="0"/>
        <v>18</v>
      </c>
      <c r="C26" s="41" t="s">
        <v>189</v>
      </c>
      <c r="D26" s="86">
        <f>'Typical Res Bill_RY#1 '!S26</f>
        <v>0</v>
      </c>
      <c r="E26" s="127"/>
      <c r="F26" s="131"/>
      <c r="G26" s="106">
        <f>$D$26</f>
        <v>0</v>
      </c>
      <c r="H26" s="127"/>
    </row>
    <row r="27" spans="1:8">
      <c r="A27" s="46">
        <f t="shared" si="0"/>
        <v>19</v>
      </c>
      <c r="C27" s="41" t="s">
        <v>345</v>
      </c>
      <c r="D27" s="86">
        <f>'Typical Res Bill_RY#1 '!S27</f>
        <v>-1.5E-3</v>
      </c>
      <c r="E27" s="127"/>
      <c r="F27" s="131"/>
      <c r="G27" s="59">
        <f>$D$27</f>
        <v>-1.5E-3</v>
      </c>
      <c r="H27" s="127"/>
    </row>
    <row r="28" spans="1:8">
      <c r="A28" s="46">
        <f t="shared" si="0"/>
        <v>20</v>
      </c>
      <c r="C28" s="41" t="s">
        <v>190</v>
      </c>
      <c r="D28" s="86">
        <f>'Typical Res Bill_RY#1 '!S28</f>
        <v>4.64E-3</v>
      </c>
      <c r="E28" s="127"/>
      <c r="F28" s="131"/>
      <c r="G28" s="59">
        <f>$D$28</f>
        <v>4.64E-3</v>
      </c>
      <c r="H28" s="127"/>
    </row>
    <row r="29" spans="1:8">
      <c r="A29" s="46">
        <f t="shared" si="0"/>
        <v>21</v>
      </c>
      <c r="C29" s="41" t="s">
        <v>14</v>
      </c>
      <c r="D29" s="132">
        <f>SUM(D18:D28)</f>
        <v>0.78475307413605533</v>
      </c>
      <c r="E29" s="127">
        <f>ROUND(D29*D$9,2)</f>
        <v>50.22</v>
      </c>
      <c r="F29" s="131"/>
      <c r="G29" s="132">
        <f>SUM(G18:G28)</f>
        <v>0.76436307413605531</v>
      </c>
      <c r="H29" s="127">
        <f>ROUND(G29*G$9,2)</f>
        <v>48.92</v>
      </c>
    </row>
    <row r="30" spans="1:8">
      <c r="A30" s="46">
        <f t="shared" si="0"/>
        <v>22</v>
      </c>
    </row>
    <row r="31" spans="1:8">
      <c r="A31" s="46">
        <f t="shared" si="0"/>
        <v>23</v>
      </c>
      <c r="C31" s="41" t="s">
        <v>346</v>
      </c>
      <c r="D31" s="86">
        <f>'Typical Res Bill_RY#1 '!S31</f>
        <v>0.39673999999999998</v>
      </c>
      <c r="E31" s="127">
        <f>ROUND(D31*D$9,2)</f>
        <v>25.39</v>
      </c>
      <c r="F31" s="131"/>
      <c r="G31" s="59">
        <f>$D$31</f>
        <v>0.39673999999999998</v>
      </c>
      <c r="H31" s="127">
        <f>ROUND(G31*G$9,2)</f>
        <v>25.39</v>
      </c>
    </row>
    <row r="32" spans="1:8">
      <c r="A32" s="46">
        <f t="shared" si="0"/>
        <v>24</v>
      </c>
      <c r="D32" s="106"/>
      <c r="E32" s="127"/>
      <c r="F32" s="131"/>
      <c r="G32" s="106"/>
      <c r="H32" s="127"/>
    </row>
    <row r="33" spans="1:8">
      <c r="A33" s="46">
        <f t="shared" si="0"/>
        <v>25</v>
      </c>
      <c r="C33" s="41" t="s">
        <v>192</v>
      </c>
      <c r="D33" s="86">
        <f>'Typical Res Bill_RY#1 '!S33</f>
        <v>0.55610999999999999</v>
      </c>
      <c r="E33" s="127"/>
      <c r="F33" s="131"/>
      <c r="G33" s="59">
        <f>$D$33</f>
        <v>0.55610999999999999</v>
      </c>
      <c r="H33" s="127"/>
    </row>
    <row r="34" spans="1:8">
      <c r="A34" s="46">
        <f t="shared" si="0"/>
        <v>26</v>
      </c>
      <c r="C34" s="41" t="s">
        <v>193</v>
      </c>
      <c r="D34" s="86">
        <f>'Typical Res Bill_RY#1 '!S34</f>
        <v>-0.20172999999999999</v>
      </c>
      <c r="E34" s="127"/>
      <c r="F34" s="131"/>
      <c r="G34" s="59">
        <f>$D$34</f>
        <v>-0.20172999999999999</v>
      </c>
      <c r="H34" s="127"/>
    </row>
    <row r="35" spans="1:8">
      <c r="A35" s="46">
        <f t="shared" si="0"/>
        <v>27</v>
      </c>
      <c r="C35" s="41" t="s">
        <v>14</v>
      </c>
      <c r="D35" s="132">
        <f>SUM(D33:D34)</f>
        <v>0.35438000000000003</v>
      </c>
      <c r="E35" s="127">
        <f>ROUND(D35*D$9,2)</f>
        <v>22.68</v>
      </c>
      <c r="F35" s="131"/>
      <c r="G35" s="132">
        <f>SUM(G33:G34)</f>
        <v>0.35438000000000003</v>
      </c>
      <c r="H35" s="127">
        <f>ROUND(G35*G$9,2)</f>
        <v>22.68</v>
      </c>
    </row>
    <row r="36" spans="1:8">
      <c r="A36" s="46">
        <f t="shared" si="0"/>
        <v>28</v>
      </c>
      <c r="C36" s="41" t="s">
        <v>164</v>
      </c>
      <c r="D36" s="132">
        <f>D29+D31+D35</f>
        <v>1.5358730741360551</v>
      </c>
      <c r="E36" s="133">
        <f>SUM(E29,E31,E35)</f>
        <v>98.289999999999992</v>
      </c>
      <c r="F36" s="106"/>
      <c r="G36" s="132">
        <f>G29+G31+G35</f>
        <v>1.5154830741360552</v>
      </c>
      <c r="H36" s="133">
        <f>SUM(H29,H31,H35)</f>
        <v>96.990000000000009</v>
      </c>
    </row>
    <row r="37" spans="1:8">
      <c r="A37" s="46">
        <f t="shared" si="0"/>
        <v>29</v>
      </c>
      <c r="E37" s="127"/>
      <c r="H37" s="127"/>
    </row>
    <row r="38" spans="1:8">
      <c r="A38" s="46">
        <f t="shared" si="0"/>
        <v>30</v>
      </c>
      <c r="B38" s="41" t="s">
        <v>165</v>
      </c>
      <c r="D38" s="129"/>
      <c r="E38" s="127">
        <f>E13+E15+E36</f>
        <v>94.679999999999993</v>
      </c>
      <c r="F38" s="129"/>
      <c r="G38" s="129"/>
      <c r="H38" s="127">
        <f>H13+H15+H36</f>
        <v>96.190000000000012</v>
      </c>
    </row>
    <row r="39" spans="1:8">
      <c r="A39" s="46">
        <f t="shared" si="0"/>
        <v>31</v>
      </c>
      <c r="B39" s="41" t="s">
        <v>166</v>
      </c>
      <c r="D39" s="129"/>
      <c r="E39" s="127"/>
      <c r="F39" s="129"/>
      <c r="G39" s="129"/>
      <c r="H39" s="127">
        <f>H38-$E38</f>
        <v>1.5100000000000193</v>
      </c>
    </row>
    <row r="40" spans="1:8">
      <c r="A40" s="46">
        <f t="shared" si="0"/>
        <v>32</v>
      </c>
      <c r="B40" s="41" t="s">
        <v>167</v>
      </c>
      <c r="D40" s="20"/>
      <c r="E40" s="20"/>
      <c r="F40" s="20"/>
      <c r="G40" s="20"/>
      <c r="H40" s="61">
        <f>H39/$E38</f>
        <v>1.5948457963667294E-2</v>
      </c>
    </row>
    <row r="41" spans="1:8">
      <c r="E41" s="127"/>
    </row>
    <row r="42" spans="1:8" ht="17.25">
      <c r="B42" s="41" t="s">
        <v>380</v>
      </c>
    </row>
    <row r="46" spans="1:8" ht="14.25" customHeight="1"/>
  </sheetData>
  <printOptions horizontalCentered="1"/>
  <pageMargins left="0.45" right="0.45" top="1" bottom="1" header="0.5" footer="0.5"/>
  <pageSetup scale="75" orientation="landscape" blackAndWhite="1" r:id="rId1"/>
  <headerFooter alignWithMargins="0">
    <oddFooter>&amp;R&amp;A
 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1"/>
  <sheetViews>
    <sheetView zoomScale="90" zoomScaleNormal="90" workbookViewId="0">
      <selection activeCell="I40" sqref="I40"/>
    </sheetView>
  </sheetViews>
  <sheetFormatPr defaultRowHeight="15"/>
  <cols>
    <col min="1" max="1" width="4.7109375" bestFit="1" customWidth="1"/>
    <col min="2" max="2" width="37.85546875" customWidth="1"/>
    <col min="3" max="3" width="9.140625" bestFit="1" customWidth="1"/>
    <col min="4" max="5" width="16.5703125" customWidth="1"/>
    <col min="6" max="6" width="12.7109375" bestFit="1" customWidth="1"/>
    <col min="7" max="7" width="2.5703125" customWidth="1"/>
    <col min="8" max="9" width="16.5703125" customWidth="1"/>
    <col min="10" max="10" width="12.7109375" bestFit="1" customWidth="1"/>
    <col min="11" max="11" width="2.5703125" customWidth="1"/>
    <col min="12" max="12" width="11.7109375" bestFit="1" customWidth="1"/>
    <col min="13" max="13" width="9.28515625" customWidth="1"/>
    <col min="14" max="14" width="13.85546875" customWidth="1"/>
  </cols>
  <sheetData>
    <row r="1" spans="1:1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B2" s="40" t="str">
        <f>'Table of Contents'!A2</f>
        <v>2024 Gas General Rate Case Filing (Dockets UE-240004 &amp; UG-240005)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>
      <c r="B3" s="143" t="s">
        <v>182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4">
      <c r="B4" s="143" t="s">
        <v>374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4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>
      <c r="D6" s="257" t="s">
        <v>151</v>
      </c>
      <c r="E6" s="257"/>
      <c r="F6" s="257"/>
      <c r="G6" s="3"/>
      <c r="H6" s="257" t="s">
        <v>124</v>
      </c>
      <c r="I6" s="257"/>
      <c r="J6" s="257"/>
    </row>
    <row r="7" spans="1:14">
      <c r="B7" s="3"/>
      <c r="C7" s="3"/>
      <c r="D7" s="3" t="s">
        <v>15</v>
      </c>
      <c r="E7" s="3" t="s">
        <v>15</v>
      </c>
      <c r="F7" s="3"/>
      <c r="G7" s="3"/>
      <c r="H7" s="3" t="s">
        <v>15</v>
      </c>
      <c r="I7" s="3" t="s">
        <v>15</v>
      </c>
      <c r="J7" s="3"/>
      <c r="K7" s="3"/>
      <c r="L7" s="3"/>
    </row>
    <row r="8" spans="1:14">
      <c r="A8" s="3" t="s">
        <v>391</v>
      </c>
      <c r="B8" s="3"/>
      <c r="C8" s="3" t="s">
        <v>17</v>
      </c>
      <c r="D8" s="3" t="s">
        <v>3</v>
      </c>
      <c r="E8" s="3" t="s">
        <v>2</v>
      </c>
      <c r="F8" s="3" t="s">
        <v>152</v>
      </c>
      <c r="G8" s="3"/>
      <c r="H8" s="3" t="s">
        <v>3</v>
      </c>
      <c r="I8" s="3" t="s">
        <v>2</v>
      </c>
      <c r="J8" s="3" t="s">
        <v>152</v>
      </c>
      <c r="K8" s="3"/>
      <c r="L8" s="3" t="s">
        <v>6</v>
      </c>
    </row>
    <row r="9" spans="1:14">
      <c r="A9" s="207" t="s">
        <v>392</v>
      </c>
      <c r="B9" s="73" t="s">
        <v>4</v>
      </c>
      <c r="C9" s="73" t="s">
        <v>21</v>
      </c>
      <c r="D9" s="66" t="s">
        <v>205</v>
      </c>
      <c r="E9" s="73" t="str">
        <f>D9</f>
        <v>12ME Dec. 2025</v>
      </c>
      <c r="F9" s="73" t="s">
        <v>153</v>
      </c>
      <c r="G9" s="3"/>
      <c r="H9" s="73" t="str">
        <f>D9</f>
        <v>12ME Dec. 2025</v>
      </c>
      <c r="I9" s="73" t="str">
        <f>D9</f>
        <v>12ME Dec. 2025</v>
      </c>
      <c r="J9" s="73" t="s">
        <v>153</v>
      </c>
      <c r="K9" s="3"/>
      <c r="L9" s="73" t="s">
        <v>154</v>
      </c>
      <c r="N9" s="73" t="s">
        <v>70</v>
      </c>
    </row>
    <row r="10" spans="1:14">
      <c r="B10" s="3" t="s">
        <v>25</v>
      </c>
      <c r="C10" s="3" t="s">
        <v>26</v>
      </c>
      <c r="D10" s="3" t="s">
        <v>27</v>
      </c>
      <c r="E10" s="3" t="s">
        <v>28</v>
      </c>
      <c r="F10" s="67" t="s">
        <v>155</v>
      </c>
      <c r="G10" s="3"/>
      <c r="H10" s="3" t="s">
        <v>125</v>
      </c>
      <c r="I10" s="3" t="s">
        <v>126</v>
      </c>
      <c r="J10" s="67" t="s">
        <v>156</v>
      </c>
      <c r="K10" s="67"/>
      <c r="L10" s="4" t="s">
        <v>157</v>
      </c>
    </row>
    <row r="11" spans="1:14">
      <c r="A11" s="3">
        <v>1</v>
      </c>
      <c r="B11" t="s">
        <v>7</v>
      </c>
      <c r="C11" s="3" t="s">
        <v>30</v>
      </c>
      <c r="D11" s="110">
        <f>'Revenue by Sch_RY#1'!D11</f>
        <v>539959592</v>
      </c>
      <c r="E11" s="111">
        <f>'Revenue by Sch_RY#1'!S11</f>
        <v>676976334.52480066</v>
      </c>
      <c r="F11" s="112">
        <f>E11/D11</f>
        <v>1.2537536966743998</v>
      </c>
      <c r="G11" s="6"/>
      <c r="H11" s="144">
        <f>D11</f>
        <v>539959592</v>
      </c>
      <c r="I11" s="111">
        <f>'Rate Impacts_RY#1'!R11</f>
        <v>798298015.17926359</v>
      </c>
      <c r="J11" s="112">
        <f>I11/H11</f>
        <v>1.4784402888786232</v>
      </c>
      <c r="K11" s="113"/>
      <c r="L11" s="56">
        <f>(I11-E11)/E11</f>
        <v>0.17921111044394769</v>
      </c>
      <c r="N11" s="114">
        <f>L11-'Rate Impacts_RY#1'!T11</f>
        <v>0</v>
      </c>
    </row>
    <row r="12" spans="1:14">
      <c r="A12" s="3">
        <f>A11+1</f>
        <v>2</v>
      </c>
      <c r="B12" t="s">
        <v>31</v>
      </c>
      <c r="C12" s="3">
        <v>16</v>
      </c>
      <c r="D12" s="110">
        <f>'Revenue by Sch_RY#1'!D12</f>
        <v>6996</v>
      </c>
      <c r="E12" s="111">
        <f>'Revenue by Sch_RY#1'!S12</f>
        <v>8536.1400989473677</v>
      </c>
      <c r="F12" s="112">
        <f t="shared" ref="F12:F24" si="0">E12/D12</f>
        <v>1.2201458117420481</v>
      </c>
      <c r="G12" s="6"/>
      <c r="H12" s="144">
        <f t="shared" ref="H12:H24" si="1">D12</f>
        <v>6996</v>
      </c>
      <c r="I12" s="111">
        <f>'Rate Impacts_RY#1'!R12</f>
        <v>9972.5659083350674</v>
      </c>
      <c r="J12" s="112">
        <f t="shared" ref="J12:J24" si="2">I12/H12</f>
        <v>1.4254668250907758</v>
      </c>
      <c r="K12" s="113"/>
      <c r="L12" s="56">
        <f t="shared" ref="L12:L24" si="3">(I12-E12)/E12</f>
        <v>0.16827580062384781</v>
      </c>
      <c r="N12" s="114">
        <f>L12-'Rate Impacts_RY#1'!T12</f>
        <v>0</v>
      </c>
    </row>
    <row r="13" spans="1:14">
      <c r="A13" s="3">
        <f t="shared" ref="A13:A37" si="4">A12+1</f>
        <v>3</v>
      </c>
      <c r="B13" t="s">
        <v>8</v>
      </c>
      <c r="C13" s="3">
        <v>31</v>
      </c>
      <c r="D13" s="110">
        <f>'Revenue by Sch_RY#1'!D13</f>
        <v>228527070</v>
      </c>
      <c r="E13" s="111">
        <f>'Revenue by Sch_RY#1'!S13</f>
        <v>256088279.94663376</v>
      </c>
      <c r="F13" s="112">
        <f t="shared" si="0"/>
        <v>1.1206036989256185</v>
      </c>
      <c r="G13" s="6"/>
      <c r="H13" s="144">
        <f t="shared" si="1"/>
        <v>228527070</v>
      </c>
      <c r="I13" s="111">
        <f>'Rate Impacts_RY#1'!R13</f>
        <v>315267721.97335291</v>
      </c>
      <c r="J13" s="112">
        <f t="shared" si="2"/>
        <v>1.379564013897141</v>
      </c>
      <c r="K13" s="113"/>
      <c r="L13" s="56">
        <f t="shared" si="3"/>
        <v>0.2310900055209538</v>
      </c>
      <c r="N13" s="114">
        <f>L13-'Rate Impacts_RY#1'!T13</f>
        <v>0</v>
      </c>
    </row>
    <row r="14" spans="1:14">
      <c r="A14" s="3">
        <f t="shared" si="4"/>
        <v>4</v>
      </c>
      <c r="B14" t="s">
        <v>9</v>
      </c>
      <c r="C14" s="3">
        <v>41</v>
      </c>
      <c r="D14" s="110">
        <f>'Revenue by Sch_RY#1'!D14</f>
        <v>60329189</v>
      </c>
      <c r="E14" s="111">
        <f>'Revenue by Sch_RY#1'!S14</f>
        <v>47306430.192141697</v>
      </c>
      <c r="F14" s="112">
        <f t="shared" si="0"/>
        <v>0.78413834126199999</v>
      </c>
      <c r="G14" s="6"/>
      <c r="H14" s="144">
        <f t="shared" si="1"/>
        <v>60329189</v>
      </c>
      <c r="I14" s="111">
        <f>'Rate Impacts_RY#1'!R14</f>
        <v>54542221.121484347</v>
      </c>
      <c r="J14" s="112">
        <f t="shared" si="2"/>
        <v>0.90407681630668613</v>
      </c>
      <c r="K14" s="113"/>
      <c r="L14" s="56">
        <f t="shared" si="3"/>
        <v>0.15295575886731405</v>
      </c>
      <c r="N14" s="114">
        <f>L14-'Rate Impacts_RY#1'!T14</f>
        <v>0</v>
      </c>
    </row>
    <row r="15" spans="1:14">
      <c r="A15" s="3">
        <f t="shared" si="4"/>
        <v>5</v>
      </c>
      <c r="B15" t="s">
        <v>10</v>
      </c>
      <c r="C15" s="3">
        <v>85</v>
      </c>
      <c r="D15" s="110">
        <f>'Revenue by Sch_RY#1'!D15</f>
        <v>16668227</v>
      </c>
      <c r="E15" s="111">
        <f>'Revenue by Sch_RY#1'!S15</f>
        <v>9610440.9893782139</v>
      </c>
      <c r="F15" s="112">
        <f t="shared" si="0"/>
        <v>0.57657248064705469</v>
      </c>
      <c r="G15" s="6"/>
      <c r="H15" s="144">
        <f t="shared" si="1"/>
        <v>16668227</v>
      </c>
      <c r="I15" s="111">
        <f>'Rate Impacts_RY#1'!R15</f>
        <v>10515956.677609231</v>
      </c>
      <c r="J15" s="112">
        <f t="shared" si="2"/>
        <v>0.63089833595434186</v>
      </c>
      <c r="K15" s="113"/>
      <c r="L15" s="56">
        <f t="shared" si="3"/>
        <v>9.4222074640677167E-2</v>
      </c>
      <c r="N15" s="114">
        <f>L15-'Rate Impacts_RY#1'!T15</f>
        <v>0</v>
      </c>
    </row>
    <row r="16" spans="1:14">
      <c r="A16" s="3">
        <f t="shared" si="4"/>
        <v>6</v>
      </c>
      <c r="B16" t="s">
        <v>11</v>
      </c>
      <c r="C16" s="3">
        <v>86</v>
      </c>
      <c r="D16" s="110">
        <f>'Revenue by Sch_RY#1'!D16</f>
        <v>4684519</v>
      </c>
      <c r="E16" s="111">
        <f>'Revenue by Sch_RY#1'!S16</f>
        <v>3089979.8990179696</v>
      </c>
      <c r="F16" s="112">
        <f t="shared" si="0"/>
        <v>0.65961519187305451</v>
      </c>
      <c r="G16" s="6"/>
      <c r="H16" s="144">
        <f t="shared" si="1"/>
        <v>4684519</v>
      </c>
      <c r="I16" s="111">
        <f>'Rate Impacts_RY#1'!R16</f>
        <v>3368276.0737729813</v>
      </c>
      <c r="J16" s="112">
        <f>I16/H16</f>
        <v>0.71902282257217476</v>
      </c>
      <c r="K16" s="113"/>
      <c r="L16" s="56">
        <f t="shared" si="3"/>
        <v>9.0064072858032945E-2</v>
      </c>
      <c r="N16" s="114">
        <f>L16-'Rate Impacts_RY#1'!T16</f>
        <v>0</v>
      </c>
    </row>
    <row r="17" spans="1:14">
      <c r="A17" s="3">
        <f t="shared" si="4"/>
        <v>7</v>
      </c>
      <c r="B17" t="s">
        <v>12</v>
      </c>
      <c r="C17" s="3">
        <v>87</v>
      </c>
      <c r="D17" s="110">
        <f>'Revenue by Sch_RY#1'!D17</f>
        <v>20007657</v>
      </c>
      <c r="E17" s="111">
        <f>'Revenue by Sch_RY#1'!S17</f>
        <v>8403818.3557554744</v>
      </c>
      <c r="F17" s="112">
        <f t="shared" si="0"/>
        <v>0.42003010926044337</v>
      </c>
      <c r="G17" s="6"/>
      <c r="H17" s="144">
        <f t="shared" si="1"/>
        <v>20007657</v>
      </c>
      <c r="I17" s="111">
        <f>'Rate Impacts_RY#1'!R17</f>
        <v>9180133.4694771636</v>
      </c>
      <c r="J17" s="112">
        <f t="shared" si="2"/>
        <v>0.45883101002167137</v>
      </c>
      <c r="K17" s="113"/>
      <c r="L17" s="56">
        <f t="shared" si="3"/>
        <v>9.237647469974393E-2</v>
      </c>
      <c r="N17" s="114">
        <f>L17-'Rate Impacts_RY#1'!T17</f>
        <v>0</v>
      </c>
    </row>
    <row r="18" spans="1:14">
      <c r="A18" s="3">
        <f t="shared" si="4"/>
        <v>8</v>
      </c>
      <c r="B18" t="s">
        <v>32</v>
      </c>
      <c r="C18" s="3" t="s">
        <v>33</v>
      </c>
      <c r="D18" s="110">
        <f>'Revenue by Sch_RY#1'!D18</f>
        <v>0</v>
      </c>
      <c r="E18" s="111">
        <f>'Revenue by Sch_RY#1'!S18</f>
        <v>0</v>
      </c>
      <c r="F18" s="112">
        <f>F13</f>
        <v>1.1206036989256185</v>
      </c>
      <c r="G18" s="6"/>
      <c r="H18" s="144">
        <f t="shared" si="1"/>
        <v>0</v>
      </c>
      <c r="I18" s="111">
        <f>'Rate Impacts_RY#1'!R18</f>
        <v>0</v>
      </c>
      <c r="J18" s="112">
        <f>J13</f>
        <v>1.379564013897141</v>
      </c>
      <c r="K18" s="113"/>
      <c r="L18" s="56">
        <f>L13</f>
        <v>0.2310900055209538</v>
      </c>
      <c r="N18" s="114">
        <f>L18-'Rate Impacts_RY#1'!T18</f>
        <v>0</v>
      </c>
    </row>
    <row r="19" spans="1:14">
      <c r="A19" s="3">
        <f t="shared" si="4"/>
        <v>9</v>
      </c>
      <c r="B19" t="s">
        <v>34</v>
      </c>
      <c r="C19" s="3" t="s">
        <v>35</v>
      </c>
      <c r="D19" s="110">
        <f>'Revenue by Sch_RY#1'!D19</f>
        <v>21757669</v>
      </c>
      <c r="E19" s="111">
        <f>'Revenue by Sch_RY#1'!S19</f>
        <v>7337281.8090214133</v>
      </c>
      <c r="F19" s="112">
        <f t="shared" si="0"/>
        <v>0.33722738446942147</v>
      </c>
      <c r="G19" s="6"/>
      <c r="H19" s="144">
        <f t="shared" si="1"/>
        <v>21757669</v>
      </c>
      <c r="I19" s="111">
        <f>'Rate Impacts_RY#1'!R19</f>
        <v>9229320.4445876125</v>
      </c>
      <c r="J19" s="112">
        <f t="shared" si="2"/>
        <v>0.42418700480219701</v>
      </c>
      <c r="K19" s="113"/>
      <c r="L19" s="56">
        <f t="shared" si="3"/>
        <v>0.25786642585267472</v>
      </c>
      <c r="N19" s="114">
        <f>L19-'Rate Impacts_RY#1'!T19</f>
        <v>0</v>
      </c>
    </row>
    <row r="20" spans="1:14">
      <c r="A20" s="3">
        <f t="shared" si="4"/>
        <v>10</v>
      </c>
      <c r="B20" t="s">
        <v>36</v>
      </c>
      <c r="C20" s="3" t="s">
        <v>37</v>
      </c>
      <c r="D20" s="110">
        <f>'Revenue by Sch_RY#1'!D20</f>
        <v>62744436</v>
      </c>
      <c r="E20" s="111">
        <f>'Revenue by Sch_RY#1'!S20</f>
        <v>14839515.244593719</v>
      </c>
      <c r="F20" s="112">
        <f t="shared" si="0"/>
        <v>0.23650726965804136</v>
      </c>
      <c r="G20" s="6"/>
      <c r="H20" s="144">
        <f t="shared" si="1"/>
        <v>62744436</v>
      </c>
      <c r="I20" s="111">
        <f>'Rate Impacts_RY#1'!R20</f>
        <v>17703939.527804401</v>
      </c>
      <c r="J20" s="112">
        <f t="shared" si="2"/>
        <v>0.28215951335994799</v>
      </c>
      <c r="K20" s="113"/>
      <c r="L20" s="56">
        <f t="shared" si="3"/>
        <v>0.1930268095687451</v>
      </c>
      <c r="N20" s="114">
        <f>L20-'Rate Impacts_RY#1'!T20</f>
        <v>0</v>
      </c>
    </row>
    <row r="21" spans="1:14">
      <c r="A21" s="3">
        <f t="shared" si="4"/>
        <v>11</v>
      </c>
      <c r="B21" t="s">
        <v>38</v>
      </c>
      <c r="C21" s="3" t="s">
        <v>39</v>
      </c>
      <c r="D21" s="110">
        <f>'Revenue by Sch_RY#1'!D21</f>
        <v>1176527</v>
      </c>
      <c r="E21" s="111">
        <f>'Revenue by Sch_RY#1'!S21</f>
        <v>342857.32781433722</v>
      </c>
      <c r="F21" s="112">
        <f t="shared" si="0"/>
        <v>0.29141475530466976</v>
      </c>
      <c r="G21" s="6"/>
      <c r="H21" s="144">
        <f t="shared" si="1"/>
        <v>1176527</v>
      </c>
      <c r="I21" s="111">
        <f>'Rate Impacts_RY#1'!R21</f>
        <v>392058.03634804755</v>
      </c>
      <c r="J21" s="112">
        <f t="shared" si="2"/>
        <v>0.3332333523565949</v>
      </c>
      <c r="K21" s="113"/>
      <c r="L21" s="56">
        <f t="shared" si="3"/>
        <v>0.14350198914328968</v>
      </c>
      <c r="N21" s="114">
        <f>L21-'Rate Impacts_RY#1'!T21</f>
        <v>0</v>
      </c>
    </row>
    <row r="22" spans="1:14">
      <c r="A22" s="3">
        <f t="shared" si="4"/>
        <v>12</v>
      </c>
      <c r="B22" t="s">
        <v>40</v>
      </c>
      <c r="C22" s="3" t="s">
        <v>41</v>
      </c>
      <c r="D22" s="110">
        <f>'Revenue by Sch_RY#1'!D22</f>
        <v>66693986.719999999</v>
      </c>
      <c r="E22" s="111">
        <f>'Revenue by Sch_RY#1'!S22</f>
        <v>5475457.5546779409</v>
      </c>
      <c r="F22" s="112">
        <f t="shared" si="0"/>
        <v>8.2098219404178704E-2</v>
      </c>
      <c r="G22" s="6"/>
      <c r="H22" s="144">
        <f t="shared" si="1"/>
        <v>66693986.719999999</v>
      </c>
      <c r="I22" s="111">
        <f>'Rate Impacts_RY#1'!R22</f>
        <v>7641212.7631497188</v>
      </c>
      <c r="J22" s="112">
        <f t="shared" si="2"/>
        <v>0.11457124006141163</v>
      </c>
      <c r="K22" s="113"/>
      <c r="L22" s="56">
        <f t="shared" si="3"/>
        <v>0.39553867176296004</v>
      </c>
      <c r="N22" s="114">
        <f>L22-'Rate Impacts_RY#1'!T22</f>
        <v>0</v>
      </c>
    </row>
    <row r="23" spans="1:14">
      <c r="A23" s="3">
        <f t="shared" si="4"/>
        <v>13</v>
      </c>
      <c r="B23" t="s">
        <v>354</v>
      </c>
      <c r="C23" s="3" t="s">
        <v>355</v>
      </c>
      <c r="D23" s="110">
        <f>'Revenue by Sch_RY#1'!D23</f>
        <v>39295144</v>
      </c>
      <c r="E23" s="111">
        <f>'Revenue by Sch_RY#1'!S23</f>
        <v>1461359.8547999999</v>
      </c>
      <c r="F23" s="112">
        <f t="shared" si="0"/>
        <v>3.7189324329744151E-2</v>
      </c>
      <c r="G23" s="6"/>
      <c r="H23" s="144">
        <f t="shared" si="1"/>
        <v>39295144</v>
      </c>
      <c r="I23" s="111">
        <f>'Rate Impacts_RY#1'!R23</f>
        <v>702886.48116237973</v>
      </c>
      <c r="J23" s="112">
        <f t="shared" si="2"/>
        <v>1.7887362396798438E-2</v>
      </c>
      <c r="K23" s="113"/>
      <c r="L23" s="56">
        <f t="shared" si="3"/>
        <v>-0.51901889267474366</v>
      </c>
      <c r="N23" s="114">
        <f>L23-'Rate Impacts_RY#1'!T23</f>
        <v>0</v>
      </c>
    </row>
    <row r="24" spans="1:14">
      <c r="A24" s="3">
        <f t="shared" si="4"/>
        <v>14</v>
      </c>
      <c r="B24" t="s">
        <v>13</v>
      </c>
      <c r="C24" s="3"/>
      <c r="D24" s="110">
        <f>'Revenue by Sch_RY#1'!D24</f>
        <v>32030387</v>
      </c>
      <c r="E24" s="111">
        <f>'Revenue by Sch_RY#1'!S24</f>
        <v>2998102.4627110506</v>
      </c>
      <c r="F24" s="112">
        <f t="shared" si="0"/>
        <v>9.3601818258113798E-2</v>
      </c>
      <c r="G24" s="6"/>
      <c r="H24" s="144">
        <f t="shared" si="1"/>
        <v>32030387</v>
      </c>
      <c r="I24" s="111">
        <f>'Rate Impacts_RY#1'!R24</f>
        <v>3127070.3793032588</v>
      </c>
      <c r="J24" s="112">
        <f t="shared" si="2"/>
        <v>9.7628242184624833E-2</v>
      </c>
      <c r="K24" s="113"/>
      <c r="L24" s="56">
        <f t="shared" si="3"/>
        <v>4.3016514010527931E-2</v>
      </c>
      <c r="N24" s="114">
        <f>L24-'Rate Impacts_RY#1'!T24</f>
        <v>0</v>
      </c>
    </row>
    <row r="25" spans="1:14">
      <c r="A25" s="3">
        <f t="shared" si="4"/>
        <v>15</v>
      </c>
      <c r="B25" t="s">
        <v>6</v>
      </c>
      <c r="D25" s="115">
        <f>SUM(D11:D24)</f>
        <v>1093881399.72</v>
      </c>
      <c r="E25" s="11">
        <f>SUM(E11:E24)</f>
        <v>1033938394.3014451</v>
      </c>
      <c r="F25" s="116">
        <f>E25/D25</f>
        <v>0.94520154978967696</v>
      </c>
      <c r="G25" s="6"/>
      <c r="H25" s="115">
        <f>SUM(H11:H24)</f>
        <v>1093881399.72</v>
      </c>
      <c r="I25" s="11">
        <f>SUM(I11:I24)</f>
        <v>1229978784.693224</v>
      </c>
      <c r="J25" s="116">
        <f>I25/H25</f>
        <v>1.1244169477678847</v>
      </c>
      <c r="K25" s="38"/>
      <c r="L25" s="57">
        <f>(I25-E25)/E25</f>
        <v>0.18960548469063154</v>
      </c>
      <c r="M25" s="8"/>
      <c r="N25" s="114">
        <f>L25-'Rate Impacts_RY#1'!T25</f>
        <v>0</v>
      </c>
    </row>
    <row r="26" spans="1:14" s="13" customFormat="1">
      <c r="A26" s="3"/>
      <c r="B26" s="12"/>
      <c r="C26" s="136"/>
      <c r="D26" s="136"/>
      <c r="E26" s="136"/>
      <c r="F26" s="16"/>
      <c r="G26" s="138"/>
      <c r="H26" s="136"/>
      <c r="I26" s="136"/>
      <c r="J26" s="16"/>
      <c r="K26" s="16"/>
      <c r="L26" s="137"/>
      <c r="N26" s="117"/>
    </row>
    <row r="27" spans="1:14">
      <c r="A27" s="3"/>
      <c r="F27" s="38"/>
      <c r="J27" s="38"/>
      <c r="K27" s="38"/>
      <c r="L27" s="8"/>
      <c r="N27" s="117"/>
    </row>
    <row r="28" spans="1:14" s="13" customFormat="1">
      <c r="A28" s="3">
        <f>A25+1</f>
        <v>16</v>
      </c>
      <c r="B28" s="95" t="s">
        <v>150</v>
      </c>
      <c r="C28" s="15"/>
      <c r="D28" s="15"/>
      <c r="E28" s="15"/>
      <c r="F28" s="16"/>
      <c r="H28" s="15"/>
      <c r="I28" s="15"/>
      <c r="J28" s="16"/>
      <c r="K28" s="16"/>
      <c r="L28" s="118"/>
      <c r="N28" s="117"/>
    </row>
    <row r="29" spans="1:14" s="13" customFormat="1">
      <c r="A29" s="3">
        <f t="shared" si="4"/>
        <v>17</v>
      </c>
      <c r="B29" s="12" t="s">
        <v>7</v>
      </c>
      <c r="C29" s="202" t="s">
        <v>365</v>
      </c>
      <c r="D29" s="68">
        <f>D11+D12</f>
        <v>539966588</v>
      </c>
      <c r="E29" s="16">
        <f>E11+E12</f>
        <v>676984870.66489959</v>
      </c>
      <c r="F29" s="119">
        <f>E29/D29</f>
        <v>1.2537532612386373</v>
      </c>
      <c r="H29" s="68">
        <f>H11+H12</f>
        <v>539966588</v>
      </c>
      <c r="I29" s="16">
        <f>I11+I12</f>
        <v>798307987.7451719</v>
      </c>
      <c r="J29" s="119">
        <f>I29/H29</f>
        <v>1.4784396025355033</v>
      </c>
      <c r="K29" s="16"/>
      <c r="L29" s="56">
        <f>(I29-E29)/E29</f>
        <v>0.17921097256001456</v>
      </c>
      <c r="M29" s="17"/>
      <c r="N29" s="114">
        <f>L29-'Rate Impacts_RY#1'!T29</f>
        <v>0</v>
      </c>
    </row>
    <row r="30" spans="1:14" s="13" customFormat="1">
      <c r="A30" s="3">
        <f t="shared" si="4"/>
        <v>18</v>
      </c>
      <c r="B30" s="12" t="s">
        <v>48</v>
      </c>
      <c r="C30" s="202" t="s">
        <v>366</v>
      </c>
      <c r="D30" s="68">
        <f t="shared" ref="D30:E34" si="5">D13+D18</f>
        <v>228527070</v>
      </c>
      <c r="E30" s="16">
        <f t="shared" si="5"/>
        <v>256088279.94663376</v>
      </c>
      <c r="F30" s="119">
        <f t="shared" ref="F30:F36" si="6">E30/D30</f>
        <v>1.1206036989256185</v>
      </c>
      <c r="H30" s="68">
        <f t="shared" ref="H30:I34" si="7">H13+H18</f>
        <v>228527070</v>
      </c>
      <c r="I30" s="16">
        <f t="shared" si="7"/>
        <v>315267721.97335291</v>
      </c>
      <c r="J30" s="119">
        <f t="shared" ref="J30:J36" si="8">I30/H30</f>
        <v>1.379564013897141</v>
      </c>
      <c r="K30" s="16"/>
      <c r="L30" s="56">
        <f t="shared" ref="L30:L37" si="9">(I30-E30)/E30</f>
        <v>0.2310900055209538</v>
      </c>
      <c r="N30" s="114">
        <f>L30-'Rate Impacts_RY#1'!T30</f>
        <v>0</v>
      </c>
    </row>
    <row r="31" spans="1:14" s="13" customFormat="1">
      <c r="A31" s="3">
        <f t="shared" si="4"/>
        <v>19</v>
      </c>
      <c r="B31" s="12" t="s">
        <v>49</v>
      </c>
      <c r="C31" s="202" t="s">
        <v>367</v>
      </c>
      <c r="D31" s="68">
        <f t="shared" si="5"/>
        <v>82086858</v>
      </c>
      <c r="E31" s="16">
        <f t="shared" si="5"/>
        <v>54643712.00116311</v>
      </c>
      <c r="F31" s="119">
        <f t="shared" si="6"/>
        <v>0.66568161253246061</v>
      </c>
      <c r="H31" s="68">
        <f t="shared" si="7"/>
        <v>82086858</v>
      </c>
      <c r="I31" s="16">
        <f t="shared" si="7"/>
        <v>63771541.566071957</v>
      </c>
      <c r="J31" s="119">
        <f t="shared" si="8"/>
        <v>0.77687882226009863</v>
      </c>
      <c r="K31" s="16"/>
      <c r="L31" s="56">
        <f t="shared" si="9"/>
        <v>0.16704263364675076</v>
      </c>
      <c r="N31" s="114">
        <f>L31-'Rate Impacts_RY#1'!T31</f>
        <v>0</v>
      </c>
    </row>
    <row r="32" spans="1:14" s="13" customFormat="1">
      <c r="A32" s="3">
        <f t="shared" si="4"/>
        <v>20</v>
      </c>
      <c r="B32" s="12" t="s">
        <v>10</v>
      </c>
      <c r="C32" s="202" t="s">
        <v>368</v>
      </c>
      <c r="D32" s="68">
        <f t="shared" si="5"/>
        <v>79412663</v>
      </c>
      <c r="E32" s="16">
        <f t="shared" si="5"/>
        <v>24449956.233971931</v>
      </c>
      <c r="F32" s="119">
        <f t="shared" si="6"/>
        <v>0.30788485501326068</v>
      </c>
      <c r="H32" s="68">
        <f t="shared" si="7"/>
        <v>79412663</v>
      </c>
      <c r="I32" s="16">
        <f t="shared" si="7"/>
        <v>28219896.205413632</v>
      </c>
      <c r="J32" s="119">
        <f t="shared" si="8"/>
        <v>0.35535763616708876</v>
      </c>
      <c r="K32" s="16"/>
      <c r="L32" s="56">
        <f t="shared" si="9"/>
        <v>0.15419004988661564</v>
      </c>
      <c r="N32" s="114">
        <f>L32-'Rate Impacts_RY#1'!T32</f>
        <v>0</v>
      </c>
    </row>
    <row r="33" spans="1:14" s="13" customFormat="1">
      <c r="A33" s="3">
        <f t="shared" si="4"/>
        <v>21</v>
      </c>
      <c r="B33" s="12" t="s">
        <v>371</v>
      </c>
      <c r="C33" s="202" t="s">
        <v>369</v>
      </c>
      <c r="D33" s="68">
        <f t="shared" si="5"/>
        <v>5861046</v>
      </c>
      <c r="E33" s="16">
        <f t="shared" si="5"/>
        <v>3432837.2268323069</v>
      </c>
      <c r="F33" s="119">
        <f t="shared" si="6"/>
        <v>0.58570385334500141</v>
      </c>
      <c r="H33" s="68">
        <f t="shared" si="7"/>
        <v>5861046</v>
      </c>
      <c r="I33" s="16">
        <f t="shared" si="7"/>
        <v>3760334.110121029</v>
      </c>
      <c r="J33" s="119">
        <f t="shared" si="8"/>
        <v>0.64158071957139207</v>
      </c>
      <c r="K33" s="16"/>
      <c r="L33" s="56">
        <f t="shared" si="9"/>
        <v>9.5401226929400271E-2</v>
      </c>
      <c r="N33" s="114">
        <f>L33-'Rate Impacts_RY#1'!T33</f>
        <v>0</v>
      </c>
    </row>
    <row r="34" spans="1:14" s="13" customFormat="1">
      <c r="A34" s="3">
        <f t="shared" si="4"/>
        <v>22</v>
      </c>
      <c r="B34" s="12" t="s">
        <v>372</v>
      </c>
      <c r="C34" s="202" t="s">
        <v>370</v>
      </c>
      <c r="D34" s="68">
        <f t="shared" si="5"/>
        <v>86701643.719999999</v>
      </c>
      <c r="E34" s="16">
        <f t="shared" si="5"/>
        <v>13879275.910433415</v>
      </c>
      <c r="F34" s="119">
        <f t="shared" si="6"/>
        <v>0.16008088560876726</v>
      </c>
      <c r="H34" s="68">
        <f t="shared" si="7"/>
        <v>86701643.719999999</v>
      </c>
      <c r="I34" s="16">
        <f t="shared" si="7"/>
        <v>16821346.232626881</v>
      </c>
      <c r="J34" s="119">
        <f t="shared" si="8"/>
        <v>0.19401415602858518</v>
      </c>
      <c r="K34" s="16"/>
      <c r="L34" s="56">
        <f t="shared" si="9"/>
        <v>0.21197577893684172</v>
      </c>
      <c r="N34" s="114">
        <f>L34-'Rate Impacts_RY#1'!T34</f>
        <v>0</v>
      </c>
    </row>
    <row r="35" spans="1:14" s="13" customFormat="1">
      <c r="A35" s="3">
        <f t="shared" si="4"/>
        <v>23</v>
      </c>
      <c r="B35" s="12" t="s">
        <v>373</v>
      </c>
      <c r="C35" s="202" t="s">
        <v>355</v>
      </c>
      <c r="D35" s="68">
        <f>D23</f>
        <v>39295144</v>
      </c>
      <c r="E35" s="16">
        <f>E23</f>
        <v>1461359.8547999999</v>
      </c>
      <c r="F35" s="119">
        <f t="shared" si="6"/>
        <v>3.7189324329744151E-2</v>
      </c>
      <c r="H35" s="68">
        <f>H23</f>
        <v>39295144</v>
      </c>
      <c r="I35" s="16">
        <f>I23</f>
        <v>702886.48116237973</v>
      </c>
      <c r="J35" s="119">
        <f t="shared" si="8"/>
        <v>1.7887362396798438E-2</v>
      </c>
      <c r="K35" s="16"/>
      <c r="L35" s="56">
        <f t="shared" si="9"/>
        <v>-0.51901889267474366</v>
      </c>
      <c r="N35" s="114">
        <f>L35-'Rate Impacts_RY#1'!T35</f>
        <v>0</v>
      </c>
    </row>
    <row r="36" spans="1:14" s="13" customFormat="1">
      <c r="A36" s="3">
        <f t="shared" si="4"/>
        <v>24</v>
      </c>
      <c r="B36" s="12" t="s">
        <v>13</v>
      </c>
      <c r="C36" s="202"/>
      <c r="D36" s="68">
        <f>D24</f>
        <v>32030387</v>
      </c>
      <c r="E36" s="16">
        <f>E24</f>
        <v>2998102.4627110506</v>
      </c>
      <c r="F36" s="119">
        <f t="shared" si="6"/>
        <v>9.3601818258113798E-2</v>
      </c>
      <c r="H36" s="68">
        <f>H24</f>
        <v>32030387</v>
      </c>
      <c r="I36" s="16">
        <f>I24</f>
        <v>3127070.3793032588</v>
      </c>
      <c r="J36" s="119">
        <f t="shared" si="8"/>
        <v>9.7628242184624833E-2</v>
      </c>
      <c r="K36" s="16"/>
      <c r="L36" s="56">
        <f t="shared" si="9"/>
        <v>4.3016514010527931E-2</v>
      </c>
      <c r="N36" s="114">
        <f>L36-'Rate Impacts_RY#1'!T36</f>
        <v>0</v>
      </c>
    </row>
    <row r="37" spans="1:14" s="13" customFormat="1">
      <c r="A37" s="3">
        <f t="shared" si="4"/>
        <v>25</v>
      </c>
      <c r="B37" s="12" t="s">
        <v>14</v>
      </c>
      <c r="C37" s="12"/>
      <c r="D37" s="120">
        <f>SUM(D29:D36)</f>
        <v>1093881399.72</v>
      </c>
      <c r="E37" s="121">
        <f>SUM(E29:E36)</f>
        <v>1033938394.3014452</v>
      </c>
      <c r="F37" s="122">
        <f>E37/D37</f>
        <v>0.94520154978967708</v>
      </c>
      <c r="H37" s="120">
        <f>SUM(H29:H36)</f>
        <v>1093881399.72</v>
      </c>
      <c r="I37" s="121">
        <f>SUM(I29:I36)</f>
        <v>1229978784.693224</v>
      </c>
      <c r="J37" s="122">
        <f>I37/H37</f>
        <v>1.1244169477678847</v>
      </c>
      <c r="K37" s="16"/>
      <c r="L37" s="57">
        <f t="shared" si="9"/>
        <v>0.18960548469063143</v>
      </c>
      <c r="N37" s="114">
        <f>L37-'Rate Impacts_RY#1'!T37</f>
        <v>0</v>
      </c>
    </row>
    <row r="38" spans="1:14" s="13" customFormat="1">
      <c r="B38" s="12"/>
      <c r="C38" s="12"/>
      <c r="D38" s="12"/>
      <c r="E38" s="12"/>
      <c r="F38" s="16"/>
      <c r="H38" s="12"/>
      <c r="I38" s="12"/>
      <c r="J38" s="16"/>
      <c r="K38" s="16"/>
      <c r="L38" s="141"/>
      <c r="N38" s="114"/>
    </row>
    <row r="39" spans="1:14">
      <c r="B39" s="12" t="s">
        <v>301</v>
      </c>
      <c r="F39" s="14"/>
      <c r="I39" s="38"/>
    </row>
    <row r="40" spans="1:14">
      <c r="F40" s="14"/>
    </row>
    <row r="41" spans="1:14">
      <c r="B41" s="39"/>
    </row>
  </sheetData>
  <mergeCells count="2">
    <mergeCell ref="D6:F6"/>
    <mergeCell ref="H6:J6"/>
  </mergeCells>
  <printOptions horizontalCentered="1"/>
  <pageMargins left="0.7" right="0.7" top="0.75" bottom="0.75" header="0.3" footer="0.3"/>
  <pageSetup scale="76" orientation="landscape" blackAndWhite="1" r:id="rId1"/>
  <headerFooter>
    <oddFooter>&amp;R&amp;A
 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1"/>
  <sheetViews>
    <sheetView zoomScale="90" zoomScaleNormal="90" workbookViewId="0">
      <selection activeCell="J39" sqref="J39"/>
    </sheetView>
  </sheetViews>
  <sheetFormatPr defaultRowHeight="15"/>
  <cols>
    <col min="1" max="1" width="4.7109375" bestFit="1" customWidth="1"/>
    <col min="2" max="2" width="37.85546875" customWidth="1"/>
    <col min="3" max="3" width="9.140625" bestFit="1" customWidth="1"/>
    <col min="4" max="5" width="16.5703125" customWidth="1"/>
    <col min="6" max="6" width="12.7109375" bestFit="1" customWidth="1"/>
    <col min="7" max="7" width="2.5703125" customWidth="1"/>
    <col min="8" max="9" width="16.5703125" customWidth="1"/>
    <col min="10" max="10" width="12.7109375" bestFit="1" customWidth="1"/>
    <col min="11" max="11" width="2.5703125" customWidth="1"/>
    <col min="12" max="12" width="11.7109375" bestFit="1" customWidth="1"/>
    <col min="13" max="13" width="9.28515625" customWidth="1"/>
    <col min="14" max="14" width="13.85546875" customWidth="1"/>
  </cols>
  <sheetData>
    <row r="1" spans="1:14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>
      <c r="B2" s="40" t="str">
        <f>'Table of Contents'!A2</f>
        <v>2024 Gas General Rate Case Filing (Dockets UE-240004 &amp; UG-240005)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>
      <c r="B3" s="143" t="s">
        <v>183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4">
      <c r="B4" s="143" t="s">
        <v>375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4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4">
      <c r="D6" s="257" t="s">
        <v>151</v>
      </c>
      <c r="E6" s="257"/>
      <c r="F6" s="257"/>
      <c r="G6" s="3"/>
      <c r="H6" s="257" t="s">
        <v>124</v>
      </c>
      <c r="I6" s="257"/>
      <c r="J6" s="257"/>
    </row>
    <row r="7" spans="1:14">
      <c r="B7" s="3"/>
      <c r="C7" s="3"/>
      <c r="D7" s="3" t="s">
        <v>15</v>
      </c>
      <c r="E7" s="3" t="s">
        <v>15</v>
      </c>
      <c r="F7" s="3"/>
      <c r="G7" s="3"/>
      <c r="H7" s="3" t="s">
        <v>15</v>
      </c>
      <c r="I7" s="3" t="s">
        <v>15</v>
      </c>
      <c r="J7" s="3"/>
      <c r="K7" s="3"/>
      <c r="L7" s="3"/>
    </row>
    <row r="8" spans="1:14">
      <c r="A8" s="3" t="s">
        <v>391</v>
      </c>
      <c r="B8" s="3"/>
      <c r="C8" s="3" t="s">
        <v>17</v>
      </c>
      <c r="D8" s="3" t="s">
        <v>3</v>
      </c>
      <c r="E8" s="3" t="s">
        <v>2</v>
      </c>
      <c r="F8" s="3" t="s">
        <v>152</v>
      </c>
      <c r="G8" s="3"/>
      <c r="H8" s="3" t="s">
        <v>3</v>
      </c>
      <c r="I8" s="3" t="s">
        <v>2</v>
      </c>
      <c r="J8" s="3" t="s">
        <v>152</v>
      </c>
      <c r="K8" s="3"/>
      <c r="L8" s="3" t="s">
        <v>6</v>
      </c>
    </row>
    <row r="9" spans="1:14">
      <c r="A9" s="207" t="s">
        <v>392</v>
      </c>
      <c r="B9" s="73" t="s">
        <v>4</v>
      </c>
      <c r="C9" s="73" t="s">
        <v>21</v>
      </c>
      <c r="D9" s="66" t="s">
        <v>305</v>
      </c>
      <c r="E9" s="73" t="str">
        <f>D9</f>
        <v>12 ME Dec. 2026</v>
      </c>
      <c r="F9" s="73" t="s">
        <v>153</v>
      </c>
      <c r="G9" s="3"/>
      <c r="H9" s="73" t="str">
        <f>D9</f>
        <v>12 ME Dec. 2026</v>
      </c>
      <c r="I9" s="73" t="str">
        <f>D9</f>
        <v>12 ME Dec. 2026</v>
      </c>
      <c r="J9" s="73" t="s">
        <v>153</v>
      </c>
      <c r="K9" s="3"/>
      <c r="L9" s="73" t="s">
        <v>154</v>
      </c>
      <c r="N9" s="73" t="s">
        <v>70</v>
      </c>
    </row>
    <row r="10" spans="1:14">
      <c r="B10" s="3" t="s">
        <v>25</v>
      </c>
      <c r="C10" s="3" t="s">
        <v>26</v>
      </c>
      <c r="D10" s="3" t="s">
        <v>27</v>
      </c>
      <c r="E10" s="3" t="s">
        <v>28</v>
      </c>
      <c r="F10" s="67" t="s">
        <v>155</v>
      </c>
      <c r="G10" s="3"/>
      <c r="H10" s="3" t="s">
        <v>125</v>
      </c>
      <c r="I10" s="3" t="s">
        <v>126</v>
      </c>
      <c r="J10" s="67" t="s">
        <v>156</v>
      </c>
      <c r="K10" s="67"/>
      <c r="L10" s="4" t="s">
        <v>157</v>
      </c>
    </row>
    <row r="11" spans="1:14">
      <c r="A11" s="3">
        <v>1</v>
      </c>
      <c r="B11" t="s">
        <v>7</v>
      </c>
      <c r="C11" s="3" t="s">
        <v>30</v>
      </c>
      <c r="D11" s="110">
        <f>'Revenue by Sch_RY#2'!D11</f>
        <v>534322352</v>
      </c>
      <c r="E11" s="111">
        <f>'Revenue by Sch_RY#2'!S11</f>
        <v>795726700.89806366</v>
      </c>
      <c r="F11" s="112">
        <f>E11/D11</f>
        <v>1.4892259287293743</v>
      </c>
      <c r="G11" s="6"/>
      <c r="H11" s="144">
        <f>D11</f>
        <v>534322352</v>
      </c>
      <c r="I11" s="111">
        <f>'Rate Impacts_RY#2'!K11</f>
        <v>811258146.87596452</v>
      </c>
      <c r="J11" s="112">
        <f>I11/H11</f>
        <v>1.5182934867676368</v>
      </c>
      <c r="K11" s="113"/>
      <c r="L11" s="56">
        <f>(I11-E11)/E11</f>
        <v>1.9518568322983189E-2</v>
      </c>
      <c r="N11" s="114">
        <f>L11-'Rate Impacts_RY#2'!M11</f>
        <v>0</v>
      </c>
    </row>
    <row r="12" spans="1:14">
      <c r="A12" s="3">
        <f>A11+1</f>
        <v>2</v>
      </c>
      <c r="B12" t="s">
        <v>31</v>
      </c>
      <c r="C12" s="3">
        <v>16</v>
      </c>
      <c r="D12" s="110">
        <f>'Revenue by Sch_RY#2'!D12</f>
        <v>6996</v>
      </c>
      <c r="E12" s="111">
        <f>'Revenue by Sch_RY#2'!S12</f>
        <v>9972.5659083350674</v>
      </c>
      <c r="F12" s="112">
        <f t="shared" ref="F12:F24" si="0">E12/D12</f>
        <v>1.4254668250907758</v>
      </c>
      <c r="G12" s="6"/>
      <c r="H12" s="144">
        <f t="shared" ref="H12:H24" si="1">D12</f>
        <v>6996</v>
      </c>
      <c r="I12" s="111">
        <f>'Rate Impacts_RY#2'!K12</f>
        <v>10259.044913827533</v>
      </c>
      <c r="J12" s="112">
        <f t="shared" ref="J12:J24" si="2">I12/H12</f>
        <v>1.4664157967163425</v>
      </c>
      <c r="K12" s="113"/>
      <c r="L12" s="56">
        <f t="shared" ref="L12:L24" si="3">(I12-E12)/E12</f>
        <v>2.8726709667872549E-2</v>
      </c>
      <c r="N12" s="114">
        <f>L12-'Rate Impacts_RY#2'!M12</f>
        <v>0</v>
      </c>
    </row>
    <row r="13" spans="1:14">
      <c r="A13" s="3">
        <f t="shared" ref="A13:A37" si="4">A12+1</f>
        <v>3</v>
      </c>
      <c r="B13" t="s">
        <v>8</v>
      </c>
      <c r="C13" s="3">
        <v>31</v>
      </c>
      <c r="D13" s="110">
        <f>'Revenue by Sch_RY#2'!D13</f>
        <v>228425254</v>
      </c>
      <c r="E13" s="111">
        <f>'Revenue by Sch_RY#2'!S13</f>
        <v>315327185.51679295</v>
      </c>
      <c r="F13" s="112">
        <f t="shared" si="0"/>
        <v>1.3804392465151551</v>
      </c>
      <c r="G13" s="6"/>
      <c r="H13" s="144">
        <f t="shared" si="1"/>
        <v>228425254</v>
      </c>
      <c r="I13" s="111">
        <f>'Rate Impacts_RY#2'!K13</f>
        <v>323236634.69779283</v>
      </c>
      <c r="J13" s="112">
        <f t="shared" si="2"/>
        <v>1.4150652304748792</v>
      </c>
      <c r="K13" s="113"/>
      <c r="L13" s="56">
        <f t="shared" si="3"/>
        <v>2.5083308843279712E-2</v>
      </c>
      <c r="N13" s="114">
        <f>L13-'Rate Impacts_RY#2'!M13</f>
        <v>-1.9428902930940239E-16</v>
      </c>
    </row>
    <row r="14" spans="1:14">
      <c r="A14" s="3">
        <f t="shared" si="4"/>
        <v>4</v>
      </c>
      <c r="B14" t="s">
        <v>9</v>
      </c>
      <c r="C14" s="3">
        <v>41</v>
      </c>
      <c r="D14" s="110">
        <f>'Revenue by Sch_RY#2'!D14</f>
        <v>59497852</v>
      </c>
      <c r="E14" s="111">
        <f>'Revenue by Sch_RY#2'!S14</f>
        <v>54436379.110256061</v>
      </c>
      <c r="F14" s="112">
        <f t="shared" si="0"/>
        <v>0.91493015765100327</v>
      </c>
      <c r="G14" s="6"/>
      <c r="H14" s="144">
        <f t="shared" si="1"/>
        <v>59497852</v>
      </c>
      <c r="I14" s="111">
        <f>'Rate Impacts_RY#2'!K14</f>
        <v>55614949.429098725</v>
      </c>
      <c r="J14" s="112">
        <f t="shared" si="2"/>
        <v>0.9347387772771818</v>
      </c>
      <c r="K14" s="113"/>
      <c r="L14" s="56">
        <f t="shared" si="3"/>
        <v>2.1650417204560478E-2</v>
      </c>
      <c r="N14" s="114">
        <f>L14-'Rate Impacts_RY#2'!M14</f>
        <v>-1.3877787807814457E-16</v>
      </c>
    </row>
    <row r="15" spans="1:14">
      <c r="A15" s="3">
        <f t="shared" si="4"/>
        <v>5</v>
      </c>
      <c r="B15" t="s">
        <v>10</v>
      </c>
      <c r="C15" s="3">
        <v>85</v>
      </c>
      <c r="D15" s="110">
        <f>'Revenue by Sch_RY#2'!D15</f>
        <v>16254749</v>
      </c>
      <c r="E15" s="111">
        <f>'Revenue by Sch_RY#2'!S15</f>
        <v>10477197.077322373</v>
      </c>
      <c r="F15" s="112">
        <f t="shared" si="0"/>
        <v>0.64456221854440032</v>
      </c>
      <c r="G15" s="6"/>
      <c r="H15" s="144">
        <f t="shared" si="1"/>
        <v>16254749</v>
      </c>
      <c r="I15" s="111">
        <f>'Rate Impacts_RY#2'!K15</f>
        <v>10622557.117842725</v>
      </c>
      <c r="J15" s="112">
        <f t="shared" si="2"/>
        <v>0.65350483836094453</v>
      </c>
      <c r="K15" s="113"/>
      <c r="L15" s="56">
        <f t="shared" si="3"/>
        <v>1.3873943522068465E-2</v>
      </c>
      <c r="N15" s="114">
        <f>L15-'Rate Impacts_RY#2'!M15</f>
        <v>0</v>
      </c>
    </row>
    <row r="16" spans="1:14">
      <c r="A16" s="3">
        <f t="shared" si="4"/>
        <v>6</v>
      </c>
      <c r="B16" t="s">
        <v>11</v>
      </c>
      <c r="C16" s="3">
        <v>86</v>
      </c>
      <c r="D16" s="110">
        <f>'Revenue by Sch_RY#2'!D16</f>
        <v>4539643</v>
      </c>
      <c r="E16" s="111">
        <f>'Revenue by Sch_RY#2'!S16</f>
        <v>3338143.6460830285</v>
      </c>
      <c r="F16" s="112">
        <f t="shared" si="0"/>
        <v>0.73533175319800004</v>
      </c>
      <c r="G16" s="6"/>
      <c r="H16" s="144">
        <f t="shared" si="1"/>
        <v>4539643</v>
      </c>
      <c r="I16" s="111">
        <f>'Rate Impacts_RY#2'!K16</f>
        <v>3374605.854593752</v>
      </c>
      <c r="J16" s="112">
        <f>I16/H16</f>
        <v>0.74336370824616649</v>
      </c>
      <c r="K16" s="113"/>
      <c r="L16" s="56">
        <f t="shared" si="3"/>
        <v>1.092289978398866E-2</v>
      </c>
      <c r="N16" s="114">
        <f>L16-'Rate Impacts_RY#2'!M16</f>
        <v>-2.8275992658421956E-16</v>
      </c>
    </row>
    <row r="17" spans="1:14">
      <c r="A17" s="3">
        <f t="shared" si="4"/>
        <v>7</v>
      </c>
      <c r="B17" t="s">
        <v>12</v>
      </c>
      <c r="C17" s="3">
        <v>87</v>
      </c>
      <c r="D17" s="110">
        <f>'Revenue by Sch_RY#2'!D17</f>
        <v>19433452</v>
      </c>
      <c r="E17" s="111">
        <f>'Revenue by Sch_RY#2'!S17</f>
        <v>9155625.0932644028</v>
      </c>
      <c r="F17" s="112">
        <f t="shared" si="0"/>
        <v>0.47112705932350069</v>
      </c>
      <c r="G17" s="6"/>
      <c r="H17" s="144">
        <f t="shared" si="1"/>
        <v>19433452</v>
      </c>
      <c r="I17" s="111">
        <f>'Rate Impacts_RY#2'!K17</f>
        <v>9222904.9667085111</v>
      </c>
      <c r="J17" s="112">
        <f t="shared" si="2"/>
        <v>0.47458912429497913</v>
      </c>
      <c r="K17" s="113"/>
      <c r="L17" s="56">
        <f t="shared" si="3"/>
        <v>7.3484740537928597E-3</v>
      </c>
      <c r="N17" s="114">
        <f>L17-'Rate Impacts_RY#2'!M17</f>
        <v>0</v>
      </c>
    </row>
    <row r="18" spans="1:14">
      <c r="A18" s="3">
        <f t="shared" si="4"/>
        <v>8</v>
      </c>
      <c r="B18" t="s">
        <v>32</v>
      </c>
      <c r="C18" s="3" t="s">
        <v>33</v>
      </c>
      <c r="D18" s="110">
        <f>'Revenue by Sch_RY#2'!D18</f>
        <v>0</v>
      </c>
      <c r="E18" s="111">
        <f>'Revenue by Sch_RY#2'!S18</f>
        <v>0</v>
      </c>
      <c r="F18" s="112">
        <f>F13</f>
        <v>1.3804392465151551</v>
      </c>
      <c r="G18" s="6"/>
      <c r="H18" s="144">
        <f t="shared" si="1"/>
        <v>0</v>
      </c>
      <c r="I18" s="111">
        <f>'Rate Impacts_RY#2'!K18</f>
        <v>0</v>
      </c>
      <c r="J18" s="112">
        <f>J13</f>
        <v>1.4150652304748792</v>
      </c>
      <c r="K18" s="113"/>
      <c r="L18" s="56">
        <f>L13</f>
        <v>2.5083308843279712E-2</v>
      </c>
      <c r="N18" s="114">
        <f>L18-'Rate Impacts_RY#2'!M18</f>
        <v>-1.9428902930940239E-16</v>
      </c>
    </row>
    <row r="19" spans="1:14">
      <c r="A19" s="3">
        <f t="shared" si="4"/>
        <v>9</v>
      </c>
      <c r="B19" t="s">
        <v>34</v>
      </c>
      <c r="C19" s="3" t="s">
        <v>35</v>
      </c>
      <c r="D19" s="110">
        <f>'Revenue by Sch_RY#2'!D19</f>
        <v>22129566</v>
      </c>
      <c r="E19" s="111">
        <f>'Revenue by Sch_RY#2'!S19</f>
        <v>9273346.8190866616</v>
      </c>
      <c r="F19" s="112">
        <f t="shared" si="0"/>
        <v>0.41904783939669948</v>
      </c>
      <c r="G19" s="6"/>
      <c r="H19" s="144">
        <f t="shared" si="1"/>
        <v>22129566</v>
      </c>
      <c r="I19" s="111">
        <f>'Rate Impacts_RY#2'!K19</f>
        <v>9301263.7678756565</v>
      </c>
      <c r="J19" s="112">
        <f t="shared" si="2"/>
        <v>0.42030936204874764</v>
      </c>
      <c r="K19" s="113"/>
      <c r="L19" s="56">
        <f t="shared" si="3"/>
        <v>3.0104502003026005E-3</v>
      </c>
      <c r="N19" s="114">
        <f>L19-'Rate Impacts_RY#2'!M19</f>
        <v>2.0166160408230382E-16</v>
      </c>
    </row>
    <row r="20" spans="1:14">
      <c r="A20" s="3">
        <f t="shared" si="4"/>
        <v>10</v>
      </c>
      <c r="B20" t="s">
        <v>36</v>
      </c>
      <c r="C20" s="3" t="s">
        <v>37</v>
      </c>
      <c r="D20" s="110">
        <f>'Revenue by Sch_RY#2'!D20</f>
        <v>61933295</v>
      </c>
      <c r="E20" s="111">
        <f>'Revenue by Sch_RY#2'!S20</f>
        <v>17636218.642771021</v>
      </c>
      <c r="F20" s="112">
        <f t="shared" si="0"/>
        <v>0.28476151063448213</v>
      </c>
      <c r="G20" s="6"/>
      <c r="H20" s="144">
        <f t="shared" si="1"/>
        <v>61933295</v>
      </c>
      <c r="I20" s="111">
        <f>'Rate Impacts_RY#2'!K20</f>
        <v>17981718.877757534</v>
      </c>
      <c r="J20" s="112">
        <f t="shared" si="2"/>
        <v>0.29034009699883617</v>
      </c>
      <c r="K20" s="113"/>
      <c r="L20" s="56">
        <f t="shared" si="3"/>
        <v>1.9590380567669607E-2</v>
      </c>
      <c r="N20" s="114">
        <f>L20-'Rate Impacts_RY#2'!M20</f>
        <v>0</v>
      </c>
    </row>
    <row r="21" spans="1:14">
      <c r="A21" s="3">
        <f t="shared" si="4"/>
        <v>11</v>
      </c>
      <c r="B21" t="s">
        <v>38</v>
      </c>
      <c r="C21" s="3" t="s">
        <v>39</v>
      </c>
      <c r="D21" s="110">
        <f>'Revenue by Sch_RY#2'!D21</f>
        <v>1158068</v>
      </c>
      <c r="E21" s="111">
        <f>'Revenue by Sch_RY#2'!S21</f>
        <v>389469.04912027909</v>
      </c>
      <c r="F21" s="112">
        <f t="shared" si="0"/>
        <v>0.33630930922906005</v>
      </c>
      <c r="G21" s="6"/>
      <c r="H21" s="144">
        <f t="shared" si="1"/>
        <v>1158068</v>
      </c>
      <c r="I21" s="111">
        <f>'Rate Impacts_RY#2'!K21</f>
        <v>384662.23240085901</v>
      </c>
      <c r="J21" s="112">
        <f t="shared" si="2"/>
        <v>0.33215858861557268</v>
      </c>
      <c r="K21" s="113"/>
      <c r="L21" s="56">
        <f t="shared" si="3"/>
        <v>-1.2341973592709284E-2</v>
      </c>
      <c r="N21" s="114">
        <f>L21-'Rate Impacts_RY#2'!M21</f>
        <v>1.4918621893400541E-16</v>
      </c>
    </row>
    <row r="22" spans="1:14">
      <c r="A22" s="3">
        <f t="shared" si="4"/>
        <v>12</v>
      </c>
      <c r="B22" t="s">
        <v>40</v>
      </c>
      <c r="C22" s="3" t="s">
        <v>41</v>
      </c>
      <c r="D22" s="110">
        <f>'Revenue by Sch_RY#2'!D22</f>
        <v>65658345.720000014</v>
      </c>
      <c r="E22" s="111">
        <f>'Revenue by Sch_RY#2'!S22</f>
        <v>7606490.116001375</v>
      </c>
      <c r="F22" s="112">
        <f t="shared" si="0"/>
        <v>0.11584955473047172</v>
      </c>
      <c r="G22" s="6"/>
      <c r="H22" s="144">
        <f t="shared" si="1"/>
        <v>65658345.720000014</v>
      </c>
      <c r="I22" s="111">
        <f>'Rate Impacts_RY#2'!K22</f>
        <v>7881172.7123409268</v>
      </c>
      <c r="J22" s="112">
        <f t="shared" si="2"/>
        <v>0.12003306854470845</v>
      </c>
      <c r="K22" s="113"/>
      <c r="L22" s="56">
        <f t="shared" si="3"/>
        <v>3.6111608922190848E-2</v>
      </c>
      <c r="N22" s="114">
        <f>L22-'Rate Impacts_RY#2'!M22</f>
        <v>0</v>
      </c>
    </row>
    <row r="23" spans="1:14">
      <c r="A23" s="3">
        <f t="shared" si="4"/>
        <v>13</v>
      </c>
      <c r="B23" t="s">
        <v>354</v>
      </c>
      <c r="C23" s="3" t="s">
        <v>355</v>
      </c>
      <c r="D23" s="110">
        <f>'Revenue by Sch_RY#2'!D23</f>
        <v>51695658</v>
      </c>
      <c r="E23" s="111">
        <f>'Revenue by Sch_RY#2'!S23</f>
        <v>1010791.2437823799</v>
      </c>
      <c r="F23" s="112">
        <f t="shared" si="0"/>
        <v>1.9552730014237945E-2</v>
      </c>
      <c r="G23" s="6"/>
      <c r="H23" s="144">
        <f t="shared" si="1"/>
        <v>51695658</v>
      </c>
      <c r="I23" s="111">
        <f>'Rate Impacts_RY#2'!K23</f>
        <v>702886.48116237973</v>
      </c>
      <c r="J23" s="112">
        <f t="shared" si="2"/>
        <v>1.359662510074598E-2</v>
      </c>
      <c r="K23" s="113"/>
      <c r="L23" s="56">
        <f t="shared" si="3"/>
        <v>-0.30461756026676767</v>
      </c>
      <c r="N23" s="114">
        <f>L23-'Rate Impacts_RY#2'!M23</f>
        <v>0</v>
      </c>
    </row>
    <row r="24" spans="1:14">
      <c r="A24" s="3">
        <f t="shared" si="4"/>
        <v>14</v>
      </c>
      <c r="B24" t="s">
        <v>13</v>
      </c>
      <c r="C24" s="3"/>
      <c r="D24" s="110">
        <f>'Revenue by Sch_RY#2'!D24</f>
        <v>31663048</v>
      </c>
      <c r="E24" s="111">
        <f>'Revenue by Sch_RY#2'!S24</f>
        <v>3117903.5342138726</v>
      </c>
      <c r="F24" s="112">
        <f t="shared" si="0"/>
        <v>9.8471364292340796E-2</v>
      </c>
      <c r="G24" s="6"/>
      <c r="H24" s="144">
        <f t="shared" si="1"/>
        <v>31663048</v>
      </c>
      <c r="I24" s="111">
        <f>'Rate Impacts_RY#2'!K24</f>
        <v>3263947.2542138724</v>
      </c>
      <c r="J24" s="112">
        <f t="shared" si="2"/>
        <v>0.10308379831953868</v>
      </c>
      <c r="K24" s="113"/>
      <c r="L24" s="56">
        <f t="shared" si="3"/>
        <v>4.6840358720983404E-2</v>
      </c>
      <c r="N24" s="114">
        <f>L24-'Rate Impacts_RY#2'!M24</f>
        <v>0</v>
      </c>
    </row>
    <row r="25" spans="1:14">
      <c r="A25" s="3">
        <f t="shared" si="4"/>
        <v>15</v>
      </c>
      <c r="B25" t="s">
        <v>6</v>
      </c>
      <c r="D25" s="115">
        <f>SUM(D11:D24)</f>
        <v>1096718278.72</v>
      </c>
      <c r="E25" s="11">
        <f>SUM(E11:E24)</f>
        <v>1227505423.3126659</v>
      </c>
      <c r="F25" s="116">
        <f>E25/D25</f>
        <v>1.1192531820891232</v>
      </c>
      <c r="G25" s="6"/>
      <c r="H25" s="115">
        <f>SUM(H11:H24)</f>
        <v>1096718278.72</v>
      </c>
      <c r="I25" s="11">
        <f>SUM(I11:I24)</f>
        <v>1252855709.3126659</v>
      </c>
      <c r="J25" s="116">
        <f>I25/H25</f>
        <v>1.1423678565610276</v>
      </c>
      <c r="K25" s="38"/>
      <c r="L25" s="57">
        <f>(I25-E25)/E25</f>
        <v>2.0651872911149543E-2</v>
      </c>
      <c r="M25" s="8"/>
      <c r="N25" s="114">
        <f>L25-'Rate Impacts_RY#2'!M25</f>
        <v>1.700029006457271E-16</v>
      </c>
    </row>
    <row r="26" spans="1:14" s="13" customFormat="1">
      <c r="A26" s="3"/>
      <c r="B26" s="12"/>
      <c r="C26" s="136"/>
      <c r="D26" s="136"/>
      <c r="E26" s="136"/>
      <c r="F26" s="16"/>
      <c r="G26" s="138"/>
      <c r="H26" s="136"/>
      <c r="I26" s="136"/>
      <c r="J26" s="16"/>
      <c r="K26" s="16"/>
      <c r="L26" s="137"/>
      <c r="N26" s="117"/>
    </row>
    <row r="27" spans="1:14">
      <c r="A27" s="3"/>
      <c r="F27" s="38"/>
      <c r="J27" s="38"/>
      <c r="K27" s="38"/>
      <c r="L27" s="8"/>
      <c r="N27" s="117"/>
    </row>
    <row r="28" spans="1:14" s="13" customFormat="1">
      <c r="A28" s="3">
        <f>A25+1</f>
        <v>16</v>
      </c>
      <c r="B28" s="95" t="s">
        <v>150</v>
      </c>
      <c r="C28" s="15"/>
      <c r="D28" s="15"/>
      <c r="E28" s="15"/>
      <c r="F28" s="16"/>
      <c r="H28" s="15"/>
      <c r="I28" s="15"/>
      <c r="J28" s="16"/>
      <c r="K28" s="16"/>
      <c r="L28" s="118"/>
      <c r="N28" s="117"/>
    </row>
    <row r="29" spans="1:14" s="13" customFormat="1">
      <c r="A29" s="3">
        <f t="shared" si="4"/>
        <v>17</v>
      </c>
      <c r="B29" s="12" t="s">
        <v>7</v>
      </c>
      <c r="C29" s="202" t="s">
        <v>365</v>
      </c>
      <c r="D29" s="68">
        <f>D11+D12</f>
        <v>534329348</v>
      </c>
      <c r="E29" s="16">
        <f>E11+E12</f>
        <v>795736673.46397197</v>
      </c>
      <c r="F29" s="119">
        <f>E29/D29</f>
        <v>1.4892250939283462</v>
      </c>
      <c r="H29" s="68">
        <f>H11+H12</f>
        <v>534329348</v>
      </c>
      <c r="I29" s="16">
        <f>I11+I12</f>
        <v>811268405.92087829</v>
      </c>
      <c r="J29" s="119">
        <f>I29/H29</f>
        <v>1.5182928075305313</v>
      </c>
      <c r="K29" s="16"/>
      <c r="L29" s="56">
        <f>(I29-E29)/E29</f>
        <v>1.9518683723968817E-2</v>
      </c>
      <c r="M29" s="17"/>
      <c r="N29" s="114">
        <f>L29-'Rate Impacts_RY#2'!M29</f>
        <v>-4.5102810375396984E-17</v>
      </c>
    </row>
    <row r="30" spans="1:14" s="13" customFormat="1">
      <c r="A30" s="3">
        <f t="shared" si="4"/>
        <v>18</v>
      </c>
      <c r="B30" s="12" t="s">
        <v>48</v>
      </c>
      <c r="C30" s="202" t="s">
        <v>366</v>
      </c>
      <c r="D30" s="68">
        <f t="shared" ref="D30:E34" si="5">D13+D18</f>
        <v>228425254</v>
      </c>
      <c r="E30" s="16">
        <f t="shared" si="5"/>
        <v>315327185.51679295</v>
      </c>
      <c r="F30" s="119">
        <f t="shared" ref="F30:F36" si="6">E30/D30</f>
        <v>1.3804392465151551</v>
      </c>
      <c r="H30" s="68">
        <f t="shared" ref="H30:I34" si="7">H13+H18</f>
        <v>228425254</v>
      </c>
      <c r="I30" s="16">
        <f t="shared" si="7"/>
        <v>323236634.69779283</v>
      </c>
      <c r="J30" s="119">
        <f t="shared" ref="J30:J36" si="8">I30/H30</f>
        <v>1.4150652304748792</v>
      </c>
      <c r="K30" s="16"/>
      <c r="L30" s="56">
        <f t="shared" ref="L30:L37" si="9">(I30-E30)/E30</f>
        <v>2.5083308843279712E-2</v>
      </c>
      <c r="N30" s="114">
        <f>L30-'Rate Impacts_RY#2'!M30</f>
        <v>-1.9428902930940239E-16</v>
      </c>
    </row>
    <row r="31" spans="1:14" s="13" customFormat="1">
      <c r="A31" s="3">
        <f t="shared" si="4"/>
        <v>19</v>
      </c>
      <c r="B31" s="12" t="s">
        <v>49</v>
      </c>
      <c r="C31" s="202" t="s">
        <v>367</v>
      </c>
      <c r="D31" s="68">
        <f t="shared" si="5"/>
        <v>81627418</v>
      </c>
      <c r="E31" s="16">
        <f t="shared" si="5"/>
        <v>63709725.929342724</v>
      </c>
      <c r="F31" s="119">
        <f t="shared" si="6"/>
        <v>0.78049419533694819</v>
      </c>
      <c r="H31" s="68">
        <f t="shared" si="7"/>
        <v>81627418</v>
      </c>
      <c r="I31" s="16">
        <f t="shared" si="7"/>
        <v>64916213.196974382</v>
      </c>
      <c r="J31" s="119">
        <f t="shared" si="8"/>
        <v>0.7952746122261809</v>
      </c>
      <c r="K31" s="16"/>
      <c r="L31" s="56">
        <f t="shared" si="9"/>
        <v>1.8937254085345027E-2</v>
      </c>
      <c r="N31" s="114">
        <f>L31-'Rate Impacts_RY#2'!M31</f>
        <v>-1.1796119636642288E-16</v>
      </c>
    </row>
    <row r="32" spans="1:14" s="13" customFormat="1">
      <c r="A32" s="3">
        <f t="shared" si="4"/>
        <v>20</v>
      </c>
      <c r="B32" s="12" t="s">
        <v>10</v>
      </c>
      <c r="C32" s="202" t="s">
        <v>368</v>
      </c>
      <c r="D32" s="68">
        <f t="shared" si="5"/>
        <v>78188044</v>
      </c>
      <c r="E32" s="16">
        <f t="shared" si="5"/>
        <v>28113415.720093392</v>
      </c>
      <c r="F32" s="119">
        <f t="shared" si="6"/>
        <v>0.35956156826347252</v>
      </c>
      <c r="H32" s="68">
        <f t="shared" si="7"/>
        <v>78188044</v>
      </c>
      <c r="I32" s="16">
        <f t="shared" si="7"/>
        <v>28604275.995600261</v>
      </c>
      <c r="J32" s="119">
        <f t="shared" si="8"/>
        <v>0.36583951371900619</v>
      </c>
      <c r="K32" s="16"/>
      <c r="L32" s="56">
        <f t="shared" si="9"/>
        <v>1.7460001317308387E-2</v>
      </c>
      <c r="N32" s="114">
        <f>L32-'Rate Impacts_RY#2'!M32</f>
        <v>1.3183898417423734E-16</v>
      </c>
    </row>
    <row r="33" spans="1:14" s="13" customFormat="1">
      <c r="A33" s="3">
        <f t="shared" si="4"/>
        <v>21</v>
      </c>
      <c r="B33" s="12" t="s">
        <v>371</v>
      </c>
      <c r="C33" s="202" t="s">
        <v>369</v>
      </c>
      <c r="D33" s="68">
        <f t="shared" si="5"/>
        <v>5697711</v>
      </c>
      <c r="E33" s="16">
        <f t="shared" si="5"/>
        <v>3727612.6952033076</v>
      </c>
      <c r="F33" s="119">
        <f t="shared" si="6"/>
        <v>0.65422986444965492</v>
      </c>
      <c r="H33" s="68">
        <f t="shared" si="7"/>
        <v>5697711</v>
      </c>
      <c r="I33" s="16">
        <f t="shared" si="7"/>
        <v>3759268.0869946107</v>
      </c>
      <c r="J33" s="119">
        <f t="shared" si="8"/>
        <v>0.65978567305267166</v>
      </c>
      <c r="K33" s="16"/>
      <c r="L33" s="56">
        <f t="shared" si="9"/>
        <v>8.49213541740464E-3</v>
      </c>
      <c r="N33" s="114">
        <f>L33-'Rate Impacts_RY#2'!M33</f>
        <v>-2.8275992658421956E-16</v>
      </c>
    </row>
    <row r="34" spans="1:14" s="13" customFormat="1">
      <c r="A34" s="3">
        <f t="shared" si="4"/>
        <v>22</v>
      </c>
      <c r="B34" s="12" t="s">
        <v>372</v>
      </c>
      <c r="C34" s="202" t="s">
        <v>370</v>
      </c>
      <c r="D34" s="68">
        <f t="shared" si="5"/>
        <v>85091797.720000014</v>
      </c>
      <c r="E34" s="16">
        <f t="shared" si="5"/>
        <v>16762115.209265778</v>
      </c>
      <c r="F34" s="119">
        <f t="shared" si="6"/>
        <v>0.19698861298503278</v>
      </c>
      <c r="H34" s="68">
        <f t="shared" si="7"/>
        <v>85091797.720000014</v>
      </c>
      <c r="I34" s="16">
        <f t="shared" si="7"/>
        <v>17104077.67904944</v>
      </c>
      <c r="J34" s="119">
        <f t="shared" si="8"/>
        <v>0.20100736072507833</v>
      </c>
      <c r="K34" s="16"/>
      <c r="L34" s="56">
        <f t="shared" si="9"/>
        <v>2.0400913936842024E-2</v>
      </c>
      <c r="N34" s="114">
        <f>L34-'Rate Impacts_RY#2'!M34</f>
        <v>1.1102230246251565E-16</v>
      </c>
    </row>
    <row r="35" spans="1:14" s="13" customFormat="1">
      <c r="A35" s="3">
        <f t="shared" si="4"/>
        <v>23</v>
      </c>
      <c r="B35" s="12" t="s">
        <v>373</v>
      </c>
      <c r="C35" s="202" t="s">
        <v>355</v>
      </c>
      <c r="D35" s="68">
        <f>D23</f>
        <v>51695658</v>
      </c>
      <c r="E35" s="16">
        <f>E23</f>
        <v>1010791.2437823799</v>
      </c>
      <c r="F35" s="119">
        <f t="shared" si="6"/>
        <v>1.9552730014237945E-2</v>
      </c>
      <c r="H35" s="68">
        <f>H23</f>
        <v>51695658</v>
      </c>
      <c r="I35" s="16">
        <f>I23</f>
        <v>702886.48116237973</v>
      </c>
      <c r="J35" s="119">
        <f t="shared" si="8"/>
        <v>1.359662510074598E-2</v>
      </c>
      <c r="K35" s="16"/>
      <c r="L35" s="56">
        <f t="shared" si="9"/>
        <v>-0.30461756026676767</v>
      </c>
      <c r="N35" s="114">
        <f>L35-'Rate Impacts_RY#2'!M35</f>
        <v>0</v>
      </c>
    </row>
    <row r="36" spans="1:14" s="13" customFormat="1">
      <c r="A36" s="3">
        <f t="shared" si="4"/>
        <v>24</v>
      </c>
      <c r="B36" s="12" t="s">
        <v>13</v>
      </c>
      <c r="C36" s="202"/>
      <c r="D36" s="68">
        <f>D24</f>
        <v>31663048</v>
      </c>
      <c r="E36" s="16">
        <f>E24</f>
        <v>3117903.5342138726</v>
      </c>
      <c r="F36" s="119">
        <f t="shared" si="6"/>
        <v>9.8471364292340796E-2</v>
      </c>
      <c r="H36" s="68">
        <f>H24</f>
        <v>31663048</v>
      </c>
      <c r="I36" s="16">
        <f>I24</f>
        <v>3263947.2542138724</v>
      </c>
      <c r="J36" s="119">
        <f t="shared" si="8"/>
        <v>0.10308379831953868</v>
      </c>
      <c r="K36" s="16"/>
      <c r="L36" s="56">
        <f t="shared" si="9"/>
        <v>4.6840358720983404E-2</v>
      </c>
      <c r="N36" s="114">
        <f>L36-'Rate Impacts_RY#2'!M36</f>
        <v>0</v>
      </c>
    </row>
    <row r="37" spans="1:14" s="13" customFormat="1">
      <c r="A37" s="3">
        <f t="shared" si="4"/>
        <v>25</v>
      </c>
      <c r="B37" s="12" t="s">
        <v>14</v>
      </c>
      <c r="C37" s="12"/>
      <c r="D37" s="120">
        <f>SUM(D29:D36)</f>
        <v>1096718278.72</v>
      </c>
      <c r="E37" s="121">
        <f>SUM(E29:E36)</f>
        <v>1227505423.3126662</v>
      </c>
      <c r="F37" s="122">
        <f>E37/D37</f>
        <v>1.1192531820891234</v>
      </c>
      <c r="H37" s="120">
        <f>SUM(H29:H36)</f>
        <v>1096718278.72</v>
      </c>
      <c r="I37" s="121">
        <f>SUM(I29:I36)</f>
        <v>1252855709.3126659</v>
      </c>
      <c r="J37" s="122">
        <f>I37/H37</f>
        <v>1.1423678565610276</v>
      </c>
      <c r="K37" s="16"/>
      <c r="L37" s="57">
        <f t="shared" si="9"/>
        <v>2.0651872911149345E-2</v>
      </c>
      <c r="N37" s="114">
        <f>L37-'Rate Impacts_RY#2'!M37</f>
        <v>0</v>
      </c>
    </row>
    <row r="38" spans="1:14" s="13" customFormat="1">
      <c r="B38" s="12"/>
      <c r="C38" s="12"/>
      <c r="D38" s="12"/>
      <c r="E38" s="12"/>
      <c r="F38" s="16"/>
      <c r="H38" s="12"/>
      <c r="I38" s="12"/>
      <c r="J38" s="16"/>
      <c r="K38" s="16"/>
      <c r="L38" s="141"/>
      <c r="N38" s="114"/>
    </row>
    <row r="39" spans="1:14">
      <c r="B39" s="12" t="s">
        <v>381</v>
      </c>
      <c r="F39" s="14"/>
      <c r="I39" s="38"/>
    </row>
    <row r="40" spans="1:14">
      <c r="F40" s="14"/>
    </row>
    <row r="41" spans="1:14">
      <c r="B41" s="39"/>
    </row>
  </sheetData>
  <mergeCells count="2">
    <mergeCell ref="D6:F6"/>
    <mergeCell ref="H6:J6"/>
  </mergeCells>
  <printOptions horizontalCentered="1"/>
  <pageMargins left="0.7" right="0.7" top="0.75" bottom="0.75" header="0.3" footer="0.3"/>
  <pageSetup scale="76" orientation="landscape" blackAndWhite="1" r:id="rId1"/>
  <headerFooter>
    <oddFooter>&amp;R&amp;A
 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"/>
  <sheetViews>
    <sheetView workbookViewId="0">
      <selection activeCell="L32" sqref="L32"/>
    </sheetView>
  </sheetViews>
  <sheetFormatPr defaultRowHeight="1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"/>
  <sheetViews>
    <sheetView workbookViewId="0"/>
  </sheetViews>
  <sheetFormatPr defaultRowHeight="15"/>
  <sheetData/>
  <pageMargins left="0.7" right="0.7" top="0.75" bottom="0.75" header="0.3" footer="0.3"/>
  <customProperties>
    <customPr name="_pios_id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T39"/>
  <sheetViews>
    <sheetView zoomScale="90" zoomScaleNormal="90" workbookViewId="0">
      <pane xSplit="3" ySplit="9" topLeftCell="D10" activePane="bottomRight" state="frozenSplit"/>
      <selection activeCell="F39" sqref="F39"/>
      <selection pane="topRight" activeCell="F39" sqref="F39"/>
      <selection pane="bottomLeft" activeCell="F39" sqref="F39"/>
      <selection pane="bottomRight" activeCell="E11" sqref="E11"/>
    </sheetView>
  </sheetViews>
  <sheetFormatPr defaultRowHeight="15"/>
  <cols>
    <col min="1" max="1" width="4.7109375" bestFit="1" customWidth="1"/>
    <col min="2" max="2" width="37.5703125" customWidth="1"/>
    <col min="3" max="3" width="8.42578125" bestFit="1" customWidth="1"/>
    <col min="4" max="4" width="15" customWidth="1"/>
    <col min="5" max="6" width="14.5703125" bestFit="1" customWidth="1"/>
    <col min="7" max="7" width="15.28515625" bestFit="1" customWidth="1"/>
    <col min="8" max="8" width="13.28515625" customWidth="1"/>
    <col min="9" max="9" width="13.28515625" bestFit="1" customWidth="1"/>
    <col min="10" max="10" width="12.140625" bestFit="1" customWidth="1"/>
    <col min="11" max="12" width="13.28515625" bestFit="1" customWidth="1"/>
    <col min="13" max="13" width="12.140625" bestFit="1" customWidth="1"/>
    <col min="14" max="14" width="10.140625" bestFit="1" customWidth="1"/>
    <col min="15" max="15" width="12.85546875" bestFit="1" customWidth="1"/>
    <col min="16" max="16" width="13.28515625" customWidth="1"/>
    <col min="17" max="18" width="12.85546875" bestFit="1" customWidth="1"/>
    <col min="19" max="19" width="16.140625" bestFit="1" customWidth="1"/>
    <col min="20" max="20" width="13.7109375" bestFit="1" customWidth="1"/>
  </cols>
  <sheetData>
    <row r="1" spans="1:19">
      <c r="B1" s="258" t="s">
        <v>0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</row>
    <row r="2" spans="1:19">
      <c r="B2" s="258" t="str">
        <f>'Rate Impacts_RY#1'!B2:T2</f>
        <v>2024 Gas General Rate Case Filing (Dockets UE-240004 &amp; UG-240005)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</row>
    <row r="3" spans="1:19">
      <c r="B3" s="259" t="s">
        <v>336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</row>
    <row r="4" spans="1:19">
      <c r="B4" s="259" t="s">
        <v>219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</row>
    <row r="6" spans="1:19">
      <c r="D6" s="3" t="s">
        <v>15</v>
      </c>
    </row>
    <row r="7" spans="1:19">
      <c r="B7" s="3"/>
      <c r="C7" s="3"/>
      <c r="D7" s="3" t="s">
        <v>114</v>
      </c>
      <c r="E7" s="3"/>
      <c r="F7" s="3"/>
      <c r="G7" s="3"/>
      <c r="H7" s="3"/>
      <c r="I7" s="3"/>
      <c r="J7" s="3"/>
      <c r="K7" s="3"/>
      <c r="L7" s="3"/>
      <c r="M7" s="3"/>
      <c r="N7" s="3" t="s">
        <v>385</v>
      </c>
      <c r="O7" s="3"/>
      <c r="P7" s="3"/>
      <c r="Q7" s="3" t="s">
        <v>331</v>
      </c>
      <c r="R7" s="3"/>
      <c r="S7" s="60" t="s">
        <v>205</v>
      </c>
    </row>
    <row r="8" spans="1:19">
      <c r="A8" s="3" t="s">
        <v>391</v>
      </c>
      <c r="B8" s="3"/>
      <c r="C8" s="3" t="s">
        <v>17</v>
      </c>
      <c r="D8" s="60" t="s">
        <v>220</v>
      </c>
      <c r="E8" s="3" t="s">
        <v>215</v>
      </c>
      <c r="F8" s="3" t="s">
        <v>18</v>
      </c>
      <c r="G8" s="3" t="s">
        <v>19</v>
      </c>
      <c r="H8" s="3" t="s">
        <v>306</v>
      </c>
      <c r="I8" s="3" t="s">
        <v>43</v>
      </c>
      <c r="J8" s="3" t="s">
        <v>73</v>
      </c>
      <c r="K8" s="3" t="s">
        <v>328</v>
      </c>
      <c r="L8" s="3" t="s">
        <v>16</v>
      </c>
      <c r="M8" s="3" t="s">
        <v>298</v>
      </c>
      <c r="N8" s="3" t="s">
        <v>384</v>
      </c>
      <c r="O8" s="3" t="s">
        <v>216</v>
      </c>
      <c r="P8" s="3" t="s">
        <v>217</v>
      </c>
      <c r="Q8" s="3" t="s">
        <v>217</v>
      </c>
      <c r="R8" s="3" t="s">
        <v>127</v>
      </c>
      <c r="S8" s="3" t="s">
        <v>128</v>
      </c>
    </row>
    <row r="9" spans="1:19" ht="15" customHeight="1">
      <c r="A9" s="207" t="s">
        <v>392</v>
      </c>
      <c r="B9" s="73" t="s">
        <v>4</v>
      </c>
      <c r="C9" s="73" t="s">
        <v>21</v>
      </c>
      <c r="D9" s="66" t="s">
        <v>221</v>
      </c>
      <c r="E9" s="73" t="s">
        <v>129</v>
      </c>
      <c r="F9" s="73" t="s">
        <v>2</v>
      </c>
      <c r="G9" s="73" t="s">
        <v>2</v>
      </c>
      <c r="H9" s="73" t="s">
        <v>2</v>
      </c>
      <c r="I9" s="73" t="s">
        <v>2</v>
      </c>
      <c r="J9" s="73" t="s">
        <v>2</v>
      </c>
      <c r="K9" s="73" t="s">
        <v>2</v>
      </c>
      <c r="L9" s="73" t="s">
        <v>2</v>
      </c>
      <c r="M9" s="73" t="s">
        <v>2</v>
      </c>
      <c r="N9" s="73" t="s">
        <v>2</v>
      </c>
      <c r="O9" s="73" t="s">
        <v>2</v>
      </c>
      <c r="P9" s="73" t="s">
        <v>2</v>
      </c>
      <c r="Q9" s="73" t="s">
        <v>2</v>
      </c>
      <c r="R9" s="73" t="s">
        <v>2</v>
      </c>
      <c r="S9" s="73" t="s">
        <v>158</v>
      </c>
    </row>
    <row r="10" spans="1:19">
      <c r="B10" s="3" t="s">
        <v>25</v>
      </c>
      <c r="C10" s="3" t="s">
        <v>26</v>
      </c>
      <c r="D10" s="3" t="s">
        <v>27</v>
      </c>
      <c r="E10" s="3" t="s">
        <v>28</v>
      </c>
      <c r="F10" s="3" t="s">
        <v>197</v>
      </c>
      <c r="G10" s="3" t="s">
        <v>125</v>
      </c>
      <c r="H10" s="3" t="s">
        <v>126</v>
      </c>
      <c r="I10" s="3" t="s">
        <v>71</v>
      </c>
      <c r="J10" s="4" t="s">
        <v>122</v>
      </c>
      <c r="K10" s="4" t="s">
        <v>29</v>
      </c>
      <c r="L10" s="3" t="s">
        <v>44</v>
      </c>
      <c r="M10" s="3" t="s">
        <v>72</v>
      </c>
      <c r="N10" s="3" t="s">
        <v>123</v>
      </c>
      <c r="O10" s="3" t="s">
        <v>299</v>
      </c>
      <c r="P10" s="3" t="s">
        <v>334</v>
      </c>
      <c r="Q10" s="3" t="s">
        <v>335</v>
      </c>
      <c r="R10" s="4" t="s">
        <v>382</v>
      </c>
      <c r="S10" s="4" t="s">
        <v>383</v>
      </c>
    </row>
    <row r="11" spans="1:19">
      <c r="A11" s="3">
        <v>1</v>
      </c>
      <c r="B11" t="s">
        <v>7</v>
      </c>
      <c r="C11" s="3" t="s">
        <v>30</v>
      </c>
      <c r="D11" s="45">
        <f>SUM('Rate Year Therms'!P10:P11)</f>
        <v>539959592</v>
      </c>
      <c r="E11" s="35">
        <v>370018068.69896007</v>
      </c>
      <c r="F11" s="35">
        <f>'Sch. 101'!G10</f>
        <v>300276928.70999998</v>
      </c>
      <c r="G11" s="35">
        <f>'Sch. 106'!L10</f>
        <v>-108926048.48999999</v>
      </c>
      <c r="H11" s="35">
        <f>SUM('Sch. 111 Charge'!J10,'Sch. 111 Credit'!J10,'Sch. 111 Credit'!J30)</f>
        <v>36109134.87256062</v>
      </c>
      <c r="I11" s="35">
        <f>'Sch. 120'!F9</f>
        <v>15523838.270000001</v>
      </c>
      <c r="J11" s="35">
        <f>'Sch. 129'!G9</f>
        <v>2969777.7560000001</v>
      </c>
      <c r="K11" s="35">
        <f>'Sch. 129D'!G9</f>
        <v>8617755.0883200001</v>
      </c>
      <c r="L11" s="35">
        <f>'Sch. 140'!F9</f>
        <v>12338076.677199999</v>
      </c>
      <c r="M11" s="35">
        <f>'Sch. 141D'!F9</f>
        <v>1700872.7148</v>
      </c>
      <c r="N11" s="35">
        <f>'Sch. 141DCARB'!F9</f>
        <v>0</v>
      </c>
      <c r="O11" s="35">
        <f>'Sch. 141N'!F9</f>
        <v>-2591806.0415999996</v>
      </c>
      <c r="P11" s="35">
        <f>'Sch. 141R'!F9</f>
        <v>39244263.146559998</v>
      </c>
      <c r="Q11" s="35">
        <f>'Sch. 141R (Supp.)'!F9</f>
        <v>-809939.38800000004</v>
      </c>
      <c r="R11" s="35">
        <f>'Sch. 142'!G10</f>
        <v>2505412.5099999998</v>
      </c>
      <c r="S11" s="36">
        <f t="shared" ref="S11:S24" si="0">SUM(E11:R11)</f>
        <v>676976334.52480066</v>
      </c>
    </row>
    <row r="12" spans="1:19">
      <c r="A12" s="3">
        <f>A11+1</f>
        <v>2</v>
      </c>
      <c r="B12" t="s">
        <v>31</v>
      </c>
      <c r="C12" s="3">
        <v>16</v>
      </c>
      <c r="D12" s="45">
        <f>'Rate Year Therms'!P9</f>
        <v>6996</v>
      </c>
      <c r="E12" s="35">
        <v>4470.0757894736844</v>
      </c>
      <c r="F12" s="35">
        <f>'Sch. 101'!G13</f>
        <v>3890.55</v>
      </c>
      <c r="G12" s="35">
        <f>'Sch. 106'!L11</f>
        <v>-1411.3</v>
      </c>
      <c r="H12" s="35">
        <f>SUM('Sch. 111 Charge'!J11,'Sch. 111 Credit'!J11)</f>
        <v>739.38882947368415</v>
      </c>
      <c r="I12" s="35">
        <f>'Sch. 120'!F10</f>
        <v>201.13500000000002</v>
      </c>
      <c r="J12" s="35"/>
      <c r="K12" s="35"/>
      <c r="L12" s="35">
        <f>'Sch. 140'!F10</f>
        <v>159.8586</v>
      </c>
      <c r="M12" s="35">
        <f>'Sch. 141D'!F10</f>
        <v>22.037400000000002</v>
      </c>
      <c r="N12" s="35">
        <f>'Sch. 141DCARB'!F10</f>
        <v>0</v>
      </c>
      <c r="O12" s="35">
        <f>'Sch. 141N'!F10</f>
        <v>-33.580799999999996</v>
      </c>
      <c r="P12" s="35">
        <f>'Sch. 141R'!F10</f>
        <v>508.46927999999997</v>
      </c>
      <c r="Q12" s="35">
        <f>'Sch. 141R (Supp.)'!F10</f>
        <v>-10.494</v>
      </c>
      <c r="R12" s="35"/>
      <c r="S12" s="36">
        <f t="shared" si="0"/>
        <v>8536.1400989473677</v>
      </c>
    </row>
    <row r="13" spans="1:19">
      <c r="A13" s="3">
        <f t="shared" ref="A13:A36" si="1">A12+1</f>
        <v>3</v>
      </c>
      <c r="B13" t="s">
        <v>8</v>
      </c>
      <c r="C13" s="3">
        <v>31</v>
      </c>
      <c r="D13" s="45">
        <f>'Rate Year Therms'!P12</f>
        <v>228527070</v>
      </c>
      <c r="E13" s="35">
        <v>125397647.04870005</v>
      </c>
      <c r="F13" s="35">
        <f>'Sch. 101'!G16</f>
        <v>125593907.13</v>
      </c>
      <c r="G13" s="35">
        <f>'Sch. 106'!L12</f>
        <v>-45751119.409999996</v>
      </c>
      <c r="H13" s="35">
        <f>SUM('Sch. 111 Charge'!J12,'Sch. 111 Credit'!J12)</f>
        <v>23819948.612333745</v>
      </c>
      <c r="I13" s="35">
        <f>'Sch. 120'!F11</f>
        <v>6570153.2625000002</v>
      </c>
      <c r="J13" s="35">
        <f>'Sch. 129'!G11</f>
        <v>1078647.7704</v>
      </c>
      <c r="K13" s="35">
        <f>'Sch. 129D'!G11</f>
        <v>3130820.8590000002</v>
      </c>
      <c r="L13" s="35">
        <f>'Sch. 140'!F11</f>
        <v>5742885.2691000002</v>
      </c>
      <c r="M13" s="35">
        <f>'Sch. 141D'!F11</f>
        <v>660443.23230000003</v>
      </c>
      <c r="N13" s="35">
        <f>'Sch. 141DCARB'!F11</f>
        <v>0</v>
      </c>
      <c r="O13" s="35">
        <f>'Sch. 141N'!F11</f>
        <v>-1005519.108</v>
      </c>
      <c r="P13" s="35">
        <f>'Sch. 141R'!F11</f>
        <v>15233614.486199999</v>
      </c>
      <c r="Q13" s="35">
        <f>'Sch. 141R (Supp.)'!F11</f>
        <v>-313082.08590000001</v>
      </c>
      <c r="R13" s="35">
        <f>'Sch. 142'!G15</f>
        <v>-4070067.12</v>
      </c>
      <c r="S13" s="36">
        <f t="shared" si="0"/>
        <v>256088279.94663376</v>
      </c>
    </row>
    <row r="14" spans="1:19">
      <c r="A14" s="3">
        <f t="shared" si="1"/>
        <v>4</v>
      </c>
      <c r="B14" t="s">
        <v>9</v>
      </c>
      <c r="C14" s="3">
        <v>41</v>
      </c>
      <c r="D14" s="45">
        <f>'Rate Year Therms'!P13</f>
        <v>60329189</v>
      </c>
      <c r="E14" s="35">
        <v>17813568.367628798</v>
      </c>
      <c r="F14" s="35">
        <f>'Sch. 101'!G21</f>
        <v>32274068.07</v>
      </c>
      <c r="G14" s="35">
        <f>'Sch. 106'!L13</f>
        <v>-11837793.470000001</v>
      </c>
      <c r="H14" s="35">
        <f>SUM('Sch. 111 Charge'!J13,'Sch. 111 Credit'!J13)</f>
        <v>6476945.1889428794</v>
      </c>
      <c r="I14" s="35">
        <f>'Sch. 120'!F12</f>
        <v>1734464.1837500001</v>
      </c>
      <c r="J14" s="35">
        <f>'Sch. 129'!G14</f>
        <v>139360.42658999999</v>
      </c>
      <c r="K14" s="35">
        <f>'Sch. 129D'!G14</f>
        <v>405412.15007999999</v>
      </c>
      <c r="L14" s="35">
        <f>'Sch. 140'!F12</f>
        <v>605705.05755999999</v>
      </c>
      <c r="M14" s="35">
        <f>'Sch. 141D'!F12</f>
        <v>132724.21580000001</v>
      </c>
      <c r="N14" s="35">
        <f>'Sch. 141DCARB'!F12</f>
        <v>0</v>
      </c>
      <c r="O14" s="35">
        <f>'Sch. 141N'!F12</f>
        <v>-126691.29689999999</v>
      </c>
      <c r="P14" s="35">
        <f>'Sch. 141R'!F12</f>
        <v>1922691.25343</v>
      </c>
      <c r="Q14" s="35">
        <f>'Sch. 141R (Supp.)'!F12</f>
        <v>-39817.264739999999</v>
      </c>
      <c r="R14" s="35">
        <f>'Sch. 142'!G27</f>
        <v>-2194206.69</v>
      </c>
      <c r="S14" s="36">
        <f t="shared" si="0"/>
        <v>47306430.192141697</v>
      </c>
    </row>
    <row r="15" spans="1:19">
      <c r="A15" s="3">
        <f t="shared" si="1"/>
        <v>5</v>
      </c>
      <c r="B15" t="s">
        <v>10</v>
      </c>
      <c r="C15" s="3">
        <v>85</v>
      </c>
      <c r="D15" s="45">
        <f>'Rate Year Therms'!P14</f>
        <v>16668227</v>
      </c>
      <c r="E15" s="35">
        <v>2024148.4641911332</v>
      </c>
      <c r="F15" s="35">
        <f>'Sch. 101'!G26</f>
        <v>8308402.5800000001</v>
      </c>
      <c r="G15" s="35">
        <f>'Sch. 106'!L14</f>
        <v>-3138127.1</v>
      </c>
      <c r="H15" s="35">
        <f>SUM('Sch. 111 Charge'!J14,'Sch. 111 Credit'!J14)</f>
        <v>1498708.4434751938</v>
      </c>
      <c r="I15" s="35">
        <f>'Sch. 120'!F13</f>
        <v>430706.98567999998</v>
      </c>
      <c r="J15" s="35">
        <f>'Sch. 129'!G21</f>
        <v>18491.2412082509</v>
      </c>
      <c r="K15" s="35">
        <f>'Sch. 129D'!G21</f>
        <v>53904.933873632006</v>
      </c>
      <c r="L15" s="35">
        <f>'Sch. 140'!F13</f>
        <v>88174.920830000003</v>
      </c>
      <c r="M15" s="35">
        <f>'Sch. 141D'!F13</f>
        <v>30836.219950000002</v>
      </c>
      <c r="N15" s="35">
        <f>'Sch. 141DCARB'!F13</f>
        <v>0</v>
      </c>
      <c r="O15" s="35">
        <f>'Sch. 141N'!F13</f>
        <v>-21335.330560000002</v>
      </c>
      <c r="P15" s="35">
        <f>'Sch. 141R'!F13</f>
        <v>323196.92152999999</v>
      </c>
      <c r="Q15" s="35">
        <f>'Sch. 141R (Supp.)'!F13</f>
        <v>-6667.2908000000007</v>
      </c>
      <c r="R15" s="35"/>
      <c r="S15" s="36">
        <f t="shared" si="0"/>
        <v>9610440.9893782139</v>
      </c>
    </row>
    <row r="16" spans="1:19">
      <c r="A16" s="3">
        <f t="shared" si="1"/>
        <v>6</v>
      </c>
      <c r="B16" t="s">
        <v>11</v>
      </c>
      <c r="C16" s="3">
        <v>86</v>
      </c>
      <c r="D16" s="45">
        <f>'Rate Year Therms'!P15</f>
        <v>4684519</v>
      </c>
      <c r="E16" s="35">
        <v>965128.96494796977</v>
      </c>
      <c r="F16" s="35">
        <f>'Sch. 101'!G31</f>
        <v>2370858.1</v>
      </c>
      <c r="G16" s="35">
        <f>'Sch. 106'!L15</f>
        <v>-890152.3</v>
      </c>
      <c r="H16" s="35">
        <f>SUM('Sch. 111 Charge'!J15,'Sch. 111 Credit'!J15)</f>
        <v>513741.83528</v>
      </c>
      <c r="I16" s="35">
        <f>'Sch. 120'!F14</f>
        <v>121047.97095999999</v>
      </c>
      <c r="J16" s="35">
        <f>'Sch. 129'!G23</f>
        <v>8010.5274899999995</v>
      </c>
      <c r="K16" s="35">
        <f>'Sch. 129D'!G23</f>
        <v>23328.904620000001</v>
      </c>
      <c r="L16" s="35">
        <f>'Sch. 140'!F14</f>
        <v>31526.812869999998</v>
      </c>
      <c r="M16" s="35">
        <f>'Sch. 141D'!F14</f>
        <v>2295.4143100000001</v>
      </c>
      <c r="N16" s="35">
        <f>'Sch. 141DCARB'!F14</f>
        <v>0</v>
      </c>
      <c r="O16" s="35">
        <f>'Sch. 141N'!F14</f>
        <v>-4965.5901400000002</v>
      </c>
      <c r="P16" s="35">
        <f>'Sch. 141R'!F14</f>
        <v>75186.529949999996</v>
      </c>
      <c r="Q16" s="35">
        <f>'Sch. 141R (Supp.)'!F14</f>
        <v>-1545.8912700000001</v>
      </c>
      <c r="R16" s="35">
        <f>'Sch. 142'!G43</f>
        <v>-124481.37999999999</v>
      </c>
      <c r="S16" s="36">
        <f t="shared" si="0"/>
        <v>3089979.8990179696</v>
      </c>
    </row>
    <row r="17" spans="1:20">
      <c r="A17" s="3">
        <f t="shared" si="1"/>
        <v>7</v>
      </c>
      <c r="B17" t="s">
        <v>12</v>
      </c>
      <c r="C17" s="3">
        <v>87</v>
      </c>
      <c r="D17" s="45">
        <f>'Rate Year Therms'!P16</f>
        <v>20007657</v>
      </c>
      <c r="E17" s="35">
        <v>1323832.9813263046</v>
      </c>
      <c r="F17" s="35">
        <f>'Sch. 101'!G36</f>
        <v>9850569.8499999996</v>
      </c>
      <c r="G17" s="35">
        <f>'Sch. 106'!L16</f>
        <v>-3739631.17</v>
      </c>
      <c r="H17" s="35">
        <f>SUM('Sch. 111 Charge'!J16,'Sch. 111 Credit'!J16)</f>
        <v>162465.6001044687</v>
      </c>
      <c r="I17" s="35">
        <f>'Sch. 120'!F15</f>
        <v>516997.85687999998</v>
      </c>
      <c r="J17" s="35">
        <f>'Sch. 129'!G33</f>
        <v>9103.9514041258299</v>
      </c>
      <c r="K17" s="35">
        <f>'Sch. 129D'!G33</f>
        <v>26316.868747910852</v>
      </c>
      <c r="L17" s="35">
        <f>'Sch. 140'!F15</f>
        <v>75428.866890000005</v>
      </c>
      <c r="M17" s="35">
        <f>'Sch. 141D'!F23</f>
        <v>15538.485442485855</v>
      </c>
      <c r="N17" s="35">
        <f>'Sch. 141DCARB'!F15</f>
        <v>0</v>
      </c>
      <c r="O17" s="35">
        <f>'Sch. 141N'!F23</f>
        <v>-11814.968816914317</v>
      </c>
      <c r="P17" s="35">
        <f>'Sch. 141R'!F23</f>
        <v>178654.90877159903</v>
      </c>
      <c r="Q17" s="35">
        <f>'Sch. 141R (Supp.)'!F23</f>
        <v>-3644.8749945048048</v>
      </c>
      <c r="R17" s="35"/>
      <c r="S17" s="36">
        <f t="shared" si="0"/>
        <v>8403818.3557554744</v>
      </c>
    </row>
    <row r="18" spans="1:20">
      <c r="A18" s="3">
        <f t="shared" si="1"/>
        <v>8</v>
      </c>
      <c r="B18" t="s">
        <v>32</v>
      </c>
      <c r="C18" s="3" t="s">
        <v>33</v>
      </c>
      <c r="D18" s="45">
        <f>'Rate Year Therms'!P17</f>
        <v>0</v>
      </c>
      <c r="E18" s="35">
        <v>0</v>
      </c>
      <c r="F18" s="52"/>
      <c r="G18" s="52"/>
      <c r="H18" s="35">
        <f>SUM('Sch. 111 Charge'!J17,'Sch. 111 Credit'!J17)</f>
        <v>0</v>
      </c>
      <c r="I18" s="35"/>
      <c r="J18" s="35">
        <f>'Sch. 129'!G12</f>
        <v>0</v>
      </c>
      <c r="K18" s="35">
        <f>'Sch. 129D'!G12</f>
        <v>0</v>
      </c>
      <c r="L18" s="35">
        <f>'Sch. 140'!F16</f>
        <v>0</v>
      </c>
      <c r="M18" s="35"/>
      <c r="N18" s="35">
        <f>'Sch. 141DCARB'!F16</f>
        <v>0</v>
      </c>
      <c r="O18" s="35">
        <f>'Sch. 141N'!F25</f>
        <v>0</v>
      </c>
      <c r="P18" s="35">
        <f>'Sch. 141R'!F25</f>
        <v>0</v>
      </c>
      <c r="Q18" s="35">
        <f>'Sch. 141R (Supp.)'!F25</f>
        <v>0</v>
      </c>
      <c r="R18" s="35">
        <f>'Sch. 142'!G18</f>
        <v>0</v>
      </c>
      <c r="S18" s="36">
        <f t="shared" si="0"/>
        <v>0</v>
      </c>
    </row>
    <row r="19" spans="1:20">
      <c r="A19" s="3">
        <f t="shared" si="1"/>
        <v>9</v>
      </c>
      <c r="B19" t="s">
        <v>34</v>
      </c>
      <c r="C19" s="3" t="s">
        <v>35</v>
      </c>
      <c r="D19" s="45">
        <f>'Rate Year Therms'!P18</f>
        <v>21757669</v>
      </c>
      <c r="E19" s="35">
        <v>4661891.0565014137</v>
      </c>
      <c r="F19" s="52"/>
      <c r="G19" s="52"/>
      <c r="H19" s="35">
        <f>SUM('Sch. 111 Charge'!J18,'Sch. 111 Credit'!J18)</f>
        <v>2283191.3100999994</v>
      </c>
      <c r="I19" s="35"/>
      <c r="J19" s="35">
        <f>'Sch. 129'!G15</f>
        <v>50260.215389999998</v>
      </c>
      <c r="K19" s="35">
        <f>'Sch. 129D'!G15</f>
        <v>146211.53568</v>
      </c>
      <c r="L19" s="35">
        <f>'Sch. 140'!F17</f>
        <v>218446.99676000001</v>
      </c>
      <c r="M19" s="35"/>
      <c r="N19" s="35">
        <f>'Sch. 141DCARB'!F17</f>
        <v>0</v>
      </c>
      <c r="O19" s="35">
        <f>'Sch. 141N'!F26</f>
        <v>-45691.104899999998</v>
      </c>
      <c r="P19" s="35">
        <f>'Sch. 141R'!F26</f>
        <v>693416.91103000008</v>
      </c>
      <c r="Q19" s="35">
        <f>'Sch. 141R (Supp.)'!F26</f>
        <v>-14360.061540000001</v>
      </c>
      <c r="R19" s="35">
        <f>'Sch. 142'!G35</f>
        <v>-656085.05000000005</v>
      </c>
      <c r="S19" s="36">
        <f t="shared" si="0"/>
        <v>7337281.8090214133</v>
      </c>
    </row>
    <row r="20" spans="1:20">
      <c r="A20" s="3">
        <f t="shared" si="1"/>
        <v>10</v>
      </c>
      <c r="B20" t="s">
        <v>36</v>
      </c>
      <c r="C20" s="3" t="s">
        <v>37</v>
      </c>
      <c r="D20" s="45">
        <f>'Rate Year Therms'!P19</f>
        <v>62744436</v>
      </c>
      <c r="E20" s="35">
        <v>6887307.7909262311</v>
      </c>
      <c r="F20" s="52"/>
      <c r="G20" s="52"/>
      <c r="H20" s="35">
        <f>SUM('Sch. 111 Charge'!J19,'Sch. 111 Credit'!J19)</f>
        <v>6243031.3552862257</v>
      </c>
      <c r="I20" s="35"/>
      <c r="J20" s="35">
        <f>'Sch. 129'!G39</f>
        <v>67947.234454920268</v>
      </c>
      <c r="K20" s="35">
        <f>'Sch. 129D'!G39</f>
        <v>198106.83592634107</v>
      </c>
      <c r="L20" s="35">
        <f>'Sch. 140'!F18</f>
        <v>331918.06644000002</v>
      </c>
      <c r="M20" s="35"/>
      <c r="N20" s="35">
        <f>'Sch. 141DCARB'!F18</f>
        <v>0</v>
      </c>
      <c r="O20" s="35">
        <f>'Sch. 141N'!F27</f>
        <v>-80312.87808000001</v>
      </c>
      <c r="P20" s="35">
        <f>'Sch. 141R'!F27</f>
        <v>1216614.6140400001</v>
      </c>
      <c r="Q20" s="35">
        <f>'Sch. 141R (Supp.)'!F27</f>
        <v>-25097.774400000002</v>
      </c>
      <c r="R20" s="35"/>
      <c r="S20" s="36">
        <f t="shared" si="0"/>
        <v>14839515.244593719</v>
      </c>
    </row>
    <row r="21" spans="1:20">
      <c r="A21" s="3">
        <f t="shared" si="1"/>
        <v>11</v>
      </c>
      <c r="B21" t="s">
        <v>38</v>
      </c>
      <c r="C21" s="3" t="s">
        <v>39</v>
      </c>
      <c r="D21" s="45">
        <f>'Rate Year Therms'!P20</f>
        <v>1176527</v>
      </c>
      <c r="E21" s="35">
        <v>210789.36473433726</v>
      </c>
      <c r="F21" s="52"/>
      <c r="G21" s="52"/>
      <c r="H21" s="35">
        <f>SUM('Sch. 111 Charge'!J20,'Sch. 111 Credit'!J20)</f>
        <v>126937.93491999997</v>
      </c>
      <c r="I21" s="35"/>
      <c r="J21" s="35">
        <f>'Sch. 129'!G24</f>
        <v>2011.8611699999999</v>
      </c>
      <c r="K21" s="35">
        <f>'Sch. 129D'!G24</f>
        <v>5859.1044600000005</v>
      </c>
      <c r="L21" s="35">
        <f>'Sch. 140'!F19</f>
        <v>7918.0267100000001</v>
      </c>
      <c r="M21" s="35"/>
      <c r="N21" s="35">
        <f>'Sch. 141DCARB'!F19</f>
        <v>0</v>
      </c>
      <c r="O21" s="35">
        <f>'Sch. 141N'!F28</f>
        <v>-1247.11862</v>
      </c>
      <c r="P21" s="35">
        <f>'Sch. 141R'!F28</f>
        <v>18883.258349999996</v>
      </c>
      <c r="Q21" s="35">
        <f>'Sch. 141R (Supp.)'!F28</f>
        <v>-388.25391000000002</v>
      </c>
      <c r="R21" s="35">
        <f>'Sch. 142'!G50</f>
        <v>-27906.85</v>
      </c>
      <c r="S21" s="36">
        <f t="shared" si="0"/>
        <v>342857.32781433722</v>
      </c>
    </row>
    <row r="22" spans="1:20">
      <c r="A22" s="3">
        <f t="shared" si="1"/>
        <v>12</v>
      </c>
      <c r="B22" t="s">
        <v>40</v>
      </c>
      <c r="C22" s="3" t="s">
        <v>41</v>
      </c>
      <c r="D22" s="45">
        <f>'Rate Year Therms'!P21</f>
        <v>66693986.719999999</v>
      </c>
      <c r="E22" s="35">
        <v>3823200.1506244023</v>
      </c>
      <c r="F22" s="35"/>
      <c r="G22" s="35"/>
      <c r="H22" s="35">
        <f>SUM('Sch. 111 Charge'!J21,'Sch. 111 Credit'!J21)</f>
        <v>807997.83197867917</v>
      </c>
      <c r="I22" s="35"/>
      <c r="J22" s="35">
        <f>'Sch. 129'!G48</f>
        <v>27568.04837470788</v>
      </c>
      <c r="K22" s="35">
        <f>'Sch. 129D'!G48</f>
        <v>79607.726775656716</v>
      </c>
      <c r="L22" s="35">
        <f>'Sch. 140'!F20</f>
        <v>251436.32993439998</v>
      </c>
      <c r="M22" s="35"/>
      <c r="N22" s="35">
        <f>'Sch. 141DCARB'!F20</f>
        <v>0</v>
      </c>
      <c r="O22" s="35">
        <f>'Sch. 141N'!F37</f>
        <v>-35125.389203981991</v>
      </c>
      <c r="P22" s="35">
        <f>'Sch. 141R'!F37</f>
        <v>531583.40722613886</v>
      </c>
      <c r="Q22" s="35">
        <f>'Sch. 141R (Supp.)'!F37</f>
        <v>-10810.551032060404</v>
      </c>
      <c r="R22" s="35"/>
      <c r="S22" s="36">
        <f t="shared" si="0"/>
        <v>5475457.5546779409</v>
      </c>
    </row>
    <row r="23" spans="1:20">
      <c r="A23" s="3">
        <f t="shared" si="1"/>
        <v>13</v>
      </c>
      <c r="B23" t="s">
        <v>354</v>
      </c>
      <c r="C23" s="3" t="s">
        <v>355</v>
      </c>
      <c r="D23" s="45">
        <f>'Rate Year Therms'!P22</f>
        <v>39295144</v>
      </c>
      <c r="E23" s="35">
        <v>1181475.14552</v>
      </c>
      <c r="F23" s="35"/>
      <c r="G23" s="35"/>
      <c r="H23" s="35">
        <f>SUM('Sch. 111 Charge'!J22,'Sch. 111 Credit'!J22)</f>
        <v>0</v>
      </c>
      <c r="I23" s="35"/>
      <c r="J23" s="35">
        <f>'Sch. 129'!G57</f>
        <v>9856.9802400000008</v>
      </c>
      <c r="K23" s="35">
        <f>'Sch. 129D'!G57</f>
        <v>28263.086399999997</v>
      </c>
      <c r="L23" s="35">
        <f>'Sch. 140'!F21</f>
        <v>148142.69287999999</v>
      </c>
      <c r="M23" s="35"/>
      <c r="N23" s="35">
        <f>'Sch. 141DCARB'!F21</f>
        <v>0</v>
      </c>
      <c r="O23" s="35">
        <f>'Sch. 141N'!F46</f>
        <v>-6611.6600799999997</v>
      </c>
      <c r="P23" s="35">
        <f>'Sch. 141R'!F46</f>
        <v>102219.51272</v>
      </c>
      <c r="Q23" s="35">
        <f>'Sch. 141R (Supp.)'!F46</f>
        <v>-1985.9028800000001</v>
      </c>
      <c r="R23" s="35"/>
      <c r="S23" s="36">
        <f t="shared" si="0"/>
        <v>1461359.8547999999</v>
      </c>
    </row>
    <row r="24" spans="1:20">
      <c r="A24" s="3">
        <f t="shared" si="1"/>
        <v>14</v>
      </c>
      <c r="B24" t="s">
        <v>13</v>
      </c>
      <c r="C24" s="3"/>
      <c r="D24" s="45">
        <f>'Rate Year Therms'!P23</f>
        <v>32030387</v>
      </c>
      <c r="E24" s="35">
        <v>1566717.2980424243</v>
      </c>
      <c r="F24" s="35"/>
      <c r="G24" s="35"/>
      <c r="H24" s="35">
        <f>SUM('Sch. 111 Charge'!J23,'Sch. 111 Credit'!J23)</f>
        <v>1401276.6008886266</v>
      </c>
      <c r="I24" s="35"/>
      <c r="J24" s="35"/>
      <c r="K24" s="35"/>
      <c r="L24" s="35">
        <f>'Sch. 140'!F22</f>
        <v>30108.56378</v>
      </c>
      <c r="M24" s="35"/>
      <c r="N24" s="35">
        <f>'Sch. 141DCARB'!F22</f>
        <v>0</v>
      </c>
      <c r="O24" s="35"/>
      <c r="P24" s="35"/>
      <c r="Q24" s="35"/>
      <c r="R24" s="35"/>
      <c r="S24" s="36">
        <f t="shared" si="0"/>
        <v>2998102.4627110506</v>
      </c>
    </row>
    <row r="25" spans="1:20">
      <c r="A25" s="3">
        <f t="shared" si="1"/>
        <v>15</v>
      </c>
      <c r="B25" t="s">
        <v>6</v>
      </c>
      <c r="D25" s="10">
        <f>SUM(D11:D24)</f>
        <v>1093881399.72</v>
      </c>
      <c r="E25" s="11">
        <f>SUM(E11:E24)</f>
        <v>535878245.40789253</v>
      </c>
      <c r="F25" s="11">
        <f t="shared" ref="F25:I25" si="2">SUM(F11:F24)</f>
        <v>478678624.99000001</v>
      </c>
      <c r="G25" s="11">
        <f t="shared" si="2"/>
        <v>-174284283.23999998</v>
      </c>
      <c r="H25" s="11">
        <f t="shared" si="2"/>
        <v>79444118.974699914</v>
      </c>
      <c r="I25" s="11">
        <f t="shared" si="2"/>
        <v>24897409.66477</v>
      </c>
      <c r="J25" s="11">
        <f t="shared" ref="J25:Q25" si="3">SUM(J11:J24)</f>
        <v>4381036.0127220051</v>
      </c>
      <c r="K25" s="11">
        <f t="shared" si="3"/>
        <v>12715587.093883539</v>
      </c>
      <c r="L25" s="11">
        <f t="shared" si="3"/>
        <v>19869928.139554396</v>
      </c>
      <c r="M25" s="11">
        <f t="shared" si="3"/>
        <v>2542732.3200024855</v>
      </c>
      <c r="N25" s="11">
        <f t="shared" si="3"/>
        <v>0</v>
      </c>
      <c r="O25" s="11">
        <f t="shared" si="3"/>
        <v>-3931154.0677008959</v>
      </c>
      <c r="P25" s="11">
        <f t="shared" si="3"/>
        <v>59540833.419087738</v>
      </c>
      <c r="Q25" s="11">
        <f t="shared" si="3"/>
        <v>-1227349.833466565</v>
      </c>
      <c r="R25" s="11">
        <f t="shared" ref="R25:S25" si="4">SUM(R11:R24)</f>
        <v>-4567334.58</v>
      </c>
      <c r="S25" s="37">
        <f t="shared" si="4"/>
        <v>1033938394.3014451</v>
      </c>
      <c r="T25" s="8"/>
    </row>
    <row r="26" spans="1:20">
      <c r="A26" s="3"/>
      <c r="D26" s="14"/>
      <c r="J26" s="8"/>
      <c r="K26" s="8"/>
      <c r="R26" s="8"/>
      <c r="S26" s="8"/>
    </row>
    <row r="27" spans="1:20" s="13" customFormat="1">
      <c r="A27" s="3">
        <f>A25+1</f>
        <v>16</v>
      </c>
      <c r="B27" s="95" t="s">
        <v>150</v>
      </c>
      <c r="C27" s="15"/>
    </row>
    <row r="28" spans="1:20" s="13" customFormat="1">
      <c r="A28" s="3">
        <f t="shared" si="1"/>
        <v>17</v>
      </c>
      <c r="B28" s="12" t="s">
        <v>7</v>
      </c>
      <c r="C28" s="202" t="s">
        <v>365</v>
      </c>
      <c r="D28" s="68">
        <f>D11+D12</f>
        <v>539966588</v>
      </c>
      <c r="E28" s="68">
        <f t="shared" ref="E28:S28" si="5">E11+E12</f>
        <v>370022538.77474952</v>
      </c>
      <c r="F28" s="68">
        <f t="shared" si="5"/>
        <v>300280819.25999999</v>
      </c>
      <c r="G28" s="68">
        <f t="shared" si="5"/>
        <v>-108927459.78999999</v>
      </c>
      <c r="H28" s="68">
        <f t="shared" si="5"/>
        <v>36109874.261390097</v>
      </c>
      <c r="I28" s="68">
        <f t="shared" si="5"/>
        <v>15524039.405000001</v>
      </c>
      <c r="J28" s="68">
        <f t="shared" si="5"/>
        <v>2969777.7560000001</v>
      </c>
      <c r="K28" s="68">
        <f t="shared" si="5"/>
        <v>8617755.0883200001</v>
      </c>
      <c r="L28" s="68">
        <f t="shared" si="5"/>
        <v>12338236.535799999</v>
      </c>
      <c r="M28" s="68">
        <f t="shared" si="5"/>
        <v>1700894.7522</v>
      </c>
      <c r="N28" s="68">
        <f t="shared" ref="N28" si="6">N11+N12</f>
        <v>0</v>
      </c>
      <c r="O28" s="68">
        <f t="shared" si="5"/>
        <v>-2591839.6223999998</v>
      </c>
      <c r="P28" s="68">
        <f t="shared" si="5"/>
        <v>39244771.615839995</v>
      </c>
      <c r="Q28" s="68">
        <f t="shared" si="5"/>
        <v>-809949.88199999998</v>
      </c>
      <c r="R28" s="68">
        <f t="shared" si="5"/>
        <v>2505412.5099999998</v>
      </c>
      <c r="S28" s="68">
        <f t="shared" si="5"/>
        <v>676984870.66489959</v>
      </c>
      <c r="T28" s="17"/>
    </row>
    <row r="29" spans="1:20" s="13" customFormat="1">
      <c r="A29" s="3">
        <f t="shared" si="1"/>
        <v>18</v>
      </c>
      <c r="B29" s="12" t="s">
        <v>48</v>
      </c>
      <c r="C29" s="202" t="s">
        <v>366</v>
      </c>
      <c r="D29" s="68">
        <f>D13+D18</f>
        <v>228527070</v>
      </c>
      <c r="E29" s="68">
        <f t="shared" ref="E29:S29" si="7">E13+E18</f>
        <v>125397647.04870005</v>
      </c>
      <c r="F29" s="68">
        <f t="shared" si="7"/>
        <v>125593907.13</v>
      </c>
      <c r="G29" s="68">
        <f t="shared" si="7"/>
        <v>-45751119.409999996</v>
      </c>
      <c r="H29" s="68">
        <f t="shared" si="7"/>
        <v>23819948.612333745</v>
      </c>
      <c r="I29" s="68">
        <f t="shared" si="7"/>
        <v>6570153.2625000002</v>
      </c>
      <c r="J29" s="68">
        <f t="shared" si="7"/>
        <v>1078647.7704</v>
      </c>
      <c r="K29" s="68">
        <f t="shared" si="7"/>
        <v>3130820.8590000002</v>
      </c>
      <c r="L29" s="68">
        <f t="shared" si="7"/>
        <v>5742885.2691000002</v>
      </c>
      <c r="M29" s="68">
        <f t="shared" si="7"/>
        <v>660443.23230000003</v>
      </c>
      <c r="N29" s="68">
        <f t="shared" ref="N29" si="8">N13+N18</f>
        <v>0</v>
      </c>
      <c r="O29" s="68">
        <f t="shared" si="7"/>
        <v>-1005519.108</v>
      </c>
      <c r="P29" s="68">
        <f t="shared" si="7"/>
        <v>15233614.486199999</v>
      </c>
      <c r="Q29" s="68">
        <f t="shared" si="7"/>
        <v>-313082.08590000001</v>
      </c>
      <c r="R29" s="68">
        <f t="shared" si="7"/>
        <v>-4070067.12</v>
      </c>
      <c r="S29" s="68">
        <f t="shared" si="7"/>
        <v>256088279.94663376</v>
      </c>
    </row>
    <row r="30" spans="1:20" s="13" customFormat="1">
      <c r="A30" s="3">
        <f t="shared" si="1"/>
        <v>19</v>
      </c>
      <c r="B30" s="12" t="s">
        <v>49</v>
      </c>
      <c r="C30" s="202" t="s">
        <v>367</v>
      </c>
      <c r="D30" s="68">
        <f>D14+D19</f>
        <v>82086858</v>
      </c>
      <c r="E30" s="68">
        <f t="shared" ref="E30:S30" si="9">E14+E19</f>
        <v>22475459.424130213</v>
      </c>
      <c r="F30" s="68">
        <f t="shared" si="9"/>
        <v>32274068.07</v>
      </c>
      <c r="G30" s="68">
        <f t="shared" si="9"/>
        <v>-11837793.470000001</v>
      </c>
      <c r="H30" s="68">
        <f t="shared" si="9"/>
        <v>8760136.4990428798</v>
      </c>
      <c r="I30" s="68">
        <f t="shared" si="9"/>
        <v>1734464.1837500001</v>
      </c>
      <c r="J30" s="68">
        <f t="shared" si="9"/>
        <v>189620.64197999999</v>
      </c>
      <c r="K30" s="68">
        <f t="shared" si="9"/>
        <v>551623.68576000002</v>
      </c>
      <c r="L30" s="68">
        <f t="shared" si="9"/>
        <v>824152.05432</v>
      </c>
      <c r="M30" s="68">
        <f t="shared" si="9"/>
        <v>132724.21580000001</v>
      </c>
      <c r="N30" s="68">
        <f t="shared" ref="N30" si="10">N14+N19</f>
        <v>0</v>
      </c>
      <c r="O30" s="68">
        <f t="shared" si="9"/>
        <v>-172382.40179999999</v>
      </c>
      <c r="P30" s="68">
        <f t="shared" si="9"/>
        <v>2616108.1644600001</v>
      </c>
      <c r="Q30" s="68">
        <f t="shared" si="9"/>
        <v>-54177.326280000001</v>
      </c>
      <c r="R30" s="68">
        <f t="shared" si="9"/>
        <v>-2850291.74</v>
      </c>
      <c r="S30" s="68">
        <f t="shared" si="9"/>
        <v>54643712.00116311</v>
      </c>
    </row>
    <row r="31" spans="1:20" s="13" customFormat="1">
      <c r="A31" s="3">
        <f t="shared" si="1"/>
        <v>20</v>
      </c>
      <c r="B31" s="12" t="s">
        <v>10</v>
      </c>
      <c r="C31" s="202" t="s">
        <v>368</v>
      </c>
      <c r="D31" s="68">
        <f>D15+D20</f>
        <v>79412663</v>
      </c>
      <c r="E31" s="68">
        <f t="shared" ref="E31:S31" si="11">E15+E20</f>
        <v>8911456.2551173642</v>
      </c>
      <c r="F31" s="68">
        <f t="shared" si="11"/>
        <v>8308402.5800000001</v>
      </c>
      <c r="G31" s="68">
        <f t="shared" si="11"/>
        <v>-3138127.1</v>
      </c>
      <c r="H31" s="68">
        <f t="shared" si="11"/>
        <v>7741739.79876142</v>
      </c>
      <c r="I31" s="68">
        <f t="shared" si="11"/>
        <v>430706.98567999998</v>
      </c>
      <c r="J31" s="68">
        <f t="shared" si="11"/>
        <v>86438.475663171164</v>
      </c>
      <c r="K31" s="68">
        <f t="shared" si="11"/>
        <v>252011.76979997306</v>
      </c>
      <c r="L31" s="68">
        <f t="shared" si="11"/>
        <v>420092.98727000004</v>
      </c>
      <c r="M31" s="68">
        <f t="shared" si="11"/>
        <v>30836.219950000002</v>
      </c>
      <c r="N31" s="68">
        <f t="shared" ref="N31" si="12">N15+N20</f>
        <v>0</v>
      </c>
      <c r="O31" s="68">
        <f t="shared" si="11"/>
        <v>-101648.20864000001</v>
      </c>
      <c r="P31" s="68">
        <f t="shared" si="11"/>
        <v>1539811.5355700001</v>
      </c>
      <c r="Q31" s="68">
        <f t="shared" si="11"/>
        <v>-31765.065200000005</v>
      </c>
      <c r="R31" s="68">
        <f t="shared" si="11"/>
        <v>0</v>
      </c>
      <c r="S31" s="68">
        <f t="shared" si="11"/>
        <v>24449956.233971931</v>
      </c>
    </row>
    <row r="32" spans="1:20" s="13" customFormat="1">
      <c r="A32" s="3">
        <f t="shared" si="1"/>
        <v>21</v>
      </c>
      <c r="B32" s="12" t="s">
        <v>371</v>
      </c>
      <c r="C32" s="202" t="s">
        <v>369</v>
      </c>
      <c r="D32" s="68">
        <f>D16+D21</f>
        <v>5861046</v>
      </c>
      <c r="E32" s="68">
        <f t="shared" ref="E32:S32" si="13">E16+E21</f>
        <v>1175918.3296823071</v>
      </c>
      <c r="F32" s="68">
        <f t="shared" si="13"/>
        <v>2370858.1</v>
      </c>
      <c r="G32" s="68">
        <f t="shared" si="13"/>
        <v>-890152.3</v>
      </c>
      <c r="H32" s="68">
        <f t="shared" si="13"/>
        <v>640679.77019999991</v>
      </c>
      <c r="I32" s="68">
        <f t="shared" si="13"/>
        <v>121047.97095999999</v>
      </c>
      <c r="J32" s="68">
        <f t="shared" si="13"/>
        <v>10022.388659999999</v>
      </c>
      <c r="K32" s="68">
        <f t="shared" si="13"/>
        <v>29188.009080000003</v>
      </c>
      <c r="L32" s="68">
        <f t="shared" si="13"/>
        <v>39444.83958</v>
      </c>
      <c r="M32" s="68">
        <f t="shared" si="13"/>
        <v>2295.4143100000001</v>
      </c>
      <c r="N32" s="68">
        <f t="shared" ref="N32" si="14">N16+N21</f>
        <v>0</v>
      </c>
      <c r="O32" s="68">
        <f t="shared" si="13"/>
        <v>-6212.7087600000004</v>
      </c>
      <c r="P32" s="68">
        <f t="shared" si="13"/>
        <v>94069.788299999986</v>
      </c>
      <c r="Q32" s="68">
        <f t="shared" si="13"/>
        <v>-1934.14518</v>
      </c>
      <c r="R32" s="68">
        <f t="shared" si="13"/>
        <v>-152388.22999999998</v>
      </c>
      <c r="S32" s="68">
        <f t="shared" si="13"/>
        <v>3432837.2268323069</v>
      </c>
    </row>
    <row r="33" spans="1:19" s="13" customFormat="1">
      <c r="A33" s="3">
        <f t="shared" si="1"/>
        <v>22</v>
      </c>
      <c r="B33" s="12" t="s">
        <v>372</v>
      </c>
      <c r="C33" s="202" t="s">
        <v>370</v>
      </c>
      <c r="D33" s="68">
        <f>D17+D22</f>
        <v>86701643.719999999</v>
      </c>
      <c r="E33" s="68">
        <f t="shared" ref="E33:S33" si="15">E17+E22</f>
        <v>5147033.1319507072</v>
      </c>
      <c r="F33" s="68">
        <f t="shared" si="15"/>
        <v>9850569.8499999996</v>
      </c>
      <c r="G33" s="68">
        <f t="shared" si="15"/>
        <v>-3739631.17</v>
      </c>
      <c r="H33" s="68">
        <f t="shared" si="15"/>
        <v>970463.43208314781</v>
      </c>
      <c r="I33" s="68">
        <f t="shared" si="15"/>
        <v>516997.85687999998</v>
      </c>
      <c r="J33" s="68">
        <f t="shared" si="15"/>
        <v>36671.999778833706</v>
      </c>
      <c r="K33" s="68">
        <f t="shared" si="15"/>
        <v>105924.59552356756</v>
      </c>
      <c r="L33" s="68">
        <f t="shared" si="15"/>
        <v>326865.19682439999</v>
      </c>
      <c r="M33" s="68">
        <f t="shared" si="15"/>
        <v>15538.485442485855</v>
      </c>
      <c r="N33" s="68">
        <f t="shared" ref="N33" si="16">N17+N22</f>
        <v>0</v>
      </c>
      <c r="O33" s="68">
        <f t="shared" si="15"/>
        <v>-46940.35802089631</v>
      </c>
      <c r="P33" s="68">
        <f t="shared" si="15"/>
        <v>710238.31599773793</v>
      </c>
      <c r="Q33" s="68">
        <f t="shared" si="15"/>
        <v>-14455.426026565208</v>
      </c>
      <c r="R33" s="68">
        <f t="shared" si="15"/>
        <v>0</v>
      </c>
      <c r="S33" s="68">
        <f t="shared" si="15"/>
        <v>13879275.910433415</v>
      </c>
    </row>
    <row r="34" spans="1:19" s="13" customFormat="1">
      <c r="A34" s="3">
        <f t="shared" si="1"/>
        <v>23</v>
      </c>
      <c r="B34" s="12" t="s">
        <v>373</v>
      </c>
      <c r="C34" s="202" t="s">
        <v>355</v>
      </c>
      <c r="D34" s="68">
        <f>D23</f>
        <v>39295144</v>
      </c>
      <c r="E34" s="68">
        <f t="shared" ref="E34:S34" si="17">E23</f>
        <v>1181475.14552</v>
      </c>
      <c r="F34" s="68">
        <f t="shared" si="17"/>
        <v>0</v>
      </c>
      <c r="G34" s="68">
        <f t="shared" si="17"/>
        <v>0</v>
      </c>
      <c r="H34" s="68">
        <f t="shared" si="17"/>
        <v>0</v>
      </c>
      <c r="I34" s="68">
        <f t="shared" si="17"/>
        <v>0</v>
      </c>
      <c r="J34" s="68">
        <f t="shared" si="17"/>
        <v>9856.9802400000008</v>
      </c>
      <c r="K34" s="68">
        <f t="shared" si="17"/>
        <v>28263.086399999997</v>
      </c>
      <c r="L34" s="68">
        <f t="shared" si="17"/>
        <v>148142.69287999999</v>
      </c>
      <c r="M34" s="68">
        <f t="shared" si="17"/>
        <v>0</v>
      </c>
      <c r="N34" s="68">
        <f t="shared" ref="N34" si="18">N23</f>
        <v>0</v>
      </c>
      <c r="O34" s="68">
        <f t="shared" si="17"/>
        <v>-6611.6600799999997</v>
      </c>
      <c r="P34" s="68">
        <f t="shared" si="17"/>
        <v>102219.51272</v>
      </c>
      <c r="Q34" s="68">
        <f t="shared" si="17"/>
        <v>-1985.9028800000001</v>
      </c>
      <c r="R34" s="68">
        <f t="shared" si="17"/>
        <v>0</v>
      </c>
      <c r="S34" s="68">
        <f t="shared" si="17"/>
        <v>1461359.8547999999</v>
      </c>
    </row>
    <row r="35" spans="1:19" s="13" customFormat="1">
      <c r="A35" s="3">
        <f t="shared" si="1"/>
        <v>24</v>
      </c>
      <c r="B35" s="12" t="s">
        <v>13</v>
      </c>
      <c r="C35" s="202"/>
      <c r="D35" s="68">
        <f>D24</f>
        <v>32030387</v>
      </c>
      <c r="E35" s="68">
        <f t="shared" ref="E35:S35" si="19">E24</f>
        <v>1566717.2980424243</v>
      </c>
      <c r="F35" s="68">
        <f t="shared" si="19"/>
        <v>0</v>
      </c>
      <c r="G35" s="68">
        <f t="shared" si="19"/>
        <v>0</v>
      </c>
      <c r="H35" s="68">
        <f t="shared" si="19"/>
        <v>1401276.6008886266</v>
      </c>
      <c r="I35" s="68">
        <f t="shared" si="19"/>
        <v>0</v>
      </c>
      <c r="J35" s="68">
        <f t="shared" si="19"/>
        <v>0</v>
      </c>
      <c r="K35" s="68">
        <f t="shared" si="19"/>
        <v>0</v>
      </c>
      <c r="L35" s="68">
        <f t="shared" si="19"/>
        <v>30108.56378</v>
      </c>
      <c r="M35" s="68">
        <f t="shared" si="19"/>
        <v>0</v>
      </c>
      <c r="N35" s="68">
        <f t="shared" ref="N35" si="20">N24</f>
        <v>0</v>
      </c>
      <c r="O35" s="68">
        <f t="shared" si="19"/>
        <v>0</v>
      </c>
      <c r="P35" s="68">
        <f t="shared" si="19"/>
        <v>0</v>
      </c>
      <c r="Q35" s="68">
        <f t="shared" si="19"/>
        <v>0</v>
      </c>
      <c r="R35" s="68">
        <f t="shared" si="19"/>
        <v>0</v>
      </c>
      <c r="S35" s="68">
        <f t="shared" si="19"/>
        <v>2998102.4627110506</v>
      </c>
    </row>
    <row r="36" spans="1:19" s="13" customFormat="1">
      <c r="A36" s="3">
        <f t="shared" si="1"/>
        <v>25</v>
      </c>
      <c r="B36" s="12" t="s">
        <v>6</v>
      </c>
      <c r="C36" s="12"/>
      <c r="D36" s="134">
        <f>SUM(D28:D35)</f>
        <v>1093881399.72</v>
      </c>
      <c r="E36" s="18">
        <f>SUM(E28:E35)</f>
        <v>535878245.40789253</v>
      </c>
      <c r="F36" s="18">
        <f t="shared" ref="F36:R36" si="21">SUM(F28:F35)</f>
        <v>478678624.99000001</v>
      </c>
      <c r="G36" s="18">
        <f t="shared" si="21"/>
        <v>-174284283.23999998</v>
      </c>
      <c r="H36" s="18">
        <f t="shared" ref="H36" si="22">SUM(H28:H35)</f>
        <v>79444118.9746999</v>
      </c>
      <c r="I36" s="18">
        <f t="shared" si="21"/>
        <v>24897409.66477</v>
      </c>
      <c r="J36" s="18">
        <f t="shared" si="21"/>
        <v>4381036.0127220042</v>
      </c>
      <c r="K36" s="18">
        <f t="shared" ref="K36" si="23">SUM(K28:K35)</f>
        <v>12715587.093883542</v>
      </c>
      <c r="L36" s="18">
        <f t="shared" si="21"/>
        <v>19869928.1395544</v>
      </c>
      <c r="M36" s="18">
        <f t="shared" ref="M36:O36" si="24">SUM(M28:M35)</f>
        <v>2542732.3200024855</v>
      </c>
      <c r="N36" s="18">
        <f t="shared" ref="N36" si="25">SUM(N28:N35)</f>
        <v>0</v>
      </c>
      <c r="O36" s="18">
        <f t="shared" si="24"/>
        <v>-3931154.0677008955</v>
      </c>
      <c r="P36" s="18">
        <f t="shared" ref="P36:Q36" si="26">SUM(P28:P35)</f>
        <v>59540833.419087738</v>
      </c>
      <c r="Q36" s="18">
        <f t="shared" si="26"/>
        <v>-1227349.8334665652</v>
      </c>
      <c r="R36" s="18">
        <f t="shared" si="21"/>
        <v>-4567334.58</v>
      </c>
      <c r="S36" s="18">
        <f>SUM(S28:S35)</f>
        <v>1033938394.3014452</v>
      </c>
    </row>
    <row r="37" spans="1:19" s="13" customFormat="1"/>
    <row r="38" spans="1:19" ht="17.25">
      <c r="B38" t="s">
        <v>307</v>
      </c>
      <c r="E38" s="38"/>
      <c r="J38" s="14"/>
      <c r="K38" s="14"/>
      <c r="R38" s="14"/>
      <c r="S38" s="14"/>
    </row>
    <row r="39" spans="1:19" ht="17.25">
      <c r="B39" t="s">
        <v>308</v>
      </c>
    </row>
  </sheetData>
  <mergeCells count="4">
    <mergeCell ref="B1:S1"/>
    <mergeCell ref="B2:S2"/>
    <mergeCell ref="B3:S3"/>
    <mergeCell ref="B4:S4"/>
  </mergeCells>
  <printOptions horizontalCentered="1"/>
  <pageMargins left="0.45" right="0.45" top="0.75" bottom="0.75" header="0.3" footer="0.3"/>
  <pageSetup paperSize="5" scale="62" orientation="landscape" blackAndWhite="1" r:id="rId1"/>
  <headerFooter>
    <oddFooter>&amp;L&amp;F 
&amp;A&amp;C&amp;P&amp;R&amp;D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T39"/>
  <sheetViews>
    <sheetView zoomScale="90" zoomScaleNormal="90" workbookViewId="0">
      <pane xSplit="3" ySplit="9" topLeftCell="D10" activePane="bottomRight" state="frozenSplit"/>
      <selection activeCell="F39" sqref="F39"/>
      <selection pane="topRight" activeCell="F39" sqref="F39"/>
      <selection pane="bottomLeft" activeCell="F39" sqref="F39"/>
      <selection pane="bottomRight" activeCell="G27" sqref="G27"/>
    </sheetView>
  </sheetViews>
  <sheetFormatPr defaultRowHeight="15"/>
  <cols>
    <col min="1" max="1" width="4.7109375" bestFit="1" customWidth="1"/>
    <col min="2" max="2" width="37.5703125" customWidth="1"/>
    <col min="3" max="3" width="8.42578125" bestFit="1" customWidth="1"/>
    <col min="4" max="4" width="15" customWidth="1"/>
    <col min="5" max="6" width="14.5703125" bestFit="1" customWidth="1"/>
    <col min="7" max="7" width="15.28515625" bestFit="1" customWidth="1"/>
    <col min="8" max="8" width="13.28515625" customWidth="1"/>
    <col min="9" max="9" width="13.28515625" bestFit="1" customWidth="1"/>
    <col min="10" max="10" width="12.140625" customWidth="1"/>
    <col min="11" max="12" width="13.28515625" bestFit="1" customWidth="1"/>
    <col min="13" max="14" width="12.140625" bestFit="1" customWidth="1"/>
    <col min="15" max="15" width="11.28515625" bestFit="1" customWidth="1"/>
    <col min="16" max="16" width="11.140625" bestFit="1" customWidth="1"/>
    <col min="17" max="18" width="12.85546875" bestFit="1" customWidth="1"/>
    <col min="19" max="19" width="16.140625" bestFit="1" customWidth="1"/>
    <col min="20" max="20" width="13.7109375" bestFit="1" customWidth="1"/>
  </cols>
  <sheetData>
    <row r="1" spans="1:19">
      <c r="B1" s="258" t="s">
        <v>0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</row>
    <row r="2" spans="1:19">
      <c r="B2" s="258" t="str">
        <f>'Rate Impacts_RY#1'!B2:T2</f>
        <v>2024 Gas General Rate Case Filing (Dockets UE-240004 &amp; UG-240005)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</row>
    <row r="3" spans="1:19">
      <c r="B3" s="259" t="s">
        <v>336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</row>
    <row r="4" spans="1:19">
      <c r="B4" s="259" t="s">
        <v>337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</row>
    <row r="6" spans="1:19">
      <c r="D6" s="3" t="s">
        <v>15</v>
      </c>
    </row>
    <row r="7" spans="1:19">
      <c r="B7" s="3"/>
      <c r="C7" s="3"/>
      <c r="D7" s="3" t="s">
        <v>114</v>
      </c>
      <c r="E7" s="3"/>
      <c r="F7" s="3"/>
      <c r="G7" s="3"/>
      <c r="H7" s="3"/>
      <c r="I7" s="3"/>
      <c r="J7" s="3"/>
      <c r="K7" s="3"/>
      <c r="L7" s="3"/>
      <c r="M7" s="3"/>
      <c r="N7" s="3" t="s">
        <v>385</v>
      </c>
      <c r="O7" s="3"/>
      <c r="P7" s="3"/>
      <c r="Q7" s="3" t="s">
        <v>331</v>
      </c>
      <c r="R7" s="3"/>
      <c r="S7" s="60" t="s">
        <v>302</v>
      </c>
    </row>
    <row r="8" spans="1:19">
      <c r="A8" s="3" t="s">
        <v>391</v>
      </c>
      <c r="B8" s="3"/>
      <c r="C8" s="3" t="s">
        <v>17</v>
      </c>
      <c r="D8" s="60" t="s">
        <v>338</v>
      </c>
      <c r="E8" s="3" t="s">
        <v>215</v>
      </c>
      <c r="F8" s="3" t="s">
        <v>18</v>
      </c>
      <c r="G8" s="3" t="s">
        <v>19</v>
      </c>
      <c r="H8" s="3" t="s">
        <v>306</v>
      </c>
      <c r="I8" s="3" t="s">
        <v>43</v>
      </c>
      <c r="J8" s="3" t="s">
        <v>73</v>
      </c>
      <c r="K8" s="3" t="s">
        <v>328</v>
      </c>
      <c r="L8" s="3" t="s">
        <v>16</v>
      </c>
      <c r="M8" s="3" t="s">
        <v>298</v>
      </c>
      <c r="N8" s="3" t="s">
        <v>384</v>
      </c>
      <c r="O8" s="3" t="s">
        <v>216</v>
      </c>
      <c r="P8" s="3" t="s">
        <v>217</v>
      </c>
      <c r="Q8" s="3" t="s">
        <v>217</v>
      </c>
      <c r="R8" s="3" t="s">
        <v>127</v>
      </c>
      <c r="S8" s="3" t="s">
        <v>128</v>
      </c>
    </row>
    <row r="9" spans="1:19" ht="15" customHeight="1">
      <c r="A9" s="207" t="s">
        <v>392</v>
      </c>
      <c r="B9" s="73" t="s">
        <v>4</v>
      </c>
      <c r="C9" s="73" t="s">
        <v>21</v>
      </c>
      <c r="D9" s="66" t="s">
        <v>339</v>
      </c>
      <c r="E9" s="73" t="s">
        <v>129</v>
      </c>
      <c r="F9" s="73" t="s">
        <v>2</v>
      </c>
      <c r="G9" s="73" t="s">
        <v>2</v>
      </c>
      <c r="H9" s="73" t="s">
        <v>2</v>
      </c>
      <c r="I9" s="73" t="s">
        <v>2</v>
      </c>
      <c r="J9" s="73" t="s">
        <v>2</v>
      </c>
      <c r="K9" s="73" t="s">
        <v>2</v>
      </c>
      <c r="L9" s="73" t="s">
        <v>2</v>
      </c>
      <c r="M9" s="73" t="s">
        <v>2</v>
      </c>
      <c r="N9" s="73" t="s">
        <v>2</v>
      </c>
      <c r="O9" s="73" t="s">
        <v>2</v>
      </c>
      <c r="P9" s="73" t="s">
        <v>2</v>
      </c>
      <c r="Q9" s="73" t="s">
        <v>2</v>
      </c>
      <c r="R9" s="73" t="s">
        <v>2</v>
      </c>
      <c r="S9" s="73" t="s">
        <v>158</v>
      </c>
    </row>
    <row r="10" spans="1:19">
      <c r="B10" s="3" t="s">
        <v>25</v>
      </c>
      <c r="C10" s="3" t="s">
        <v>26</v>
      </c>
      <c r="D10" s="3" t="s">
        <v>27</v>
      </c>
      <c r="E10" s="3" t="s">
        <v>28</v>
      </c>
      <c r="F10" s="3" t="s">
        <v>197</v>
      </c>
      <c r="G10" s="3" t="s">
        <v>125</v>
      </c>
      <c r="H10" s="3" t="s">
        <v>126</v>
      </c>
      <c r="I10" s="3" t="s">
        <v>71</v>
      </c>
      <c r="J10" s="4" t="s">
        <v>122</v>
      </c>
      <c r="K10" s="4" t="s">
        <v>29</v>
      </c>
      <c r="L10" s="3" t="s">
        <v>44</v>
      </c>
      <c r="M10" s="3" t="s">
        <v>72</v>
      </c>
      <c r="N10" s="3" t="s">
        <v>123</v>
      </c>
      <c r="O10" s="3" t="s">
        <v>299</v>
      </c>
      <c r="P10" s="3" t="s">
        <v>334</v>
      </c>
      <c r="Q10" s="3" t="s">
        <v>335</v>
      </c>
      <c r="R10" s="4" t="s">
        <v>382</v>
      </c>
      <c r="S10" s="4" t="s">
        <v>383</v>
      </c>
    </row>
    <row r="11" spans="1:19">
      <c r="A11" s="3">
        <v>1</v>
      </c>
      <c r="B11" t="s">
        <v>7</v>
      </c>
      <c r="C11" s="3" t="s">
        <v>30</v>
      </c>
      <c r="D11" s="45">
        <f>SUM('Rate Year Therms'!AE10:AE11)</f>
        <v>534322352</v>
      </c>
      <c r="E11" s="35">
        <f>'Revenue by Sch_RY#1'!E11+'Rate Impacts_RY#1'!F11+'Rate Impacts_RY#2'!E11</f>
        <v>522136277.94857287</v>
      </c>
      <c r="F11" s="35">
        <f>'Sch. 101'!G10</f>
        <v>300276928.70999998</v>
      </c>
      <c r="G11" s="35">
        <f>'Sch. 106'!L10</f>
        <v>-108926048.48999999</v>
      </c>
      <c r="H11" s="35">
        <f>SUM('Sch. 111 Charge'!J10,'Sch. 111 Credit'!J10,'Sch. 111 Credit'!J30)</f>
        <v>36109134.87256062</v>
      </c>
      <c r="I11" s="35">
        <f>'Sch. 120'!F9</f>
        <v>15523838.270000001</v>
      </c>
      <c r="J11" s="35">
        <f>'Sch. 129'!G9</f>
        <v>2969777.7560000001</v>
      </c>
      <c r="K11" s="35">
        <f>'Sch. 129D'!G9</f>
        <v>8617755.0883200001</v>
      </c>
      <c r="L11" s="35">
        <f>'Sch. 140'!F9</f>
        <v>12338076.677199999</v>
      </c>
      <c r="M11" s="35">
        <f>'Sch. 141D'!F9</f>
        <v>1700872.7148</v>
      </c>
      <c r="N11" s="35">
        <f>'Sch. 141DCARB'!G9</f>
        <v>3284614.2286101701</v>
      </c>
      <c r="O11" s="35">
        <f>'Sch. 141N'!G9</f>
        <v>0</v>
      </c>
      <c r="P11" s="35">
        <f>'Sch. 141R'!G9</f>
        <v>0</v>
      </c>
      <c r="Q11" s="35">
        <f>'Sch. 141R (Supp.)'!F9</f>
        <v>-809939.38800000004</v>
      </c>
      <c r="R11" s="35">
        <f>'Sch. 142'!G10</f>
        <v>2505412.5099999998</v>
      </c>
      <c r="S11" s="36">
        <f t="shared" ref="S11:S24" si="0">SUM(E11:R11)</f>
        <v>795726700.89806366</v>
      </c>
    </row>
    <row r="12" spans="1:19">
      <c r="A12" s="3">
        <f>A11+1</f>
        <v>2</v>
      </c>
      <c r="B12" t="s">
        <v>31</v>
      </c>
      <c r="C12" s="3">
        <v>16</v>
      </c>
      <c r="D12" s="45">
        <f>'Rate Year Therms'!AE9</f>
        <v>6996</v>
      </c>
      <c r="E12" s="35">
        <f>'Revenue by Sch_RY#1'!E12+'Rate Impacts_RY#1'!F12+'Rate Impacts_RY#2'!E12</f>
        <v>6338.8328922055416</v>
      </c>
      <c r="F12" s="35">
        <f>'Sch. 101'!G13</f>
        <v>3890.55</v>
      </c>
      <c r="G12" s="35">
        <f>'Sch. 106'!L11</f>
        <v>-1411.3</v>
      </c>
      <c r="H12" s="35">
        <f>SUM('Sch. 111 Charge'!J11,'Sch. 111 Credit'!J11)</f>
        <v>739.38882947368415</v>
      </c>
      <c r="I12" s="35">
        <f>'Sch. 120'!F10</f>
        <v>201.13500000000002</v>
      </c>
      <c r="J12" s="35"/>
      <c r="K12" s="35"/>
      <c r="L12" s="35">
        <f>'Sch. 140'!F10</f>
        <v>159.8586</v>
      </c>
      <c r="M12" s="35">
        <f>'Sch. 141D'!F10</f>
        <v>22.037400000000002</v>
      </c>
      <c r="N12" s="35">
        <f>'Sch. 141DCARB'!G10</f>
        <v>42.557186655842855</v>
      </c>
      <c r="O12" s="35">
        <f>'Sch. 141N'!G10</f>
        <v>0</v>
      </c>
      <c r="P12" s="35">
        <f>'Sch. 141R'!G10</f>
        <v>0</v>
      </c>
      <c r="Q12" s="35">
        <f>'Sch. 141R (Supp.)'!F10</f>
        <v>-10.494</v>
      </c>
      <c r="R12" s="35"/>
      <c r="S12" s="36">
        <f t="shared" si="0"/>
        <v>9972.5659083350674</v>
      </c>
    </row>
    <row r="13" spans="1:19">
      <c r="A13" s="3">
        <f t="shared" ref="A13:A36" si="1">A12+1</f>
        <v>3</v>
      </c>
      <c r="B13" t="s">
        <v>8</v>
      </c>
      <c r="C13" s="3">
        <v>31</v>
      </c>
      <c r="D13" s="45">
        <f>'Rate Year Therms'!AE12</f>
        <v>228425254</v>
      </c>
      <c r="E13" s="35">
        <f>'Revenue by Sch_RY#1'!E13+'Rate Impacts_RY#1'!F13+'Rate Impacts_RY#2'!E13</f>
        <v>198267752.65849203</v>
      </c>
      <c r="F13" s="35">
        <f>'Sch. 101'!G16</f>
        <v>125593907.13</v>
      </c>
      <c r="G13" s="35">
        <f>'Sch. 106'!L12</f>
        <v>-45751119.409999996</v>
      </c>
      <c r="H13" s="35">
        <f>SUM('Sch. 111 Charge'!J12,'Sch. 111 Credit'!J12)</f>
        <v>23819948.612333745</v>
      </c>
      <c r="I13" s="35">
        <f>'Sch. 120'!F11</f>
        <v>6570153.2625000002</v>
      </c>
      <c r="J13" s="35">
        <f>'Sch. 129'!G11</f>
        <v>1078647.7704</v>
      </c>
      <c r="K13" s="35">
        <f>'Sch. 129D'!G11</f>
        <v>3130820.8590000002</v>
      </c>
      <c r="L13" s="35">
        <f>'Sch. 140'!F11</f>
        <v>5742885.2691000002</v>
      </c>
      <c r="M13" s="35">
        <f>'Sch. 141D'!F11</f>
        <v>660443.23230000003</v>
      </c>
      <c r="N13" s="35">
        <f>'Sch. 141DCARB'!G11</f>
        <v>596895.33856718009</v>
      </c>
      <c r="O13" s="35">
        <f>'Sch. 141N'!G11</f>
        <v>0</v>
      </c>
      <c r="P13" s="35">
        <f>'Sch. 141R'!G11</f>
        <v>0</v>
      </c>
      <c r="Q13" s="35">
        <f>'Sch. 141R (Supp.)'!F11</f>
        <v>-313082.08590000001</v>
      </c>
      <c r="R13" s="35">
        <f>'Sch. 142'!G15</f>
        <v>-4070067.12</v>
      </c>
      <c r="S13" s="36">
        <f t="shared" si="0"/>
        <v>315327185.51679295</v>
      </c>
    </row>
    <row r="14" spans="1:19">
      <c r="A14" s="3">
        <f t="shared" si="1"/>
        <v>4</v>
      </c>
      <c r="B14" t="s">
        <v>9</v>
      </c>
      <c r="C14" s="3">
        <v>41</v>
      </c>
      <c r="D14" s="45">
        <f>'Rate Year Therms'!AE13</f>
        <v>59497852</v>
      </c>
      <c r="E14" s="35">
        <f>'Revenue by Sch_RY#1'!E14+'Rate Impacts_RY#1'!F14+'Rate Impacts_RY#2'!E14</f>
        <v>26675237.827026475</v>
      </c>
      <c r="F14" s="35">
        <f>'Sch. 101'!G21</f>
        <v>32274068.07</v>
      </c>
      <c r="G14" s="35">
        <f>'Sch. 106'!L13</f>
        <v>-11837793.470000001</v>
      </c>
      <c r="H14" s="35">
        <f>SUM('Sch. 111 Charge'!J13,'Sch. 111 Credit'!J13)</f>
        <v>6476945.1889428794</v>
      </c>
      <c r="I14" s="35">
        <f>'Sch. 120'!F12</f>
        <v>1734464.1837500001</v>
      </c>
      <c r="J14" s="35">
        <f>'Sch. 129'!G14</f>
        <v>139360.42658999999</v>
      </c>
      <c r="K14" s="35">
        <f>'Sch. 129D'!G14</f>
        <v>405412.15007999999</v>
      </c>
      <c r="L14" s="35">
        <f>'Sch. 140'!F12</f>
        <v>605705.05755999999</v>
      </c>
      <c r="M14" s="35">
        <f>'Sch. 141D'!F12</f>
        <v>132724.21580000001</v>
      </c>
      <c r="N14" s="35">
        <f>'Sch. 141DCARB'!G12</f>
        <v>64279.415246690172</v>
      </c>
      <c r="O14" s="35">
        <f>'Sch. 141N'!G12</f>
        <v>0</v>
      </c>
      <c r="P14" s="35">
        <f>'Sch. 141R'!G12</f>
        <v>0</v>
      </c>
      <c r="Q14" s="35">
        <f>'Sch. 141R (Supp.)'!F12</f>
        <v>-39817.264739999999</v>
      </c>
      <c r="R14" s="35">
        <f>'Sch. 142'!G27</f>
        <v>-2194206.69</v>
      </c>
      <c r="S14" s="36">
        <f t="shared" si="0"/>
        <v>54436379.110256061</v>
      </c>
    </row>
    <row r="15" spans="1:19">
      <c r="A15" s="3">
        <f t="shared" si="1"/>
        <v>5</v>
      </c>
      <c r="B15" t="s">
        <v>10</v>
      </c>
      <c r="C15" s="3">
        <v>85</v>
      </c>
      <c r="D15" s="45">
        <f>'Rate Year Therms'!AE14</f>
        <v>16254749</v>
      </c>
      <c r="E15" s="35">
        <f>'Revenue by Sch_RY#1'!E15+'Rate Impacts_RY#1'!F15+'Rate Impacts_RY#2'!E15</f>
        <v>3185677.4112774935</v>
      </c>
      <c r="F15" s="35">
        <f>'Sch. 101'!G26</f>
        <v>8308402.5800000001</v>
      </c>
      <c r="G15" s="35">
        <f>'Sch. 106'!L14</f>
        <v>-3138127.1</v>
      </c>
      <c r="H15" s="35">
        <f>SUM('Sch. 111 Charge'!J14,'Sch. 111 Credit'!J14)</f>
        <v>1498708.4434751938</v>
      </c>
      <c r="I15" s="35">
        <f>'Sch. 120'!F13</f>
        <v>430706.98567999998</v>
      </c>
      <c r="J15" s="35">
        <f>'Sch. 129'!G21</f>
        <v>18491.2412082509</v>
      </c>
      <c r="K15" s="35">
        <f>'Sch. 129D'!G21</f>
        <v>53904.933873632006</v>
      </c>
      <c r="L15" s="35">
        <f>'Sch. 140'!F13</f>
        <v>88174.920830000003</v>
      </c>
      <c r="M15" s="35">
        <f>'Sch. 141D'!F13</f>
        <v>30836.219950000002</v>
      </c>
      <c r="N15" s="35">
        <f>'Sch. 141DCARB'!G13</f>
        <v>7088.7318277995937</v>
      </c>
      <c r="O15" s="35">
        <f>'Sch. 141N'!G13</f>
        <v>0</v>
      </c>
      <c r="P15" s="35">
        <f>'Sch. 141R'!G13</f>
        <v>0</v>
      </c>
      <c r="Q15" s="35">
        <f>'Sch. 141R (Supp.)'!F13</f>
        <v>-6667.2908000000007</v>
      </c>
      <c r="R15" s="35"/>
      <c r="S15" s="36">
        <f t="shared" si="0"/>
        <v>10477197.077322373</v>
      </c>
    </row>
    <row r="16" spans="1:19">
      <c r="A16" s="3">
        <f t="shared" si="1"/>
        <v>6</v>
      </c>
      <c r="B16" t="s">
        <v>11</v>
      </c>
      <c r="C16" s="3">
        <v>86</v>
      </c>
      <c r="D16" s="45">
        <f>'Rate Year Therms'!AE15</f>
        <v>4539643</v>
      </c>
      <c r="E16" s="35">
        <f>'Revenue by Sch_RY#1'!E16+'Rate Impacts_RY#1'!F16+'Rate Impacts_RY#2'!E16</f>
        <v>1278970.459170531</v>
      </c>
      <c r="F16" s="35">
        <f>'Sch. 101'!G31</f>
        <v>2370858.1</v>
      </c>
      <c r="G16" s="35">
        <f>'Sch. 106'!L15</f>
        <v>-890152.3</v>
      </c>
      <c r="H16" s="35">
        <f>SUM('Sch. 111 Charge'!J15,'Sch. 111 Credit'!J15)</f>
        <v>513741.83528</v>
      </c>
      <c r="I16" s="35">
        <f>'Sch. 120'!F14</f>
        <v>121047.97095999999</v>
      </c>
      <c r="J16" s="35">
        <f>'Sch. 129'!G23</f>
        <v>8010.5274899999995</v>
      </c>
      <c r="K16" s="35">
        <f>'Sch. 129D'!G23</f>
        <v>23328.904620000001</v>
      </c>
      <c r="L16" s="35">
        <f>'Sch. 140'!F14</f>
        <v>31526.812869999998</v>
      </c>
      <c r="M16" s="35">
        <f>'Sch. 141D'!F14</f>
        <v>2295.4143100000001</v>
      </c>
      <c r="N16" s="35">
        <f>'Sch. 141DCARB'!G14</f>
        <v>4543.1926524968039</v>
      </c>
      <c r="O16" s="35">
        <f>'Sch. 141N'!G14</f>
        <v>0</v>
      </c>
      <c r="P16" s="35">
        <f>'Sch. 141R'!G14</f>
        <v>0</v>
      </c>
      <c r="Q16" s="35">
        <f>'Sch. 141R (Supp.)'!F14</f>
        <v>-1545.8912700000001</v>
      </c>
      <c r="R16" s="35">
        <f>'Sch. 142'!G43</f>
        <v>-124481.37999999999</v>
      </c>
      <c r="S16" s="36">
        <f t="shared" si="0"/>
        <v>3338143.6460830285</v>
      </c>
    </row>
    <row r="17" spans="1:20">
      <c r="A17" s="3">
        <f t="shared" si="1"/>
        <v>7</v>
      </c>
      <c r="B17" t="s">
        <v>12</v>
      </c>
      <c r="C17" s="3">
        <v>87</v>
      </c>
      <c r="D17" s="45">
        <f>'Rate Year Therms'!AE16</f>
        <v>19433452</v>
      </c>
      <c r="E17" s="35">
        <f>'Revenue by Sch_RY#1'!E17+'Rate Impacts_RY#1'!F17+'Rate Impacts_RY#2'!E17</f>
        <v>2238073.7885339186</v>
      </c>
      <c r="F17" s="35">
        <f>'Sch. 101'!G36</f>
        <v>9850569.8499999996</v>
      </c>
      <c r="G17" s="35">
        <f>'Sch. 106'!L16</f>
        <v>-3739631.17</v>
      </c>
      <c r="H17" s="35">
        <f>SUM('Sch. 111 Charge'!J16,'Sch. 111 Credit'!J16)</f>
        <v>162465.6001044687</v>
      </c>
      <c r="I17" s="35">
        <f>'Sch. 120'!F15</f>
        <v>516997.85687999998</v>
      </c>
      <c r="J17" s="35">
        <f>'Sch. 129'!G33</f>
        <v>9103.9514041258299</v>
      </c>
      <c r="K17" s="35">
        <f>'Sch. 129D'!G33</f>
        <v>26316.868747910852</v>
      </c>
      <c r="L17" s="35">
        <f>'Sch. 140'!F15</f>
        <v>75428.866890000005</v>
      </c>
      <c r="M17" s="35">
        <f>'Sch. 141D'!F23</f>
        <v>15538.485442485855</v>
      </c>
      <c r="N17" s="35">
        <f>'Sch. 141DCARB'!G15</f>
        <v>4405.8702559990497</v>
      </c>
      <c r="O17" s="35">
        <f>'Sch. 141N'!G23</f>
        <v>0</v>
      </c>
      <c r="P17" s="35">
        <f>'Sch. 141R'!G23</f>
        <v>0</v>
      </c>
      <c r="Q17" s="35">
        <f>'Sch. 141R (Supp.)'!F23</f>
        <v>-3644.8749945048048</v>
      </c>
      <c r="R17" s="35"/>
      <c r="S17" s="36">
        <f t="shared" si="0"/>
        <v>9155625.0932644028</v>
      </c>
    </row>
    <row r="18" spans="1:20">
      <c r="A18" s="3">
        <f t="shared" si="1"/>
        <v>8</v>
      </c>
      <c r="B18" t="s">
        <v>32</v>
      </c>
      <c r="C18" s="3" t="s">
        <v>33</v>
      </c>
      <c r="D18" s="45">
        <f>'Rate Year Therms'!AE17</f>
        <v>0</v>
      </c>
      <c r="E18" s="35">
        <f>'Revenue by Sch_RY#1'!E18+'Rate Impacts_RY#1'!F18+'Rate Impacts_RY#2'!E18</f>
        <v>0</v>
      </c>
      <c r="F18" s="52"/>
      <c r="G18" s="52"/>
      <c r="H18" s="35">
        <f>SUM('Sch. 111 Charge'!J17,'Sch. 111 Credit'!J17)</f>
        <v>0</v>
      </c>
      <c r="I18" s="35"/>
      <c r="J18" s="35">
        <f>'Sch. 129'!G12</f>
        <v>0</v>
      </c>
      <c r="K18" s="35">
        <f>'Sch. 129D'!G12</f>
        <v>0</v>
      </c>
      <c r="L18" s="35">
        <f>'Sch. 140'!F16</f>
        <v>0</v>
      </c>
      <c r="M18" s="35"/>
      <c r="N18" s="35">
        <f>'Sch. 141DCARB'!G16</f>
        <v>0</v>
      </c>
      <c r="O18" s="35">
        <f>'Sch. 141N'!G25</f>
        <v>0</v>
      </c>
      <c r="P18" s="35">
        <f>'Sch. 141R'!G25</f>
        <v>0</v>
      </c>
      <c r="Q18" s="35">
        <f>'Sch. 141R (Supp.)'!F25</f>
        <v>0</v>
      </c>
      <c r="R18" s="35">
        <f>'Sch. 142'!G18</f>
        <v>0</v>
      </c>
      <c r="S18" s="36">
        <f t="shared" si="0"/>
        <v>0</v>
      </c>
    </row>
    <row r="19" spans="1:20">
      <c r="A19" s="3">
        <f t="shared" si="1"/>
        <v>9</v>
      </c>
      <c r="B19" t="s">
        <v>34</v>
      </c>
      <c r="C19" s="3" t="s">
        <v>35</v>
      </c>
      <c r="D19" s="45">
        <f>'Rate Year Therms'!AE18</f>
        <v>22129566</v>
      </c>
      <c r="E19" s="35">
        <f>'Revenue by Sch_RY#1'!E19+'Rate Impacts_RY#1'!F19+'Rate Impacts_RY#2'!E19</f>
        <v>7222499.5580719626</v>
      </c>
      <c r="F19" s="52"/>
      <c r="G19" s="52"/>
      <c r="H19" s="35">
        <f>SUM('Sch. 111 Charge'!J18,'Sch. 111 Credit'!J18)</f>
        <v>2283191.3100999994</v>
      </c>
      <c r="I19" s="35"/>
      <c r="J19" s="35">
        <f>'Sch. 129'!G15</f>
        <v>50260.215389999998</v>
      </c>
      <c r="K19" s="35">
        <f>'Sch. 129D'!G15</f>
        <v>146211.53568</v>
      </c>
      <c r="L19" s="35">
        <f>'Sch. 140'!F17</f>
        <v>218446.99676000001</v>
      </c>
      <c r="M19" s="35"/>
      <c r="N19" s="35">
        <f>'Sch. 141DCARB'!G17</f>
        <v>23182.31462470079</v>
      </c>
      <c r="O19" s="35">
        <f>'Sch. 141N'!G26</f>
        <v>0</v>
      </c>
      <c r="P19" s="35">
        <f>'Sch. 141R'!G26</f>
        <v>0</v>
      </c>
      <c r="Q19" s="35">
        <f>'Sch. 141R (Supp.)'!F26</f>
        <v>-14360.061540000001</v>
      </c>
      <c r="R19" s="35">
        <f>'Sch. 142'!G35</f>
        <v>-656085.05000000005</v>
      </c>
      <c r="S19" s="36">
        <f t="shared" si="0"/>
        <v>9273346.8190866616</v>
      </c>
    </row>
    <row r="20" spans="1:20">
      <c r="A20" s="3">
        <f t="shared" si="1"/>
        <v>10</v>
      </c>
      <c r="B20" t="s">
        <v>36</v>
      </c>
      <c r="C20" s="3" t="s">
        <v>37</v>
      </c>
      <c r="D20" s="45">
        <f>'Rate Year Therms'!AE19</f>
        <v>61933295</v>
      </c>
      <c r="E20" s="35">
        <f>'Revenue by Sch_RY#1'!E20+'Rate Impacts_RY#1'!F20+'Rate Impacts_RY#2'!E20</f>
        <v>10793628.714409903</v>
      </c>
      <c r="F20" s="52"/>
      <c r="G20" s="52"/>
      <c r="H20" s="35">
        <f>SUM('Sch. 111 Charge'!J19,'Sch. 111 Credit'!J19)</f>
        <v>6243031.3552862257</v>
      </c>
      <c r="I20" s="35"/>
      <c r="J20" s="35">
        <f>'Sch. 129'!G39</f>
        <v>67947.234454920268</v>
      </c>
      <c r="K20" s="35">
        <f>'Sch. 129D'!G39</f>
        <v>198106.83592634107</v>
      </c>
      <c r="L20" s="35">
        <f>'Sch. 140'!F18</f>
        <v>331918.06644000002</v>
      </c>
      <c r="M20" s="35"/>
      <c r="N20" s="35">
        <f>'Sch. 141DCARB'!G18</f>
        <v>26684.210653630682</v>
      </c>
      <c r="O20" s="35">
        <f>'Sch. 141N'!G27</f>
        <v>0</v>
      </c>
      <c r="P20" s="35">
        <f>'Sch. 141R'!G27</f>
        <v>0</v>
      </c>
      <c r="Q20" s="35">
        <f>'Sch. 141R (Supp.)'!F27</f>
        <v>-25097.774400000002</v>
      </c>
      <c r="R20" s="35"/>
      <c r="S20" s="36">
        <f t="shared" si="0"/>
        <v>17636218.642771021</v>
      </c>
    </row>
    <row r="21" spans="1:20">
      <c r="A21" s="3">
        <f t="shared" si="1"/>
        <v>11</v>
      </c>
      <c r="B21" t="s">
        <v>38</v>
      </c>
      <c r="C21" s="3" t="s">
        <v>39</v>
      </c>
      <c r="D21" s="45">
        <f>'Rate Year Therms'!AE20</f>
        <v>1158068</v>
      </c>
      <c r="E21" s="35">
        <f>'Revenue by Sch_RY#1'!E21+'Rate Impacts_RY#1'!F21+'Rate Impacts_RY#2'!E21</f>
        <v>273896.19318574609</v>
      </c>
      <c r="F21" s="52"/>
      <c r="G21" s="52"/>
      <c r="H21" s="35">
        <f>SUM('Sch. 111 Charge'!J20,'Sch. 111 Credit'!J20)</f>
        <v>126937.93491999997</v>
      </c>
      <c r="I21" s="35"/>
      <c r="J21" s="35">
        <f>'Sch. 129'!G24</f>
        <v>2011.8611699999999</v>
      </c>
      <c r="K21" s="35">
        <f>'Sch. 129D'!G24</f>
        <v>5859.1044600000005</v>
      </c>
      <c r="L21" s="35">
        <f>'Sch. 140'!F19</f>
        <v>7918.0267100000001</v>
      </c>
      <c r="M21" s="35"/>
      <c r="N21" s="35">
        <f>'Sch. 141DCARB'!G19</f>
        <v>1141.0325845330347</v>
      </c>
      <c r="O21" s="35">
        <f>'Sch. 141N'!G28</f>
        <v>0</v>
      </c>
      <c r="P21" s="35">
        <f>'Sch. 141R'!G28</f>
        <v>0</v>
      </c>
      <c r="Q21" s="35">
        <f>'Sch. 141R (Supp.)'!F28</f>
        <v>-388.25391000000002</v>
      </c>
      <c r="R21" s="35">
        <f>'Sch. 142'!G50</f>
        <v>-27906.85</v>
      </c>
      <c r="S21" s="36">
        <f t="shared" si="0"/>
        <v>389469.04912027909</v>
      </c>
    </row>
    <row r="22" spans="1:20">
      <c r="A22" s="3">
        <f t="shared" si="1"/>
        <v>12</v>
      </c>
      <c r="B22" t="s">
        <v>40</v>
      </c>
      <c r="C22" s="3" t="s">
        <v>41</v>
      </c>
      <c r="D22" s="45">
        <f>'Rate Year Therms'!AE21</f>
        <v>65658345.720000014</v>
      </c>
      <c r="E22" s="35">
        <f>'Revenue by Sch_RY#1'!E22+'Rate Impacts_RY#1'!F22+'Rate Impacts_RY#2'!E22</f>
        <v>6436004.1001290455</v>
      </c>
      <c r="F22" s="35"/>
      <c r="G22" s="35"/>
      <c r="H22" s="35">
        <f>SUM('Sch. 111 Charge'!J21,'Sch. 111 Credit'!J21)</f>
        <v>807997.83197867917</v>
      </c>
      <c r="I22" s="35"/>
      <c r="J22" s="35">
        <f>'Sch. 129'!G48</f>
        <v>27568.04837470788</v>
      </c>
      <c r="K22" s="35">
        <f>'Sch. 129D'!G48</f>
        <v>79607.726775656716</v>
      </c>
      <c r="L22" s="35">
        <f>'Sch. 140'!F20</f>
        <v>251436.32993439998</v>
      </c>
      <c r="M22" s="35"/>
      <c r="N22" s="35">
        <f>'Sch. 141DCARB'!G20</f>
        <v>14686.629840947575</v>
      </c>
      <c r="O22" s="35">
        <f>'Sch. 141N'!G37</f>
        <v>0</v>
      </c>
      <c r="P22" s="35">
        <f>'Sch. 141R'!G37</f>
        <v>0</v>
      </c>
      <c r="Q22" s="35">
        <f>'Sch. 141R (Supp.)'!F37</f>
        <v>-10810.551032060404</v>
      </c>
      <c r="R22" s="35"/>
      <c r="S22" s="36">
        <f t="shared" si="0"/>
        <v>7606490.116001375</v>
      </c>
    </row>
    <row r="23" spans="1:20">
      <c r="A23" s="3">
        <f t="shared" si="1"/>
        <v>13</v>
      </c>
      <c r="B23" t="s">
        <v>354</v>
      </c>
      <c r="C23" s="3" t="s">
        <v>355</v>
      </c>
      <c r="D23" s="45">
        <f>'Rate Year Therms'!AE22</f>
        <v>51695658</v>
      </c>
      <c r="E23" s="35">
        <f>'Revenue by Sch_RY#1'!E23+'Rate Impacts_RY#1'!F23+'Rate Impacts_RY#2'!E23</f>
        <v>824688.76261999994</v>
      </c>
      <c r="F23" s="35"/>
      <c r="G23" s="35"/>
      <c r="H23" s="35">
        <f>SUM('Sch. 111 Charge'!J22,'Sch. 111 Credit'!J22)</f>
        <v>0</v>
      </c>
      <c r="I23" s="35"/>
      <c r="J23" s="35">
        <f>'Sch. 129'!G57</f>
        <v>9856.9802400000008</v>
      </c>
      <c r="K23" s="35">
        <f>'Sch. 129D'!G57</f>
        <v>28263.086399999997</v>
      </c>
      <c r="L23" s="35">
        <f>'Sch. 140'!F21</f>
        <v>148142.69287999999</v>
      </c>
      <c r="M23" s="35"/>
      <c r="N23" s="35">
        <f>'Sch. 141DCARB'!G21</f>
        <v>1825.6245223798917</v>
      </c>
      <c r="O23" s="35">
        <f>'Sch. 141N'!G46</f>
        <v>0</v>
      </c>
      <c r="P23" s="35">
        <f>'Sch. 141R'!G46</f>
        <v>0</v>
      </c>
      <c r="Q23" s="35">
        <f>'Sch. 141R (Supp.)'!F46</f>
        <v>-1985.9028800000001</v>
      </c>
      <c r="R23" s="35"/>
      <c r="S23" s="36">
        <f t="shared" si="0"/>
        <v>1010791.2437823799</v>
      </c>
    </row>
    <row r="24" spans="1:20">
      <c r="A24" s="3">
        <f t="shared" si="1"/>
        <v>14</v>
      </c>
      <c r="B24" t="s">
        <v>13</v>
      </c>
      <c r="C24" s="3"/>
      <c r="D24" s="45">
        <f>'Rate Year Therms'!AE23</f>
        <v>31663048</v>
      </c>
      <c r="E24" s="35">
        <f>'Revenue by Sch_RY#1'!E24+'Rate Impacts_RY#1'!F24+'Rate Impacts_RY#2'!E24</f>
        <v>1680791.7729530386</v>
      </c>
      <c r="F24" s="35"/>
      <c r="G24" s="35"/>
      <c r="H24" s="35">
        <f>SUM('Sch. 111 Charge'!J23,'Sch. 111 Credit'!J23)</f>
        <v>1401276.6008886266</v>
      </c>
      <c r="I24" s="35"/>
      <c r="J24" s="35"/>
      <c r="K24" s="35"/>
      <c r="L24" s="35">
        <f>'Sch. 140'!F22</f>
        <v>30108.56378</v>
      </c>
      <c r="M24" s="35"/>
      <c r="N24" s="35">
        <f>'Sch. 141DCARB'!G22</f>
        <v>5726.5965922074647</v>
      </c>
      <c r="O24" s="35"/>
      <c r="P24" s="35"/>
      <c r="Q24" s="35"/>
      <c r="R24" s="35"/>
      <c r="S24" s="36">
        <f t="shared" si="0"/>
        <v>3117903.5342138726</v>
      </c>
    </row>
    <row r="25" spans="1:20">
      <c r="A25" s="3">
        <f t="shared" si="1"/>
        <v>15</v>
      </c>
      <c r="B25" t="s">
        <v>6</v>
      </c>
      <c r="D25" s="10">
        <f>SUM(D11:D24)</f>
        <v>1096718278.72</v>
      </c>
      <c r="E25" s="11">
        <f>SUM(E11:E24)</f>
        <v>781019838.02733529</v>
      </c>
      <c r="F25" s="11">
        <f t="shared" ref="F25:S25" si="2">SUM(F11:F24)</f>
        <v>478678624.99000001</v>
      </c>
      <c r="G25" s="11">
        <f t="shared" si="2"/>
        <v>-174284283.23999998</v>
      </c>
      <c r="H25" s="11">
        <f t="shared" si="2"/>
        <v>79444118.974699914</v>
      </c>
      <c r="I25" s="11">
        <f t="shared" si="2"/>
        <v>24897409.66477</v>
      </c>
      <c r="J25" s="11">
        <f t="shared" si="2"/>
        <v>4381036.0127220051</v>
      </c>
      <c r="K25" s="11">
        <f t="shared" si="2"/>
        <v>12715587.093883539</v>
      </c>
      <c r="L25" s="11">
        <f t="shared" si="2"/>
        <v>19869928.139554396</v>
      </c>
      <c r="M25" s="11">
        <f t="shared" si="2"/>
        <v>2542732.3200024855</v>
      </c>
      <c r="N25" s="11">
        <f t="shared" si="2"/>
        <v>4035115.7431653915</v>
      </c>
      <c r="O25" s="11">
        <f t="shared" si="2"/>
        <v>0</v>
      </c>
      <c r="P25" s="11">
        <f t="shared" si="2"/>
        <v>0</v>
      </c>
      <c r="Q25" s="11">
        <f t="shared" si="2"/>
        <v>-1227349.833466565</v>
      </c>
      <c r="R25" s="11">
        <f t="shared" si="2"/>
        <v>-4567334.58</v>
      </c>
      <c r="S25" s="37">
        <f t="shared" si="2"/>
        <v>1227505423.3126659</v>
      </c>
      <c r="T25" s="8"/>
    </row>
    <row r="26" spans="1:20">
      <c r="A26" s="3"/>
      <c r="D26" s="14"/>
      <c r="J26" s="8"/>
      <c r="K26" s="8"/>
      <c r="R26" s="8"/>
      <c r="S26" s="8"/>
    </row>
    <row r="27" spans="1:20" s="13" customFormat="1">
      <c r="A27" s="3">
        <f>A25+1</f>
        <v>16</v>
      </c>
      <c r="B27" s="95" t="s">
        <v>150</v>
      </c>
      <c r="C27" s="15"/>
    </row>
    <row r="28" spans="1:20" s="13" customFormat="1">
      <c r="A28" s="3">
        <f t="shared" si="1"/>
        <v>17</v>
      </c>
      <c r="B28" s="12" t="s">
        <v>7</v>
      </c>
      <c r="C28" s="202" t="s">
        <v>365</v>
      </c>
      <c r="D28" s="68">
        <f>D11+D12</f>
        <v>534329348</v>
      </c>
      <c r="E28" s="68">
        <f t="shared" ref="E28:S28" si="3">E11+E12</f>
        <v>522142616.78146505</v>
      </c>
      <c r="F28" s="68">
        <f t="shared" si="3"/>
        <v>300280819.25999999</v>
      </c>
      <c r="G28" s="68">
        <f t="shared" si="3"/>
        <v>-108927459.78999999</v>
      </c>
      <c r="H28" s="68">
        <f t="shared" si="3"/>
        <v>36109874.261390097</v>
      </c>
      <c r="I28" s="68">
        <f t="shared" si="3"/>
        <v>15524039.405000001</v>
      </c>
      <c r="J28" s="68">
        <f t="shared" si="3"/>
        <v>2969777.7560000001</v>
      </c>
      <c r="K28" s="68">
        <f t="shared" si="3"/>
        <v>8617755.0883200001</v>
      </c>
      <c r="L28" s="68">
        <f t="shared" si="3"/>
        <v>12338236.535799999</v>
      </c>
      <c r="M28" s="68">
        <f t="shared" si="3"/>
        <v>1700894.7522</v>
      </c>
      <c r="N28" s="68">
        <f t="shared" ref="N28" si="4">N11+N12</f>
        <v>3284656.7857968258</v>
      </c>
      <c r="O28" s="68">
        <f t="shared" si="3"/>
        <v>0</v>
      </c>
      <c r="P28" s="68">
        <f t="shared" si="3"/>
        <v>0</v>
      </c>
      <c r="Q28" s="68">
        <f t="shared" si="3"/>
        <v>-809949.88199999998</v>
      </c>
      <c r="R28" s="68">
        <f t="shared" si="3"/>
        <v>2505412.5099999998</v>
      </c>
      <c r="S28" s="68">
        <f t="shared" si="3"/>
        <v>795736673.46397197</v>
      </c>
      <c r="T28" s="17"/>
    </row>
    <row r="29" spans="1:20" s="13" customFormat="1">
      <c r="A29" s="3">
        <f t="shared" si="1"/>
        <v>18</v>
      </c>
      <c r="B29" s="12" t="s">
        <v>48</v>
      </c>
      <c r="C29" s="202" t="s">
        <v>366</v>
      </c>
      <c r="D29" s="68">
        <f>D13+D18</f>
        <v>228425254</v>
      </c>
      <c r="E29" s="68">
        <f t="shared" ref="E29:S33" si="5">E13+E18</f>
        <v>198267752.65849203</v>
      </c>
      <c r="F29" s="68">
        <f t="shared" si="5"/>
        <v>125593907.13</v>
      </c>
      <c r="G29" s="68">
        <f t="shared" si="5"/>
        <v>-45751119.409999996</v>
      </c>
      <c r="H29" s="68">
        <f t="shared" si="5"/>
        <v>23819948.612333745</v>
      </c>
      <c r="I29" s="68">
        <f t="shared" si="5"/>
        <v>6570153.2625000002</v>
      </c>
      <c r="J29" s="68">
        <f t="shared" si="5"/>
        <v>1078647.7704</v>
      </c>
      <c r="K29" s="68">
        <f t="shared" si="5"/>
        <v>3130820.8590000002</v>
      </c>
      <c r="L29" s="68">
        <f t="shared" si="5"/>
        <v>5742885.2691000002</v>
      </c>
      <c r="M29" s="68">
        <f t="shared" si="5"/>
        <v>660443.23230000003</v>
      </c>
      <c r="N29" s="68">
        <f t="shared" ref="N29" si="6">N13+N18</f>
        <v>596895.33856718009</v>
      </c>
      <c r="O29" s="68">
        <f t="shared" si="5"/>
        <v>0</v>
      </c>
      <c r="P29" s="68">
        <f t="shared" si="5"/>
        <v>0</v>
      </c>
      <c r="Q29" s="68">
        <f t="shared" si="5"/>
        <v>-313082.08590000001</v>
      </c>
      <c r="R29" s="68">
        <f t="shared" si="5"/>
        <v>-4070067.12</v>
      </c>
      <c r="S29" s="68">
        <f t="shared" si="5"/>
        <v>315327185.51679295</v>
      </c>
    </row>
    <row r="30" spans="1:20" s="13" customFormat="1">
      <c r="A30" s="3">
        <f t="shared" si="1"/>
        <v>19</v>
      </c>
      <c r="B30" s="12" t="s">
        <v>49</v>
      </c>
      <c r="C30" s="202" t="s">
        <v>367</v>
      </c>
      <c r="D30" s="68">
        <f>D14+D19</f>
        <v>81627418</v>
      </c>
      <c r="E30" s="68">
        <f t="shared" si="5"/>
        <v>33897737.385098435</v>
      </c>
      <c r="F30" s="68">
        <f t="shared" si="5"/>
        <v>32274068.07</v>
      </c>
      <c r="G30" s="68">
        <f t="shared" si="5"/>
        <v>-11837793.470000001</v>
      </c>
      <c r="H30" s="68">
        <f t="shared" si="5"/>
        <v>8760136.4990428798</v>
      </c>
      <c r="I30" s="68">
        <f t="shared" si="5"/>
        <v>1734464.1837500001</v>
      </c>
      <c r="J30" s="68">
        <f t="shared" si="5"/>
        <v>189620.64197999999</v>
      </c>
      <c r="K30" s="68">
        <f t="shared" si="5"/>
        <v>551623.68576000002</v>
      </c>
      <c r="L30" s="68">
        <f t="shared" si="5"/>
        <v>824152.05432</v>
      </c>
      <c r="M30" s="68">
        <f t="shared" si="5"/>
        <v>132724.21580000001</v>
      </c>
      <c r="N30" s="68">
        <f t="shared" ref="N30" si="7">N14+N19</f>
        <v>87461.729871390969</v>
      </c>
      <c r="O30" s="68">
        <f t="shared" si="5"/>
        <v>0</v>
      </c>
      <c r="P30" s="68">
        <f t="shared" si="5"/>
        <v>0</v>
      </c>
      <c r="Q30" s="68">
        <f t="shared" si="5"/>
        <v>-54177.326280000001</v>
      </c>
      <c r="R30" s="68">
        <f t="shared" si="5"/>
        <v>-2850291.74</v>
      </c>
      <c r="S30" s="68">
        <f t="shared" si="5"/>
        <v>63709725.929342724</v>
      </c>
    </row>
    <row r="31" spans="1:20" s="13" customFormat="1">
      <c r="A31" s="3">
        <f t="shared" si="1"/>
        <v>20</v>
      </c>
      <c r="B31" s="12" t="s">
        <v>10</v>
      </c>
      <c r="C31" s="202" t="s">
        <v>368</v>
      </c>
      <c r="D31" s="68">
        <f>D15+D20</f>
        <v>78188044</v>
      </c>
      <c r="E31" s="68">
        <f t="shared" si="5"/>
        <v>13979306.125687396</v>
      </c>
      <c r="F31" s="68">
        <f t="shared" si="5"/>
        <v>8308402.5800000001</v>
      </c>
      <c r="G31" s="68">
        <f t="shared" si="5"/>
        <v>-3138127.1</v>
      </c>
      <c r="H31" s="68">
        <f t="shared" si="5"/>
        <v>7741739.79876142</v>
      </c>
      <c r="I31" s="68">
        <f t="shared" si="5"/>
        <v>430706.98567999998</v>
      </c>
      <c r="J31" s="68">
        <f t="shared" si="5"/>
        <v>86438.475663171164</v>
      </c>
      <c r="K31" s="68">
        <f t="shared" si="5"/>
        <v>252011.76979997306</v>
      </c>
      <c r="L31" s="68">
        <f t="shared" si="5"/>
        <v>420092.98727000004</v>
      </c>
      <c r="M31" s="68">
        <f t="shared" si="5"/>
        <v>30836.219950000002</v>
      </c>
      <c r="N31" s="68">
        <f t="shared" ref="N31" si="8">N15+N20</f>
        <v>33772.942481430277</v>
      </c>
      <c r="O31" s="68">
        <f t="shared" si="5"/>
        <v>0</v>
      </c>
      <c r="P31" s="68">
        <f t="shared" si="5"/>
        <v>0</v>
      </c>
      <c r="Q31" s="68">
        <f t="shared" si="5"/>
        <v>-31765.065200000005</v>
      </c>
      <c r="R31" s="68">
        <f t="shared" si="5"/>
        <v>0</v>
      </c>
      <c r="S31" s="68">
        <f t="shared" si="5"/>
        <v>28113415.720093392</v>
      </c>
    </row>
    <row r="32" spans="1:20" s="13" customFormat="1">
      <c r="A32" s="3">
        <f t="shared" si="1"/>
        <v>21</v>
      </c>
      <c r="B32" s="12" t="s">
        <v>371</v>
      </c>
      <c r="C32" s="202" t="s">
        <v>369</v>
      </c>
      <c r="D32" s="68">
        <f>D16+D21</f>
        <v>5697711</v>
      </c>
      <c r="E32" s="68">
        <f t="shared" si="5"/>
        <v>1552866.6523562772</v>
      </c>
      <c r="F32" s="68">
        <f t="shared" si="5"/>
        <v>2370858.1</v>
      </c>
      <c r="G32" s="68">
        <f t="shared" si="5"/>
        <v>-890152.3</v>
      </c>
      <c r="H32" s="68">
        <f t="shared" si="5"/>
        <v>640679.77019999991</v>
      </c>
      <c r="I32" s="68">
        <f t="shared" si="5"/>
        <v>121047.97095999999</v>
      </c>
      <c r="J32" s="68">
        <f t="shared" si="5"/>
        <v>10022.388659999999</v>
      </c>
      <c r="K32" s="68">
        <f t="shared" si="5"/>
        <v>29188.009080000003</v>
      </c>
      <c r="L32" s="68">
        <f t="shared" si="5"/>
        <v>39444.83958</v>
      </c>
      <c r="M32" s="68">
        <f t="shared" si="5"/>
        <v>2295.4143100000001</v>
      </c>
      <c r="N32" s="68">
        <f t="shared" ref="N32" si="9">N16+N21</f>
        <v>5684.2252370298384</v>
      </c>
      <c r="O32" s="68">
        <f t="shared" si="5"/>
        <v>0</v>
      </c>
      <c r="P32" s="68">
        <f t="shared" si="5"/>
        <v>0</v>
      </c>
      <c r="Q32" s="68">
        <f t="shared" si="5"/>
        <v>-1934.14518</v>
      </c>
      <c r="R32" s="68">
        <f t="shared" si="5"/>
        <v>-152388.22999999998</v>
      </c>
      <c r="S32" s="68">
        <f t="shared" si="5"/>
        <v>3727612.6952033076</v>
      </c>
    </row>
    <row r="33" spans="1:19" s="13" customFormat="1">
      <c r="A33" s="3">
        <f t="shared" si="1"/>
        <v>22</v>
      </c>
      <c r="B33" s="12" t="s">
        <v>372</v>
      </c>
      <c r="C33" s="202" t="s">
        <v>370</v>
      </c>
      <c r="D33" s="68">
        <f>D17+D22</f>
        <v>85091797.720000014</v>
      </c>
      <c r="E33" s="68">
        <f t="shared" si="5"/>
        <v>8674077.8886629641</v>
      </c>
      <c r="F33" s="68">
        <f t="shared" si="5"/>
        <v>9850569.8499999996</v>
      </c>
      <c r="G33" s="68">
        <f t="shared" si="5"/>
        <v>-3739631.17</v>
      </c>
      <c r="H33" s="68">
        <f t="shared" si="5"/>
        <v>970463.43208314781</v>
      </c>
      <c r="I33" s="68">
        <f t="shared" si="5"/>
        <v>516997.85687999998</v>
      </c>
      <c r="J33" s="68">
        <f t="shared" si="5"/>
        <v>36671.999778833706</v>
      </c>
      <c r="K33" s="68">
        <f t="shared" si="5"/>
        <v>105924.59552356756</v>
      </c>
      <c r="L33" s="68">
        <f t="shared" si="5"/>
        <v>326865.19682439999</v>
      </c>
      <c r="M33" s="68">
        <f t="shared" si="5"/>
        <v>15538.485442485855</v>
      </c>
      <c r="N33" s="68">
        <f t="shared" ref="N33" si="10">N17+N22</f>
        <v>19092.500096946624</v>
      </c>
      <c r="O33" s="68">
        <f t="shared" si="5"/>
        <v>0</v>
      </c>
      <c r="P33" s="68">
        <f t="shared" si="5"/>
        <v>0</v>
      </c>
      <c r="Q33" s="68">
        <f t="shared" si="5"/>
        <v>-14455.426026565208</v>
      </c>
      <c r="R33" s="68">
        <f t="shared" si="5"/>
        <v>0</v>
      </c>
      <c r="S33" s="68">
        <f t="shared" si="5"/>
        <v>16762115.209265778</v>
      </c>
    </row>
    <row r="34" spans="1:19" s="13" customFormat="1">
      <c r="A34" s="3">
        <f t="shared" si="1"/>
        <v>23</v>
      </c>
      <c r="B34" s="12" t="s">
        <v>373</v>
      </c>
      <c r="C34" s="202" t="s">
        <v>355</v>
      </c>
      <c r="D34" s="68">
        <f>D23</f>
        <v>51695658</v>
      </c>
      <c r="E34" s="68">
        <f t="shared" ref="E34:S35" si="11">E23</f>
        <v>824688.76261999994</v>
      </c>
      <c r="F34" s="68">
        <f t="shared" si="11"/>
        <v>0</v>
      </c>
      <c r="G34" s="68">
        <f t="shared" si="11"/>
        <v>0</v>
      </c>
      <c r="H34" s="68">
        <f t="shared" si="11"/>
        <v>0</v>
      </c>
      <c r="I34" s="68">
        <f t="shared" si="11"/>
        <v>0</v>
      </c>
      <c r="J34" s="68">
        <f t="shared" si="11"/>
        <v>9856.9802400000008</v>
      </c>
      <c r="K34" s="68">
        <f t="shared" si="11"/>
        <v>28263.086399999997</v>
      </c>
      <c r="L34" s="68">
        <f t="shared" si="11"/>
        <v>148142.69287999999</v>
      </c>
      <c r="M34" s="68">
        <f t="shared" si="11"/>
        <v>0</v>
      </c>
      <c r="N34" s="68">
        <f t="shared" ref="N34" si="12">N23</f>
        <v>1825.6245223798917</v>
      </c>
      <c r="O34" s="68">
        <f t="shared" si="11"/>
        <v>0</v>
      </c>
      <c r="P34" s="68">
        <f t="shared" si="11"/>
        <v>0</v>
      </c>
      <c r="Q34" s="68">
        <f t="shared" si="11"/>
        <v>-1985.9028800000001</v>
      </c>
      <c r="R34" s="68">
        <f t="shared" si="11"/>
        <v>0</v>
      </c>
      <c r="S34" s="68">
        <f t="shared" si="11"/>
        <v>1010791.2437823799</v>
      </c>
    </row>
    <row r="35" spans="1:19" s="13" customFormat="1">
      <c r="A35" s="3">
        <f t="shared" si="1"/>
        <v>24</v>
      </c>
      <c r="B35" s="12" t="s">
        <v>13</v>
      </c>
      <c r="C35" s="202"/>
      <c r="D35" s="68">
        <f>D24</f>
        <v>31663048</v>
      </c>
      <c r="E35" s="68">
        <f t="shared" si="11"/>
        <v>1680791.7729530386</v>
      </c>
      <c r="F35" s="68">
        <f t="shared" si="11"/>
        <v>0</v>
      </c>
      <c r="G35" s="68">
        <f t="shared" si="11"/>
        <v>0</v>
      </c>
      <c r="H35" s="68">
        <f t="shared" si="11"/>
        <v>1401276.6008886266</v>
      </c>
      <c r="I35" s="68">
        <f t="shared" si="11"/>
        <v>0</v>
      </c>
      <c r="J35" s="68">
        <f t="shared" si="11"/>
        <v>0</v>
      </c>
      <c r="K35" s="68">
        <f t="shared" si="11"/>
        <v>0</v>
      </c>
      <c r="L35" s="68">
        <f t="shared" si="11"/>
        <v>30108.56378</v>
      </c>
      <c r="M35" s="68">
        <f t="shared" si="11"/>
        <v>0</v>
      </c>
      <c r="N35" s="68">
        <f t="shared" ref="N35" si="13">N24</f>
        <v>5726.5965922074647</v>
      </c>
      <c r="O35" s="68">
        <f t="shared" si="11"/>
        <v>0</v>
      </c>
      <c r="P35" s="68">
        <f t="shared" si="11"/>
        <v>0</v>
      </c>
      <c r="Q35" s="68">
        <f t="shared" si="11"/>
        <v>0</v>
      </c>
      <c r="R35" s="68">
        <f t="shared" si="11"/>
        <v>0</v>
      </c>
      <c r="S35" s="68">
        <f t="shared" si="11"/>
        <v>3117903.5342138726</v>
      </c>
    </row>
    <row r="36" spans="1:19" s="13" customFormat="1">
      <c r="A36" s="3">
        <f t="shared" si="1"/>
        <v>25</v>
      </c>
      <c r="B36" s="12" t="s">
        <v>6</v>
      </c>
      <c r="C36" s="12"/>
      <c r="D36" s="134">
        <f>SUM(D28:D35)</f>
        <v>1096718278.72</v>
      </c>
      <c r="E36" s="18">
        <f>SUM(E28:E35)</f>
        <v>781019838.02733517</v>
      </c>
      <c r="F36" s="18">
        <f t="shared" ref="F36:R36" si="14">SUM(F28:F35)</f>
        <v>478678624.99000001</v>
      </c>
      <c r="G36" s="18">
        <f t="shared" si="14"/>
        <v>-174284283.23999998</v>
      </c>
      <c r="H36" s="18">
        <f t="shared" si="14"/>
        <v>79444118.9746999</v>
      </c>
      <c r="I36" s="18">
        <f t="shared" si="14"/>
        <v>24897409.66477</v>
      </c>
      <c r="J36" s="18">
        <f t="shared" si="14"/>
        <v>4381036.0127220042</v>
      </c>
      <c r="K36" s="18">
        <f t="shared" si="14"/>
        <v>12715587.093883542</v>
      </c>
      <c r="L36" s="18">
        <f t="shared" si="14"/>
        <v>19869928.1395544</v>
      </c>
      <c r="M36" s="18">
        <f t="shared" si="14"/>
        <v>2542732.3200024855</v>
      </c>
      <c r="N36" s="18">
        <f t="shared" ref="N36" si="15">SUM(N28:N35)</f>
        <v>4035115.743165391</v>
      </c>
      <c r="O36" s="18">
        <f t="shared" si="14"/>
        <v>0</v>
      </c>
      <c r="P36" s="18">
        <f t="shared" si="14"/>
        <v>0</v>
      </c>
      <c r="Q36" s="18">
        <f t="shared" si="14"/>
        <v>-1227349.8334665652</v>
      </c>
      <c r="R36" s="18">
        <f t="shared" si="14"/>
        <v>-4567334.58</v>
      </c>
      <c r="S36" s="18">
        <f>SUM(S28:S35)</f>
        <v>1227505423.3126662</v>
      </c>
    </row>
    <row r="37" spans="1:19" s="13" customFormat="1"/>
    <row r="38" spans="1:19" ht="17.25">
      <c r="B38" t="s">
        <v>386</v>
      </c>
      <c r="E38" s="38"/>
      <c r="J38" s="14"/>
      <c r="K38" s="14"/>
      <c r="R38" s="14"/>
      <c r="S38" s="14"/>
    </row>
    <row r="39" spans="1:19" ht="17.25">
      <c r="B39" t="s">
        <v>387</v>
      </c>
    </row>
  </sheetData>
  <mergeCells count="4">
    <mergeCell ref="B1:S1"/>
    <mergeCell ref="B2:S2"/>
    <mergeCell ref="B3:S3"/>
    <mergeCell ref="B4:S4"/>
  </mergeCells>
  <printOptions horizontalCentered="1"/>
  <pageMargins left="0.45" right="0.45" top="0.75" bottom="0.75" header="0.3" footer="0.3"/>
  <pageSetup paperSize="5" scale="63" orientation="landscape" blackAndWhite="1" r:id="rId1"/>
  <headerFooter>
    <oddFooter>&amp;L&amp;F 
&amp;A&amp;C&amp;P&amp;R&amp;D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42"/>
  <sheetViews>
    <sheetView zoomScale="90" zoomScaleNormal="90" workbookViewId="0">
      <pane ySplit="8" topLeftCell="A9" activePane="bottomLeft" state="frozen"/>
      <selection activeCell="C41" sqref="C41"/>
      <selection pane="bottomLeft" activeCell="C41" sqref="C41"/>
    </sheetView>
  </sheetViews>
  <sheetFormatPr defaultColWidth="8.7109375" defaultRowHeight="15"/>
  <cols>
    <col min="1" max="1" width="3.28515625" customWidth="1"/>
    <col min="2" max="2" width="38.7109375" customWidth="1"/>
    <col min="3" max="3" width="9.140625" bestFit="1" customWidth="1"/>
    <col min="4" max="4" width="18.5703125" bestFit="1" customWidth="1"/>
    <col min="5" max="6" width="13.7109375" customWidth="1"/>
    <col min="7" max="9" width="14.42578125" customWidth="1"/>
    <col min="10" max="10" width="7.85546875" bestFit="1" customWidth="1"/>
    <col min="12" max="12" width="12.28515625" bestFit="1" customWidth="1"/>
  </cols>
  <sheetData>
    <row r="1" spans="1:12" s="41" customFormat="1" ht="15" customHeigh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40"/>
    </row>
    <row r="2" spans="1:12" s="41" customFormat="1" ht="15" customHeight="1">
      <c r="A2" s="259" t="s">
        <v>138</v>
      </c>
      <c r="B2" s="259"/>
      <c r="C2" s="259"/>
      <c r="D2" s="259"/>
      <c r="E2" s="259"/>
      <c r="F2" s="259"/>
      <c r="G2" s="259"/>
      <c r="H2" s="259"/>
      <c r="I2" s="259"/>
      <c r="J2" s="259"/>
      <c r="K2" s="40"/>
    </row>
    <row r="3" spans="1:12" s="41" customFormat="1" ht="15" customHeight="1">
      <c r="A3" s="259" t="s">
        <v>139</v>
      </c>
      <c r="B3" s="259"/>
      <c r="C3" s="259"/>
      <c r="D3" s="259"/>
      <c r="E3" s="259"/>
      <c r="F3" s="259"/>
      <c r="G3" s="259"/>
      <c r="H3" s="259"/>
      <c r="I3" s="259"/>
      <c r="J3" s="259"/>
      <c r="K3" s="40"/>
    </row>
    <row r="4" spans="1:12" s="41" customFormat="1" ht="15" customHeight="1">
      <c r="A4" s="258" t="s">
        <v>309</v>
      </c>
      <c r="B4" s="258"/>
      <c r="C4" s="258"/>
      <c r="D4" s="258"/>
      <c r="E4" s="258"/>
      <c r="F4" s="258"/>
      <c r="G4" s="258"/>
      <c r="H4" s="258"/>
      <c r="I4" s="258"/>
      <c r="J4" s="258"/>
      <c r="K4" s="40"/>
    </row>
    <row r="5" spans="1:12">
      <c r="E5" s="3"/>
      <c r="F5" s="3"/>
    </row>
    <row r="6" spans="1:12">
      <c r="B6" s="3"/>
      <c r="C6" s="3"/>
      <c r="D6" s="3" t="s">
        <v>15</v>
      </c>
      <c r="E6" s="3" t="s">
        <v>5</v>
      </c>
      <c r="F6" s="3" t="s">
        <v>1</v>
      </c>
      <c r="G6" s="3" t="s">
        <v>15</v>
      </c>
      <c r="H6" s="3" t="s">
        <v>15</v>
      </c>
      <c r="I6" s="3" t="s">
        <v>18</v>
      </c>
      <c r="J6" s="3"/>
    </row>
    <row r="7" spans="1:12">
      <c r="B7" s="3"/>
      <c r="C7" s="3"/>
      <c r="D7" s="3" t="s">
        <v>3</v>
      </c>
      <c r="E7" s="3" t="s">
        <v>18</v>
      </c>
      <c r="F7" s="3" t="s">
        <v>18</v>
      </c>
      <c r="G7" s="3" t="s">
        <v>2</v>
      </c>
      <c r="H7" s="3" t="s">
        <v>2</v>
      </c>
      <c r="I7" s="3" t="s">
        <v>2</v>
      </c>
      <c r="J7" s="3" t="s">
        <v>20</v>
      </c>
    </row>
    <row r="8" spans="1:12">
      <c r="A8" s="69"/>
      <c r="B8" s="65" t="s">
        <v>104</v>
      </c>
      <c r="C8" s="65" t="s">
        <v>112</v>
      </c>
      <c r="D8" s="66" t="s">
        <v>205</v>
      </c>
      <c r="E8" s="73" t="s">
        <v>22</v>
      </c>
      <c r="F8" s="73" t="s">
        <v>22</v>
      </c>
      <c r="G8" s="73" t="s">
        <v>23</v>
      </c>
      <c r="H8" s="73" t="s">
        <v>124</v>
      </c>
      <c r="I8" s="97" t="s">
        <v>24</v>
      </c>
      <c r="J8" s="73" t="s">
        <v>24</v>
      </c>
    </row>
    <row r="9" spans="1:12">
      <c r="A9" s="43" t="s">
        <v>105</v>
      </c>
      <c r="B9" s="41"/>
      <c r="C9" s="43"/>
      <c r="D9" s="3"/>
      <c r="E9" s="3"/>
      <c r="F9" s="3"/>
      <c r="G9" s="4"/>
      <c r="H9" s="4"/>
      <c r="I9" s="3"/>
      <c r="J9" s="3"/>
    </row>
    <row r="10" spans="1:12">
      <c r="A10" s="41"/>
      <c r="B10" s="41" t="s">
        <v>113</v>
      </c>
      <c r="C10" s="41" t="s">
        <v>114</v>
      </c>
      <c r="D10" s="45">
        <f>'Rate Year Therms'!P10</f>
        <v>539959592</v>
      </c>
      <c r="E10" s="7">
        <v>0.55610999999999999</v>
      </c>
      <c r="F10" s="7">
        <v>0.55610999999999999</v>
      </c>
      <c r="G10" s="36">
        <f>ROUND(E10*D10,2)</f>
        <v>300276928.70999998</v>
      </c>
      <c r="H10" s="36">
        <f>ROUND(F10*D10,2)</f>
        <v>300276928.70999998</v>
      </c>
      <c r="I10" s="8">
        <f>H10-G10</f>
        <v>0</v>
      </c>
      <c r="J10" s="1">
        <f>I10/G10</f>
        <v>0</v>
      </c>
      <c r="L10" s="8"/>
    </row>
    <row r="11" spans="1:12">
      <c r="A11" s="41"/>
      <c r="B11" s="44"/>
      <c r="C11" s="44"/>
      <c r="D11" s="45"/>
      <c r="E11" s="7"/>
      <c r="F11" s="7"/>
      <c r="G11" s="36"/>
      <c r="H11" s="36"/>
      <c r="I11" s="8"/>
      <c r="J11" s="1"/>
    </row>
    <row r="12" spans="1:12">
      <c r="A12" s="43" t="s">
        <v>106</v>
      </c>
      <c r="B12" s="41"/>
      <c r="C12" s="43"/>
      <c r="D12" s="45"/>
      <c r="E12" s="7"/>
      <c r="F12" s="7"/>
      <c r="G12" s="36"/>
      <c r="H12" s="36"/>
      <c r="I12" s="8"/>
      <c r="J12" s="1"/>
    </row>
    <row r="13" spans="1:12">
      <c r="A13" s="41"/>
      <c r="B13" s="41" t="s">
        <v>113</v>
      </c>
      <c r="C13" s="47" t="s">
        <v>114</v>
      </c>
      <c r="D13" s="45">
        <f>'Rate Year Therms'!P9</f>
        <v>6996</v>
      </c>
      <c r="E13" s="7">
        <v>0.55610999999999999</v>
      </c>
      <c r="F13" s="7">
        <v>0.55610999999999999</v>
      </c>
      <c r="G13" s="36">
        <f>ROUND(E13*D13,2)</f>
        <v>3890.55</v>
      </c>
      <c r="H13" s="36">
        <f>ROUND(F13*D13,2)</f>
        <v>3890.55</v>
      </c>
      <c r="I13" s="8">
        <f>H13-G13</f>
        <v>0</v>
      </c>
      <c r="J13" s="1">
        <f>I13/G13</f>
        <v>0</v>
      </c>
      <c r="L13" s="8"/>
    </row>
    <row r="14" spans="1:12">
      <c r="A14" s="41"/>
      <c r="B14" s="41"/>
      <c r="C14" s="41"/>
      <c r="D14" s="70"/>
      <c r="E14" s="7"/>
      <c r="F14" s="7"/>
      <c r="G14" s="36"/>
      <c r="H14" s="36"/>
      <c r="I14" s="8"/>
      <c r="J14" s="1"/>
    </row>
    <row r="15" spans="1:12">
      <c r="A15" s="43" t="s">
        <v>107</v>
      </c>
      <c r="B15" s="41"/>
      <c r="C15" s="44"/>
      <c r="D15" s="70"/>
      <c r="E15" s="7"/>
      <c r="F15" s="7"/>
      <c r="G15" s="36"/>
      <c r="H15" s="36"/>
      <c r="I15" s="8"/>
      <c r="J15" s="1"/>
    </row>
    <row r="16" spans="1:12">
      <c r="A16" s="41"/>
      <c r="B16" s="41" t="s">
        <v>113</v>
      </c>
      <c r="C16" s="41" t="s">
        <v>114</v>
      </c>
      <c r="D16" s="45">
        <f>'Rate Year Therms'!P12</f>
        <v>228527070</v>
      </c>
      <c r="E16" s="7">
        <v>0.54957999999999996</v>
      </c>
      <c r="F16" s="7">
        <v>0.54957999999999996</v>
      </c>
      <c r="G16" s="36">
        <f>ROUND(E16*D16,2)</f>
        <v>125593907.13</v>
      </c>
      <c r="H16" s="36">
        <f>ROUND(F16*D16,2)</f>
        <v>125593907.13</v>
      </c>
      <c r="I16" s="8">
        <f>H16-G16</f>
        <v>0</v>
      </c>
      <c r="J16" s="1">
        <f>I16/G16</f>
        <v>0</v>
      </c>
      <c r="L16" s="8"/>
    </row>
    <row r="17" spans="1:13">
      <c r="A17" s="41"/>
      <c r="B17" s="41"/>
      <c r="C17" s="41"/>
      <c r="D17" s="70"/>
      <c r="E17" s="7"/>
      <c r="F17" s="7"/>
      <c r="G17" s="36"/>
      <c r="H17" s="36"/>
      <c r="I17" s="8"/>
      <c r="J17" s="1"/>
    </row>
    <row r="18" spans="1:13">
      <c r="A18" s="43" t="s">
        <v>108</v>
      </c>
      <c r="B18" s="41"/>
      <c r="C18" s="44"/>
      <c r="D18" s="70"/>
      <c r="E18" s="7"/>
      <c r="F18" s="7"/>
      <c r="G18" s="36"/>
      <c r="H18" s="36"/>
      <c r="I18" s="8"/>
      <c r="J18" s="1"/>
    </row>
    <row r="19" spans="1:13">
      <c r="A19" s="41"/>
      <c r="B19" s="41" t="s">
        <v>51</v>
      </c>
      <c r="C19" s="41" t="s">
        <v>114</v>
      </c>
      <c r="D19" s="45">
        <f>'Rate Year Therms'!P13</f>
        <v>60329189</v>
      </c>
      <c r="E19" s="7">
        <v>0.44874000000000003</v>
      </c>
      <c r="F19" s="7">
        <v>0.44874000000000003</v>
      </c>
      <c r="G19" s="36">
        <f t="shared" ref="G19:G20" si="0">ROUND(E19*D19,2)</f>
        <v>27072120.27</v>
      </c>
      <c r="H19" s="36">
        <f t="shared" ref="H19:H20" si="1">ROUND(F19*D19,2)</f>
        <v>27072120.27</v>
      </c>
      <c r="I19" s="8">
        <f t="shared" ref="I19:I20" si="2">H19-G19</f>
        <v>0</v>
      </c>
      <c r="J19" s="1">
        <f t="shared" ref="J19:J20" si="3">I19/G19</f>
        <v>0</v>
      </c>
    </row>
    <row r="20" spans="1:13">
      <c r="A20" s="41"/>
      <c r="B20" s="41" t="s">
        <v>50</v>
      </c>
      <c r="C20" s="41" t="s">
        <v>102</v>
      </c>
      <c r="D20" s="45">
        <f>'RY#1 Bills &amp; Demand'!N12</f>
        <v>4954236</v>
      </c>
      <c r="E20" s="71">
        <v>1.05</v>
      </c>
      <c r="F20" s="71">
        <v>1.05</v>
      </c>
      <c r="G20" s="36">
        <f t="shared" si="0"/>
        <v>5201947.8</v>
      </c>
      <c r="H20" s="36">
        <f t="shared" si="1"/>
        <v>5201947.8</v>
      </c>
      <c r="I20" s="8">
        <f t="shared" si="2"/>
        <v>0</v>
      </c>
      <c r="J20" s="1">
        <f t="shared" si="3"/>
        <v>0</v>
      </c>
    </row>
    <row r="21" spans="1:13">
      <c r="A21" s="41"/>
      <c r="B21" s="41" t="s">
        <v>6</v>
      </c>
      <c r="C21" s="41"/>
      <c r="D21" s="70"/>
      <c r="E21" s="7"/>
      <c r="F21" s="7"/>
      <c r="G21" s="37">
        <f>SUM(G19:G20)</f>
        <v>32274068.07</v>
      </c>
      <c r="H21" s="37">
        <f t="shared" ref="H21:I21" si="4">SUM(H19:H20)</f>
        <v>32274068.07</v>
      </c>
      <c r="I21" s="37">
        <f t="shared" si="4"/>
        <v>0</v>
      </c>
      <c r="J21" s="2">
        <f>I21/G21</f>
        <v>0</v>
      </c>
      <c r="L21" s="8"/>
    </row>
    <row r="22" spans="1:13">
      <c r="A22" s="41"/>
      <c r="B22" s="41"/>
      <c r="C22" s="41"/>
      <c r="D22" s="70"/>
      <c r="E22" s="7"/>
      <c r="F22" s="7"/>
      <c r="G22" s="36"/>
      <c r="H22" s="36"/>
      <c r="I22" s="8"/>
      <c r="J22" s="1"/>
      <c r="L22" s="8"/>
    </row>
    <row r="23" spans="1:13">
      <c r="A23" s="43" t="s">
        <v>109</v>
      </c>
      <c r="B23" s="41"/>
      <c r="C23" s="44"/>
      <c r="D23" s="70"/>
      <c r="E23" s="6"/>
      <c r="F23" s="7"/>
      <c r="G23" s="36"/>
      <c r="H23" s="36"/>
      <c r="I23" s="8"/>
      <c r="J23" s="1"/>
    </row>
    <row r="24" spans="1:13" s="41" customFormat="1">
      <c r="B24" s="41" t="s">
        <v>51</v>
      </c>
      <c r="C24" s="41" t="s">
        <v>114</v>
      </c>
      <c r="D24" s="45">
        <f>'Rate Year Therms'!P14</f>
        <v>16668227</v>
      </c>
      <c r="E24" s="7">
        <v>0.49014000000000002</v>
      </c>
      <c r="F24" s="7">
        <v>0.49014000000000002</v>
      </c>
      <c r="G24" s="36">
        <f t="shared" ref="G24:G25" si="5">ROUND(E24*D24,2)</f>
        <v>8169764.7800000003</v>
      </c>
      <c r="H24" s="36">
        <f t="shared" ref="H24:H25" si="6">ROUND(F24*D24,2)</f>
        <v>8169764.7800000003</v>
      </c>
      <c r="I24" s="8">
        <f t="shared" ref="I24:I25" si="7">H24-G24</f>
        <v>0</v>
      </c>
      <c r="J24" s="1">
        <f t="shared" ref="J24:J25" si="8">I24/G24</f>
        <v>0</v>
      </c>
    </row>
    <row r="25" spans="1:13" s="41" customFormat="1">
      <c r="B25" s="41" t="s">
        <v>50</v>
      </c>
      <c r="C25" s="41" t="s">
        <v>102</v>
      </c>
      <c r="D25" s="45">
        <f>'RY#1 Bills &amp; Demand'!N14</f>
        <v>132036</v>
      </c>
      <c r="E25" s="71">
        <v>1.05</v>
      </c>
      <c r="F25" s="71">
        <v>1.05</v>
      </c>
      <c r="G25" s="36">
        <f t="shared" si="5"/>
        <v>138637.79999999999</v>
      </c>
      <c r="H25" s="36">
        <f t="shared" si="6"/>
        <v>138637.79999999999</v>
      </c>
      <c r="I25" s="8">
        <f t="shared" si="7"/>
        <v>0</v>
      </c>
      <c r="J25" s="1">
        <f t="shared" si="8"/>
        <v>0</v>
      </c>
      <c r="K25" s="61"/>
      <c r="L25" s="107"/>
      <c r="M25" s="107"/>
    </row>
    <row r="26" spans="1:13" s="41" customFormat="1">
      <c r="B26" s="44" t="s">
        <v>6</v>
      </c>
      <c r="C26" s="44"/>
      <c r="D26" s="70"/>
      <c r="F26" s="53"/>
      <c r="G26" s="37">
        <f>SUM(G24:G25)</f>
        <v>8308402.5800000001</v>
      </c>
      <c r="H26" s="37">
        <f t="shared" ref="H26:I26" si="9">SUM(H24:H25)</f>
        <v>8308402.5800000001</v>
      </c>
      <c r="I26" s="37">
        <f t="shared" si="9"/>
        <v>0</v>
      </c>
      <c r="J26" s="2">
        <f>I26/G26</f>
        <v>0</v>
      </c>
      <c r="K26" s="61"/>
      <c r="L26" s="36"/>
    </row>
    <row r="27" spans="1:13" s="41" customFormat="1">
      <c r="B27" s="44"/>
      <c r="C27" s="44"/>
      <c r="D27" s="70"/>
      <c r="F27" s="53"/>
      <c r="G27" s="36"/>
      <c r="H27" s="36"/>
      <c r="I27" s="8"/>
      <c r="J27" s="1"/>
      <c r="K27" s="61"/>
      <c r="L27" s="36"/>
    </row>
    <row r="28" spans="1:13">
      <c r="A28" s="43" t="s">
        <v>110</v>
      </c>
      <c r="B28" s="41"/>
      <c r="C28" s="44"/>
      <c r="D28" s="70"/>
      <c r="F28" s="53"/>
      <c r="G28" s="8"/>
      <c r="H28" s="8"/>
      <c r="I28" s="8"/>
    </row>
    <row r="29" spans="1:13">
      <c r="A29" s="41"/>
      <c r="B29" s="41" t="s">
        <v>51</v>
      </c>
      <c r="C29" s="41" t="s">
        <v>114</v>
      </c>
      <c r="D29" s="45">
        <f>'Rate Year Therms'!P15</f>
        <v>4684519</v>
      </c>
      <c r="E29" s="7">
        <v>0.49845</v>
      </c>
      <c r="F29" s="7">
        <v>0.49845</v>
      </c>
      <c r="G29" s="36">
        <f t="shared" ref="G29:G30" si="10">ROUND(E29*D29,2)</f>
        <v>2334998.5</v>
      </c>
      <c r="H29" s="36">
        <f t="shared" ref="H29:H30" si="11">ROUND(F29*D29,2)</f>
        <v>2334998.5</v>
      </c>
      <c r="I29" s="8">
        <f t="shared" ref="I29:I30" si="12">H29-G29</f>
        <v>0</v>
      </c>
      <c r="J29" s="1">
        <f t="shared" ref="J29:J30" si="13">I29/G29</f>
        <v>0</v>
      </c>
    </row>
    <row r="30" spans="1:13">
      <c r="A30" s="41"/>
      <c r="B30" s="41" t="s">
        <v>50</v>
      </c>
      <c r="C30" s="41" t="s">
        <v>102</v>
      </c>
      <c r="D30" s="45">
        <f>'RY#1 Bills &amp; Demand'!N16</f>
        <v>34152</v>
      </c>
      <c r="E30" s="71">
        <v>1.05</v>
      </c>
      <c r="F30" s="71">
        <v>1.05</v>
      </c>
      <c r="G30" s="36">
        <f t="shared" si="10"/>
        <v>35859.599999999999</v>
      </c>
      <c r="H30" s="36">
        <f t="shared" si="11"/>
        <v>35859.599999999999</v>
      </c>
      <c r="I30" s="8">
        <f t="shared" si="12"/>
        <v>0</v>
      </c>
      <c r="J30" s="1">
        <f t="shared" si="13"/>
        <v>0</v>
      </c>
    </row>
    <row r="31" spans="1:13">
      <c r="A31" s="41"/>
      <c r="B31" s="44" t="s">
        <v>6</v>
      </c>
      <c r="C31" s="44"/>
      <c r="D31" s="70"/>
      <c r="F31" s="53"/>
      <c r="G31" s="37">
        <f>SUM(G29:G30)</f>
        <v>2370858.1</v>
      </c>
      <c r="H31" s="37">
        <f t="shared" ref="H31:I31" si="14">SUM(H29:H30)</f>
        <v>2370858.1</v>
      </c>
      <c r="I31" s="37">
        <f t="shared" si="14"/>
        <v>0</v>
      </c>
      <c r="J31" s="2">
        <f>I31/G31</f>
        <v>0</v>
      </c>
      <c r="L31" s="8"/>
    </row>
    <row r="32" spans="1:13">
      <c r="A32" s="41"/>
      <c r="B32" s="44"/>
      <c r="C32" s="44"/>
      <c r="D32" s="70"/>
      <c r="F32" s="53"/>
      <c r="G32" s="36"/>
      <c r="H32" s="36"/>
      <c r="I32" s="8"/>
      <c r="J32" s="1"/>
      <c r="L32" s="8"/>
    </row>
    <row r="33" spans="1:12">
      <c r="A33" s="43" t="s">
        <v>111</v>
      </c>
      <c r="B33" s="41"/>
      <c r="C33" s="44"/>
      <c r="D33" s="70"/>
      <c r="F33" s="53"/>
      <c r="I33" s="8"/>
    </row>
    <row r="34" spans="1:12">
      <c r="A34" s="41"/>
      <c r="B34" s="41" t="s">
        <v>51</v>
      </c>
      <c r="C34" s="41" t="s">
        <v>114</v>
      </c>
      <c r="D34" s="45">
        <f>'Rate Year Therms'!P16</f>
        <v>20007657</v>
      </c>
      <c r="E34" s="7">
        <v>0.49234</v>
      </c>
      <c r="F34" s="7">
        <v>0.49234</v>
      </c>
      <c r="G34" s="36">
        <f t="shared" ref="G34:G35" si="15">ROUND(E34*D34,2)</f>
        <v>9850569.8499999996</v>
      </c>
      <c r="H34" s="36">
        <f t="shared" ref="H34:H35" si="16">ROUND(F34*D34,2)</f>
        <v>9850569.8499999996</v>
      </c>
      <c r="I34" s="8">
        <f t="shared" ref="I34:I35" si="17">H34-G34</f>
        <v>0</v>
      </c>
      <c r="J34" s="1">
        <f t="shared" ref="J34" si="18">I34/G34</f>
        <v>0</v>
      </c>
    </row>
    <row r="35" spans="1:12">
      <c r="A35" s="41"/>
      <c r="B35" s="41" t="s">
        <v>50</v>
      </c>
      <c r="C35" s="41" t="s">
        <v>102</v>
      </c>
      <c r="D35" s="70">
        <f>'RY#1 Bills &amp; Demand'!N18</f>
        <v>0</v>
      </c>
      <c r="E35" s="71">
        <v>1.05</v>
      </c>
      <c r="F35" s="71">
        <v>1.05</v>
      </c>
      <c r="G35" s="36">
        <f t="shared" si="15"/>
        <v>0</v>
      </c>
      <c r="H35" s="36">
        <f t="shared" si="16"/>
        <v>0</v>
      </c>
      <c r="I35" s="8">
        <f t="shared" si="17"/>
        <v>0</v>
      </c>
      <c r="J35" s="1" t="e">
        <f>I35/G35</f>
        <v>#DIV/0!</v>
      </c>
    </row>
    <row r="36" spans="1:12">
      <c r="B36" s="41" t="s">
        <v>6</v>
      </c>
      <c r="D36" s="70"/>
      <c r="G36" s="37">
        <f>SUM(G34:G35)</f>
        <v>9850569.8499999996</v>
      </c>
      <c r="H36" s="37">
        <f t="shared" ref="H36:I36" si="19">SUM(H34:H35)</f>
        <v>9850569.8499999996</v>
      </c>
      <c r="I36" s="37">
        <f t="shared" si="19"/>
        <v>0</v>
      </c>
      <c r="J36" s="2">
        <f>I36/G36</f>
        <v>0</v>
      </c>
      <c r="L36" s="8"/>
    </row>
    <row r="37" spans="1:12">
      <c r="D37" s="70"/>
      <c r="G37" s="36"/>
      <c r="H37" s="36"/>
      <c r="I37" s="8"/>
      <c r="J37" s="1"/>
      <c r="L37" s="8"/>
    </row>
    <row r="38" spans="1:12">
      <c r="A38" s="54" t="s">
        <v>6</v>
      </c>
      <c r="G38" s="11">
        <f>G10+G13+G16+G21+G26+G31+G36</f>
        <v>478678624.99000001</v>
      </c>
      <c r="H38" s="11">
        <f t="shared" ref="H38:I38" si="20">H10+H13+H16+H21+H26+H31+H36</f>
        <v>478678624.99000001</v>
      </c>
      <c r="I38" s="11">
        <f t="shared" si="20"/>
        <v>0</v>
      </c>
      <c r="J38" s="2">
        <f>I38/G38</f>
        <v>0</v>
      </c>
    </row>
    <row r="39" spans="1:12">
      <c r="B39" t="s">
        <v>114</v>
      </c>
      <c r="D39" s="14">
        <f>SUM(D10,D13,D16,D19,D24,D29,D34)</f>
        <v>870183250</v>
      </c>
    </row>
    <row r="40" spans="1:12">
      <c r="B40" t="s">
        <v>102</v>
      </c>
      <c r="D40" s="14">
        <f>SUM(D20,D25,D30,D35)</f>
        <v>5120424</v>
      </c>
      <c r="I40" s="8"/>
    </row>
    <row r="41" spans="1:12">
      <c r="I41" s="8"/>
    </row>
    <row r="42" spans="1:12">
      <c r="G42" s="38"/>
      <c r="H42" s="38"/>
    </row>
  </sheetData>
  <mergeCells count="4">
    <mergeCell ref="A1:J1"/>
    <mergeCell ref="A3:J3"/>
    <mergeCell ref="A4:J4"/>
    <mergeCell ref="A2:J2"/>
  </mergeCells>
  <printOptions horizontalCentered="1"/>
  <pageMargins left="0.7" right="0.7" top="0.75" bottom="0.75" header="0.3" footer="0.3"/>
  <pageSetup scale="82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3"/>
  <sheetViews>
    <sheetView workbookViewId="0">
      <selection activeCell="H15" sqref="H15"/>
    </sheetView>
  </sheetViews>
  <sheetFormatPr defaultRowHeight="12.75"/>
  <cols>
    <col min="1" max="1" width="28.85546875" style="62" customWidth="1"/>
    <col min="2" max="2" width="13.5703125" style="62" customWidth="1"/>
    <col min="3" max="3" width="63.7109375" style="62" bestFit="1" customWidth="1"/>
    <col min="4" max="16384" width="9.140625" style="62"/>
  </cols>
  <sheetData>
    <row r="1" spans="1:3">
      <c r="A1" s="171" t="s">
        <v>0</v>
      </c>
    </row>
    <row r="2" spans="1:3">
      <c r="A2" s="171" t="s">
        <v>393</v>
      </c>
    </row>
    <row r="3" spans="1:3">
      <c r="A3" s="171" t="s">
        <v>275</v>
      </c>
    </row>
    <row r="4" spans="1:3">
      <c r="A4" s="171" t="s">
        <v>266</v>
      </c>
    </row>
    <row r="6" spans="1:3">
      <c r="A6" s="172" t="s">
        <v>267</v>
      </c>
      <c r="B6" s="172" t="s">
        <v>268</v>
      </c>
      <c r="C6" s="172" t="s">
        <v>104</v>
      </c>
    </row>
    <row r="7" spans="1:3">
      <c r="A7" s="173" t="s">
        <v>276</v>
      </c>
      <c r="B7" s="62" t="s">
        <v>281</v>
      </c>
      <c r="C7" s="62" t="s">
        <v>285</v>
      </c>
    </row>
    <row r="8" spans="1:3">
      <c r="A8" s="173" t="s">
        <v>277</v>
      </c>
      <c r="B8" s="62" t="s">
        <v>281</v>
      </c>
      <c r="C8" s="62" t="s">
        <v>286</v>
      </c>
    </row>
    <row r="9" spans="1:3">
      <c r="A9" s="173" t="s">
        <v>278</v>
      </c>
      <c r="B9" s="62" t="s">
        <v>281</v>
      </c>
      <c r="C9" s="62" t="s">
        <v>390</v>
      </c>
    </row>
    <row r="10" spans="1:3">
      <c r="A10" s="173" t="s">
        <v>279</v>
      </c>
      <c r="B10" s="62" t="s">
        <v>281</v>
      </c>
      <c r="C10" s="62" t="s">
        <v>287</v>
      </c>
    </row>
    <row r="11" spans="1:3">
      <c r="A11" s="173" t="s">
        <v>280</v>
      </c>
      <c r="B11" s="62" t="s">
        <v>281</v>
      </c>
      <c r="C11" s="62" t="s">
        <v>288</v>
      </c>
    </row>
    <row r="12" spans="1:3">
      <c r="A12" s="173" t="s">
        <v>282</v>
      </c>
      <c r="B12" s="62" t="s">
        <v>269</v>
      </c>
      <c r="C12" s="62" t="s">
        <v>289</v>
      </c>
    </row>
    <row r="13" spans="1:3">
      <c r="A13" s="173" t="s">
        <v>283</v>
      </c>
      <c r="B13" s="62" t="s">
        <v>269</v>
      </c>
      <c r="C13" s="62" t="s">
        <v>290</v>
      </c>
    </row>
    <row r="14" spans="1:3">
      <c r="A14" s="173" t="s">
        <v>284</v>
      </c>
      <c r="B14" s="62" t="s">
        <v>269</v>
      </c>
      <c r="C14" s="62" t="s">
        <v>291</v>
      </c>
    </row>
    <row r="15" spans="1:3">
      <c r="A15" s="173" t="s">
        <v>270</v>
      </c>
      <c r="B15" s="62" t="s">
        <v>269</v>
      </c>
      <c r="C15" s="62" t="s">
        <v>292</v>
      </c>
    </row>
    <row r="18" spans="1:2">
      <c r="A18" s="172" t="s">
        <v>271</v>
      </c>
      <c r="B18" s="174"/>
    </row>
    <row r="19" spans="1:2">
      <c r="A19" s="62" t="s">
        <v>389</v>
      </c>
    </row>
    <row r="21" spans="1:2">
      <c r="A21" s="172" t="s">
        <v>273</v>
      </c>
    </row>
    <row r="22" spans="1:2">
      <c r="A22" s="62" t="s">
        <v>274</v>
      </c>
    </row>
    <row r="23" spans="1:2">
      <c r="A23" s="62" t="s">
        <v>272</v>
      </c>
    </row>
  </sheetData>
  <hyperlinks>
    <hyperlink ref="A7" location="'Rate Impacts_RY#1'!A1" display="Rate Impacts_RY#1" xr:uid="{00000000-0004-0000-0000-000000000000}"/>
    <hyperlink ref="A8" location="'Rate Impacts_RY#2'!A1" display="Rate Impacts_RY#2" xr:uid="{00000000-0004-0000-0000-000001000000}"/>
    <hyperlink ref="A9" location="'Res Bill Summary'!A1" display="Res Bill Summary" xr:uid="{00000000-0004-0000-0000-000002000000}"/>
    <hyperlink ref="A10" location="'Typical Res Bill_RY#1 '!A1" display="Typical Res Bill_RY#1" xr:uid="{00000000-0004-0000-0000-000003000000}"/>
    <hyperlink ref="A11" location="'Typical Res Bill_RY#2'!A1" display="Typical Res Bill_RY#2" xr:uid="{00000000-0004-0000-0000-000004000000}"/>
    <hyperlink ref="A12" location="'Avg Per Therm Impacts--&gt;'!A1" display="Average Per Therm Impacts" xr:uid="{00000000-0004-0000-0000-000005000000}"/>
    <hyperlink ref="A13" location="'Revenue Calculations--&gt;'!A1" display="Revenue Calculations" xr:uid="{00000000-0004-0000-0000-000006000000}"/>
    <hyperlink ref="A14" location="'Rider Revenue Calculation--&gt;'!A1" display="Rider Revenue Calculations" xr:uid="{00000000-0004-0000-0000-000007000000}"/>
    <hyperlink ref="A15" location="'Data--&gt;'!A1" display="Data" xr:uid="{00000000-0004-0000-0000-000008000000}"/>
  </hyperlinks>
  <pageMargins left="0.7" right="0.7" top="0.75" bottom="0.75" header="0.3" footer="0.3"/>
  <pageSetup orientation="landscape" horizontalDpi="90" verticalDpi="9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17"/>
  <sheetViews>
    <sheetView zoomScale="90" zoomScaleNormal="90" workbookViewId="0">
      <selection activeCell="C41" sqref="C41"/>
    </sheetView>
  </sheetViews>
  <sheetFormatPr defaultColWidth="9.140625" defaultRowHeight="15"/>
  <cols>
    <col min="1" max="1" width="23.5703125" bestFit="1" customWidth="1"/>
    <col min="2" max="2" width="9.140625" bestFit="1" customWidth="1"/>
    <col min="3" max="3" width="16.140625" customWidth="1"/>
    <col min="4" max="4" width="11.28515625" bestFit="1" customWidth="1"/>
    <col min="5" max="5" width="10.7109375" customWidth="1"/>
    <col min="6" max="8" width="11.28515625" bestFit="1" customWidth="1"/>
    <col min="9" max="9" width="10.7109375" customWidth="1"/>
    <col min="10" max="11" width="11.28515625" bestFit="1" customWidth="1"/>
    <col min="12" max="13" width="15.28515625" bestFit="1" customWidth="1"/>
    <col min="14" max="14" width="13.42578125" bestFit="1" customWidth="1"/>
    <col min="15" max="15" width="8.28515625" bestFit="1" customWidth="1"/>
  </cols>
  <sheetData>
    <row r="1" spans="1:15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5">
      <c r="A2" s="259" t="s">
        <v>149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5">
      <c r="A3" s="259" t="s">
        <v>140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</row>
    <row r="4" spans="1:15">
      <c r="A4" s="258" t="s">
        <v>309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</row>
    <row r="5" spans="1: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>
      <c r="A6" s="3"/>
      <c r="B6" s="3"/>
      <c r="C6" s="3"/>
      <c r="D6" s="262" t="s">
        <v>23</v>
      </c>
      <c r="E6" s="263"/>
      <c r="F6" s="263"/>
      <c r="G6" s="264"/>
      <c r="H6" s="262" t="s">
        <v>124</v>
      </c>
      <c r="I6" s="263"/>
      <c r="J6" s="263"/>
      <c r="K6" s="264"/>
      <c r="L6" s="3"/>
      <c r="M6" s="3"/>
      <c r="N6" s="260"/>
      <c r="O6" s="261"/>
    </row>
    <row r="7" spans="1:15">
      <c r="A7" s="3"/>
      <c r="B7" s="3"/>
      <c r="C7" s="3" t="s">
        <v>15</v>
      </c>
      <c r="D7" s="74" t="s">
        <v>130</v>
      </c>
      <c r="E7" s="75" t="s">
        <v>134</v>
      </c>
      <c r="F7" s="75" t="s">
        <v>135</v>
      </c>
      <c r="G7" s="74" t="s">
        <v>131</v>
      </c>
      <c r="H7" s="74" t="s">
        <v>130</v>
      </c>
      <c r="I7" s="75" t="s">
        <v>134</v>
      </c>
      <c r="J7" s="75" t="s">
        <v>135</v>
      </c>
      <c r="K7" s="76" t="s">
        <v>131</v>
      </c>
      <c r="L7" s="46" t="s">
        <v>15</v>
      </c>
      <c r="M7" s="46" t="s">
        <v>15</v>
      </c>
      <c r="N7" s="3" t="s">
        <v>19</v>
      </c>
    </row>
    <row r="8" spans="1:15">
      <c r="A8" s="3"/>
      <c r="B8" s="3" t="s">
        <v>17</v>
      </c>
      <c r="C8" s="3" t="s">
        <v>3</v>
      </c>
      <c r="D8" s="76" t="s">
        <v>132</v>
      </c>
      <c r="E8" s="75" t="s">
        <v>136</v>
      </c>
      <c r="F8" s="75" t="s">
        <v>136</v>
      </c>
      <c r="G8" s="76" t="s">
        <v>133</v>
      </c>
      <c r="H8" s="76" t="s">
        <v>132</v>
      </c>
      <c r="I8" s="75" t="s">
        <v>136</v>
      </c>
      <c r="J8" s="75" t="s">
        <v>136</v>
      </c>
      <c r="K8" s="76" t="s">
        <v>133</v>
      </c>
      <c r="L8" s="46" t="s">
        <v>2</v>
      </c>
      <c r="M8" s="46" t="s">
        <v>2</v>
      </c>
      <c r="N8" s="3" t="s">
        <v>2</v>
      </c>
      <c r="O8" s="3" t="s">
        <v>20</v>
      </c>
    </row>
    <row r="9" spans="1:15">
      <c r="A9" s="73" t="s">
        <v>4</v>
      </c>
      <c r="B9" s="73" t="s">
        <v>21</v>
      </c>
      <c r="C9" s="64" t="str">
        <f>'Sch. 101'!$D$8</f>
        <v>12ME Dec. 2025</v>
      </c>
      <c r="D9" s="77" t="s">
        <v>22</v>
      </c>
      <c r="E9" s="78" t="s">
        <v>22</v>
      </c>
      <c r="F9" s="78" t="s">
        <v>22</v>
      </c>
      <c r="G9" s="77" t="s">
        <v>22</v>
      </c>
      <c r="H9" s="77" t="s">
        <v>22</v>
      </c>
      <c r="I9" s="78" t="s">
        <v>22</v>
      </c>
      <c r="J9" s="77" t="s">
        <v>22</v>
      </c>
      <c r="K9" s="77" t="s">
        <v>22</v>
      </c>
      <c r="L9" s="42" t="s">
        <v>23</v>
      </c>
      <c r="M9" s="42" t="s">
        <v>124</v>
      </c>
      <c r="N9" s="97" t="s">
        <v>24</v>
      </c>
      <c r="O9" s="73" t="s">
        <v>24</v>
      </c>
    </row>
    <row r="10" spans="1:15">
      <c r="A10" t="s">
        <v>7</v>
      </c>
      <c r="B10" s="5">
        <v>23</v>
      </c>
      <c r="C10" s="45">
        <f>'Rate Year Therms'!P10</f>
        <v>539959592</v>
      </c>
      <c r="D10" s="82">
        <v>-0.16732</v>
      </c>
      <c r="E10" s="82">
        <v>0</v>
      </c>
      <c r="F10" s="79">
        <v>-3.4410000000000003E-2</v>
      </c>
      <c r="G10" s="80">
        <f>SUM(D10:F10)</f>
        <v>-0.20172999999999999</v>
      </c>
      <c r="H10" s="82">
        <v>-0.16732</v>
      </c>
      <c r="I10" s="7">
        <v>0</v>
      </c>
      <c r="J10" s="82">
        <v>-3.4410000000000003E-2</v>
      </c>
      <c r="K10" s="123">
        <f>SUM(H10:J10)</f>
        <v>-0.20172999999999999</v>
      </c>
      <c r="L10" s="36">
        <f t="shared" ref="L10:L16" si="0">ROUND(C10*G10,2)</f>
        <v>-108926048.48999999</v>
      </c>
      <c r="M10" s="36">
        <f>ROUND(C10*K10,2)</f>
        <v>-108926048.48999999</v>
      </c>
      <c r="N10" s="8">
        <f>M10-L10</f>
        <v>0</v>
      </c>
      <c r="O10" s="1">
        <f>N10/L10</f>
        <v>0</v>
      </c>
    </row>
    <row r="11" spans="1:15">
      <c r="A11" t="s">
        <v>31</v>
      </c>
      <c r="B11" s="5">
        <v>16</v>
      </c>
      <c r="C11" s="45">
        <f>'Rate Year Therms'!P9</f>
        <v>6996</v>
      </c>
      <c r="D11" s="83">
        <v>-0.16732</v>
      </c>
      <c r="E11" s="83">
        <v>0</v>
      </c>
      <c r="F11" s="79">
        <v>-3.4410000000000003E-2</v>
      </c>
      <c r="G11" s="80">
        <f t="shared" ref="G11:G16" si="1">SUM(D11:F11)</f>
        <v>-0.20172999999999999</v>
      </c>
      <c r="H11" s="83">
        <v>-0.16732</v>
      </c>
      <c r="I11" s="79">
        <v>0</v>
      </c>
      <c r="J11" s="83">
        <v>-3.4410000000000003E-2</v>
      </c>
      <c r="K11" s="80">
        <f t="shared" ref="K11:K16" si="2">SUM(H11:J11)</f>
        <v>-0.20172999999999999</v>
      </c>
      <c r="L11" s="36">
        <f t="shared" si="0"/>
        <v>-1411.3</v>
      </c>
      <c r="M11" s="36">
        <f t="shared" ref="M11:M16" si="3">ROUND(C11*K11,2)</f>
        <v>-1411.3</v>
      </c>
      <c r="N11" s="8">
        <f t="shared" ref="N11:N16" si="4">M11-L11</f>
        <v>0</v>
      </c>
      <c r="O11" s="1">
        <f t="shared" ref="O11:O16" si="5">N11/L11</f>
        <v>0</v>
      </c>
    </row>
    <row r="12" spans="1:15">
      <c r="A12" t="s">
        <v>8</v>
      </c>
      <c r="B12" s="5">
        <v>31</v>
      </c>
      <c r="C12" s="45">
        <f>'Rate Year Therms'!P12</f>
        <v>228527070</v>
      </c>
      <c r="D12" s="83">
        <v>-0.16730999999999999</v>
      </c>
      <c r="E12" s="83">
        <v>0</v>
      </c>
      <c r="F12" s="79">
        <v>-3.2890000000000003E-2</v>
      </c>
      <c r="G12" s="80">
        <f t="shared" si="1"/>
        <v>-0.20019999999999999</v>
      </c>
      <c r="H12" s="83">
        <v>-0.16730999999999999</v>
      </c>
      <c r="I12" s="79">
        <v>0</v>
      </c>
      <c r="J12" s="83">
        <v>-3.2890000000000003E-2</v>
      </c>
      <c r="K12" s="80">
        <f t="shared" si="2"/>
        <v>-0.20019999999999999</v>
      </c>
      <c r="L12" s="36">
        <f t="shared" si="0"/>
        <v>-45751119.409999996</v>
      </c>
      <c r="M12" s="36">
        <f t="shared" si="3"/>
        <v>-45751119.409999996</v>
      </c>
      <c r="N12" s="8">
        <f t="shared" si="4"/>
        <v>0</v>
      </c>
      <c r="O12" s="1">
        <f t="shared" si="5"/>
        <v>0</v>
      </c>
    </row>
    <row r="13" spans="1:15">
      <c r="A13" t="s">
        <v>9</v>
      </c>
      <c r="B13" s="5">
        <v>41</v>
      </c>
      <c r="C13" s="45">
        <f>'Rate Year Therms'!P13</f>
        <v>60329189</v>
      </c>
      <c r="D13" s="83">
        <v>-0.1673</v>
      </c>
      <c r="E13" s="83">
        <v>0</v>
      </c>
      <c r="F13" s="79">
        <v>-2.8920000000000001E-2</v>
      </c>
      <c r="G13" s="80">
        <f t="shared" si="1"/>
        <v>-0.19622000000000001</v>
      </c>
      <c r="H13" s="83">
        <v>-0.1673</v>
      </c>
      <c r="I13" s="79">
        <v>0</v>
      </c>
      <c r="J13" s="83">
        <v>-2.8920000000000001E-2</v>
      </c>
      <c r="K13" s="80">
        <f t="shared" si="2"/>
        <v>-0.19622000000000001</v>
      </c>
      <c r="L13" s="36">
        <f t="shared" si="0"/>
        <v>-11837793.470000001</v>
      </c>
      <c r="M13" s="36">
        <f t="shared" si="3"/>
        <v>-11837793.470000001</v>
      </c>
      <c r="N13" s="8">
        <f t="shared" si="4"/>
        <v>0</v>
      </c>
      <c r="O13" s="1">
        <f t="shared" si="5"/>
        <v>0</v>
      </c>
    </row>
    <row r="14" spans="1:15">
      <c r="A14" t="s">
        <v>10</v>
      </c>
      <c r="B14" s="5">
        <v>85</v>
      </c>
      <c r="C14" s="45">
        <f>'Rate Year Therms'!P14</f>
        <v>16668227</v>
      </c>
      <c r="D14" s="83">
        <v>-0.16728999999999999</v>
      </c>
      <c r="E14" s="83">
        <v>0</v>
      </c>
      <c r="F14" s="79">
        <v>-2.0979999999999999E-2</v>
      </c>
      <c r="G14" s="80">
        <f t="shared" si="1"/>
        <v>-0.18826999999999999</v>
      </c>
      <c r="H14" s="83">
        <v>-0.16728999999999999</v>
      </c>
      <c r="I14" s="79">
        <v>0</v>
      </c>
      <c r="J14" s="83">
        <v>-2.0979999999999999E-2</v>
      </c>
      <c r="K14" s="80">
        <f t="shared" si="2"/>
        <v>-0.18826999999999999</v>
      </c>
      <c r="L14" s="36">
        <f t="shared" si="0"/>
        <v>-3138127.1</v>
      </c>
      <c r="M14" s="36">
        <f t="shared" si="3"/>
        <v>-3138127.1</v>
      </c>
      <c r="N14" s="8">
        <f t="shared" si="4"/>
        <v>0</v>
      </c>
      <c r="O14" s="1">
        <f t="shared" si="5"/>
        <v>0</v>
      </c>
    </row>
    <row r="15" spans="1:15">
      <c r="A15" t="s">
        <v>11</v>
      </c>
      <c r="B15" s="5">
        <v>86</v>
      </c>
      <c r="C15" s="45">
        <f>'Rate Year Therms'!P15</f>
        <v>4684519</v>
      </c>
      <c r="D15" s="83">
        <v>-0.16728999999999999</v>
      </c>
      <c r="E15" s="83">
        <v>0</v>
      </c>
      <c r="F15" s="79">
        <v>-2.273E-2</v>
      </c>
      <c r="G15" s="80">
        <f t="shared" si="1"/>
        <v>-0.19001999999999999</v>
      </c>
      <c r="H15" s="83">
        <v>-0.16728999999999999</v>
      </c>
      <c r="I15" s="79">
        <v>0</v>
      </c>
      <c r="J15" s="83">
        <v>-2.273E-2</v>
      </c>
      <c r="K15" s="80">
        <f t="shared" si="2"/>
        <v>-0.19001999999999999</v>
      </c>
      <c r="L15" s="36">
        <f t="shared" si="0"/>
        <v>-890152.3</v>
      </c>
      <c r="M15" s="36">
        <f t="shared" si="3"/>
        <v>-890152.3</v>
      </c>
      <c r="N15" s="8">
        <f t="shared" si="4"/>
        <v>0</v>
      </c>
      <c r="O15" s="1">
        <f t="shared" si="5"/>
        <v>0</v>
      </c>
    </row>
    <row r="16" spans="1:15">
      <c r="A16" t="s">
        <v>12</v>
      </c>
      <c r="B16" s="5">
        <v>87</v>
      </c>
      <c r="C16" s="45">
        <f>'Rate Year Therms'!P16</f>
        <v>20007657</v>
      </c>
      <c r="D16" s="84">
        <v>-0.16728999999999999</v>
      </c>
      <c r="E16" s="84">
        <v>0</v>
      </c>
      <c r="F16" s="79">
        <v>-1.9619999999999999E-2</v>
      </c>
      <c r="G16" s="81">
        <f t="shared" si="1"/>
        <v>-0.18690999999999999</v>
      </c>
      <c r="H16" s="84">
        <v>-0.16728999999999999</v>
      </c>
      <c r="I16" s="142">
        <v>0</v>
      </c>
      <c r="J16" s="83">
        <v>-1.9619999999999999E-2</v>
      </c>
      <c r="K16" s="81">
        <f t="shared" si="2"/>
        <v>-0.18690999999999999</v>
      </c>
      <c r="L16" s="36">
        <f t="shared" si="0"/>
        <v>-3739631.17</v>
      </c>
      <c r="M16" s="36">
        <f t="shared" si="3"/>
        <v>-3739631.17</v>
      </c>
      <c r="N16" s="8">
        <f t="shared" si="4"/>
        <v>0</v>
      </c>
      <c r="O16" s="1">
        <f t="shared" si="5"/>
        <v>0</v>
      </c>
    </row>
    <row r="17" spans="1:15">
      <c r="A17" t="s">
        <v>6</v>
      </c>
      <c r="C17" s="10">
        <f>SUM(C10:C16)</f>
        <v>870183250</v>
      </c>
      <c r="D17" s="6"/>
      <c r="E17" s="6"/>
      <c r="F17" s="116"/>
      <c r="G17" s="6"/>
      <c r="H17" s="6"/>
      <c r="I17" s="6"/>
      <c r="J17" s="116"/>
      <c r="K17" s="6"/>
      <c r="L17" s="37">
        <f>SUM(L10:L16)</f>
        <v>-174284283.23999998</v>
      </c>
      <c r="M17" s="37">
        <f>SUM(M10:M16)</f>
        <v>-174284283.23999998</v>
      </c>
      <c r="N17" s="11">
        <f>SUM(N10:N16)</f>
        <v>0</v>
      </c>
      <c r="O17" s="2">
        <f>N17/L17</f>
        <v>0</v>
      </c>
    </row>
  </sheetData>
  <mergeCells count="7">
    <mergeCell ref="N6:O6"/>
    <mergeCell ref="A1:O1"/>
    <mergeCell ref="A3:O3"/>
    <mergeCell ref="A4:O4"/>
    <mergeCell ref="D6:G6"/>
    <mergeCell ref="H6:K6"/>
    <mergeCell ref="A2:O2"/>
  </mergeCells>
  <pageMargins left="0.7" right="0.7" top="0.75" bottom="0.75" header="0.3" footer="0.3"/>
  <pageSetup scale="64" orientation="landscape" blackAndWhite="1" r:id="rId1"/>
  <headerFooter>
    <oddFooter>&amp;L&amp;F
&amp;A&amp;C&amp;P&amp;R&amp;D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43"/>
  <sheetViews>
    <sheetView zoomScale="90" zoomScaleNormal="90" workbookViewId="0">
      <selection activeCell="C18" sqref="C18"/>
    </sheetView>
  </sheetViews>
  <sheetFormatPr defaultColWidth="8.7109375" defaultRowHeight="15"/>
  <cols>
    <col min="1" max="1" width="37.7109375" customWidth="1"/>
    <col min="2" max="2" width="9.140625" bestFit="1" customWidth="1"/>
    <col min="3" max="3" width="18.5703125" bestFit="1" customWidth="1"/>
    <col min="4" max="9" width="13.7109375" customWidth="1"/>
    <col min="10" max="12" width="14.42578125" customWidth="1"/>
    <col min="13" max="13" width="7.85546875" bestFit="1" customWidth="1"/>
  </cols>
  <sheetData>
    <row r="1" spans="1:25" s="41" customForma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40"/>
    </row>
    <row r="2" spans="1:25" s="41" customFormat="1">
      <c r="A2" s="259" t="s">
        <v>310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109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s="41" customFormat="1">
      <c r="A3" s="259" t="s">
        <v>311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40"/>
    </row>
    <row r="4" spans="1:25" s="41" customFormat="1">
      <c r="A4" s="259" t="s">
        <v>325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40"/>
    </row>
    <row r="5" spans="1:25">
      <c r="F5" s="3"/>
      <c r="G5" s="3"/>
      <c r="H5" s="3"/>
      <c r="I5" s="3"/>
    </row>
    <row r="6" spans="1:25">
      <c r="D6" s="266" t="s">
        <v>23</v>
      </c>
      <c r="E6" s="267"/>
      <c r="F6" s="268"/>
      <c r="G6" s="266" t="s">
        <v>124</v>
      </c>
      <c r="H6" s="267"/>
      <c r="I6" s="268"/>
    </row>
    <row r="7" spans="1:25">
      <c r="A7" s="3"/>
      <c r="B7" s="3"/>
      <c r="C7" s="3" t="s">
        <v>15</v>
      </c>
      <c r="D7" s="3" t="s">
        <v>312</v>
      </c>
      <c r="E7" s="3" t="s">
        <v>312</v>
      </c>
      <c r="F7" s="3" t="s">
        <v>6</v>
      </c>
      <c r="G7" s="3" t="s">
        <v>312</v>
      </c>
      <c r="H7" s="3" t="s">
        <v>312</v>
      </c>
      <c r="I7" s="3" t="s">
        <v>6</v>
      </c>
      <c r="J7" s="46" t="s">
        <v>15</v>
      </c>
      <c r="K7" s="46" t="s">
        <v>15</v>
      </c>
      <c r="L7" s="3" t="s">
        <v>306</v>
      </c>
      <c r="M7" s="3"/>
    </row>
    <row r="8" spans="1:25">
      <c r="A8" s="3"/>
      <c r="B8" s="3" t="s">
        <v>17</v>
      </c>
      <c r="C8" s="3" t="s">
        <v>3</v>
      </c>
      <c r="D8" s="3" t="s">
        <v>313</v>
      </c>
      <c r="E8" s="3" t="s">
        <v>314</v>
      </c>
      <c r="F8" s="3" t="s">
        <v>306</v>
      </c>
      <c r="G8" s="3" t="s">
        <v>313</v>
      </c>
      <c r="H8" s="3" t="s">
        <v>314</v>
      </c>
      <c r="I8" s="3" t="s">
        <v>306</v>
      </c>
      <c r="J8" s="46" t="s">
        <v>2</v>
      </c>
      <c r="K8" s="46" t="s">
        <v>2</v>
      </c>
      <c r="L8" s="3" t="s">
        <v>2</v>
      </c>
      <c r="M8" s="3" t="s">
        <v>20</v>
      </c>
    </row>
    <row r="9" spans="1:25">
      <c r="A9" s="73" t="s">
        <v>4</v>
      </c>
      <c r="B9" s="73" t="s">
        <v>21</v>
      </c>
      <c r="C9" s="64" t="str">
        <f>'Sch. 101'!D8</f>
        <v>12ME Dec. 2025</v>
      </c>
      <c r="D9" s="73" t="s">
        <v>22</v>
      </c>
      <c r="E9" s="73" t="s">
        <v>22</v>
      </c>
      <c r="F9" s="73" t="s">
        <v>22</v>
      </c>
      <c r="G9" s="73" t="s">
        <v>22</v>
      </c>
      <c r="H9" s="73" t="s">
        <v>22</v>
      </c>
      <c r="I9" s="73" t="s">
        <v>22</v>
      </c>
      <c r="J9" s="65" t="s">
        <v>23</v>
      </c>
      <c r="K9" s="65" t="s">
        <v>124</v>
      </c>
      <c r="L9" s="73" t="s">
        <v>24</v>
      </c>
      <c r="M9" s="73" t="s">
        <v>24</v>
      </c>
      <c r="W9" s="96"/>
    </row>
    <row r="10" spans="1:25">
      <c r="A10" t="s">
        <v>7</v>
      </c>
      <c r="B10" s="3">
        <v>23</v>
      </c>
      <c r="C10" s="205">
        <v>555750480</v>
      </c>
      <c r="D10" s="7">
        <v>0.23183000000000001</v>
      </c>
      <c r="E10" s="7">
        <v>0.16491</v>
      </c>
      <c r="F10" s="6">
        <f>SUM(D10:E10)</f>
        <v>0.39673999999999998</v>
      </c>
      <c r="G10" s="7">
        <v>0.23183000000000001</v>
      </c>
      <c r="H10" s="7">
        <v>0.16491</v>
      </c>
      <c r="I10" s="6">
        <f>SUM(G10:H10)</f>
        <v>0.39673999999999998</v>
      </c>
      <c r="J10" s="36">
        <f>C10*F10</f>
        <v>220488445.43519998</v>
      </c>
      <c r="K10" s="36">
        <f>C10*I10</f>
        <v>220488445.43519998</v>
      </c>
      <c r="L10" s="8">
        <f>K10-J10</f>
        <v>0</v>
      </c>
      <c r="M10" s="1">
        <f>L10/J10</f>
        <v>0</v>
      </c>
      <c r="W10" s="94"/>
    </row>
    <row r="11" spans="1:25">
      <c r="A11" t="s">
        <v>31</v>
      </c>
      <c r="B11" s="3">
        <v>16</v>
      </c>
      <c r="C11" s="205">
        <v>6996</v>
      </c>
      <c r="D11" s="7">
        <v>0.23183000000000001</v>
      </c>
      <c r="E11" s="7">
        <v>0.16491</v>
      </c>
      <c r="F11" s="6">
        <f t="shared" ref="F11:F23" si="0">SUM(D11:E11)</f>
        <v>0.39673999999999998</v>
      </c>
      <c r="G11" s="7">
        <v>0.23183000000000001</v>
      </c>
      <c r="H11" s="7">
        <v>0.16491</v>
      </c>
      <c r="I11" s="6">
        <f t="shared" ref="I11:I23" si="1">SUM(G11:H11)</f>
        <v>0.39673999999999998</v>
      </c>
      <c r="J11" s="36">
        <f t="shared" ref="J11:J21" si="2">C11*F11</f>
        <v>2775.5930399999997</v>
      </c>
      <c r="K11" s="36">
        <f t="shared" ref="K11:K23" si="3">C11*I11</f>
        <v>2775.5930399999997</v>
      </c>
      <c r="L11" s="8">
        <f t="shared" ref="L11:L23" si="4">K11-J11</f>
        <v>0</v>
      </c>
      <c r="M11" s="1">
        <f t="shared" ref="M11:M23" si="5">L11/J11</f>
        <v>0</v>
      </c>
    </row>
    <row r="12" spans="1:25">
      <c r="A12" t="s">
        <v>8</v>
      </c>
      <c r="B12" s="3">
        <v>31</v>
      </c>
      <c r="C12" s="205">
        <v>226449666.31127122</v>
      </c>
      <c r="D12" s="7">
        <v>0.23183000000000001</v>
      </c>
      <c r="E12" s="7">
        <v>0.16491</v>
      </c>
      <c r="F12" s="6">
        <f t="shared" si="0"/>
        <v>0.39673999999999998</v>
      </c>
      <c r="G12" s="7">
        <v>0.23183000000000001</v>
      </c>
      <c r="H12" s="7">
        <v>0.16491</v>
      </c>
      <c r="I12" s="6">
        <f t="shared" si="1"/>
        <v>0.39673999999999998</v>
      </c>
      <c r="J12" s="36">
        <f t="shared" si="2"/>
        <v>89841640.612333745</v>
      </c>
      <c r="K12" s="36">
        <f t="shared" si="3"/>
        <v>89841640.612333745</v>
      </c>
      <c r="L12" s="8">
        <f t="shared" si="4"/>
        <v>0</v>
      </c>
      <c r="M12" s="1">
        <f t="shared" si="5"/>
        <v>0</v>
      </c>
    </row>
    <row r="13" spans="1:25">
      <c r="A13" t="s">
        <v>9</v>
      </c>
      <c r="B13" s="3">
        <v>41</v>
      </c>
      <c r="C13" s="205">
        <v>61653322.19827313</v>
      </c>
      <c r="D13" s="7">
        <v>0.23183000000000001</v>
      </c>
      <c r="E13" s="7">
        <v>0.16491</v>
      </c>
      <c r="F13" s="6">
        <f t="shared" si="0"/>
        <v>0.39673999999999998</v>
      </c>
      <c r="G13" s="7">
        <v>0.23183000000000001</v>
      </c>
      <c r="H13" s="7">
        <v>0.16491</v>
      </c>
      <c r="I13" s="6">
        <f t="shared" si="1"/>
        <v>0.39673999999999998</v>
      </c>
      <c r="J13" s="36">
        <f t="shared" si="2"/>
        <v>24460339.048942879</v>
      </c>
      <c r="K13" s="36">
        <f t="shared" si="3"/>
        <v>24460339.048942879</v>
      </c>
      <c r="L13" s="8">
        <f t="shared" si="4"/>
        <v>0</v>
      </c>
      <c r="M13" s="1">
        <f t="shared" si="5"/>
        <v>0</v>
      </c>
    </row>
    <row r="14" spans="1:25">
      <c r="A14" t="s">
        <v>10</v>
      </c>
      <c r="B14" s="3">
        <v>85</v>
      </c>
      <c r="C14" s="205">
        <v>14305940.927245032</v>
      </c>
      <c r="D14" s="7">
        <v>0.23183000000000001</v>
      </c>
      <c r="E14" s="7">
        <v>0.16491</v>
      </c>
      <c r="F14" s="6">
        <f t="shared" si="0"/>
        <v>0.39673999999999998</v>
      </c>
      <c r="G14" s="7">
        <v>0.23183000000000001</v>
      </c>
      <c r="H14" s="7">
        <v>0.16491</v>
      </c>
      <c r="I14" s="6">
        <f t="shared" si="1"/>
        <v>0.39673999999999998</v>
      </c>
      <c r="J14" s="36">
        <f t="shared" si="2"/>
        <v>5675739.0034751939</v>
      </c>
      <c r="K14" s="36">
        <f t="shared" si="3"/>
        <v>5675739.0034751939</v>
      </c>
      <c r="L14" s="8">
        <f t="shared" si="4"/>
        <v>0</v>
      </c>
      <c r="M14" s="1">
        <f t="shared" si="5"/>
        <v>0</v>
      </c>
    </row>
    <row r="15" spans="1:25">
      <c r="A15" t="s">
        <v>11</v>
      </c>
      <c r="B15" s="3">
        <v>86</v>
      </c>
      <c r="C15" s="205">
        <v>4872572</v>
      </c>
      <c r="D15" s="7">
        <v>0.23183000000000001</v>
      </c>
      <c r="E15" s="7">
        <v>0.16491</v>
      </c>
      <c r="F15" s="6">
        <f t="shared" si="0"/>
        <v>0.39673999999999998</v>
      </c>
      <c r="G15" s="7">
        <v>0.23183000000000001</v>
      </c>
      <c r="H15" s="7">
        <v>0.16491</v>
      </c>
      <c r="I15" s="6">
        <f t="shared" si="1"/>
        <v>0.39673999999999998</v>
      </c>
      <c r="J15" s="36">
        <f t="shared" si="2"/>
        <v>1933144.2152799999</v>
      </c>
      <c r="K15" s="36">
        <f t="shared" si="3"/>
        <v>1933144.2152799999</v>
      </c>
      <c r="L15" s="8">
        <f t="shared" si="4"/>
        <v>0</v>
      </c>
      <c r="M15" s="1">
        <f t="shared" si="5"/>
        <v>0</v>
      </c>
    </row>
    <row r="16" spans="1:25">
      <c r="A16" t="s">
        <v>12</v>
      </c>
      <c r="B16" s="3">
        <v>87</v>
      </c>
      <c r="C16" s="205">
        <v>1550270.6056976072</v>
      </c>
      <c r="D16" s="7">
        <v>0.23183000000000001</v>
      </c>
      <c r="E16" s="7">
        <v>0.16491</v>
      </c>
      <c r="F16" s="6">
        <f t="shared" si="0"/>
        <v>0.39673999999999998</v>
      </c>
      <c r="G16" s="7">
        <v>0.23183000000000001</v>
      </c>
      <c r="H16" s="7">
        <v>0.16491</v>
      </c>
      <c r="I16" s="6">
        <f t="shared" si="1"/>
        <v>0.39673999999999998</v>
      </c>
      <c r="J16" s="36">
        <f t="shared" si="2"/>
        <v>615054.36010446865</v>
      </c>
      <c r="K16" s="36">
        <f t="shared" si="3"/>
        <v>615054.36010446865</v>
      </c>
      <c r="L16" s="8">
        <f t="shared" si="4"/>
        <v>0</v>
      </c>
      <c r="M16" s="1">
        <f t="shared" si="5"/>
        <v>0</v>
      </c>
    </row>
    <row r="17" spans="1:13">
      <c r="A17" t="s">
        <v>32</v>
      </c>
      <c r="B17" s="3" t="s">
        <v>33</v>
      </c>
      <c r="C17" s="205">
        <v>0</v>
      </c>
      <c r="D17" s="7">
        <v>0.23183000000000001</v>
      </c>
      <c r="E17" s="7">
        <v>0.16491</v>
      </c>
      <c r="F17" s="6">
        <f t="shared" si="0"/>
        <v>0.39673999999999998</v>
      </c>
      <c r="G17" s="7">
        <v>0.23183000000000001</v>
      </c>
      <c r="H17" s="7">
        <v>0.16491</v>
      </c>
      <c r="I17" s="6">
        <f t="shared" si="1"/>
        <v>0.39673999999999998</v>
      </c>
      <c r="J17" s="36">
        <f t="shared" si="2"/>
        <v>0</v>
      </c>
      <c r="K17" s="36">
        <f t="shared" si="3"/>
        <v>0</v>
      </c>
      <c r="L17" s="8">
        <f t="shared" si="4"/>
        <v>0</v>
      </c>
      <c r="M17" s="1" t="e">
        <f t="shared" si="5"/>
        <v>#DIV/0!</v>
      </c>
    </row>
    <row r="18" spans="1:13">
      <c r="A18" t="s">
        <v>34</v>
      </c>
      <c r="B18" s="3" t="s">
        <v>35</v>
      </c>
      <c r="C18" s="205">
        <v>21477365</v>
      </c>
      <c r="D18" s="7">
        <v>0.23183000000000001</v>
      </c>
      <c r="E18" s="7">
        <v>0.16491</v>
      </c>
      <c r="F18" s="6">
        <f t="shared" si="0"/>
        <v>0.39673999999999998</v>
      </c>
      <c r="G18" s="7">
        <v>0.23183000000000001</v>
      </c>
      <c r="H18" s="7">
        <v>0.16491</v>
      </c>
      <c r="I18" s="6">
        <f t="shared" si="1"/>
        <v>0.39673999999999998</v>
      </c>
      <c r="J18" s="36">
        <f t="shared" si="2"/>
        <v>8520929.7900999989</v>
      </c>
      <c r="K18" s="36">
        <f t="shared" si="3"/>
        <v>8520929.7900999989</v>
      </c>
      <c r="L18" s="8">
        <f t="shared" si="4"/>
        <v>0</v>
      </c>
      <c r="M18" s="1">
        <f t="shared" si="5"/>
        <v>0</v>
      </c>
    </row>
    <row r="19" spans="1:13">
      <c r="A19" t="s">
        <v>36</v>
      </c>
      <c r="B19" s="3" t="s">
        <v>37</v>
      </c>
      <c r="C19" s="205">
        <v>58769691.57454814</v>
      </c>
      <c r="D19" s="7">
        <v>0.23183000000000001</v>
      </c>
      <c r="E19" s="7">
        <v>0.16491</v>
      </c>
      <c r="F19" s="6">
        <f t="shared" si="0"/>
        <v>0.39673999999999998</v>
      </c>
      <c r="G19" s="7">
        <v>0.23183000000000001</v>
      </c>
      <c r="H19" s="7">
        <v>0.16491</v>
      </c>
      <c r="I19" s="6">
        <f t="shared" si="1"/>
        <v>0.39673999999999998</v>
      </c>
      <c r="J19" s="36">
        <f t="shared" si="2"/>
        <v>23316287.435286228</v>
      </c>
      <c r="K19" s="36">
        <f t="shared" si="3"/>
        <v>23316287.435286228</v>
      </c>
      <c r="L19" s="8">
        <f t="shared" si="4"/>
        <v>0</v>
      </c>
      <c r="M19" s="1">
        <f t="shared" si="5"/>
        <v>0</v>
      </c>
    </row>
    <row r="20" spans="1:13">
      <c r="A20" t="s">
        <v>38</v>
      </c>
      <c r="B20" s="3" t="s">
        <v>39</v>
      </c>
      <c r="C20" s="205">
        <v>1198658</v>
      </c>
      <c r="D20" s="7">
        <v>0.23183000000000001</v>
      </c>
      <c r="E20" s="7">
        <v>0.16491</v>
      </c>
      <c r="F20" s="6">
        <f t="shared" si="0"/>
        <v>0.39673999999999998</v>
      </c>
      <c r="G20" s="7">
        <v>0.23183000000000001</v>
      </c>
      <c r="H20" s="7">
        <v>0.16491</v>
      </c>
      <c r="I20" s="6">
        <f t="shared" si="1"/>
        <v>0.39673999999999998</v>
      </c>
      <c r="J20" s="36">
        <f t="shared" si="2"/>
        <v>475555.57491999998</v>
      </c>
      <c r="K20" s="36">
        <f t="shared" si="3"/>
        <v>475555.57491999998</v>
      </c>
      <c r="L20" s="8">
        <f t="shared" si="4"/>
        <v>0</v>
      </c>
      <c r="M20" s="1">
        <f t="shared" si="5"/>
        <v>0</v>
      </c>
    </row>
    <row r="21" spans="1:13">
      <c r="A21" t="s">
        <v>40</v>
      </c>
      <c r="B21" s="3" t="s">
        <v>41</v>
      </c>
      <c r="C21" s="205">
        <v>7573006.0794945797</v>
      </c>
      <c r="D21" s="7">
        <v>0.23183000000000001</v>
      </c>
      <c r="E21" s="7">
        <v>0.16491</v>
      </c>
      <c r="F21" s="6">
        <f t="shared" si="0"/>
        <v>0.39673999999999998</v>
      </c>
      <c r="G21" s="7">
        <v>0.23183000000000001</v>
      </c>
      <c r="H21" s="7">
        <v>0.16491</v>
      </c>
      <c r="I21" s="6">
        <f t="shared" si="1"/>
        <v>0.39673999999999998</v>
      </c>
      <c r="J21" s="36">
        <f t="shared" si="2"/>
        <v>3004514.4319786793</v>
      </c>
      <c r="K21" s="36">
        <f t="shared" si="3"/>
        <v>3004514.4319786793</v>
      </c>
      <c r="L21" s="8">
        <f t="shared" si="4"/>
        <v>0</v>
      </c>
      <c r="M21" s="1">
        <f t="shared" si="5"/>
        <v>0</v>
      </c>
    </row>
    <row r="22" spans="1:13">
      <c r="A22" t="s">
        <v>354</v>
      </c>
      <c r="B22" s="3" t="s">
        <v>355</v>
      </c>
      <c r="C22" s="205">
        <v>0</v>
      </c>
      <c r="D22" s="7">
        <v>0.23183000000000001</v>
      </c>
      <c r="E22" s="7">
        <v>0.16491</v>
      </c>
      <c r="F22" s="6">
        <f t="shared" si="0"/>
        <v>0.39673999999999998</v>
      </c>
      <c r="G22" s="7">
        <v>0.23183000000000001</v>
      </c>
      <c r="H22" s="7">
        <v>0.16491</v>
      </c>
      <c r="I22" s="6">
        <f t="shared" si="1"/>
        <v>0.39673999999999998</v>
      </c>
      <c r="J22" s="36">
        <f t="shared" ref="J22" si="6">C22*F22</f>
        <v>0</v>
      </c>
      <c r="K22" s="36">
        <f t="shared" ref="K22" si="7">C22*I22</f>
        <v>0</v>
      </c>
      <c r="L22" s="8">
        <f t="shared" ref="L22" si="8">K22-J22</f>
        <v>0</v>
      </c>
      <c r="M22" s="1" t="e">
        <f t="shared" ref="M22" si="9">L22/J22</f>
        <v>#DIV/0!</v>
      </c>
    </row>
    <row r="23" spans="1:13">
      <c r="A23" t="s">
        <v>13</v>
      </c>
      <c r="B23" s="3"/>
      <c r="C23" s="205">
        <v>12913388.61947025</v>
      </c>
      <c r="D23" s="7">
        <v>0.23183000000000001</v>
      </c>
      <c r="E23" s="7">
        <v>0.16491</v>
      </c>
      <c r="F23" s="6">
        <f t="shared" si="0"/>
        <v>0.39673999999999998</v>
      </c>
      <c r="G23" s="7">
        <v>0.23183000000000001</v>
      </c>
      <c r="H23" s="7">
        <v>0.16491</v>
      </c>
      <c r="I23" s="6">
        <f t="shared" si="1"/>
        <v>0.39673999999999998</v>
      </c>
      <c r="J23" s="36">
        <f>C23*F23</f>
        <v>5123257.8008886268</v>
      </c>
      <c r="K23" s="36">
        <f t="shared" si="3"/>
        <v>5123257.8008886268</v>
      </c>
      <c r="L23" s="8">
        <f t="shared" si="4"/>
        <v>0</v>
      </c>
      <c r="M23" s="1">
        <f t="shared" si="5"/>
        <v>0</v>
      </c>
    </row>
    <row r="24" spans="1:13">
      <c r="A24" t="s">
        <v>6</v>
      </c>
      <c r="C24" s="10">
        <f>SUM(C10:C23)</f>
        <v>966521357.31599998</v>
      </c>
      <c r="D24" s="14"/>
      <c r="E24" s="14"/>
      <c r="F24" s="6"/>
      <c r="G24" s="6"/>
      <c r="H24" s="6"/>
      <c r="I24" s="6"/>
      <c r="J24" s="37">
        <f t="shared" ref="J24:L24" si="10">SUM(J10:J23)</f>
        <v>383457683.30154973</v>
      </c>
      <c r="K24" s="37">
        <f t="shared" si="10"/>
        <v>383457683.30154973</v>
      </c>
      <c r="L24" s="11">
        <f t="shared" si="10"/>
        <v>0</v>
      </c>
      <c r="M24" s="2">
        <f>L24/J24</f>
        <v>0</v>
      </c>
    </row>
    <row r="25" spans="1:13">
      <c r="J25" s="8"/>
      <c r="K25" s="8"/>
    </row>
    <row r="26" spans="1:13">
      <c r="A26" t="s">
        <v>388</v>
      </c>
      <c r="C26" s="14"/>
      <c r="D26" s="14"/>
      <c r="E26" s="14"/>
      <c r="J26" s="8"/>
      <c r="K26" s="8"/>
    </row>
    <row r="27" spans="1:13">
      <c r="A27" s="39"/>
    </row>
    <row r="43" spans="2:2" ht="17.25">
      <c r="B43" s="108"/>
    </row>
  </sheetData>
  <mergeCells count="6">
    <mergeCell ref="A1:M1"/>
    <mergeCell ref="A2:M2"/>
    <mergeCell ref="A3:M3"/>
    <mergeCell ref="A4:M4"/>
    <mergeCell ref="D6:F6"/>
    <mergeCell ref="G6:I6"/>
  </mergeCells>
  <printOptions horizontalCentered="1"/>
  <pageMargins left="0.7" right="0.7" top="0.75" bottom="0.75" header="0.3" footer="0.3"/>
  <pageSetup scale="61" orientation="landscape" blackAndWhite="1" r:id="rId1"/>
  <headerFooter>
    <oddFooter>&amp;L&amp;F 
&amp;A&amp;C&amp;P&amp;R&amp;D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Y43"/>
  <sheetViews>
    <sheetView zoomScale="90" zoomScaleNormal="90" workbookViewId="0">
      <selection activeCell="G38" sqref="G38"/>
    </sheetView>
  </sheetViews>
  <sheetFormatPr defaultColWidth="8.7109375" defaultRowHeight="15"/>
  <cols>
    <col min="1" max="1" width="37.7109375" customWidth="1"/>
    <col min="2" max="2" width="9.140625" bestFit="1" customWidth="1"/>
    <col min="3" max="3" width="18.5703125" bestFit="1" customWidth="1"/>
    <col min="4" max="4" width="13.7109375" customWidth="1"/>
    <col min="5" max="5" width="14.85546875" customWidth="1"/>
    <col min="6" max="9" width="13.7109375" customWidth="1"/>
    <col min="10" max="10" width="15.85546875" customWidth="1"/>
    <col min="11" max="12" width="15.28515625" bestFit="1" customWidth="1"/>
    <col min="13" max="13" width="7.85546875" bestFit="1" customWidth="1"/>
  </cols>
  <sheetData>
    <row r="1" spans="1:25" s="41" customForma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40"/>
    </row>
    <row r="2" spans="1:25" s="41" customFormat="1">
      <c r="A2" s="259" t="s">
        <v>315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109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s="41" customFormat="1">
      <c r="A3" s="259" t="s">
        <v>311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40"/>
    </row>
    <row r="4" spans="1:25" s="41" customFormat="1">
      <c r="A4" s="259" t="s">
        <v>325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40"/>
    </row>
    <row r="5" spans="1:25">
      <c r="F5" s="3"/>
      <c r="G5" s="3"/>
      <c r="H5" s="3"/>
      <c r="I5" s="3"/>
    </row>
    <row r="6" spans="1:25">
      <c r="A6" s="183" t="s">
        <v>316</v>
      </c>
      <c r="D6" s="266" t="s">
        <v>5</v>
      </c>
      <c r="E6" s="267"/>
      <c r="F6" s="268"/>
      <c r="G6" s="266" t="s">
        <v>1</v>
      </c>
      <c r="H6" s="267"/>
      <c r="I6" s="268"/>
    </row>
    <row r="7" spans="1:25">
      <c r="A7" s="3"/>
      <c r="B7" s="3"/>
      <c r="C7" s="3" t="s">
        <v>15</v>
      </c>
      <c r="D7" s="3" t="s">
        <v>306</v>
      </c>
      <c r="E7" s="3" t="s">
        <v>306</v>
      </c>
      <c r="F7" s="3" t="s">
        <v>6</v>
      </c>
      <c r="G7" s="3" t="s">
        <v>306</v>
      </c>
      <c r="H7" s="3" t="s">
        <v>306</v>
      </c>
      <c r="I7" s="3" t="s">
        <v>6</v>
      </c>
      <c r="J7" s="46" t="s">
        <v>15</v>
      </c>
      <c r="K7" s="46" t="s">
        <v>15</v>
      </c>
      <c r="L7" s="3" t="s">
        <v>306</v>
      </c>
      <c r="M7" s="3"/>
    </row>
    <row r="8" spans="1:25">
      <c r="A8" s="3"/>
      <c r="B8" s="3" t="s">
        <v>17</v>
      </c>
      <c r="C8" s="3" t="s">
        <v>317</v>
      </c>
      <c r="D8" s="3" t="s">
        <v>313</v>
      </c>
      <c r="E8" s="3" t="s">
        <v>314</v>
      </c>
      <c r="F8" s="3" t="s">
        <v>306</v>
      </c>
      <c r="G8" s="3" t="s">
        <v>313</v>
      </c>
      <c r="H8" s="3" t="s">
        <v>314</v>
      </c>
      <c r="I8" s="3" t="s">
        <v>306</v>
      </c>
      <c r="J8" s="46" t="s">
        <v>2</v>
      </c>
      <c r="K8" s="46" t="s">
        <v>2</v>
      </c>
      <c r="L8" s="3" t="s">
        <v>2</v>
      </c>
      <c r="M8" s="3" t="s">
        <v>20</v>
      </c>
    </row>
    <row r="9" spans="1:25">
      <c r="A9" s="73" t="s">
        <v>4</v>
      </c>
      <c r="B9" s="73" t="s">
        <v>21</v>
      </c>
      <c r="C9" s="64" t="str">
        <f>'Sch. 101'!D8</f>
        <v>12ME Dec. 2025</v>
      </c>
      <c r="D9" s="73" t="s">
        <v>318</v>
      </c>
      <c r="E9" s="73" t="s">
        <v>318</v>
      </c>
      <c r="F9" s="73" t="s">
        <v>318</v>
      </c>
      <c r="G9" s="73" t="s">
        <v>318</v>
      </c>
      <c r="H9" s="73" t="s">
        <v>318</v>
      </c>
      <c r="I9" s="73" t="s">
        <v>318</v>
      </c>
      <c r="J9" s="65" t="s">
        <v>23</v>
      </c>
      <c r="K9" s="65" t="s">
        <v>124</v>
      </c>
      <c r="L9" s="73" t="s">
        <v>24</v>
      </c>
      <c r="M9" s="73" t="s">
        <v>24</v>
      </c>
      <c r="W9" s="96"/>
    </row>
    <row r="10" spans="1:25">
      <c r="A10" t="s">
        <v>7</v>
      </c>
      <c r="B10" s="3">
        <v>23</v>
      </c>
      <c r="C10" s="205">
        <v>8756784.3619149067</v>
      </c>
      <c r="D10" s="71">
        <v>-9.9700000000000006</v>
      </c>
      <c r="E10" s="71">
        <v>-8.5</v>
      </c>
      <c r="F10" s="184">
        <f>SUM(D10:E10)</f>
        <v>-18.47</v>
      </c>
      <c r="G10" s="71">
        <v>-9.9700000000000006</v>
      </c>
      <c r="H10" s="71">
        <v>-8.5</v>
      </c>
      <c r="I10" s="184">
        <f>SUM(G10:H10)</f>
        <v>-18.47</v>
      </c>
      <c r="J10" s="36">
        <f>C10*F10</f>
        <v>-161737807.16456831</v>
      </c>
      <c r="K10" s="36">
        <f>C10*I10</f>
        <v>-161737807.16456831</v>
      </c>
      <c r="L10" s="8">
        <f>K10-J10</f>
        <v>0</v>
      </c>
      <c r="M10" s="1">
        <f>-L10/J10</f>
        <v>0</v>
      </c>
      <c r="W10" s="94"/>
    </row>
    <row r="11" spans="1:25" ht="17.25">
      <c r="A11" t="s">
        <v>319</v>
      </c>
      <c r="B11" s="3">
        <v>16</v>
      </c>
      <c r="C11" s="205">
        <v>368.21052631578942</v>
      </c>
      <c r="D11" s="71">
        <v>-2.99</v>
      </c>
      <c r="E11" s="71">
        <v>-2.54</v>
      </c>
      <c r="F11" s="184">
        <f t="shared" ref="F11:F23" si="0">SUM(D11:E11)</f>
        <v>-5.53</v>
      </c>
      <c r="G11" s="71">
        <v>-2.99</v>
      </c>
      <c r="H11" s="71">
        <v>-2.54</v>
      </c>
      <c r="I11" s="184">
        <f t="shared" ref="I11:I23" si="1">SUM(G11:H11)</f>
        <v>-5.53</v>
      </c>
      <c r="J11" s="36">
        <f t="shared" ref="J11:J21" si="2">C11*F11</f>
        <v>-2036.2042105263156</v>
      </c>
      <c r="K11" s="36">
        <f t="shared" ref="K11:K23" si="3">C11*I11</f>
        <v>-2036.2042105263156</v>
      </c>
      <c r="L11" s="8">
        <f t="shared" ref="L11:L23" si="4">K11-J11</f>
        <v>0</v>
      </c>
      <c r="M11" s="1">
        <f t="shared" ref="M11:M23" si="5">-L11/J11</f>
        <v>0</v>
      </c>
    </row>
    <row r="12" spans="1:25">
      <c r="A12" t="s">
        <v>8</v>
      </c>
      <c r="B12" s="3">
        <v>31</v>
      </c>
      <c r="C12" s="205">
        <v>680636</v>
      </c>
      <c r="D12" s="71">
        <v>-52.27</v>
      </c>
      <c r="E12" s="71">
        <v>-44.73</v>
      </c>
      <c r="F12" s="184">
        <f t="shared" si="0"/>
        <v>-97</v>
      </c>
      <c r="G12" s="71">
        <v>-52.27</v>
      </c>
      <c r="H12" s="71">
        <v>-44.73</v>
      </c>
      <c r="I12" s="184">
        <f t="shared" si="1"/>
        <v>-97</v>
      </c>
      <c r="J12" s="36">
        <f t="shared" si="2"/>
        <v>-66021692</v>
      </c>
      <c r="K12" s="36">
        <f t="shared" si="3"/>
        <v>-66021692</v>
      </c>
      <c r="L12" s="8">
        <f t="shared" si="4"/>
        <v>0</v>
      </c>
      <c r="M12" s="1">
        <f t="shared" si="5"/>
        <v>0</v>
      </c>
    </row>
    <row r="13" spans="1:25">
      <c r="A13" t="s">
        <v>9</v>
      </c>
      <c r="B13" s="3">
        <v>41</v>
      </c>
      <c r="C13" s="205">
        <v>14802</v>
      </c>
      <c r="D13" s="71">
        <v>-654.39</v>
      </c>
      <c r="E13" s="71">
        <v>-560.54</v>
      </c>
      <c r="F13" s="184">
        <f t="shared" si="0"/>
        <v>-1214.9299999999998</v>
      </c>
      <c r="G13" s="71">
        <v>-654.39</v>
      </c>
      <c r="H13" s="71">
        <v>-560.54</v>
      </c>
      <c r="I13" s="184">
        <f t="shared" si="1"/>
        <v>-1214.9299999999998</v>
      </c>
      <c r="J13" s="36">
        <f t="shared" si="2"/>
        <v>-17983393.859999999</v>
      </c>
      <c r="K13" s="36">
        <f t="shared" si="3"/>
        <v>-17983393.859999999</v>
      </c>
      <c r="L13" s="8">
        <f t="shared" si="4"/>
        <v>0</v>
      </c>
      <c r="M13" s="1">
        <f t="shared" si="5"/>
        <v>0</v>
      </c>
    </row>
    <row r="14" spans="1:25">
      <c r="A14" t="s">
        <v>10</v>
      </c>
      <c r="B14" s="3">
        <v>85</v>
      </c>
      <c r="C14" s="205">
        <v>408</v>
      </c>
      <c r="D14" s="71">
        <v>-5508.8</v>
      </c>
      <c r="E14" s="71">
        <v>-4729.0200000000004</v>
      </c>
      <c r="F14" s="184">
        <f t="shared" si="0"/>
        <v>-10237.82</v>
      </c>
      <c r="G14" s="71">
        <v>-5508.8</v>
      </c>
      <c r="H14" s="71">
        <v>-4729.0200000000004</v>
      </c>
      <c r="I14" s="184">
        <f t="shared" si="1"/>
        <v>-10237.82</v>
      </c>
      <c r="J14" s="36">
        <f t="shared" si="2"/>
        <v>-4177030.56</v>
      </c>
      <c r="K14" s="36">
        <f t="shared" si="3"/>
        <v>-4177030.56</v>
      </c>
      <c r="L14" s="8">
        <f t="shared" si="4"/>
        <v>0</v>
      </c>
      <c r="M14" s="1">
        <f t="shared" si="5"/>
        <v>0</v>
      </c>
    </row>
    <row r="15" spans="1:25">
      <c r="A15" t="s">
        <v>11</v>
      </c>
      <c r="B15" s="3">
        <v>86</v>
      </c>
      <c r="C15" s="205">
        <v>1198</v>
      </c>
      <c r="D15" s="71">
        <v>-639</v>
      </c>
      <c r="E15" s="71">
        <v>-545.80999999999995</v>
      </c>
      <c r="F15" s="184">
        <f t="shared" si="0"/>
        <v>-1184.81</v>
      </c>
      <c r="G15" s="71">
        <v>-639</v>
      </c>
      <c r="H15" s="71">
        <v>-545.80999999999995</v>
      </c>
      <c r="I15" s="184">
        <f t="shared" si="1"/>
        <v>-1184.81</v>
      </c>
      <c r="J15" s="36">
        <f t="shared" si="2"/>
        <v>-1419402.38</v>
      </c>
      <c r="K15" s="36">
        <f t="shared" si="3"/>
        <v>-1419402.38</v>
      </c>
      <c r="L15" s="8">
        <f t="shared" si="4"/>
        <v>0</v>
      </c>
      <c r="M15" s="1">
        <f t="shared" si="5"/>
        <v>0</v>
      </c>
    </row>
    <row r="16" spans="1:25">
      <c r="A16" t="s">
        <v>12</v>
      </c>
      <c r="B16" s="3">
        <v>87</v>
      </c>
      <c r="C16" s="205">
        <v>12</v>
      </c>
      <c r="D16" s="71">
        <v>-20296.77</v>
      </c>
      <c r="E16" s="71">
        <v>-17418.96</v>
      </c>
      <c r="F16" s="184">
        <f t="shared" si="0"/>
        <v>-37715.729999999996</v>
      </c>
      <c r="G16" s="71">
        <v>-20296.77</v>
      </c>
      <c r="H16" s="71">
        <v>-17418.96</v>
      </c>
      <c r="I16" s="184">
        <f t="shared" si="1"/>
        <v>-37715.729999999996</v>
      </c>
      <c r="J16" s="36">
        <f t="shared" si="2"/>
        <v>-452588.75999999995</v>
      </c>
      <c r="K16" s="36">
        <f t="shared" si="3"/>
        <v>-452588.75999999995</v>
      </c>
      <c r="L16" s="8">
        <f t="shared" si="4"/>
        <v>0</v>
      </c>
      <c r="M16" s="1">
        <f t="shared" si="5"/>
        <v>0</v>
      </c>
    </row>
    <row r="17" spans="1:13">
      <c r="A17" t="s">
        <v>32</v>
      </c>
      <c r="B17" s="3" t="s">
        <v>33</v>
      </c>
      <c r="C17" s="205">
        <v>0</v>
      </c>
      <c r="D17" s="71">
        <v>-12.46</v>
      </c>
      <c r="E17" s="71">
        <v>-10.62</v>
      </c>
      <c r="F17" s="184">
        <f t="shared" si="0"/>
        <v>-23.08</v>
      </c>
      <c r="G17" s="71">
        <v>-12.46</v>
      </c>
      <c r="H17" s="71">
        <v>-10.62</v>
      </c>
      <c r="I17" s="184">
        <f t="shared" si="1"/>
        <v>-23.08</v>
      </c>
      <c r="J17" s="36">
        <f>C17*F17</f>
        <v>0</v>
      </c>
      <c r="K17" s="36">
        <f t="shared" si="3"/>
        <v>0</v>
      </c>
      <c r="L17" s="8">
        <f t="shared" si="4"/>
        <v>0</v>
      </c>
      <c r="M17" s="1" t="e">
        <f t="shared" si="5"/>
        <v>#DIV/0!</v>
      </c>
    </row>
    <row r="18" spans="1:13">
      <c r="A18" t="s">
        <v>34</v>
      </c>
      <c r="B18" s="3" t="s">
        <v>35</v>
      </c>
      <c r="C18" s="205">
        <v>1128</v>
      </c>
      <c r="D18" s="71">
        <v>-2991.39</v>
      </c>
      <c r="E18" s="71">
        <v>-2538.52</v>
      </c>
      <c r="F18" s="184">
        <f t="shared" si="0"/>
        <v>-5529.91</v>
      </c>
      <c r="G18" s="71">
        <v>-2991.39</v>
      </c>
      <c r="H18" s="71">
        <v>-2538.52</v>
      </c>
      <c r="I18" s="184">
        <f t="shared" si="1"/>
        <v>-5529.91</v>
      </c>
      <c r="J18" s="36">
        <f t="shared" si="2"/>
        <v>-6237738.4799999995</v>
      </c>
      <c r="K18" s="36">
        <f t="shared" si="3"/>
        <v>-6237738.4799999995</v>
      </c>
      <c r="L18" s="8">
        <f t="shared" si="4"/>
        <v>0</v>
      </c>
      <c r="M18" s="1">
        <f t="shared" si="5"/>
        <v>0</v>
      </c>
    </row>
    <row r="19" spans="1:13">
      <c r="A19" t="s">
        <v>36</v>
      </c>
      <c r="B19" s="3" t="s">
        <v>37</v>
      </c>
      <c r="C19" s="205">
        <v>984</v>
      </c>
      <c r="D19" s="71">
        <v>-9383.3700000000008</v>
      </c>
      <c r="E19" s="71">
        <v>-7967.5</v>
      </c>
      <c r="F19" s="184">
        <f t="shared" si="0"/>
        <v>-17350.870000000003</v>
      </c>
      <c r="G19" s="71">
        <v>-9383.3700000000008</v>
      </c>
      <c r="H19" s="71">
        <v>-7967.5</v>
      </c>
      <c r="I19" s="184">
        <f t="shared" si="1"/>
        <v>-17350.870000000003</v>
      </c>
      <c r="J19" s="36">
        <f t="shared" si="2"/>
        <v>-17073256.080000002</v>
      </c>
      <c r="K19" s="36">
        <f t="shared" si="3"/>
        <v>-17073256.080000002</v>
      </c>
      <c r="L19" s="8">
        <f t="shared" si="4"/>
        <v>0</v>
      </c>
      <c r="M19" s="1">
        <f t="shared" si="5"/>
        <v>0</v>
      </c>
    </row>
    <row r="20" spans="1:13">
      <c r="A20" t="s">
        <v>38</v>
      </c>
      <c r="B20" s="3" t="s">
        <v>39</v>
      </c>
      <c r="C20" s="205">
        <v>84</v>
      </c>
      <c r="D20" s="71">
        <v>-2241.9</v>
      </c>
      <c r="E20" s="71">
        <v>-1908.31</v>
      </c>
      <c r="F20" s="184">
        <f t="shared" si="0"/>
        <v>-4150.21</v>
      </c>
      <c r="G20" s="71">
        <v>-2241.9</v>
      </c>
      <c r="H20" s="71">
        <v>-1908.31</v>
      </c>
      <c r="I20" s="184">
        <f t="shared" si="1"/>
        <v>-4150.21</v>
      </c>
      <c r="J20" s="36">
        <f t="shared" si="2"/>
        <v>-348617.64</v>
      </c>
      <c r="K20" s="36">
        <f t="shared" si="3"/>
        <v>-348617.64</v>
      </c>
      <c r="L20" s="8">
        <f t="shared" si="4"/>
        <v>0</v>
      </c>
      <c r="M20" s="1">
        <f t="shared" si="5"/>
        <v>0</v>
      </c>
    </row>
    <row r="21" spans="1:13">
      <c r="A21" t="s">
        <v>40</v>
      </c>
      <c r="B21" s="3" t="s">
        <v>41</v>
      </c>
      <c r="C21" s="205">
        <v>36</v>
      </c>
      <c r="D21" s="71">
        <v>-33049.620000000003</v>
      </c>
      <c r="E21" s="71">
        <v>-27964.73</v>
      </c>
      <c r="F21" s="184">
        <f t="shared" si="0"/>
        <v>-61014.350000000006</v>
      </c>
      <c r="G21" s="71">
        <v>-33049.620000000003</v>
      </c>
      <c r="H21" s="71">
        <v>-27964.73</v>
      </c>
      <c r="I21" s="184">
        <f t="shared" si="1"/>
        <v>-61014.350000000006</v>
      </c>
      <c r="J21" s="36">
        <f t="shared" si="2"/>
        <v>-2196516.6</v>
      </c>
      <c r="K21" s="36">
        <f t="shared" si="3"/>
        <v>-2196516.6</v>
      </c>
      <c r="L21" s="8">
        <f t="shared" si="4"/>
        <v>0</v>
      </c>
      <c r="M21" s="1">
        <f t="shared" si="5"/>
        <v>0</v>
      </c>
    </row>
    <row r="22" spans="1:13">
      <c r="A22" t="s">
        <v>354</v>
      </c>
      <c r="B22" s="3" t="s">
        <v>355</v>
      </c>
      <c r="C22" s="205">
        <v>0</v>
      </c>
      <c r="D22" s="71">
        <v>-33049.620000000003</v>
      </c>
      <c r="E22" s="71">
        <v>-27964.73</v>
      </c>
      <c r="F22" s="184">
        <f t="shared" ref="F22" si="6">SUM(D22:E22)</f>
        <v>-61014.350000000006</v>
      </c>
      <c r="G22" s="71">
        <v>-33049.620000000003</v>
      </c>
      <c r="H22" s="71">
        <v>-27964.73</v>
      </c>
      <c r="I22" s="184">
        <f t="shared" ref="I22" si="7">SUM(G22:H22)</f>
        <v>-61014.350000000006</v>
      </c>
      <c r="J22" s="36">
        <f t="shared" ref="J22" si="8">C22*F22</f>
        <v>0</v>
      </c>
      <c r="K22" s="36">
        <f t="shared" ref="K22" si="9">C22*I22</f>
        <v>0</v>
      </c>
      <c r="L22" s="8">
        <f t="shared" ref="L22" si="10">K22-J22</f>
        <v>0</v>
      </c>
      <c r="M22" s="1" t="e">
        <f t="shared" ref="M22" si="11">-L22/J22</f>
        <v>#DIV/0!</v>
      </c>
    </row>
    <row r="23" spans="1:13">
      <c r="A23" t="s">
        <v>13</v>
      </c>
      <c r="B23" s="3"/>
      <c r="C23" s="205">
        <v>84</v>
      </c>
      <c r="D23" s="71">
        <v>-24152.47</v>
      </c>
      <c r="E23" s="71">
        <v>-20156.830000000002</v>
      </c>
      <c r="F23" s="184">
        <f t="shared" si="0"/>
        <v>-44309.3</v>
      </c>
      <c r="G23" s="71">
        <v>-24152.47</v>
      </c>
      <c r="H23" s="71">
        <v>-20156.830000000002</v>
      </c>
      <c r="I23" s="184">
        <f t="shared" si="1"/>
        <v>-44309.3</v>
      </c>
      <c r="J23" s="36">
        <f>C23*F23</f>
        <v>-3721981.2</v>
      </c>
      <c r="K23" s="36">
        <f t="shared" si="3"/>
        <v>-3721981.2</v>
      </c>
      <c r="L23" s="8">
        <f t="shared" si="4"/>
        <v>0</v>
      </c>
      <c r="M23" s="1">
        <f t="shared" si="5"/>
        <v>0</v>
      </c>
    </row>
    <row r="24" spans="1:13">
      <c r="A24" t="s">
        <v>6</v>
      </c>
      <c r="C24" s="10">
        <f>SUM(C10:C23)</f>
        <v>9456524.5724412221</v>
      </c>
      <c r="D24" s="14"/>
      <c r="E24" s="14"/>
      <c r="F24" s="6"/>
      <c r="G24" s="6"/>
      <c r="H24" s="6"/>
      <c r="I24" s="6"/>
      <c r="J24" s="37">
        <f t="shared" ref="J24:L24" si="12">SUM(J10:J23)</f>
        <v>-281372060.92877883</v>
      </c>
      <c r="K24" s="37">
        <f t="shared" si="12"/>
        <v>-281372060.92877883</v>
      </c>
      <c r="L24" s="11">
        <f t="shared" si="12"/>
        <v>0</v>
      </c>
      <c r="M24" s="2">
        <f>-L24/J24</f>
        <v>0</v>
      </c>
    </row>
    <row r="25" spans="1:13">
      <c r="J25" s="8"/>
      <c r="K25" s="8"/>
    </row>
    <row r="26" spans="1:13">
      <c r="A26" s="183" t="s">
        <v>320</v>
      </c>
      <c r="C26" s="14"/>
      <c r="D26" s="266" t="s">
        <v>5</v>
      </c>
      <c r="E26" s="267"/>
      <c r="F26" s="268"/>
      <c r="G26" s="266" t="s">
        <v>1</v>
      </c>
      <c r="H26" s="267"/>
      <c r="I26" s="268"/>
    </row>
    <row r="27" spans="1:13">
      <c r="A27" s="3"/>
      <c r="B27" s="3"/>
      <c r="C27" s="3" t="s">
        <v>15</v>
      </c>
      <c r="D27" s="3" t="s">
        <v>306</v>
      </c>
      <c r="E27" s="3" t="s">
        <v>306</v>
      </c>
      <c r="F27" s="3" t="s">
        <v>6</v>
      </c>
      <c r="G27" s="3" t="s">
        <v>306</v>
      </c>
      <c r="H27" s="3" t="s">
        <v>306</v>
      </c>
      <c r="I27" s="3" t="s">
        <v>6</v>
      </c>
      <c r="J27" s="46" t="s">
        <v>15</v>
      </c>
      <c r="K27" s="46" t="s">
        <v>15</v>
      </c>
      <c r="L27" s="3" t="s">
        <v>306</v>
      </c>
      <c r="M27" s="3"/>
    </row>
    <row r="28" spans="1:13">
      <c r="A28" s="3"/>
      <c r="B28" s="3" t="s">
        <v>17</v>
      </c>
      <c r="C28" s="3" t="s">
        <v>3</v>
      </c>
      <c r="D28" s="3" t="s">
        <v>313</v>
      </c>
      <c r="E28" s="3" t="s">
        <v>314</v>
      </c>
      <c r="F28" s="3" t="s">
        <v>306</v>
      </c>
      <c r="G28" s="3" t="s">
        <v>313</v>
      </c>
      <c r="H28" s="3" t="s">
        <v>314</v>
      </c>
      <c r="I28" s="3" t="s">
        <v>306</v>
      </c>
      <c r="J28" s="46" t="s">
        <v>2</v>
      </c>
      <c r="K28" s="46" t="s">
        <v>2</v>
      </c>
      <c r="L28" s="3" t="s">
        <v>2</v>
      </c>
      <c r="M28" s="3" t="s">
        <v>20</v>
      </c>
    </row>
    <row r="29" spans="1:13">
      <c r="A29" s="73" t="s">
        <v>4</v>
      </c>
      <c r="B29" s="73" t="s">
        <v>21</v>
      </c>
      <c r="C29" s="73" t="str">
        <f>C9</f>
        <v>12ME Dec. 2025</v>
      </c>
      <c r="D29" s="73" t="s">
        <v>321</v>
      </c>
      <c r="E29" s="73" t="s">
        <v>321</v>
      </c>
      <c r="F29" s="73" t="s">
        <v>321</v>
      </c>
      <c r="G29" s="73" t="s">
        <v>321</v>
      </c>
      <c r="H29" s="73" t="s">
        <v>321</v>
      </c>
      <c r="I29" s="73" t="s">
        <v>321</v>
      </c>
      <c r="J29" s="65" t="s">
        <v>23</v>
      </c>
      <c r="K29" s="65" t="s">
        <v>124</v>
      </c>
      <c r="L29" s="73" t="s">
        <v>24</v>
      </c>
      <c r="M29" s="73" t="s">
        <v>24</v>
      </c>
    </row>
    <row r="30" spans="1:13">
      <c r="A30" t="s">
        <v>322</v>
      </c>
      <c r="B30" s="3">
        <v>23</v>
      </c>
      <c r="C30" s="205">
        <v>57068869.78391654</v>
      </c>
      <c r="D30" s="7">
        <v>-0.23183000000000001</v>
      </c>
      <c r="E30" s="7">
        <v>-0.16491</v>
      </c>
      <c r="F30" s="6">
        <f t="shared" ref="F30" si="13">SUM(D30:E30)</f>
        <v>-0.39673999999999998</v>
      </c>
      <c r="G30" s="7">
        <v>-0.23183000000000001</v>
      </c>
      <c r="H30" s="7">
        <v>-0.16491</v>
      </c>
      <c r="I30" s="6">
        <f t="shared" ref="I30" si="14">SUM(G30:H30)</f>
        <v>-0.39673999999999998</v>
      </c>
      <c r="J30" s="36">
        <f t="shared" ref="J30" si="15">C30*F30</f>
        <v>-22641503.398071047</v>
      </c>
      <c r="K30" s="36">
        <f t="shared" ref="K30" si="16">C30*I30</f>
        <v>-22641503.398071047</v>
      </c>
      <c r="L30" s="8">
        <f t="shared" ref="L30" si="17">K30-J30</f>
        <v>0</v>
      </c>
      <c r="M30" s="2">
        <f>-L30/J30</f>
        <v>0</v>
      </c>
    </row>
    <row r="33" spans="1:13">
      <c r="A33" s="185" t="s">
        <v>323</v>
      </c>
      <c r="B33" s="185"/>
      <c r="C33" s="185"/>
      <c r="D33" s="185"/>
      <c r="E33" s="185"/>
      <c r="F33" s="186"/>
      <c r="G33" s="186"/>
      <c r="H33" s="186"/>
      <c r="I33" s="187"/>
      <c r="J33" s="188">
        <f>SUM(J24,J30)</f>
        <v>-304013564.32684988</v>
      </c>
      <c r="K33" s="188">
        <f t="shared" ref="K33:L33" si="18">SUM(K24,K30)</f>
        <v>-304013564.32684988</v>
      </c>
      <c r="L33" s="188">
        <f t="shared" si="18"/>
        <v>0</v>
      </c>
      <c r="M33" s="187">
        <f>-L33/J33</f>
        <v>0</v>
      </c>
    </row>
    <row r="35" spans="1:13" ht="17.25">
      <c r="A35" t="s">
        <v>324</v>
      </c>
    </row>
    <row r="36" spans="1:13">
      <c r="A36" t="s">
        <v>388</v>
      </c>
    </row>
    <row r="39" spans="1:13">
      <c r="F39" s="6"/>
      <c r="I39" s="6"/>
    </row>
    <row r="43" spans="1:13" ht="17.25">
      <c r="B43" s="108"/>
    </row>
  </sheetData>
  <mergeCells count="8">
    <mergeCell ref="D26:F26"/>
    <mergeCell ref="G26:I26"/>
    <mergeCell ref="A1:M1"/>
    <mergeCell ref="A2:M2"/>
    <mergeCell ref="A3:M3"/>
    <mergeCell ref="A4:M4"/>
    <mergeCell ref="D6:F6"/>
    <mergeCell ref="G6:I6"/>
  </mergeCells>
  <printOptions horizontalCentered="1"/>
  <pageMargins left="0.7" right="0.7" top="0.75" bottom="0.75" header="0.3" footer="0.3"/>
  <pageSetup scale="60" orientation="landscape" blackAndWhite="1" r:id="rId1"/>
  <headerFooter>
    <oddFooter>&amp;L&amp;F 
&amp;A&amp;C&amp;P&amp;R&amp;D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24"/>
  <sheetViews>
    <sheetView zoomScale="90" zoomScaleNormal="90" workbookViewId="0">
      <selection activeCell="C41" sqref="C41"/>
    </sheetView>
  </sheetViews>
  <sheetFormatPr defaultColWidth="8.7109375" defaultRowHeight="15"/>
  <cols>
    <col min="1" max="1" width="38.5703125" customWidth="1"/>
    <col min="3" max="3" width="18.5703125" bestFit="1" customWidth="1"/>
    <col min="4" max="5" width="13.7109375" customWidth="1"/>
    <col min="6" max="8" width="14.42578125" customWidth="1"/>
    <col min="9" max="9" width="8.28515625" customWidth="1"/>
  </cols>
  <sheetData>
    <row r="1" spans="1:9">
      <c r="A1" s="259" t="s">
        <v>0</v>
      </c>
      <c r="B1" s="259"/>
      <c r="C1" s="259"/>
      <c r="D1" s="259"/>
      <c r="E1" s="259"/>
      <c r="F1" s="259"/>
      <c r="G1" s="259"/>
      <c r="H1" s="259"/>
      <c r="I1" s="259"/>
    </row>
    <row r="2" spans="1:9">
      <c r="A2" s="259" t="s">
        <v>141</v>
      </c>
      <c r="B2" s="259"/>
      <c r="C2" s="259"/>
      <c r="D2" s="259"/>
      <c r="E2" s="259"/>
      <c r="F2" s="259"/>
      <c r="G2" s="259"/>
      <c r="H2" s="259"/>
      <c r="I2" s="259"/>
    </row>
    <row r="3" spans="1:9">
      <c r="A3" s="259" t="s">
        <v>142</v>
      </c>
      <c r="B3" s="259"/>
      <c r="C3" s="259"/>
      <c r="D3" s="259"/>
      <c r="E3" s="259"/>
      <c r="F3" s="259"/>
      <c r="G3" s="259"/>
      <c r="H3" s="259"/>
      <c r="I3" s="259"/>
    </row>
    <row r="4" spans="1:9">
      <c r="A4" s="259" t="s">
        <v>326</v>
      </c>
      <c r="B4" s="259"/>
      <c r="C4" s="259"/>
      <c r="D4" s="259"/>
      <c r="E4" s="259"/>
      <c r="F4" s="259"/>
      <c r="G4" s="259"/>
      <c r="H4" s="259"/>
      <c r="I4" s="259"/>
    </row>
    <row r="5" spans="1:9">
      <c r="D5" s="3"/>
      <c r="E5" s="3"/>
    </row>
    <row r="6" spans="1:9">
      <c r="A6" s="3"/>
      <c r="B6" s="3"/>
      <c r="C6" s="3" t="s">
        <v>15</v>
      </c>
      <c r="D6" s="3" t="s">
        <v>5</v>
      </c>
      <c r="E6" s="3" t="s">
        <v>1</v>
      </c>
      <c r="F6" s="46" t="s">
        <v>15</v>
      </c>
      <c r="G6" s="46" t="s">
        <v>15</v>
      </c>
      <c r="H6" s="3" t="s">
        <v>43</v>
      </c>
      <c r="I6" s="3"/>
    </row>
    <row r="7" spans="1:9">
      <c r="A7" s="3"/>
      <c r="B7" s="3" t="s">
        <v>17</v>
      </c>
      <c r="C7" s="3" t="s">
        <v>3</v>
      </c>
      <c r="D7" s="3" t="s">
        <v>43</v>
      </c>
      <c r="E7" s="3" t="s">
        <v>43</v>
      </c>
      <c r="F7" s="46" t="s">
        <v>2</v>
      </c>
      <c r="G7" s="46" t="s">
        <v>2</v>
      </c>
      <c r="H7" s="3" t="s">
        <v>2</v>
      </c>
      <c r="I7" s="3" t="s">
        <v>20</v>
      </c>
    </row>
    <row r="8" spans="1:9">
      <c r="A8" s="97" t="s">
        <v>4</v>
      </c>
      <c r="B8" s="97" t="s">
        <v>21</v>
      </c>
      <c r="C8" s="64" t="str">
        <f>'Sch. 101'!$D$8</f>
        <v>12ME Dec. 2025</v>
      </c>
      <c r="D8" s="97" t="s">
        <v>22</v>
      </c>
      <c r="E8" s="97" t="s">
        <v>22</v>
      </c>
      <c r="F8" s="42" t="s">
        <v>23</v>
      </c>
      <c r="G8" s="42" t="s">
        <v>124</v>
      </c>
      <c r="H8" s="97" t="s">
        <v>24</v>
      </c>
      <c r="I8" s="97" t="s">
        <v>24</v>
      </c>
    </row>
    <row r="9" spans="1:9">
      <c r="A9" t="s">
        <v>7</v>
      </c>
      <c r="B9" s="5" t="s">
        <v>30</v>
      </c>
      <c r="C9" s="45">
        <f>SUM('Rate Year Therms'!P10,'Rate Year Therms'!P11)</f>
        <v>539959592</v>
      </c>
      <c r="D9" s="7">
        <v>2.8750000000000001E-2</v>
      </c>
      <c r="E9" s="7">
        <v>2.8750000000000001E-2</v>
      </c>
      <c r="F9" s="36">
        <f>C9*D9</f>
        <v>15523838.270000001</v>
      </c>
      <c r="G9" s="36">
        <f>C9*E9</f>
        <v>15523838.270000001</v>
      </c>
      <c r="H9" s="8">
        <f>G9-F9</f>
        <v>0</v>
      </c>
      <c r="I9" s="1">
        <f>H9/F9</f>
        <v>0</v>
      </c>
    </row>
    <row r="10" spans="1:9">
      <c r="A10" t="s">
        <v>31</v>
      </c>
      <c r="B10" s="5">
        <v>16</v>
      </c>
      <c r="C10" s="45">
        <f>'Rate Year Therms'!P9</f>
        <v>6996</v>
      </c>
      <c r="D10" s="7">
        <v>2.8750000000000001E-2</v>
      </c>
      <c r="E10" s="7">
        <v>2.8750000000000001E-2</v>
      </c>
      <c r="F10" s="36">
        <f t="shared" ref="F10:F22" si="0">C10*D10</f>
        <v>201.13500000000002</v>
      </c>
      <c r="G10" s="36">
        <f t="shared" ref="G10:G22" si="1">C10*E10</f>
        <v>201.13500000000002</v>
      </c>
      <c r="H10" s="8">
        <f t="shared" ref="H10:H22" si="2">G10-F10</f>
        <v>0</v>
      </c>
      <c r="I10" s="1">
        <f t="shared" ref="I10:I20" si="3">H10/F10</f>
        <v>0</v>
      </c>
    </row>
    <row r="11" spans="1:9">
      <c r="A11" t="s">
        <v>8</v>
      </c>
      <c r="B11" s="5">
        <v>31</v>
      </c>
      <c r="C11" s="45">
        <f>'Rate Year Therms'!P12</f>
        <v>228527070</v>
      </c>
      <c r="D11" s="7">
        <v>2.8750000000000001E-2</v>
      </c>
      <c r="E11" s="7">
        <v>2.8750000000000001E-2</v>
      </c>
      <c r="F11" s="36">
        <f t="shared" si="0"/>
        <v>6570153.2625000002</v>
      </c>
      <c r="G11" s="36">
        <f t="shared" si="1"/>
        <v>6570153.2625000002</v>
      </c>
      <c r="H11" s="8">
        <f t="shared" si="2"/>
        <v>0</v>
      </c>
      <c r="I11" s="1">
        <f t="shared" si="3"/>
        <v>0</v>
      </c>
    </row>
    <row r="12" spans="1:9">
      <c r="A12" t="s">
        <v>9</v>
      </c>
      <c r="B12" s="5">
        <v>41</v>
      </c>
      <c r="C12" s="45">
        <f>'Rate Year Therms'!P13</f>
        <v>60329189</v>
      </c>
      <c r="D12" s="7">
        <v>2.8750000000000001E-2</v>
      </c>
      <c r="E12" s="7">
        <v>2.8750000000000001E-2</v>
      </c>
      <c r="F12" s="36">
        <f t="shared" si="0"/>
        <v>1734464.1837500001</v>
      </c>
      <c r="G12" s="36">
        <f t="shared" si="1"/>
        <v>1734464.1837500001</v>
      </c>
      <c r="H12" s="8">
        <f t="shared" si="2"/>
        <v>0</v>
      </c>
      <c r="I12" s="1">
        <f t="shared" si="3"/>
        <v>0</v>
      </c>
    </row>
    <row r="13" spans="1:9">
      <c r="A13" t="s">
        <v>10</v>
      </c>
      <c r="B13" s="5">
        <v>85</v>
      </c>
      <c r="C13" s="45">
        <f>'Rate Year Therms'!P14</f>
        <v>16668227</v>
      </c>
      <c r="D13" s="7">
        <v>2.5839999999999998E-2</v>
      </c>
      <c r="E13" s="7">
        <v>2.5839999999999998E-2</v>
      </c>
      <c r="F13" s="36">
        <f t="shared" si="0"/>
        <v>430706.98567999998</v>
      </c>
      <c r="G13" s="36">
        <f t="shared" si="1"/>
        <v>430706.98567999998</v>
      </c>
      <c r="H13" s="8">
        <f t="shared" si="2"/>
        <v>0</v>
      </c>
      <c r="I13" s="1">
        <f t="shared" si="3"/>
        <v>0</v>
      </c>
    </row>
    <row r="14" spans="1:9">
      <c r="A14" t="s">
        <v>11</v>
      </c>
      <c r="B14" s="5">
        <v>86</v>
      </c>
      <c r="C14" s="45">
        <f>'Rate Year Therms'!P15</f>
        <v>4684519</v>
      </c>
      <c r="D14" s="7">
        <v>2.5839999999999998E-2</v>
      </c>
      <c r="E14" s="7">
        <v>2.5839999999999998E-2</v>
      </c>
      <c r="F14" s="36">
        <f t="shared" si="0"/>
        <v>121047.97095999999</v>
      </c>
      <c r="G14" s="36">
        <f t="shared" si="1"/>
        <v>121047.97095999999</v>
      </c>
      <c r="H14" s="8">
        <f t="shared" si="2"/>
        <v>0</v>
      </c>
      <c r="I14" s="1">
        <f t="shared" si="3"/>
        <v>0</v>
      </c>
    </row>
    <row r="15" spans="1:9">
      <c r="A15" t="s">
        <v>12</v>
      </c>
      <c r="B15" s="5">
        <v>87</v>
      </c>
      <c r="C15" s="45">
        <f>'Rate Year Therms'!P16</f>
        <v>20007657</v>
      </c>
      <c r="D15" s="7">
        <v>2.5839999999999998E-2</v>
      </c>
      <c r="E15" s="7">
        <v>2.5839999999999998E-2</v>
      </c>
      <c r="F15" s="36">
        <f t="shared" si="0"/>
        <v>516997.85687999998</v>
      </c>
      <c r="G15" s="36">
        <f t="shared" si="1"/>
        <v>516997.85687999998</v>
      </c>
      <c r="H15" s="8">
        <f t="shared" si="2"/>
        <v>0</v>
      </c>
      <c r="I15" s="1">
        <f t="shared" si="3"/>
        <v>0</v>
      </c>
    </row>
    <row r="16" spans="1:9">
      <c r="A16" t="s">
        <v>32</v>
      </c>
      <c r="B16" s="5" t="s">
        <v>33</v>
      </c>
      <c r="C16" s="45">
        <f>'Rate Year Therms'!P17</f>
        <v>0</v>
      </c>
      <c r="D16" s="7">
        <v>0</v>
      </c>
      <c r="E16" s="7">
        <v>0</v>
      </c>
      <c r="F16" s="36">
        <f t="shared" si="0"/>
        <v>0</v>
      </c>
      <c r="G16" s="36">
        <f t="shared" si="1"/>
        <v>0</v>
      </c>
      <c r="H16" s="8">
        <f t="shared" si="2"/>
        <v>0</v>
      </c>
      <c r="I16" s="1" t="e">
        <f t="shared" si="3"/>
        <v>#DIV/0!</v>
      </c>
    </row>
    <row r="17" spans="1:9">
      <c r="A17" t="s">
        <v>34</v>
      </c>
      <c r="B17" t="s">
        <v>35</v>
      </c>
      <c r="C17" s="45">
        <f>'Rate Year Therms'!P18</f>
        <v>21757669</v>
      </c>
      <c r="D17" s="7">
        <v>0</v>
      </c>
      <c r="E17" s="7">
        <v>0</v>
      </c>
      <c r="F17" s="36">
        <f t="shared" si="0"/>
        <v>0</v>
      </c>
      <c r="G17" s="36">
        <f t="shared" si="1"/>
        <v>0</v>
      </c>
      <c r="H17" s="8">
        <f t="shared" si="2"/>
        <v>0</v>
      </c>
      <c r="I17" s="1" t="e">
        <f t="shared" si="3"/>
        <v>#DIV/0!</v>
      </c>
    </row>
    <row r="18" spans="1:9">
      <c r="A18" t="s">
        <v>36</v>
      </c>
      <c r="B18" t="s">
        <v>37</v>
      </c>
      <c r="C18" s="45">
        <f>'Rate Year Therms'!P19</f>
        <v>62744436</v>
      </c>
      <c r="D18" s="7">
        <v>0</v>
      </c>
      <c r="E18" s="7">
        <v>0</v>
      </c>
      <c r="F18" s="36">
        <f t="shared" si="0"/>
        <v>0</v>
      </c>
      <c r="G18" s="36">
        <f t="shared" si="1"/>
        <v>0</v>
      </c>
      <c r="H18" s="8">
        <f t="shared" si="2"/>
        <v>0</v>
      </c>
      <c r="I18" s="1" t="e">
        <f t="shared" si="3"/>
        <v>#DIV/0!</v>
      </c>
    </row>
    <row r="19" spans="1:9">
      <c r="A19" t="s">
        <v>38</v>
      </c>
      <c r="B19" t="s">
        <v>39</v>
      </c>
      <c r="C19" s="45">
        <f>'Rate Year Therms'!P20</f>
        <v>1176527</v>
      </c>
      <c r="D19" s="7">
        <v>0</v>
      </c>
      <c r="E19" s="7">
        <v>0</v>
      </c>
      <c r="F19" s="36">
        <f t="shared" si="0"/>
        <v>0</v>
      </c>
      <c r="G19" s="36">
        <f t="shared" si="1"/>
        <v>0</v>
      </c>
      <c r="H19" s="8">
        <f t="shared" si="2"/>
        <v>0</v>
      </c>
      <c r="I19" s="1" t="e">
        <f t="shared" si="3"/>
        <v>#DIV/0!</v>
      </c>
    </row>
    <row r="20" spans="1:9">
      <c r="A20" t="s">
        <v>40</v>
      </c>
      <c r="B20" t="s">
        <v>41</v>
      </c>
      <c r="C20" s="45">
        <f>'Rate Year Therms'!P21</f>
        <v>66693986.719999999</v>
      </c>
      <c r="D20" s="7">
        <v>0</v>
      </c>
      <c r="E20" s="7">
        <v>0</v>
      </c>
      <c r="F20" s="36">
        <f t="shared" si="0"/>
        <v>0</v>
      </c>
      <c r="G20" s="36">
        <f t="shared" si="1"/>
        <v>0</v>
      </c>
      <c r="H20" s="8">
        <f t="shared" si="2"/>
        <v>0</v>
      </c>
      <c r="I20" s="1" t="e">
        <f t="shared" si="3"/>
        <v>#DIV/0!</v>
      </c>
    </row>
    <row r="21" spans="1:9">
      <c r="A21" t="s">
        <v>354</v>
      </c>
      <c r="B21" t="s">
        <v>355</v>
      </c>
      <c r="C21" s="45">
        <f>'Rate Year Therms'!P22</f>
        <v>39295144</v>
      </c>
      <c r="D21" s="7">
        <v>0</v>
      </c>
      <c r="E21" s="7">
        <v>0</v>
      </c>
      <c r="F21" s="36">
        <f t="shared" ref="F21" si="4">C21*D21</f>
        <v>0</v>
      </c>
      <c r="G21" s="36">
        <f t="shared" ref="G21" si="5">C21*E21</f>
        <v>0</v>
      </c>
      <c r="H21" s="8">
        <f t="shared" ref="H21" si="6">G21-F21</f>
        <v>0</v>
      </c>
      <c r="I21" s="1" t="e">
        <f t="shared" ref="I21" si="7">H21/F21</f>
        <v>#DIV/0!</v>
      </c>
    </row>
    <row r="22" spans="1:9">
      <c r="A22" t="s">
        <v>13</v>
      </c>
      <c r="C22" s="45">
        <f>'Rate Year Therms'!P23</f>
        <v>32030387</v>
      </c>
      <c r="D22" s="9">
        <v>0</v>
      </c>
      <c r="E22" s="7">
        <v>0</v>
      </c>
      <c r="F22" s="36">
        <f t="shared" si="0"/>
        <v>0</v>
      </c>
      <c r="G22" s="36">
        <f t="shared" si="1"/>
        <v>0</v>
      </c>
      <c r="H22" s="8">
        <f t="shared" si="2"/>
        <v>0</v>
      </c>
      <c r="I22" s="1" t="e">
        <f>H22/F22</f>
        <v>#DIV/0!</v>
      </c>
    </row>
    <row r="23" spans="1:9">
      <c r="A23" t="s">
        <v>6</v>
      </c>
      <c r="C23" s="10">
        <f>SUM(C9:C22)</f>
        <v>1093881399.72</v>
      </c>
      <c r="D23" s="6"/>
      <c r="E23" s="116"/>
      <c r="F23" s="37">
        <f>SUM(F9:F22)</f>
        <v>24897409.66477</v>
      </c>
      <c r="G23" s="37">
        <f>SUM(G9:G22)</f>
        <v>24897409.66477</v>
      </c>
      <c r="H23" s="11">
        <f>SUM(H9:H22)</f>
        <v>0</v>
      </c>
      <c r="I23" s="2">
        <f>H23/F23</f>
        <v>0</v>
      </c>
    </row>
    <row r="24" spans="1:9">
      <c r="A24" s="19"/>
      <c r="B24" s="49"/>
      <c r="C24" s="106"/>
      <c r="D24" s="106"/>
      <c r="E24" s="106"/>
      <c r="F24" s="106"/>
      <c r="G24" s="106"/>
      <c r="H24" s="20"/>
      <c r="I24" s="41"/>
    </row>
  </sheetData>
  <mergeCells count="4">
    <mergeCell ref="A1:I1"/>
    <mergeCell ref="A3:I3"/>
    <mergeCell ref="A4:I4"/>
    <mergeCell ref="A2:I2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68"/>
  <sheetViews>
    <sheetView zoomScale="90" zoomScaleNormal="90" workbookViewId="0">
      <pane ySplit="8" topLeftCell="A33" activePane="bottomLeft" state="frozen"/>
      <selection activeCell="C41" sqref="C41"/>
      <selection pane="bottomLeft" activeCell="C41" sqref="C41"/>
    </sheetView>
  </sheetViews>
  <sheetFormatPr defaultColWidth="9.140625" defaultRowHeight="15"/>
  <cols>
    <col min="1" max="1" width="3.5703125" style="41" customWidth="1"/>
    <col min="2" max="2" width="19.85546875" style="41" customWidth="1"/>
    <col min="3" max="3" width="8.7109375" style="41" bestFit="1" customWidth="1"/>
    <col min="4" max="4" width="18.5703125" style="41" bestFit="1" customWidth="1"/>
    <col min="5" max="6" width="13.7109375" style="41" customWidth="1"/>
    <col min="7" max="9" width="14.42578125" style="41" customWidth="1"/>
    <col min="10" max="10" width="8.28515625" style="41" customWidth="1"/>
    <col min="11" max="11" width="11.85546875" style="41" bestFit="1" customWidth="1"/>
    <col min="12" max="12" width="11.28515625" style="41" bestFit="1" customWidth="1"/>
    <col min="13" max="13" width="10.5703125" style="41" customWidth="1"/>
    <col min="14" max="16384" width="9.140625" style="41"/>
  </cols>
  <sheetData>
    <row r="1" spans="1:10" ht="15" customHeigh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0" ht="15" customHeight="1">
      <c r="A2" s="259" t="s">
        <v>143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0" ht="15" customHeight="1">
      <c r="A3" s="259" t="s">
        <v>144</v>
      </c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5" customHeight="1">
      <c r="A4" s="259" t="s">
        <v>327</v>
      </c>
      <c r="B4" s="259"/>
      <c r="C4" s="259"/>
      <c r="D4" s="259"/>
      <c r="E4" s="259"/>
      <c r="F4" s="259"/>
      <c r="G4" s="259"/>
      <c r="H4" s="259"/>
      <c r="I4" s="259"/>
      <c r="J4" s="259"/>
    </row>
    <row r="6" spans="1:10">
      <c r="D6" s="3" t="s">
        <v>15</v>
      </c>
      <c r="E6" s="46"/>
      <c r="F6" s="46"/>
      <c r="G6" s="46" t="s">
        <v>15</v>
      </c>
      <c r="H6" s="46" t="s">
        <v>15</v>
      </c>
      <c r="I6" s="46" t="s">
        <v>73</v>
      </c>
    </row>
    <row r="7" spans="1:10">
      <c r="C7" s="46" t="s">
        <v>17</v>
      </c>
      <c r="D7" s="3" t="s">
        <v>3</v>
      </c>
      <c r="E7" s="46" t="s">
        <v>5</v>
      </c>
      <c r="F7" s="46" t="s">
        <v>1</v>
      </c>
      <c r="G7" s="46" t="s">
        <v>2</v>
      </c>
      <c r="H7" s="46" t="s">
        <v>2</v>
      </c>
      <c r="I7" s="46" t="s">
        <v>2</v>
      </c>
      <c r="J7" s="3" t="s">
        <v>20</v>
      </c>
    </row>
    <row r="8" spans="1:10">
      <c r="A8" s="269" t="s">
        <v>74</v>
      </c>
      <c r="B8" s="269"/>
      <c r="C8" s="42" t="s">
        <v>21</v>
      </c>
      <c r="D8" s="64" t="str">
        <f>'Sch. 101'!$D$8</f>
        <v>12ME Dec. 2025</v>
      </c>
      <c r="E8" s="42" t="s">
        <v>116</v>
      </c>
      <c r="F8" s="42" t="s">
        <v>17</v>
      </c>
      <c r="G8" s="42" t="s">
        <v>23</v>
      </c>
      <c r="H8" s="42" t="s">
        <v>124</v>
      </c>
      <c r="I8" s="42" t="s">
        <v>24</v>
      </c>
      <c r="J8" s="97" t="s">
        <v>24</v>
      </c>
    </row>
    <row r="9" spans="1:10">
      <c r="A9" s="41" t="s">
        <v>7</v>
      </c>
      <c r="C9" s="46" t="s">
        <v>47</v>
      </c>
      <c r="D9" s="45">
        <f>SUM('Rate Year Therms'!P10,'Rate Year Therms'!P11)</f>
        <v>539959592</v>
      </c>
      <c r="E9" s="7">
        <v>5.4999999999999997E-3</v>
      </c>
      <c r="F9" s="7">
        <v>5.4999999999999997E-3</v>
      </c>
      <c r="G9" s="38">
        <f>D9*(E9)</f>
        <v>2969777.7560000001</v>
      </c>
      <c r="H9" s="38">
        <f>D9*(F9)</f>
        <v>2969777.7560000001</v>
      </c>
      <c r="I9" s="48">
        <f>H9-G9</f>
        <v>0</v>
      </c>
      <c r="J9" s="20">
        <f>I9/G9</f>
        <v>0</v>
      </c>
    </row>
    <row r="10" spans="1:10">
      <c r="C10" s="46"/>
      <c r="D10" s="45"/>
      <c r="E10" s="7"/>
      <c r="F10" s="7"/>
      <c r="G10" s="38"/>
      <c r="H10" s="38"/>
      <c r="I10" s="48"/>
    </row>
    <row r="11" spans="1:10">
      <c r="A11" s="41" t="s">
        <v>48</v>
      </c>
      <c r="C11" s="46">
        <v>31</v>
      </c>
      <c r="D11" s="45">
        <f>'Rate Year Therms'!P12</f>
        <v>228527070</v>
      </c>
      <c r="E11" s="7">
        <v>4.7200000000000002E-3</v>
      </c>
      <c r="F11" s="7">
        <v>4.7200000000000002E-3</v>
      </c>
      <c r="G11" s="38">
        <f>D11*(E11)</f>
        <v>1078647.7704</v>
      </c>
      <c r="H11" s="38">
        <f>D11*(F11)</f>
        <v>1078647.7704</v>
      </c>
      <c r="I11" s="48">
        <f t="shared" ref="I11:I47" si="0">H11-G11</f>
        <v>0</v>
      </c>
      <c r="J11" s="20">
        <f t="shared" ref="J11:J12" si="1">I11/G11</f>
        <v>0</v>
      </c>
    </row>
    <row r="12" spans="1:10">
      <c r="A12" s="41" t="s">
        <v>48</v>
      </c>
      <c r="C12" s="46" t="s">
        <v>33</v>
      </c>
      <c r="D12" s="45">
        <f>'Rate Year Therms'!P17</f>
        <v>0</v>
      </c>
      <c r="E12" s="7">
        <v>4.7200000000000002E-3</v>
      </c>
      <c r="F12" s="7">
        <v>4.7200000000000002E-3</v>
      </c>
      <c r="G12" s="38">
        <f>D12*(E12)</f>
        <v>0</v>
      </c>
      <c r="H12" s="38">
        <f>D12*(F12)</f>
        <v>0</v>
      </c>
      <c r="I12" s="48">
        <f t="shared" si="0"/>
        <v>0</v>
      </c>
      <c r="J12" s="20" t="e">
        <f t="shared" si="1"/>
        <v>#DIV/0!</v>
      </c>
    </row>
    <row r="13" spans="1:10">
      <c r="C13" s="46"/>
      <c r="D13" s="45"/>
      <c r="E13" s="7"/>
      <c r="F13" s="7"/>
      <c r="G13" s="38"/>
      <c r="H13" s="38"/>
      <c r="I13" s="48"/>
    </row>
    <row r="14" spans="1:10">
      <c r="A14" s="41" t="s">
        <v>49</v>
      </c>
      <c r="C14" s="46">
        <v>41</v>
      </c>
      <c r="D14" s="45">
        <f>'Rate Year Therms'!P13</f>
        <v>60329189</v>
      </c>
      <c r="E14" s="7">
        <v>2.31E-3</v>
      </c>
      <c r="F14" s="7">
        <v>2.31E-3</v>
      </c>
      <c r="G14" s="38">
        <f>D14*(E14)</f>
        <v>139360.42658999999</v>
      </c>
      <c r="H14" s="38">
        <f>D14*(F14)</f>
        <v>139360.42658999999</v>
      </c>
      <c r="I14" s="48">
        <f t="shared" si="0"/>
        <v>0</v>
      </c>
      <c r="J14" s="20">
        <f t="shared" ref="J14:J15" si="2">I14/G14</f>
        <v>0</v>
      </c>
    </row>
    <row r="15" spans="1:10">
      <c r="A15" s="41" t="s">
        <v>49</v>
      </c>
      <c r="C15" s="46" t="s">
        <v>35</v>
      </c>
      <c r="D15" s="87">
        <f>'Rate Year Therms'!P18</f>
        <v>21757669</v>
      </c>
      <c r="E15" s="7">
        <v>2.31E-3</v>
      </c>
      <c r="F15" s="7">
        <v>2.31E-3</v>
      </c>
      <c r="G15" s="38">
        <f>D15*(E15)</f>
        <v>50260.215389999998</v>
      </c>
      <c r="H15" s="38">
        <f>D15*(F15)</f>
        <v>50260.215389999998</v>
      </c>
      <c r="I15" s="48">
        <f t="shared" si="0"/>
        <v>0</v>
      </c>
      <c r="J15" s="20">
        <f t="shared" si="2"/>
        <v>0</v>
      </c>
    </row>
    <row r="16" spans="1:10">
      <c r="C16" s="46"/>
      <c r="D16" s="49"/>
      <c r="E16" s="7"/>
      <c r="F16" s="7"/>
      <c r="G16" s="38"/>
      <c r="H16" s="38"/>
      <c r="I16" s="48"/>
    </row>
    <row r="17" spans="1:10">
      <c r="A17" s="41" t="s">
        <v>10</v>
      </c>
      <c r="C17" s="46">
        <v>85</v>
      </c>
      <c r="D17" s="88"/>
      <c r="E17" s="7"/>
      <c r="F17" s="7"/>
      <c r="G17" s="38"/>
      <c r="H17" s="38"/>
      <c r="I17" s="48"/>
    </row>
    <row r="18" spans="1:10">
      <c r="B18" s="41" t="s">
        <v>56</v>
      </c>
      <c r="C18" s="46"/>
      <c r="D18" s="88">
        <f>'Rate Year Therms'!$P$14*'RY#1 Therms by Block%'!N19</f>
        <v>6774073.2879818697</v>
      </c>
      <c r="E18" s="7">
        <v>1.66E-3</v>
      </c>
      <c r="F18" s="7">
        <v>1.66E-3</v>
      </c>
      <c r="G18" s="38">
        <f t="shared" ref="G18:G47" si="3">D18*(E18)</f>
        <v>11244.961658049904</v>
      </c>
      <c r="H18" s="38">
        <f t="shared" ref="H18:H47" si="4">D18*(F18)</f>
        <v>11244.961658049904</v>
      </c>
      <c r="I18" s="48">
        <f t="shared" si="0"/>
        <v>0</v>
      </c>
      <c r="J18" s="20">
        <f t="shared" ref="J18:J21" si="5">I18/G18</f>
        <v>0</v>
      </c>
    </row>
    <row r="19" spans="1:10">
      <c r="B19" s="41" t="s">
        <v>57</v>
      </c>
      <c r="C19" s="46"/>
      <c r="D19" s="88">
        <f>'Rate Year Therms'!$P$14*'RY#1 Therms by Block%'!N20</f>
        <v>3922815.2360674446</v>
      </c>
      <c r="E19" s="7">
        <v>1.01E-3</v>
      </c>
      <c r="F19" s="7">
        <v>1.01E-3</v>
      </c>
      <c r="G19" s="38">
        <f t="shared" si="3"/>
        <v>3962.0433884281192</v>
      </c>
      <c r="H19" s="38">
        <f t="shared" si="4"/>
        <v>3962.0433884281192</v>
      </c>
      <c r="I19" s="48">
        <f t="shared" si="0"/>
        <v>0</v>
      </c>
      <c r="J19" s="20">
        <f t="shared" si="5"/>
        <v>0</v>
      </c>
    </row>
    <row r="20" spans="1:10">
      <c r="B20" s="41" t="s">
        <v>58</v>
      </c>
      <c r="C20" s="46"/>
      <c r="D20" s="88">
        <f>'Rate Year Therms'!$P$14*'RY#1 Therms by Block%'!N21</f>
        <v>5971338.4759506872</v>
      </c>
      <c r="E20" s="7">
        <v>5.5000000000000003E-4</v>
      </c>
      <c r="F20" s="7">
        <v>5.5000000000000003E-4</v>
      </c>
      <c r="G20" s="38">
        <f t="shared" si="3"/>
        <v>3284.2361617728779</v>
      </c>
      <c r="H20" s="38">
        <f t="shared" si="4"/>
        <v>3284.2361617728779</v>
      </c>
      <c r="I20" s="48">
        <f t="shared" si="0"/>
        <v>0</v>
      </c>
      <c r="J20" s="20">
        <f t="shared" si="5"/>
        <v>0</v>
      </c>
    </row>
    <row r="21" spans="1:10">
      <c r="B21" s="41" t="s">
        <v>6</v>
      </c>
      <c r="C21" s="46"/>
      <c r="D21" s="89">
        <f>SUM(D18:D20)</f>
        <v>16668227</v>
      </c>
      <c r="E21" s="7"/>
      <c r="F21" s="7"/>
      <c r="G21" s="72">
        <f>SUM(G18:G20)</f>
        <v>18491.2412082509</v>
      </c>
      <c r="H21" s="72">
        <f t="shared" ref="H21:I21" si="6">SUM(H18:H20)</f>
        <v>18491.2412082509</v>
      </c>
      <c r="I21" s="72">
        <f t="shared" si="6"/>
        <v>0</v>
      </c>
      <c r="J21" s="90">
        <f t="shared" si="5"/>
        <v>0</v>
      </c>
    </row>
    <row r="22" spans="1:10">
      <c r="C22" s="46"/>
      <c r="D22" s="49"/>
      <c r="E22" s="7"/>
      <c r="F22" s="7"/>
      <c r="G22" s="38"/>
      <c r="H22" s="38"/>
      <c r="I22" s="48"/>
    </row>
    <row r="23" spans="1:10">
      <c r="A23" s="41" t="s">
        <v>10</v>
      </c>
      <c r="C23" s="46">
        <v>86</v>
      </c>
      <c r="D23" s="45">
        <f>'Rate Year Therms'!P15</f>
        <v>4684519</v>
      </c>
      <c r="E23" s="7">
        <v>1.7099999999999999E-3</v>
      </c>
      <c r="F23" s="7">
        <v>1.7099999999999999E-3</v>
      </c>
      <c r="G23" s="38">
        <f t="shared" si="3"/>
        <v>8010.5274899999995</v>
      </c>
      <c r="H23" s="38">
        <f t="shared" si="4"/>
        <v>8010.5274899999995</v>
      </c>
      <c r="I23" s="48">
        <f t="shared" si="0"/>
        <v>0</v>
      </c>
      <c r="J23" s="20">
        <f t="shared" ref="J23:J24" si="7">I23/G23</f>
        <v>0</v>
      </c>
    </row>
    <row r="24" spans="1:10">
      <c r="A24" s="41" t="s">
        <v>10</v>
      </c>
      <c r="C24" s="46" t="s">
        <v>39</v>
      </c>
      <c r="D24" s="87">
        <f>'Rate Year Therms'!P20</f>
        <v>1176527</v>
      </c>
      <c r="E24" s="7">
        <v>1.7099999999999999E-3</v>
      </c>
      <c r="F24" s="7">
        <v>1.7099999999999999E-3</v>
      </c>
      <c r="G24" s="38">
        <f t="shared" si="3"/>
        <v>2011.8611699999999</v>
      </c>
      <c r="H24" s="38">
        <f t="shared" si="4"/>
        <v>2011.8611699999999</v>
      </c>
      <c r="I24" s="48">
        <f t="shared" si="0"/>
        <v>0</v>
      </c>
      <c r="J24" s="20">
        <f t="shared" si="7"/>
        <v>0</v>
      </c>
    </row>
    <row r="25" spans="1:10">
      <c r="C25" s="46"/>
      <c r="D25" s="49"/>
      <c r="E25" s="7"/>
      <c r="F25" s="7"/>
      <c r="G25" s="38"/>
      <c r="H25" s="38"/>
      <c r="I25" s="48"/>
    </row>
    <row r="26" spans="1:10">
      <c r="A26" s="41" t="s">
        <v>10</v>
      </c>
      <c r="C26" s="46">
        <v>87</v>
      </c>
      <c r="D26" s="49"/>
      <c r="E26" s="7"/>
      <c r="F26" s="7"/>
      <c r="G26" s="38"/>
      <c r="H26" s="38"/>
      <c r="I26" s="48"/>
    </row>
    <row r="27" spans="1:10">
      <c r="B27" s="41" t="s">
        <v>56</v>
      </c>
      <c r="C27" s="46"/>
      <c r="D27" s="88">
        <f>'Rate Year Therms'!$P$16*'RY#1 Therms by Block%'!N41</f>
        <v>1200000</v>
      </c>
      <c r="E27" s="7">
        <v>1.66E-3</v>
      </c>
      <c r="F27" s="7">
        <v>1.66E-3</v>
      </c>
      <c r="G27" s="38">
        <f t="shared" si="3"/>
        <v>1992</v>
      </c>
      <c r="H27" s="38">
        <f t="shared" si="4"/>
        <v>1992</v>
      </c>
      <c r="I27" s="48">
        <f t="shared" si="0"/>
        <v>0</v>
      </c>
      <c r="J27" s="20">
        <f t="shared" ref="J27:J33" si="8">I27/G27</f>
        <v>0</v>
      </c>
    </row>
    <row r="28" spans="1:10">
      <c r="B28" s="41" t="s">
        <v>57</v>
      </c>
      <c r="C28" s="46"/>
      <c r="D28" s="88">
        <f>'Rate Year Therms'!$P$16*'RY#1 Therms by Block%'!N42</f>
        <v>1200000</v>
      </c>
      <c r="E28" s="7">
        <v>1.01E-3</v>
      </c>
      <c r="F28" s="7">
        <v>1.01E-3</v>
      </c>
      <c r="G28" s="38">
        <f t="shared" si="3"/>
        <v>1212</v>
      </c>
      <c r="H28" s="38">
        <f t="shared" si="4"/>
        <v>1212</v>
      </c>
      <c r="I28" s="48">
        <f t="shared" si="0"/>
        <v>0</v>
      </c>
      <c r="J28" s="20">
        <f t="shared" si="8"/>
        <v>0</v>
      </c>
    </row>
    <row r="29" spans="1:10">
      <c r="B29" s="41" t="s">
        <v>62</v>
      </c>
      <c r="C29" s="46"/>
      <c r="D29" s="88">
        <f>'Rate Year Therms'!$P$16*'RY#1 Therms by Block%'!N43</f>
        <v>2400000</v>
      </c>
      <c r="E29" s="7">
        <v>6.6E-4</v>
      </c>
      <c r="F29" s="7">
        <v>6.6E-4</v>
      </c>
      <c r="G29" s="38">
        <f t="shared" si="3"/>
        <v>1584</v>
      </c>
      <c r="H29" s="38">
        <f t="shared" si="4"/>
        <v>1584</v>
      </c>
      <c r="I29" s="48">
        <f t="shared" si="0"/>
        <v>0</v>
      </c>
      <c r="J29" s="20">
        <f t="shared" si="8"/>
        <v>0</v>
      </c>
    </row>
    <row r="30" spans="1:10">
      <c r="B30" s="41" t="s">
        <v>63</v>
      </c>
      <c r="C30" s="46"/>
      <c r="D30" s="88">
        <f>'Rate Year Therms'!$P$16*'RY#1 Therms by Block%'!N44</f>
        <v>3127546.681753166</v>
      </c>
      <c r="E30" s="7">
        <v>4.2999999999999999E-4</v>
      </c>
      <c r="F30" s="7">
        <v>4.2999999999999999E-4</v>
      </c>
      <c r="G30" s="38">
        <f t="shared" si="3"/>
        <v>1344.8450731538614</v>
      </c>
      <c r="H30" s="38">
        <f t="shared" si="4"/>
        <v>1344.8450731538614</v>
      </c>
      <c r="I30" s="48">
        <f t="shared" si="0"/>
        <v>0</v>
      </c>
      <c r="J30" s="20">
        <f t="shared" si="8"/>
        <v>0</v>
      </c>
    </row>
    <row r="31" spans="1:10">
      <c r="B31" s="41" t="s">
        <v>64</v>
      </c>
      <c r="C31" s="46"/>
      <c r="D31" s="88">
        <f>'Rate Year Therms'!$P$16*'RY#1 Therms by Block%'!N45</f>
        <v>3948028.7649102923</v>
      </c>
      <c r="E31" s="7">
        <v>3.2000000000000003E-4</v>
      </c>
      <c r="F31" s="7">
        <v>3.2000000000000003E-4</v>
      </c>
      <c r="G31" s="38">
        <f t="shared" si="3"/>
        <v>1263.3692047712937</v>
      </c>
      <c r="H31" s="38">
        <f t="shared" si="4"/>
        <v>1263.3692047712937</v>
      </c>
      <c r="I31" s="48">
        <f t="shared" si="0"/>
        <v>0</v>
      </c>
      <c r="J31" s="20">
        <f t="shared" si="8"/>
        <v>0</v>
      </c>
    </row>
    <row r="32" spans="1:10">
      <c r="B32" s="41" t="s">
        <v>65</v>
      </c>
      <c r="C32" s="46"/>
      <c r="D32" s="88">
        <f>'Rate Year Therms'!$P$16*'RY#1 Therms by Block%'!N46</f>
        <v>8132081.5533365402</v>
      </c>
      <c r="E32" s="7">
        <v>2.1000000000000001E-4</v>
      </c>
      <c r="F32" s="7">
        <v>2.1000000000000001E-4</v>
      </c>
      <c r="G32" s="38">
        <f t="shared" si="3"/>
        <v>1707.7371262006736</v>
      </c>
      <c r="H32" s="38">
        <f t="shared" si="4"/>
        <v>1707.7371262006736</v>
      </c>
      <c r="I32" s="48">
        <f t="shared" si="0"/>
        <v>0</v>
      </c>
      <c r="J32" s="20">
        <f t="shared" si="8"/>
        <v>0</v>
      </c>
    </row>
    <row r="33" spans="1:10">
      <c r="B33" s="41" t="s">
        <v>6</v>
      </c>
      <c r="C33" s="46"/>
      <c r="D33" s="89">
        <f>SUM(D27:D32)</f>
        <v>20007657</v>
      </c>
      <c r="E33" s="7"/>
      <c r="F33" s="7"/>
      <c r="G33" s="72">
        <f>SUM(G27:G32)</f>
        <v>9103.9514041258299</v>
      </c>
      <c r="H33" s="72">
        <f t="shared" ref="H33:I33" si="9">SUM(H27:H32)</f>
        <v>9103.9514041258299</v>
      </c>
      <c r="I33" s="72">
        <f t="shared" si="9"/>
        <v>0</v>
      </c>
      <c r="J33" s="90">
        <f t="shared" si="8"/>
        <v>0</v>
      </c>
    </row>
    <row r="34" spans="1:10">
      <c r="C34" s="46"/>
      <c r="D34" s="49"/>
      <c r="E34" s="7"/>
      <c r="F34" s="7"/>
      <c r="G34" s="38"/>
      <c r="H34" s="38"/>
      <c r="I34" s="48"/>
      <c r="J34" s="98"/>
    </row>
    <row r="35" spans="1:10">
      <c r="A35" s="41" t="s">
        <v>75</v>
      </c>
      <c r="C35" s="46" t="s">
        <v>37</v>
      </c>
      <c r="D35" s="49"/>
      <c r="E35" s="7"/>
      <c r="F35" s="7"/>
      <c r="G35" s="38"/>
      <c r="H35" s="38"/>
      <c r="I35" s="48"/>
      <c r="J35" s="98"/>
    </row>
    <row r="36" spans="1:10">
      <c r="B36" s="41" t="s">
        <v>56</v>
      </c>
      <c r="C36" s="46"/>
      <c r="D36" s="88">
        <f>'Rate Year Therms'!$P$19*'RY#1 Therms by Block%'!N25</f>
        <v>23553163.399398193</v>
      </c>
      <c r="E36" s="7">
        <v>1.66E-3</v>
      </c>
      <c r="F36" s="7">
        <v>1.66E-3</v>
      </c>
      <c r="G36" s="38">
        <f t="shared" si="3"/>
        <v>39098.251243001003</v>
      </c>
      <c r="H36" s="38">
        <f t="shared" si="4"/>
        <v>39098.251243001003</v>
      </c>
      <c r="I36" s="48">
        <f t="shared" si="0"/>
        <v>0</v>
      </c>
      <c r="J36" s="20">
        <f t="shared" ref="J36:J39" si="10">I36/G36</f>
        <v>0</v>
      </c>
    </row>
    <row r="37" spans="1:10">
      <c r="B37" s="41" t="s">
        <v>57</v>
      </c>
      <c r="C37" s="46"/>
      <c r="D37" s="88">
        <f>'Rate Year Therms'!$P$19*'RY#1 Therms by Block%'!N26</f>
        <v>15856050.612148415</v>
      </c>
      <c r="E37" s="7">
        <v>1.01E-3</v>
      </c>
      <c r="F37" s="7">
        <v>1.01E-3</v>
      </c>
      <c r="G37" s="38">
        <f t="shared" si="3"/>
        <v>16014.611118269901</v>
      </c>
      <c r="H37" s="38">
        <f t="shared" si="4"/>
        <v>16014.611118269901</v>
      </c>
      <c r="I37" s="48">
        <f t="shared" si="0"/>
        <v>0</v>
      </c>
      <c r="J37" s="20">
        <f t="shared" si="10"/>
        <v>0</v>
      </c>
    </row>
    <row r="38" spans="1:10">
      <c r="B38" s="41" t="s">
        <v>58</v>
      </c>
      <c r="C38" s="46"/>
      <c r="D38" s="88">
        <f>'Rate Year Therms'!$P$19*'RY#1 Therms by Block%'!N27</f>
        <v>23335221.988453392</v>
      </c>
      <c r="E38" s="7">
        <v>5.5000000000000003E-4</v>
      </c>
      <c r="F38" s="7">
        <v>5.5000000000000003E-4</v>
      </c>
      <c r="G38" s="38">
        <f t="shared" si="3"/>
        <v>12834.372093649366</v>
      </c>
      <c r="H38" s="38">
        <f t="shared" si="4"/>
        <v>12834.372093649366</v>
      </c>
      <c r="I38" s="48">
        <f t="shared" si="0"/>
        <v>0</v>
      </c>
      <c r="J38" s="20">
        <f t="shared" si="10"/>
        <v>0</v>
      </c>
    </row>
    <row r="39" spans="1:10">
      <c r="B39" s="41" t="s">
        <v>6</v>
      </c>
      <c r="C39" s="46"/>
      <c r="D39" s="89">
        <f>SUM(D36:D38)</f>
        <v>62744436</v>
      </c>
      <c r="E39" s="7"/>
      <c r="F39" s="7"/>
      <c r="G39" s="72">
        <f>SUM(G36:G38)</f>
        <v>67947.234454920268</v>
      </c>
      <c r="H39" s="72">
        <f t="shared" ref="H39:I39" si="11">SUM(H36:H38)</f>
        <v>67947.234454920268</v>
      </c>
      <c r="I39" s="72">
        <f t="shared" si="11"/>
        <v>0</v>
      </c>
      <c r="J39" s="90">
        <f t="shared" si="10"/>
        <v>0</v>
      </c>
    </row>
    <row r="40" spans="1:10">
      <c r="C40" s="46"/>
      <c r="D40" s="49"/>
      <c r="E40" s="7"/>
      <c r="F40" s="7"/>
      <c r="G40" s="38"/>
      <c r="H40" s="38"/>
      <c r="I40" s="48"/>
      <c r="J40" s="98"/>
    </row>
    <row r="41" spans="1:10">
      <c r="A41" s="41" t="s">
        <v>75</v>
      </c>
      <c r="C41" s="46" t="s">
        <v>41</v>
      </c>
      <c r="D41" s="49"/>
      <c r="E41" s="7"/>
      <c r="F41" s="7"/>
      <c r="G41" s="38"/>
      <c r="H41" s="38"/>
      <c r="I41" s="48"/>
    </row>
    <row r="42" spans="1:10">
      <c r="B42" s="41" t="s">
        <v>56</v>
      </c>
      <c r="C42" s="46"/>
      <c r="D42" s="88">
        <f>'Rate Year Therms'!$P$21*'RY#1 Therms by Block%'!N50</f>
        <v>3000000</v>
      </c>
      <c r="E42" s="7">
        <v>1.66E-3</v>
      </c>
      <c r="F42" s="7">
        <v>1.66E-3</v>
      </c>
      <c r="G42" s="38">
        <f t="shared" si="3"/>
        <v>4980</v>
      </c>
      <c r="H42" s="38">
        <f t="shared" si="4"/>
        <v>4980</v>
      </c>
      <c r="I42" s="48">
        <f t="shared" si="0"/>
        <v>0</v>
      </c>
      <c r="J42" s="20">
        <f t="shared" ref="J42:J48" si="12">I42/G42</f>
        <v>0</v>
      </c>
    </row>
    <row r="43" spans="1:10">
      <c r="B43" s="41" t="s">
        <v>57</v>
      </c>
      <c r="C43" s="46"/>
      <c r="D43" s="88">
        <f>'Rate Year Therms'!$P$21*'RY#1 Therms by Block%'!N51</f>
        <v>3000000</v>
      </c>
      <c r="E43" s="7">
        <v>1.01E-3</v>
      </c>
      <c r="F43" s="7">
        <v>1.01E-3</v>
      </c>
      <c r="G43" s="38">
        <f t="shared" si="3"/>
        <v>3030</v>
      </c>
      <c r="H43" s="38">
        <f t="shared" si="4"/>
        <v>3030</v>
      </c>
      <c r="I43" s="48">
        <f t="shared" si="0"/>
        <v>0</v>
      </c>
      <c r="J43" s="20">
        <f t="shared" si="12"/>
        <v>0</v>
      </c>
    </row>
    <row r="44" spans="1:10">
      <c r="B44" s="41" t="s">
        <v>62</v>
      </c>
      <c r="C44" s="46"/>
      <c r="D44" s="88">
        <f>'Rate Year Therms'!$P$21*'RY#1 Therms by Block%'!N52</f>
        <v>6000000</v>
      </c>
      <c r="E44" s="7">
        <v>6.6E-4</v>
      </c>
      <c r="F44" s="7">
        <v>6.6E-4</v>
      </c>
      <c r="G44" s="38">
        <f t="shared" si="3"/>
        <v>3960</v>
      </c>
      <c r="H44" s="38">
        <f t="shared" si="4"/>
        <v>3960</v>
      </c>
      <c r="I44" s="48">
        <f t="shared" si="0"/>
        <v>0</v>
      </c>
      <c r="J44" s="20">
        <f t="shared" si="12"/>
        <v>0</v>
      </c>
    </row>
    <row r="45" spans="1:10">
      <c r="B45" s="41" t="s">
        <v>63</v>
      </c>
      <c r="C45" s="46"/>
      <c r="D45" s="88">
        <f>'Rate Year Therms'!$P$21*'RY#1 Therms by Block%'!N53</f>
        <v>8824772.2542880289</v>
      </c>
      <c r="E45" s="7">
        <v>4.2999999999999999E-4</v>
      </c>
      <c r="F45" s="7">
        <v>4.2999999999999999E-4</v>
      </c>
      <c r="G45" s="38">
        <f t="shared" si="3"/>
        <v>3794.6520693438524</v>
      </c>
      <c r="H45" s="38">
        <f t="shared" si="4"/>
        <v>3794.6520693438524</v>
      </c>
      <c r="I45" s="48">
        <f t="shared" si="0"/>
        <v>0</v>
      </c>
      <c r="J45" s="20">
        <f t="shared" si="12"/>
        <v>0</v>
      </c>
    </row>
    <row r="46" spans="1:10">
      <c r="B46" s="41" t="s">
        <v>64</v>
      </c>
      <c r="C46" s="46"/>
      <c r="D46" s="88">
        <f>'Rate Year Therms'!$P$21*'RY#1 Therms by Block%'!N54</f>
        <v>19735102.43240466</v>
      </c>
      <c r="E46" s="7">
        <v>3.2000000000000003E-4</v>
      </c>
      <c r="F46" s="7">
        <v>3.2000000000000003E-4</v>
      </c>
      <c r="G46" s="38">
        <f t="shared" si="3"/>
        <v>6315.2327783694918</v>
      </c>
      <c r="H46" s="38">
        <f t="shared" si="4"/>
        <v>6315.2327783694918</v>
      </c>
      <c r="I46" s="48">
        <f t="shared" si="0"/>
        <v>0</v>
      </c>
      <c r="J46" s="20">
        <f t="shared" si="12"/>
        <v>0</v>
      </c>
    </row>
    <row r="47" spans="1:10">
      <c r="B47" s="41" t="s">
        <v>65</v>
      </c>
      <c r="C47" s="46"/>
      <c r="D47" s="88">
        <f>'Rate Year Therms'!$P$21*'RY#1 Therms by Block%'!N55</f>
        <v>26134112.03330731</v>
      </c>
      <c r="E47" s="7">
        <v>2.1000000000000001E-4</v>
      </c>
      <c r="F47" s="7">
        <v>2.1000000000000001E-4</v>
      </c>
      <c r="G47" s="38">
        <f t="shared" si="3"/>
        <v>5488.1635269945355</v>
      </c>
      <c r="H47" s="38">
        <f t="shared" si="4"/>
        <v>5488.1635269945355</v>
      </c>
      <c r="I47" s="48">
        <f t="shared" si="0"/>
        <v>0</v>
      </c>
      <c r="J47" s="20">
        <f t="shared" si="12"/>
        <v>0</v>
      </c>
    </row>
    <row r="48" spans="1:10">
      <c r="B48" s="41" t="s">
        <v>6</v>
      </c>
      <c r="C48" s="46"/>
      <c r="D48" s="89">
        <f>SUM(D42:D47)</f>
        <v>66693986.719999999</v>
      </c>
      <c r="E48" s="7"/>
      <c r="F48" s="7"/>
      <c r="G48" s="72">
        <f>SUM(G42:G47)</f>
        <v>27568.04837470788</v>
      </c>
      <c r="H48" s="72">
        <f t="shared" ref="H48:I48" si="13">SUM(H42:H47)</f>
        <v>27568.04837470788</v>
      </c>
      <c r="I48" s="72">
        <f t="shared" si="13"/>
        <v>0</v>
      </c>
      <c r="J48" s="90">
        <f t="shared" si="12"/>
        <v>0</v>
      </c>
    </row>
    <row r="49" spans="1:12">
      <c r="D49" s="49"/>
      <c r="E49" s="7"/>
      <c r="F49" s="7"/>
      <c r="G49" s="38"/>
      <c r="H49" s="38"/>
      <c r="I49" s="48"/>
    </row>
    <row r="50" spans="1:12">
      <c r="A50" s="41" t="s">
        <v>75</v>
      </c>
      <c r="C50" s="46" t="s">
        <v>355</v>
      </c>
      <c r="D50" s="49"/>
      <c r="E50" s="7"/>
      <c r="F50" s="7"/>
      <c r="G50" s="38"/>
      <c r="H50" s="38"/>
      <c r="I50" s="48"/>
    </row>
    <row r="51" spans="1:12">
      <c r="B51" s="41" t="s">
        <v>56</v>
      </c>
      <c r="C51" s="46"/>
      <c r="D51" s="88">
        <f>'Rate Year Therms'!$P$22*'RY#1 Therms by Block%'!N59</f>
        <v>300000</v>
      </c>
      <c r="E51" s="7">
        <v>1.66E-3</v>
      </c>
      <c r="F51" s="7">
        <v>1.66E-3</v>
      </c>
      <c r="G51" s="38">
        <f t="shared" ref="G51:G56" si="14">D51*(E51)</f>
        <v>498</v>
      </c>
      <c r="H51" s="38">
        <f t="shared" ref="H51:H56" si="15">D51*(F51)</f>
        <v>498</v>
      </c>
      <c r="I51" s="48">
        <f t="shared" ref="I51:I56" si="16">H51-G51</f>
        <v>0</v>
      </c>
      <c r="J51" s="20">
        <f t="shared" ref="J51:J57" si="17">I51/G51</f>
        <v>0</v>
      </c>
    </row>
    <row r="52" spans="1:12">
      <c r="B52" s="41" t="s">
        <v>57</v>
      </c>
      <c r="C52" s="46"/>
      <c r="D52" s="88">
        <f>'Rate Year Therms'!$P$22*'RY#1 Therms by Block%'!N60</f>
        <v>300000</v>
      </c>
      <c r="E52" s="7">
        <v>1.01E-3</v>
      </c>
      <c r="F52" s="7">
        <v>1.01E-3</v>
      </c>
      <c r="G52" s="38">
        <f t="shared" si="14"/>
        <v>303</v>
      </c>
      <c r="H52" s="38">
        <f t="shared" si="15"/>
        <v>303</v>
      </c>
      <c r="I52" s="48">
        <f t="shared" si="16"/>
        <v>0</v>
      </c>
      <c r="J52" s="20">
        <f t="shared" si="17"/>
        <v>0</v>
      </c>
    </row>
    <row r="53" spans="1:12">
      <c r="B53" s="41" t="s">
        <v>62</v>
      </c>
      <c r="C53" s="46"/>
      <c r="D53" s="88">
        <f>'Rate Year Therms'!$P$22*'RY#1 Therms by Block%'!N61</f>
        <v>600000</v>
      </c>
      <c r="E53" s="7">
        <v>6.6E-4</v>
      </c>
      <c r="F53" s="7">
        <v>6.6E-4</v>
      </c>
      <c r="G53" s="38">
        <f t="shared" si="14"/>
        <v>396</v>
      </c>
      <c r="H53" s="38">
        <f t="shared" si="15"/>
        <v>396</v>
      </c>
      <c r="I53" s="48">
        <f t="shared" si="16"/>
        <v>0</v>
      </c>
      <c r="J53" s="20">
        <f t="shared" si="17"/>
        <v>0</v>
      </c>
    </row>
    <row r="54" spans="1:12">
      <c r="B54" s="41" t="s">
        <v>63</v>
      </c>
      <c r="C54" s="46"/>
      <c r="D54" s="88">
        <f>'Rate Year Therms'!$P$22*'RY#1 Therms by Block%'!N62</f>
        <v>1200000</v>
      </c>
      <c r="E54" s="7">
        <v>4.2999999999999999E-4</v>
      </c>
      <c r="F54" s="7">
        <v>4.2999999999999999E-4</v>
      </c>
      <c r="G54" s="38">
        <f t="shared" si="14"/>
        <v>516</v>
      </c>
      <c r="H54" s="38">
        <f t="shared" si="15"/>
        <v>516</v>
      </c>
      <c r="I54" s="48">
        <f t="shared" si="16"/>
        <v>0</v>
      </c>
      <c r="J54" s="20">
        <f t="shared" si="17"/>
        <v>0</v>
      </c>
    </row>
    <row r="55" spans="1:12">
      <c r="B55" s="41" t="s">
        <v>64</v>
      </c>
      <c r="C55" s="46"/>
      <c r="D55" s="88">
        <f>'Rate Year Therms'!$P$22*'RY#1 Therms by Block%'!N63</f>
        <v>3600000</v>
      </c>
      <c r="E55" s="7">
        <v>3.2000000000000003E-4</v>
      </c>
      <c r="F55" s="7">
        <v>3.2000000000000003E-4</v>
      </c>
      <c r="G55" s="38">
        <f t="shared" si="14"/>
        <v>1152</v>
      </c>
      <c r="H55" s="38">
        <f t="shared" si="15"/>
        <v>1152</v>
      </c>
      <c r="I55" s="48">
        <f t="shared" si="16"/>
        <v>0</v>
      </c>
      <c r="J55" s="20">
        <f t="shared" si="17"/>
        <v>0</v>
      </c>
    </row>
    <row r="56" spans="1:12">
      <c r="B56" s="41" t="s">
        <v>65</v>
      </c>
      <c r="C56" s="46"/>
      <c r="D56" s="88">
        <f>'Rate Year Therms'!$P$22*'RY#1 Therms by Block%'!N64</f>
        <v>33295144</v>
      </c>
      <c r="E56" s="7">
        <v>2.1000000000000001E-4</v>
      </c>
      <c r="F56" s="7">
        <v>2.1000000000000001E-4</v>
      </c>
      <c r="G56" s="38">
        <f t="shared" si="14"/>
        <v>6991.9802399999999</v>
      </c>
      <c r="H56" s="38">
        <f t="shared" si="15"/>
        <v>6991.9802399999999</v>
      </c>
      <c r="I56" s="48">
        <f t="shared" si="16"/>
        <v>0</v>
      </c>
      <c r="J56" s="20">
        <f t="shared" si="17"/>
        <v>0</v>
      </c>
    </row>
    <row r="57" spans="1:12">
      <c r="B57" s="41" t="s">
        <v>6</v>
      </c>
      <c r="C57" s="46"/>
      <c r="D57" s="89">
        <f>SUM(D51:D56)</f>
        <v>39295144</v>
      </c>
      <c r="E57" s="7"/>
      <c r="F57" s="7"/>
      <c r="G57" s="72">
        <f>SUM(G51:G56)</f>
        <v>9856.9802400000008</v>
      </c>
      <c r="H57" s="72">
        <f t="shared" ref="H57:I57" si="18">SUM(H51:H56)</f>
        <v>9856.9802400000008</v>
      </c>
      <c r="I57" s="72">
        <f t="shared" si="18"/>
        <v>0</v>
      </c>
      <c r="J57" s="90">
        <f t="shared" si="17"/>
        <v>0</v>
      </c>
    </row>
    <row r="58" spans="1:12">
      <c r="D58" s="49"/>
      <c r="E58" s="7"/>
      <c r="F58" s="7"/>
      <c r="G58" s="38"/>
      <c r="H58" s="38"/>
      <c r="I58" s="48"/>
    </row>
    <row r="59" spans="1:12">
      <c r="B59" s="41" t="s">
        <v>6</v>
      </c>
      <c r="D59" s="89">
        <f>D9+D11+D14+D21+D23+D33+D39+D48+D12+D15+D24+D57</f>
        <v>1061844016.72</v>
      </c>
      <c r="E59" s="199"/>
      <c r="F59" s="199"/>
      <c r="G59" s="200">
        <f>G9+G11+G14+G21+G23+G33+G39+G48+G12+G15+G24+G57</f>
        <v>4381036.0127220051</v>
      </c>
      <c r="H59" s="200">
        <f t="shared" ref="H59:I59" si="19">H9+H11+H14+H21+H23+H33+H39+H48+H12+H15+H24+H57</f>
        <v>4381036.0127220051</v>
      </c>
      <c r="I59" s="200">
        <f t="shared" si="19"/>
        <v>0</v>
      </c>
      <c r="J59" s="90">
        <f>I59/G59</f>
        <v>0</v>
      </c>
    </row>
    <row r="60" spans="1:12">
      <c r="J60" s="98"/>
    </row>
    <row r="61" spans="1:12">
      <c r="G61" s="48"/>
      <c r="H61" s="48"/>
    </row>
    <row r="62" spans="1:12">
      <c r="L62" s="98"/>
    </row>
    <row r="63" spans="1:12">
      <c r="B63" s="99"/>
      <c r="D63" s="100"/>
      <c r="E63" s="100"/>
      <c r="F63" s="100"/>
      <c r="G63" s="48"/>
      <c r="H63" s="48"/>
    </row>
    <row r="64" spans="1:12">
      <c r="D64" s="101"/>
    </row>
    <row r="66" spans="3:6">
      <c r="E66" s="19"/>
      <c r="F66" s="49"/>
    </row>
    <row r="67" spans="3:6">
      <c r="C67" s="100"/>
      <c r="D67" s="100"/>
      <c r="E67" s="19"/>
      <c r="F67" s="49"/>
    </row>
    <row r="68" spans="3:6">
      <c r="E68" s="19"/>
      <c r="F68" s="49"/>
    </row>
  </sheetData>
  <mergeCells count="5">
    <mergeCell ref="A8:B8"/>
    <mergeCell ref="A1:J1"/>
    <mergeCell ref="A3:J3"/>
    <mergeCell ref="A4:J4"/>
    <mergeCell ref="A2:J2"/>
  </mergeCells>
  <printOptions horizontalCentered="1"/>
  <pageMargins left="0.75" right="0.75" top="1" bottom="1" header="0.5" footer="0.5"/>
  <pageSetup scale="54" orientation="landscape" blackAndWhite="1" horizontalDpi="300" verticalDpi="300" r:id="rId1"/>
  <headerFooter alignWithMargins="0">
    <oddFooter>&amp;L&amp;F 
&amp;A&amp;C&amp;P&amp;R&amp;D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L68"/>
  <sheetViews>
    <sheetView zoomScale="90" zoomScaleNormal="90" workbookViewId="0">
      <pane ySplit="8" topLeftCell="A33" activePane="bottomLeft" state="frozen"/>
      <selection activeCell="C41" sqref="C41"/>
      <selection pane="bottomLeft" activeCell="C41" sqref="C41"/>
    </sheetView>
  </sheetViews>
  <sheetFormatPr defaultColWidth="9.140625" defaultRowHeight="15"/>
  <cols>
    <col min="1" max="1" width="3.5703125" style="41" customWidth="1"/>
    <col min="2" max="2" width="19.85546875" style="41" customWidth="1"/>
    <col min="3" max="3" width="8.7109375" style="41" bestFit="1" customWidth="1"/>
    <col min="4" max="4" width="18.5703125" style="41" bestFit="1" customWidth="1"/>
    <col min="5" max="6" width="13.7109375" style="41" customWidth="1"/>
    <col min="7" max="9" width="14.42578125" style="41" customWidth="1"/>
    <col min="10" max="10" width="8.28515625" style="41" customWidth="1"/>
    <col min="11" max="11" width="11.85546875" style="41" bestFit="1" customWidth="1"/>
    <col min="12" max="12" width="11.28515625" style="41" bestFit="1" customWidth="1"/>
    <col min="13" max="13" width="10.5703125" style="41" customWidth="1"/>
    <col min="14" max="16384" width="9.140625" style="41"/>
  </cols>
  <sheetData>
    <row r="1" spans="1:10" ht="15" customHeigh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0" ht="15" customHeight="1">
      <c r="A2" s="259" t="s">
        <v>329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0" ht="15" customHeight="1">
      <c r="A3" s="259" t="s">
        <v>330</v>
      </c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5" customHeight="1">
      <c r="A4" s="259" t="s">
        <v>327</v>
      </c>
      <c r="B4" s="259"/>
      <c r="C4" s="259"/>
      <c r="D4" s="259"/>
      <c r="E4" s="259"/>
      <c r="F4" s="259"/>
      <c r="G4" s="259"/>
      <c r="H4" s="259"/>
      <c r="I4" s="259"/>
      <c r="J4" s="259"/>
    </row>
    <row r="6" spans="1:10">
      <c r="D6" s="3" t="s">
        <v>15</v>
      </c>
      <c r="E6" s="46"/>
      <c r="F6" s="46"/>
      <c r="G6" s="46" t="s">
        <v>15</v>
      </c>
      <c r="H6" s="46" t="s">
        <v>15</v>
      </c>
      <c r="I6" s="46" t="s">
        <v>328</v>
      </c>
    </row>
    <row r="7" spans="1:10">
      <c r="C7" s="46" t="s">
        <v>17</v>
      </c>
      <c r="D7" s="3" t="s">
        <v>3</v>
      </c>
      <c r="E7" s="46" t="s">
        <v>5</v>
      </c>
      <c r="F7" s="46" t="s">
        <v>1</v>
      </c>
      <c r="G7" s="46" t="s">
        <v>2</v>
      </c>
      <c r="H7" s="46" t="s">
        <v>2</v>
      </c>
      <c r="I7" s="46" t="s">
        <v>2</v>
      </c>
      <c r="J7" s="3" t="s">
        <v>20</v>
      </c>
    </row>
    <row r="8" spans="1:10">
      <c r="A8" s="270" t="s">
        <v>74</v>
      </c>
      <c r="B8" s="270"/>
      <c r="C8" s="65" t="s">
        <v>21</v>
      </c>
      <c r="D8" s="64" t="str">
        <f>'Sch. 101'!D8</f>
        <v>12ME Dec. 2025</v>
      </c>
      <c r="E8" s="65" t="s">
        <v>116</v>
      </c>
      <c r="F8" s="65" t="s">
        <v>17</v>
      </c>
      <c r="G8" s="65" t="s">
        <v>23</v>
      </c>
      <c r="H8" s="65" t="s">
        <v>124</v>
      </c>
      <c r="I8" s="65" t="s">
        <v>24</v>
      </c>
      <c r="J8" s="73" t="s">
        <v>24</v>
      </c>
    </row>
    <row r="9" spans="1:10">
      <c r="A9" s="41" t="s">
        <v>7</v>
      </c>
      <c r="C9" s="46" t="s">
        <v>47</v>
      </c>
      <c r="D9" s="45">
        <f>SUM('Rate Year Therms'!P10,'Rate Year Therms'!P11)</f>
        <v>539959592</v>
      </c>
      <c r="E9" s="7">
        <v>1.5959999999999998E-2</v>
      </c>
      <c r="F9" s="7">
        <v>1.5959999999999998E-2</v>
      </c>
      <c r="G9" s="38">
        <f>D9*(E9)</f>
        <v>8617755.0883200001</v>
      </c>
      <c r="H9" s="38">
        <f>D9*(F9)</f>
        <v>8617755.0883200001</v>
      </c>
      <c r="I9" s="48">
        <f>H9-G9</f>
        <v>0</v>
      </c>
      <c r="J9" s="20">
        <f>IF(G9=0,1,I9/G9)</f>
        <v>0</v>
      </c>
    </row>
    <row r="10" spans="1:10">
      <c r="C10" s="46"/>
      <c r="D10" s="45"/>
      <c r="E10" s="7"/>
      <c r="F10" s="7"/>
      <c r="G10" s="38"/>
      <c r="H10" s="38"/>
      <c r="I10" s="48"/>
    </row>
    <row r="11" spans="1:10">
      <c r="A11" s="41" t="s">
        <v>48</v>
      </c>
      <c r="C11" s="46">
        <v>31</v>
      </c>
      <c r="D11" s="45">
        <f>'Rate Year Therms'!P12</f>
        <v>228527070</v>
      </c>
      <c r="E11" s="7">
        <v>1.37E-2</v>
      </c>
      <c r="F11" s="7">
        <v>1.37E-2</v>
      </c>
      <c r="G11" s="38">
        <f>D11*(E11)</f>
        <v>3130820.8590000002</v>
      </c>
      <c r="H11" s="38">
        <f>D11*(F11)</f>
        <v>3130820.8590000002</v>
      </c>
      <c r="I11" s="48">
        <f t="shared" ref="I11:I47" si="0">H11-G11</f>
        <v>0</v>
      </c>
      <c r="J11" s="20">
        <f t="shared" ref="J11:J12" si="1">IF(G11=0,1,I11/G11)</f>
        <v>0</v>
      </c>
    </row>
    <row r="12" spans="1:10">
      <c r="A12" s="41" t="s">
        <v>48</v>
      </c>
      <c r="C12" s="46" t="s">
        <v>33</v>
      </c>
      <c r="D12" s="45">
        <f>'Rate Year Therms'!P17</f>
        <v>0</v>
      </c>
      <c r="E12" s="7">
        <v>1.37E-2</v>
      </c>
      <c r="F12" s="7">
        <v>1.37E-2</v>
      </c>
      <c r="G12" s="38">
        <f>D12*(E12)</f>
        <v>0</v>
      </c>
      <c r="H12" s="38">
        <f>D12*(F12)</f>
        <v>0</v>
      </c>
      <c r="I12" s="48">
        <f t="shared" si="0"/>
        <v>0</v>
      </c>
      <c r="J12" s="20">
        <f t="shared" si="1"/>
        <v>1</v>
      </c>
    </row>
    <row r="13" spans="1:10">
      <c r="C13" s="46"/>
      <c r="D13" s="45"/>
      <c r="E13" s="7"/>
      <c r="F13" s="7"/>
      <c r="G13" s="38"/>
      <c r="H13" s="38"/>
      <c r="I13" s="48"/>
    </row>
    <row r="14" spans="1:10">
      <c r="A14" s="41" t="s">
        <v>49</v>
      </c>
      <c r="C14" s="46">
        <v>41</v>
      </c>
      <c r="D14" s="45">
        <f>'Rate Year Therms'!P13</f>
        <v>60329189</v>
      </c>
      <c r="E14" s="7">
        <v>6.7200000000000003E-3</v>
      </c>
      <c r="F14" s="7">
        <v>6.7200000000000003E-3</v>
      </c>
      <c r="G14" s="38">
        <f>D14*(E14)</f>
        <v>405412.15007999999</v>
      </c>
      <c r="H14" s="38">
        <f>D14*(F14)</f>
        <v>405412.15007999999</v>
      </c>
      <c r="I14" s="48">
        <f t="shared" si="0"/>
        <v>0</v>
      </c>
      <c r="J14" s="20">
        <f t="shared" ref="J14:J15" si="2">IF(G14=0,1,I14/G14)</f>
        <v>0</v>
      </c>
    </row>
    <row r="15" spans="1:10">
      <c r="A15" s="41" t="s">
        <v>49</v>
      </c>
      <c r="C15" s="46" t="s">
        <v>35</v>
      </c>
      <c r="D15" s="87">
        <f>'Rate Year Therms'!P18</f>
        <v>21757669</v>
      </c>
      <c r="E15" s="7">
        <v>6.7200000000000003E-3</v>
      </c>
      <c r="F15" s="7">
        <v>6.7200000000000003E-3</v>
      </c>
      <c r="G15" s="38">
        <f>D15*(E15)</f>
        <v>146211.53568</v>
      </c>
      <c r="H15" s="38">
        <f>D15*(F15)</f>
        <v>146211.53568</v>
      </c>
      <c r="I15" s="48">
        <f t="shared" si="0"/>
        <v>0</v>
      </c>
      <c r="J15" s="20">
        <f t="shared" si="2"/>
        <v>0</v>
      </c>
    </row>
    <row r="16" spans="1:10">
      <c r="C16" s="46"/>
      <c r="D16" s="49"/>
      <c r="E16" s="7"/>
      <c r="F16" s="7"/>
      <c r="G16" s="38"/>
      <c r="H16" s="38"/>
      <c r="I16" s="48"/>
    </row>
    <row r="17" spans="1:10">
      <c r="A17" s="41" t="s">
        <v>10</v>
      </c>
      <c r="C17" s="46">
        <v>85</v>
      </c>
      <c r="D17" s="88"/>
      <c r="E17" s="7"/>
      <c r="F17" s="7"/>
      <c r="G17" s="38"/>
      <c r="H17" s="38"/>
      <c r="I17" s="48"/>
    </row>
    <row r="18" spans="1:10">
      <c r="B18" s="41" t="s">
        <v>56</v>
      </c>
      <c r="C18" s="46"/>
      <c r="D18" s="88">
        <f>'Rate Year Therms'!$P$14*'RY#1 Therms by Block%'!N19</f>
        <v>6774073.2879818697</v>
      </c>
      <c r="E18" s="7">
        <v>4.8300000000000001E-3</v>
      </c>
      <c r="F18" s="7">
        <v>4.8300000000000001E-3</v>
      </c>
      <c r="G18" s="38">
        <f t="shared" ref="G18:G47" si="3">D18*(E18)</f>
        <v>32718.773980952432</v>
      </c>
      <c r="H18" s="38">
        <f t="shared" ref="H18:H47" si="4">D18*(F18)</f>
        <v>32718.773980952432</v>
      </c>
      <c r="I18" s="48">
        <f t="shared" si="0"/>
        <v>0</v>
      </c>
      <c r="J18" s="20">
        <f t="shared" ref="J18:J21" si="5">IF(G18=0,1,I18/G18)</f>
        <v>0</v>
      </c>
    </row>
    <row r="19" spans="1:10">
      <c r="B19" s="41" t="s">
        <v>57</v>
      </c>
      <c r="C19" s="46"/>
      <c r="D19" s="88">
        <f>'Rate Year Therms'!$P$14*'RY#1 Therms by Block%'!N20</f>
        <v>3922815.2360674446</v>
      </c>
      <c r="E19" s="7">
        <v>2.9499999999999999E-3</v>
      </c>
      <c r="F19" s="7">
        <v>2.9499999999999999E-3</v>
      </c>
      <c r="G19" s="38">
        <f t="shared" si="3"/>
        <v>11572.304946398961</v>
      </c>
      <c r="H19" s="38">
        <f t="shared" si="4"/>
        <v>11572.304946398961</v>
      </c>
      <c r="I19" s="48">
        <f t="shared" si="0"/>
        <v>0</v>
      </c>
      <c r="J19" s="20">
        <f t="shared" si="5"/>
        <v>0</v>
      </c>
    </row>
    <row r="20" spans="1:10">
      <c r="B20" s="41" t="s">
        <v>58</v>
      </c>
      <c r="C20" s="46"/>
      <c r="D20" s="88">
        <f>'Rate Year Therms'!$P$14*'RY#1 Therms by Block%'!N21</f>
        <v>5971338.4759506872</v>
      </c>
      <c r="E20" s="7">
        <v>1.6100000000000001E-3</v>
      </c>
      <c r="F20" s="7">
        <v>1.6100000000000001E-3</v>
      </c>
      <c r="G20" s="38">
        <f t="shared" si="3"/>
        <v>9613.8549462806077</v>
      </c>
      <c r="H20" s="38">
        <f t="shared" si="4"/>
        <v>9613.8549462806077</v>
      </c>
      <c r="I20" s="48">
        <f t="shared" si="0"/>
        <v>0</v>
      </c>
      <c r="J20" s="20">
        <f t="shared" si="5"/>
        <v>0</v>
      </c>
    </row>
    <row r="21" spans="1:10">
      <c r="B21" s="41" t="s">
        <v>6</v>
      </c>
      <c r="C21" s="46"/>
      <c r="D21" s="89">
        <f>SUM(D18:D20)</f>
        <v>16668227</v>
      </c>
      <c r="E21" s="7"/>
      <c r="F21" s="7"/>
      <c r="G21" s="72">
        <f>SUM(G18:G20)</f>
        <v>53904.933873632006</v>
      </c>
      <c r="H21" s="72">
        <f t="shared" ref="H21:I21" si="6">SUM(H18:H20)</f>
        <v>53904.933873632006</v>
      </c>
      <c r="I21" s="72">
        <f t="shared" si="6"/>
        <v>0</v>
      </c>
      <c r="J21" s="90">
        <f t="shared" si="5"/>
        <v>0</v>
      </c>
    </row>
    <row r="22" spans="1:10">
      <c r="C22" s="46"/>
      <c r="D22" s="49"/>
      <c r="E22" s="7"/>
      <c r="F22" s="7"/>
      <c r="G22" s="38"/>
      <c r="H22" s="38"/>
      <c r="I22" s="48"/>
    </row>
    <row r="23" spans="1:10">
      <c r="A23" s="41" t="s">
        <v>10</v>
      </c>
      <c r="C23" s="46">
        <v>86</v>
      </c>
      <c r="D23" s="45">
        <f>'Rate Year Therms'!P15</f>
        <v>4684519</v>
      </c>
      <c r="E23" s="7">
        <v>4.9800000000000001E-3</v>
      </c>
      <c r="F23" s="7">
        <v>4.9800000000000001E-3</v>
      </c>
      <c r="G23" s="38">
        <f t="shared" si="3"/>
        <v>23328.904620000001</v>
      </c>
      <c r="H23" s="38">
        <f t="shared" si="4"/>
        <v>23328.904620000001</v>
      </c>
      <c r="I23" s="48">
        <f t="shared" si="0"/>
        <v>0</v>
      </c>
      <c r="J23" s="20">
        <f t="shared" ref="J23:J24" si="7">IF(G23=0,1,I23/G23)</f>
        <v>0</v>
      </c>
    </row>
    <row r="24" spans="1:10">
      <c r="A24" s="41" t="s">
        <v>10</v>
      </c>
      <c r="C24" s="46" t="s">
        <v>39</v>
      </c>
      <c r="D24" s="87">
        <f>'Rate Year Therms'!P20</f>
        <v>1176527</v>
      </c>
      <c r="E24" s="7">
        <v>4.9800000000000001E-3</v>
      </c>
      <c r="F24" s="7">
        <v>4.9800000000000001E-3</v>
      </c>
      <c r="G24" s="38">
        <f t="shared" si="3"/>
        <v>5859.1044600000005</v>
      </c>
      <c r="H24" s="38">
        <f t="shared" si="4"/>
        <v>5859.1044600000005</v>
      </c>
      <c r="I24" s="48">
        <f t="shared" si="0"/>
        <v>0</v>
      </c>
      <c r="J24" s="20">
        <f t="shared" si="7"/>
        <v>0</v>
      </c>
    </row>
    <row r="25" spans="1:10">
      <c r="C25" s="46"/>
      <c r="D25" s="49"/>
      <c r="E25" s="7"/>
      <c r="F25" s="7"/>
      <c r="G25" s="38"/>
      <c r="H25" s="38"/>
      <c r="I25" s="48"/>
    </row>
    <row r="26" spans="1:10">
      <c r="A26" s="41" t="s">
        <v>10</v>
      </c>
      <c r="C26" s="46">
        <v>87</v>
      </c>
      <c r="D26" s="49"/>
      <c r="E26" s="7"/>
      <c r="F26" s="7"/>
      <c r="G26" s="38"/>
      <c r="H26" s="38"/>
      <c r="I26" s="48"/>
    </row>
    <row r="27" spans="1:10">
      <c r="B27" s="41" t="s">
        <v>56</v>
      </c>
      <c r="C27" s="46"/>
      <c r="D27" s="88">
        <f>'Rate Year Therms'!$P$16*'RY#1 Therms by Block%'!N41</f>
        <v>1200000</v>
      </c>
      <c r="E27" s="7">
        <v>4.8300000000000001E-3</v>
      </c>
      <c r="F27" s="7">
        <v>4.8300000000000001E-3</v>
      </c>
      <c r="G27" s="38">
        <f t="shared" si="3"/>
        <v>5796</v>
      </c>
      <c r="H27" s="38">
        <f t="shared" si="4"/>
        <v>5796</v>
      </c>
      <c r="I27" s="48">
        <f t="shared" si="0"/>
        <v>0</v>
      </c>
      <c r="J27" s="20">
        <f t="shared" ref="J27:J33" si="8">IF(G27=0,1,I27/G27)</f>
        <v>0</v>
      </c>
    </row>
    <row r="28" spans="1:10">
      <c r="B28" s="41" t="s">
        <v>57</v>
      </c>
      <c r="C28" s="46"/>
      <c r="D28" s="88">
        <f>'Rate Year Therms'!$P$16*'RY#1 Therms by Block%'!N42</f>
        <v>1200000</v>
      </c>
      <c r="E28" s="7">
        <v>2.9499999999999999E-3</v>
      </c>
      <c r="F28" s="7">
        <v>2.9499999999999999E-3</v>
      </c>
      <c r="G28" s="38">
        <f t="shared" si="3"/>
        <v>3540</v>
      </c>
      <c r="H28" s="38">
        <f t="shared" si="4"/>
        <v>3540</v>
      </c>
      <c r="I28" s="48">
        <f t="shared" si="0"/>
        <v>0</v>
      </c>
      <c r="J28" s="20">
        <f t="shared" si="8"/>
        <v>0</v>
      </c>
    </row>
    <row r="29" spans="1:10">
      <c r="B29" s="41" t="s">
        <v>62</v>
      </c>
      <c r="C29" s="46"/>
      <c r="D29" s="88">
        <f>'Rate Year Therms'!$P$16*'RY#1 Therms by Block%'!N43</f>
        <v>2400000</v>
      </c>
      <c r="E29" s="7">
        <v>1.9E-3</v>
      </c>
      <c r="F29" s="7">
        <v>1.9E-3</v>
      </c>
      <c r="G29" s="38">
        <f t="shared" si="3"/>
        <v>4560</v>
      </c>
      <c r="H29" s="38">
        <f t="shared" si="4"/>
        <v>4560</v>
      </c>
      <c r="I29" s="48">
        <f t="shared" si="0"/>
        <v>0</v>
      </c>
      <c r="J29" s="20">
        <f t="shared" si="8"/>
        <v>0</v>
      </c>
    </row>
    <row r="30" spans="1:10">
      <c r="B30" s="41" t="s">
        <v>63</v>
      </c>
      <c r="C30" s="46"/>
      <c r="D30" s="88">
        <f>'Rate Year Therms'!$P$16*'RY#1 Therms by Block%'!N44</f>
        <v>3127546.681753166</v>
      </c>
      <c r="E30" s="7">
        <v>1.25E-3</v>
      </c>
      <c r="F30" s="7">
        <v>1.25E-3</v>
      </c>
      <c r="G30" s="38">
        <f t="shared" si="3"/>
        <v>3909.4333521914577</v>
      </c>
      <c r="H30" s="38">
        <f t="shared" si="4"/>
        <v>3909.4333521914577</v>
      </c>
      <c r="I30" s="48">
        <f t="shared" si="0"/>
        <v>0</v>
      </c>
      <c r="J30" s="20">
        <f t="shared" si="8"/>
        <v>0</v>
      </c>
    </row>
    <row r="31" spans="1:10">
      <c r="B31" s="41" t="s">
        <v>64</v>
      </c>
      <c r="C31" s="46"/>
      <c r="D31" s="88">
        <f>'Rate Year Therms'!$P$16*'RY#1 Therms by Block%'!N45</f>
        <v>3948028.7649102923</v>
      </c>
      <c r="E31" s="7">
        <v>9.2000000000000003E-4</v>
      </c>
      <c r="F31" s="7">
        <v>9.2000000000000003E-4</v>
      </c>
      <c r="G31" s="38">
        <f t="shared" si="3"/>
        <v>3632.186463717469</v>
      </c>
      <c r="H31" s="38">
        <f t="shared" si="4"/>
        <v>3632.186463717469</v>
      </c>
      <c r="I31" s="48">
        <f t="shared" si="0"/>
        <v>0</v>
      </c>
      <c r="J31" s="20">
        <f t="shared" si="8"/>
        <v>0</v>
      </c>
    </row>
    <row r="32" spans="1:10">
      <c r="B32" s="41" t="s">
        <v>65</v>
      </c>
      <c r="C32" s="46"/>
      <c r="D32" s="88">
        <f>'Rate Year Therms'!$P$16*'RY#1 Therms by Block%'!N46</f>
        <v>8132081.5533365402</v>
      </c>
      <c r="E32" s="7">
        <v>5.9999999999999995E-4</v>
      </c>
      <c r="F32" s="7">
        <v>5.9999999999999995E-4</v>
      </c>
      <c r="G32" s="38">
        <f t="shared" si="3"/>
        <v>4879.248932001924</v>
      </c>
      <c r="H32" s="38">
        <f t="shared" si="4"/>
        <v>4879.248932001924</v>
      </c>
      <c r="I32" s="48">
        <f t="shared" si="0"/>
        <v>0</v>
      </c>
      <c r="J32" s="20">
        <f t="shared" si="8"/>
        <v>0</v>
      </c>
    </row>
    <row r="33" spans="1:10">
      <c r="B33" s="41" t="s">
        <v>6</v>
      </c>
      <c r="C33" s="46"/>
      <c r="D33" s="89">
        <f>SUM(D27:D32)</f>
        <v>20007657</v>
      </c>
      <c r="E33" s="7"/>
      <c r="F33" s="7"/>
      <c r="G33" s="72">
        <f>SUM(G27:G32)</f>
        <v>26316.868747910852</v>
      </c>
      <c r="H33" s="72">
        <f t="shared" ref="H33:I33" si="9">SUM(H27:H32)</f>
        <v>26316.868747910852</v>
      </c>
      <c r="I33" s="72">
        <f t="shared" si="9"/>
        <v>0</v>
      </c>
      <c r="J33" s="90">
        <f t="shared" si="8"/>
        <v>0</v>
      </c>
    </row>
    <row r="34" spans="1:10">
      <c r="C34" s="46"/>
      <c r="D34" s="49"/>
      <c r="E34" s="7"/>
      <c r="F34" s="7"/>
      <c r="G34" s="38"/>
      <c r="H34" s="38"/>
      <c r="I34" s="48"/>
      <c r="J34" s="98"/>
    </row>
    <row r="35" spans="1:10">
      <c r="A35" s="41" t="s">
        <v>75</v>
      </c>
      <c r="C35" s="46" t="s">
        <v>37</v>
      </c>
      <c r="D35" s="49"/>
      <c r="E35" s="7"/>
      <c r="F35" s="7"/>
      <c r="G35" s="38"/>
      <c r="H35" s="38"/>
      <c r="I35" s="48"/>
      <c r="J35" s="98"/>
    </row>
    <row r="36" spans="1:10">
      <c r="B36" s="41" t="s">
        <v>56</v>
      </c>
      <c r="C36" s="46"/>
      <c r="D36" s="88">
        <f>'Rate Year Therms'!$P$19*'RY#1 Therms by Block%'!N25</f>
        <v>23553163.399398193</v>
      </c>
      <c r="E36" s="7">
        <v>4.8300000000000001E-3</v>
      </c>
      <c r="F36" s="7">
        <v>4.8300000000000001E-3</v>
      </c>
      <c r="G36" s="38">
        <f t="shared" si="3"/>
        <v>113761.77921909327</v>
      </c>
      <c r="H36" s="38">
        <f t="shared" si="4"/>
        <v>113761.77921909327</v>
      </c>
      <c r="I36" s="48">
        <f t="shared" si="0"/>
        <v>0</v>
      </c>
      <c r="J36" s="20">
        <f t="shared" ref="J36:J39" si="10">IF(G36=0,1,I36/G36)</f>
        <v>0</v>
      </c>
    </row>
    <row r="37" spans="1:10">
      <c r="B37" s="41" t="s">
        <v>57</v>
      </c>
      <c r="C37" s="46"/>
      <c r="D37" s="88">
        <f>'Rate Year Therms'!$P$19*'RY#1 Therms by Block%'!N26</f>
        <v>15856050.612148415</v>
      </c>
      <c r="E37" s="7">
        <v>2.9499999999999999E-3</v>
      </c>
      <c r="F37" s="7">
        <v>2.9499999999999999E-3</v>
      </c>
      <c r="G37" s="38">
        <f t="shared" si="3"/>
        <v>46775.349305837823</v>
      </c>
      <c r="H37" s="38">
        <f t="shared" si="4"/>
        <v>46775.349305837823</v>
      </c>
      <c r="I37" s="48">
        <f t="shared" si="0"/>
        <v>0</v>
      </c>
      <c r="J37" s="20">
        <f t="shared" si="10"/>
        <v>0</v>
      </c>
    </row>
    <row r="38" spans="1:10">
      <c r="B38" s="41" t="s">
        <v>58</v>
      </c>
      <c r="C38" s="46"/>
      <c r="D38" s="88">
        <f>'Rate Year Therms'!$P$19*'RY#1 Therms by Block%'!N27</f>
        <v>23335221.988453392</v>
      </c>
      <c r="E38" s="7">
        <v>1.6100000000000001E-3</v>
      </c>
      <c r="F38" s="7">
        <v>1.6100000000000001E-3</v>
      </c>
      <c r="G38" s="38">
        <f t="shared" si="3"/>
        <v>37569.707401409963</v>
      </c>
      <c r="H38" s="38">
        <f t="shared" si="4"/>
        <v>37569.707401409963</v>
      </c>
      <c r="I38" s="48">
        <f t="shared" si="0"/>
        <v>0</v>
      </c>
      <c r="J38" s="20">
        <f t="shared" si="10"/>
        <v>0</v>
      </c>
    </row>
    <row r="39" spans="1:10">
      <c r="B39" s="41" t="s">
        <v>6</v>
      </c>
      <c r="C39" s="46"/>
      <c r="D39" s="89">
        <f>SUM(D36:D38)</f>
        <v>62744436</v>
      </c>
      <c r="E39" s="7"/>
      <c r="F39" s="7"/>
      <c r="G39" s="72">
        <f>SUM(G36:G38)</f>
        <v>198106.83592634107</v>
      </c>
      <c r="H39" s="72">
        <f t="shared" ref="H39:I39" si="11">SUM(H36:H38)</f>
        <v>198106.83592634107</v>
      </c>
      <c r="I39" s="72">
        <f t="shared" si="11"/>
        <v>0</v>
      </c>
      <c r="J39" s="90">
        <f t="shared" si="10"/>
        <v>0</v>
      </c>
    </row>
    <row r="40" spans="1:10">
      <c r="C40" s="46"/>
      <c r="D40" s="49"/>
      <c r="E40" s="7"/>
      <c r="F40" s="7"/>
      <c r="G40" s="38"/>
      <c r="H40" s="38"/>
      <c r="I40" s="48"/>
      <c r="J40" s="98"/>
    </row>
    <row r="41" spans="1:10">
      <c r="A41" s="41" t="s">
        <v>75</v>
      </c>
      <c r="C41" s="46" t="s">
        <v>41</v>
      </c>
      <c r="D41" s="49"/>
      <c r="E41" s="7"/>
      <c r="F41" s="7"/>
      <c r="G41" s="38"/>
      <c r="H41" s="38"/>
      <c r="I41" s="48"/>
    </row>
    <row r="42" spans="1:10">
      <c r="B42" s="41" t="s">
        <v>56</v>
      </c>
      <c r="C42" s="46"/>
      <c r="D42" s="88">
        <f>'Rate Year Therms'!$P$21*'RY#1 Therms by Block%'!N50</f>
        <v>3000000</v>
      </c>
      <c r="E42" s="7">
        <v>4.8300000000000001E-3</v>
      </c>
      <c r="F42" s="7">
        <v>4.8300000000000001E-3</v>
      </c>
      <c r="G42" s="38">
        <f t="shared" si="3"/>
        <v>14490</v>
      </c>
      <c r="H42" s="38">
        <f t="shared" si="4"/>
        <v>14490</v>
      </c>
      <c r="I42" s="48">
        <f t="shared" si="0"/>
        <v>0</v>
      </c>
      <c r="J42" s="20">
        <f t="shared" ref="J42:J48" si="12">IF(G42=0,1,I42/G42)</f>
        <v>0</v>
      </c>
    </row>
    <row r="43" spans="1:10">
      <c r="B43" s="41" t="s">
        <v>57</v>
      </c>
      <c r="C43" s="46"/>
      <c r="D43" s="88">
        <f>'Rate Year Therms'!$P$21*'RY#1 Therms by Block%'!N51</f>
        <v>3000000</v>
      </c>
      <c r="E43" s="7">
        <v>2.9499999999999999E-3</v>
      </c>
      <c r="F43" s="7">
        <v>2.9499999999999999E-3</v>
      </c>
      <c r="G43" s="38">
        <f t="shared" si="3"/>
        <v>8850</v>
      </c>
      <c r="H43" s="38">
        <f t="shared" si="4"/>
        <v>8850</v>
      </c>
      <c r="I43" s="48">
        <f t="shared" si="0"/>
        <v>0</v>
      </c>
      <c r="J43" s="20">
        <f t="shared" si="12"/>
        <v>0</v>
      </c>
    </row>
    <row r="44" spans="1:10">
      <c r="B44" s="41" t="s">
        <v>62</v>
      </c>
      <c r="C44" s="46"/>
      <c r="D44" s="88">
        <f>'Rate Year Therms'!$P$21*'RY#1 Therms by Block%'!N52</f>
        <v>6000000</v>
      </c>
      <c r="E44" s="7">
        <v>1.9E-3</v>
      </c>
      <c r="F44" s="7">
        <v>1.9E-3</v>
      </c>
      <c r="G44" s="38">
        <f t="shared" si="3"/>
        <v>11400</v>
      </c>
      <c r="H44" s="38">
        <f t="shared" si="4"/>
        <v>11400</v>
      </c>
      <c r="I44" s="48">
        <f t="shared" si="0"/>
        <v>0</v>
      </c>
      <c r="J44" s="20">
        <f t="shared" si="12"/>
        <v>0</v>
      </c>
    </row>
    <row r="45" spans="1:10">
      <c r="B45" s="41" t="s">
        <v>63</v>
      </c>
      <c r="C45" s="46"/>
      <c r="D45" s="88">
        <f>'Rate Year Therms'!$P$21*'RY#1 Therms by Block%'!N53</f>
        <v>8824772.2542880289</v>
      </c>
      <c r="E45" s="7">
        <v>1.25E-3</v>
      </c>
      <c r="F45" s="7">
        <v>1.25E-3</v>
      </c>
      <c r="G45" s="38">
        <f t="shared" si="3"/>
        <v>11030.965317860037</v>
      </c>
      <c r="H45" s="38">
        <f t="shared" si="4"/>
        <v>11030.965317860037</v>
      </c>
      <c r="I45" s="48">
        <f t="shared" si="0"/>
        <v>0</v>
      </c>
      <c r="J45" s="20">
        <f t="shared" si="12"/>
        <v>0</v>
      </c>
    </row>
    <row r="46" spans="1:10">
      <c r="B46" s="41" t="s">
        <v>64</v>
      </c>
      <c r="C46" s="46"/>
      <c r="D46" s="88">
        <f>'Rate Year Therms'!$P$21*'RY#1 Therms by Block%'!N54</f>
        <v>19735102.43240466</v>
      </c>
      <c r="E46" s="7">
        <v>9.2000000000000003E-4</v>
      </c>
      <c r="F46" s="7">
        <v>9.2000000000000003E-4</v>
      </c>
      <c r="G46" s="38">
        <f t="shared" si="3"/>
        <v>18156.294237812286</v>
      </c>
      <c r="H46" s="38">
        <f t="shared" si="4"/>
        <v>18156.294237812286</v>
      </c>
      <c r="I46" s="48">
        <f t="shared" si="0"/>
        <v>0</v>
      </c>
      <c r="J46" s="20">
        <f t="shared" si="12"/>
        <v>0</v>
      </c>
    </row>
    <row r="47" spans="1:10">
      <c r="B47" s="41" t="s">
        <v>65</v>
      </c>
      <c r="C47" s="46"/>
      <c r="D47" s="88">
        <f>'Rate Year Therms'!$P$21*'RY#1 Therms by Block%'!N55</f>
        <v>26134112.03330731</v>
      </c>
      <c r="E47" s="7">
        <v>5.9999999999999995E-4</v>
      </c>
      <c r="F47" s="7">
        <v>5.9999999999999995E-4</v>
      </c>
      <c r="G47" s="38">
        <f t="shared" si="3"/>
        <v>15680.467219984384</v>
      </c>
      <c r="H47" s="38">
        <f t="shared" si="4"/>
        <v>15680.467219984384</v>
      </c>
      <c r="I47" s="48">
        <f t="shared" si="0"/>
        <v>0</v>
      </c>
      <c r="J47" s="20">
        <f t="shared" si="12"/>
        <v>0</v>
      </c>
    </row>
    <row r="48" spans="1:10">
      <c r="B48" s="41" t="s">
        <v>6</v>
      </c>
      <c r="C48" s="46"/>
      <c r="D48" s="89">
        <f>SUM(D42:D47)</f>
        <v>66693986.719999999</v>
      </c>
      <c r="E48" s="7"/>
      <c r="F48" s="7"/>
      <c r="G48" s="72">
        <f>SUM(G42:G47)</f>
        <v>79607.726775656716</v>
      </c>
      <c r="H48" s="72">
        <f t="shared" ref="H48:I48" si="13">SUM(H42:H47)</f>
        <v>79607.726775656716</v>
      </c>
      <c r="I48" s="72">
        <f t="shared" si="13"/>
        <v>0</v>
      </c>
      <c r="J48" s="90">
        <f t="shared" si="12"/>
        <v>0</v>
      </c>
    </row>
    <row r="49" spans="1:12">
      <c r="D49" s="49"/>
      <c r="E49" s="7"/>
      <c r="F49" s="7"/>
      <c r="G49" s="38"/>
      <c r="H49" s="38"/>
      <c r="I49" s="48"/>
    </row>
    <row r="50" spans="1:12">
      <c r="A50" s="41" t="s">
        <v>75</v>
      </c>
      <c r="C50" s="46" t="s">
        <v>355</v>
      </c>
      <c r="D50" s="49"/>
      <c r="E50" s="7"/>
      <c r="F50" s="7"/>
      <c r="G50" s="38"/>
      <c r="H50" s="38"/>
      <c r="I50" s="48"/>
    </row>
    <row r="51" spans="1:12">
      <c r="B51" s="41" t="s">
        <v>56</v>
      </c>
      <c r="C51" s="46"/>
      <c r="D51" s="88">
        <f>'Rate Year Therms'!$P$22*'RY#1 Therms by Block%'!N59</f>
        <v>300000</v>
      </c>
      <c r="E51" s="7">
        <v>4.8300000000000001E-3</v>
      </c>
      <c r="F51" s="7">
        <v>4.8300000000000001E-3</v>
      </c>
      <c r="G51" s="38">
        <f t="shared" ref="G51:G56" si="14">D51*(E51)</f>
        <v>1449</v>
      </c>
      <c r="H51" s="38">
        <f t="shared" ref="H51:H56" si="15">D51*(F51)</f>
        <v>1449</v>
      </c>
      <c r="I51" s="48">
        <f t="shared" ref="I51:I56" si="16">H51-G51</f>
        <v>0</v>
      </c>
      <c r="J51" s="20">
        <f t="shared" ref="J51:J57" si="17">IF(G51=0,1,I51/G51)</f>
        <v>0</v>
      </c>
    </row>
    <row r="52" spans="1:12">
      <c r="B52" s="41" t="s">
        <v>57</v>
      </c>
      <c r="C52" s="46"/>
      <c r="D52" s="88">
        <f>'Rate Year Therms'!$P$22*'RY#1 Therms by Block%'!N60</f>
        <v>300000</v>
      </c>
      <c r="E52" s="7">
        <v>2.9499999999999999E-3</v>
      </c>
      <c r="F52" s="7">
        <v>2.9499999999999999E-3</v>
      </c>
      <c r="G52" s="38">
        <f t="shared" si="14"/>
        <v>885</v>
      </c>
      <c r="H52" s="38">
        <f t="shared" si="15"/>
        <v>885</v>
      </c>
      <c r="I52" s="48">
        <f t="shared" si="16"/>
        <v>0</v>
      </c>
      <c r="J52" s="20">
        <f t="shared" si="17"/>
        <v>0</v>
      </c>
    </row>
    <row r="53" spans="1:12">
      <c r="B53" s="41" t="s">
        <v>62</v>
      </c>
      <c r="C53" s="46"/>
      <c r="D53" s="88">
        <f>'Rate Year Therms'!$P$22*'RY#1 Therms by Block%'!N61</f>
        <v>600000</v>
      </c>
      <c r="E53" s="7">
        <v>1.9E-3</v>
      </c>
      <c r="F53" s="7">
        <v>1.9E-3</v>
      </c>
      <c r="G53" s="38">
        <f t="shared" si="14"/>
        <v>1140</v>
      </c>
      <c r="H53" s="38">
        <f t="shared" si="15"/>
        <v>1140</v>
      </c>
      <c r="I53" s="48">
        <f t="shared" si="16"/>
        <v>0</v>
      </c>
      <c r="J53" s="20">
        <f t="shared" si="17"/>
        <v>0</v>
      </c>
    </row>
    <row r="54" spans="1:12">
      <c r="B54" s="41" t="s">
        <v>63</v>
      </c>
      <c r="C54" s="46"/>
      <c r="D54" s="88">
        <f>'Rate Year Therms'!$P$22*'RY#1 Therms by Block%'!N62</f>
        <v>1200000</v>
      </c>
      <c r="E54" s="7">
        <v>1.25E-3</v>
      </c>
      <c r="F54" s="7">
        <v>1.25E-3</v>
      </c>
      <c r="G54" s="38">
        <f t="shared" si="14"/>
        <v>1500</v>
      </c>
      <c r="H54" s="38">
        <f t="shared" si="15"/>
        <v>1500</v>
      </c>
      <c r="I54" s="48">
        <f t="shared" si="16"/>
        <v>0</v>
      </c>
      <c r="J54" s="20">
        <f t="shared" si="17"/>
        <v>0</v>
      </c>
    </row>
    <row r="55" spans="1:12">
      <c r="B55" s="41" t="s">
        <v>64</v>
      </c>
      <c r="C55" s="46"/>
      <c r="D55" s="88">
        <f>'Rate Year Therms'!$P$22*'RY#1 Therms by Block%'!N63</f>
        <v>3600000</v>
      </c>
      <c r="E55" s="7">
        <v>9.2000000000000003E-4</v>
      </c>
      <c r="F55" s="7">
        <v>9.2000000000000003E-4</v>
      </c>
      <c r="G55" s="38">
        <f t="shared" si="14"/>
        <v>3312</v>
      </c>
      <c r="H55" s="38">
        <f t="shared" si="15"/>
        <v>3312</v>
      </c>
      <c r="I55" s="48">
        <f t="shared" si="16"/>
        <v>0</v>
      </c>
      <c r="J55" s="20">
        <f t="shared" si="17"/>
        <v>0</v>
      </c>
    </row>
    <row r="56" spans="1:12">
      <c r="B56" s="41" t="s">
        <v>65</v>
      </c>
      <c r="C56" s="46"/>
      <c r="D56" s="88">
        <f>'Rate Year Therms'!$P$22*'RY#1 Therms by Block%'!N64</f>
        <v>33295144</v>
      </c>
      <c r="E56" s="7">
        <v>5.9999999999999995E-4</v>
      </c>
      <c r="F56" s="7">
        <v>5.9999999999999995E-4</v>
      </c>
      <c r="G56" s="38">
        <f t="shared" si="14"/>
        <v>19977.086399999997</v>
      </c>
      <c r="H56" s="38">
        <f t="shared" si="15"/>
        <v>19977.086399999997</v>
      </c>
      <c r="I56" s="48">
        <f t="shared" si="16"/>
        <v>0</v>
      </c>
      <c r="J56" s="20">
        <f t="shared" si="17"/>
        <v>0</v>
      </c>
    </row>
    <row r="57" spans="1:12">
      <c r="B57" s="41" t="s">
        <v>6</v>
      </c>
      <c r="C57" s="46"/>
      <c r="D57" s="89">
        <f>SUM(D51:D56)</f>
        <v>39295144</v>
      </c>
      <c r="E57" s="7"/>
      <c r="F57" s="7"/>
      <c r="G57" s="72">
        <f>SUM(G51:G56)</f>
        <v>28263.086399999997</v>
      </c>
      <c r="H57" s="72">
        <f t="shared" ref="H57:I57" si="18">SUM(H51:H56)</f>
        <v>28263.086399999997</v>
      </c>
      <c r="I57" s="72">
        <f t="shared" si="18"/>
        <v>0</v>
      </c>
      <c r="J57" s="90">
        <f t="shared" si="17"/>
        <v>0</v>
      </c>
    </row>
    <row r="58" spans="1:12">
      <c r="D58" s="49"/>
      <c r="E58" s="7"/>
      <c r="F58" s="7"/>
      <c r="G58" s="38"/>
      <c r="H58" s="38"/>
      <c r="I58" s="48"/>
    </row>
    <row r="59" spans="1:12">
      <c r="B59" s="41" t="s">
        <v>6</v>
      </c>
      <c r="D59" s="89">
        <f>D9+D11+D14+D21+D23+D33+D39+D48+D12+D15+D24+D57</f>
        <v>1061844016.72</v>
      </c>
      <c r="E59" s="199"/>
      <c r="F59" s="199"/>
      <c r="G59" s="200">
        <f>G9+G11+G14+G21+G23+G33+G39+G48+G12+G15+G24+G57</f>
        <v>12715587.093883539</v>
      </c>
      <c r="H59" s="200">
        <f t="shared" ref="H59:I59" si="19">H9+H11+H14+H21+H23+H33+H39+H48+H12+H15+H24+H57</f>
        <v>12715587.093883539</v>
      </c>
      <c r="I59" s="200">
        <f t="shared" si="19"/>
        <v>0</v>
      </c>
      <c r="J59" s="90">
        <f>IF(G59=0,1,I59/G59)</f>
        <v>0</v>
      </c>
    </row>
    <row r="60" spans="1:12">
      <c r="J60" s="98"/>
    </row>
    <row r="61" spans="1:12">
      <c r="G61" s="48"/>
      <c r="H61" s="48"/>
    </row>
    <row r="62" spans="1:12">
      <c r="L62" s="98"/>
    </row>
    <row r="63" spans="1:12">
      <c r="B63" s="99"/>
      <c r="D63" s="100"/>
      <c r="E63" s="100"/>
      <c r="F63" s="100"/>
      <c r="G63" s="48"/>
      <c r="H63" s="48"/>
    </row>
    <row r="64" spans="1:12">
      <c r="D64" s="101"/>
    </row>
    <row r="66" spans="3:6">
      <c r="E66" s="19"/>
      <c r="F66" s="49"/>
    </row>
    <row r="67" spans="3:6">
      <c r="C67" s="100"/>
      <c r="D67" s="100"/>
      <c r="E67" s="19"/>
      <c r="F67" s="49"/>
    </row>
    <row r="68" spans="3:6">
      <c r="E68" s="19"/>
      <c r="F68" s="49"/>
    </row>
  </sheetData>
  <mergeCells count="5">
    <mergeCell ref="A1:J1"/>
    <mergeCell ref="A2:J2"/>
    <mergeCell ref="A3:J3"/>
    <mergeCell ref="A4:J4"/>
    <mergeCell ref="A8:B8"/>
  </mergeCells>
  <printOptions horizontalCentered="1"/>
  <pageMargins left="0.75" right="0.75" top="1" bottom="1" header="0.5" footer="0.5"/>
  <pageSetup scale="54" orientation="landscape" blackAndWhite="1" horizontalDpi="300" verticalDpi="300" r:id="rId1"/>
  <headerFooter alignWithMargins="0">
    <oddFooter>&amp;L&amp;F 
&amp;A&amp;C&amp;P&amp;R&amp;D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U42"/>
  <sheetViews>
    <sheetView zoomScale="90" zoomScaleNormal="90" workbookViewId="0">
      <selection activeCell="C41" sqref="C41"/>
    </sheetView>
  </sheetViews>
  <sheetFormatPr defaultColWidth="8.7109375" defaultRowHeight="15"/>
  <cols>
    <col min="1" max="1" width="38.42578125" customWidth="1"/>
    <col min="2" max="2" width="9.140625" bestFit="1" customWidth="1"/>
    <col min="3" max="3" width="18.5703125" bestFit="1" customWidth="1"/>
    <col min="4" max="5" width="13.7109375" customWidth="1"/>
    <col min="6" max="8" width="14.42578125" customWidth="1"/>
    <col min="9" max="9" width="7.85546875" bestFit="1" customWidth="1"/>
  </cols>
  <sheetData>
    <row r="1" spans="1:21" s="41" customForma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40"/>
    </row>
    <row r="2" spans="1:21" s="41" customFormat="1">
      <c r="A2" s="259" t="s">
        <v>145</v>
      </c>
      <c r="B2" s="265"/>
      <c r="C2" s="265"/>
      <c r="D2" s="265"/>
      <c r="E2" s="265"/>
      <c r="F2" s="265"/>
      <c r="G2" s="265"/>
      <c r="H2" s="265"/>
      <c r="I2" s="265"/>
      <c r="J2" s="109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1" s="41" customFormat="1">
      <c r="A3" s="259" t="s">
        <v>146</v>
      </c>
      <c r="B3" s="259"/>
      <c r="C3" s="259"/>
      <c r="D3" s="259"/>
      <c r="E3" s="259"/>
      <c r="F3" s="259"/>
      <c r="G3" s="259"/>
      <c r="H3" s="259"/>
      <c r="I3" s="259"/>
      <c r="J3" s="40"/>
    </row>
    <row r="4" spans="1:21" s="41" customFormat="1">
      <c r="A4" s="259" t="s">
        <v>326</v>
      </c>
      <c r="B4" s="259"/>
      <c r="C4" s="259"/>
      <c r="D4" s="259"/>
      <c r="E4" s="259"/>
      <c r="F4" s="259"/>
      <c r="G4" s="259"/>
      <c r="H4" s="259"/>
      <c r="I4" s="259"/>
      <c r="J4" s="40"/>
    </row>
    <row r="5" spans="1:21">
      <c r="D5" s="3"/>
      <c r="E5" s="3"/>
    </row>
    <row r="6" spans="1:21">
      <c r="A6" s="3"/>
      <c r="B6" s="3"/>
      <c r="C6" s="3" t="s">
        <v>15</v>
      </c>
      <c r="D6" s="3" t="s">
        <v>5</v>
      </c>
      <c r="E6" s="3" t="s">
        <v>1</v>
      </c>
      <c r="F6" s="46" t="s">
        <v>15</v>
      </c>
      <c r="G6" s="46" t="s">
        <v>15</v>
      </c>
      <c r="H6" s="3" t="s">
        <v>16</v>
      </c>
      <c r="I6" s="3"/>
    </row>
    <row r="7" spans="1:21">
      <c r="A7" s="3"/>
      <c r="B7" s="3" t="s">
        <v>17</v>
      </c>
      <c r="C7" s="3" t="s">
        <v>3</v>
      </c>
      <c r="D7" s="3" t="s">
        <v>16</v>
      </c>
      <c r="E7" s="3" t="s">
        <v>16</v>
      </c>
      <c r="F7" s="46" t="s">
        <v>2</v>
      </c>
      <c r="G7" s="46" t="s">
        <v>2</v>
      </c>
      <c r="H7" s="3" t="s">
        <v>2</v>
      </c>
      <c r="I7" s="3" t="s">
        <v>20</v>
      </c>
    </row>
    <row r="8" spans="1:21">
      <c r="A8" s="97" t="s">
        <v>4</v>
      </c>
      <c r="B8" s="97" t="s">
        <v>21</v>
      </c>
      <c r="C8" s="64" t="str">
        <f>'Sch. 101'!$D$8</f>
        <v>12ME Dec. 2025</v>
      </c>
      <c r="D8" s="97" t="s">
        <v>22</v>
      </c>
      <c r="E8" s="97" t="s">
        <v>22</v>
      </c>
      <c r="F8" s="42" t="s">
        <v>23</v>
      </c>
      <c r="G8" s="42" t="s">
        <v>124</v>
      </c>
      <c r="H8" s="97" t="s">
        <v>24</v>
      </c>
      <c r="I8" s="97" t="s">
        <v>24</v>
      </c>
      <c r="S8" s="96"/>
    </row>
    <row r="9" spans="1:21">
      <c r="A9" t="s">
        <v>7</v>
      </c>
      <c r="B9" s="5" t="s">
        <v>30</v>
      </c>
      <c r="C9" s="45">
        <f>SUM('Rate Year Therms'!P10,'Rate Year Therms'!P11)</f>
        <v>539959592</v>
      </c>
      <c r="D9" s="7">
        <v>2.2849999999999999E-2</v>
      </c>
      <c r="E9" s="7">
        <v>2.2849999999999999E-2</v>
      </c>
      <c r="F9" s="36">
        <f>C9*D9</f>
        <v>12338076.677199999</v>
      </c>
      <c r="G9" s="36">
        <f>C9*E9</f>
        <v>12338076.677199999</v>
      </c>
      <c r="H9" s="8">
        <f>G9-F9</f>
        <v>0</v>
      </c>
      <c r="I9" s="1">
        <f>H9/F9</f>
        <v>0</v>
      </c>
      <c r="S9" s="94"/>
    </row>
    <row r="10" spans="1:21">
      <c r="A10" t="s">
        <v>31</v>
      </c>
      <c r="B10" s="5">
        <v>16</v>
      </c>
      <c r="C10" s="45">
        <f>'Rate Year Therms'!P9</f>
        <v>6996</v>
      </c>
      <c r="D10" s="7">
        <v>2.2849999999999999E-2</v>
      </c>
      <c r="E10" s="7">
        <v>2.2849999999999999E-2</v>
      </c>
      <c r="F10" s="36">
        <f t="shared" ref="F10:F20" si="0">C10*D10</f>
        <v>159.8586</v>
      </c>
      <c r="G10" s="36">
        <f t="shared" ref="G10:G22" si="1">C10*E10</f>
        <v>159.8586</v>
      </c>
      <c r="H10" s="8">
        <f t="shared" ref="H10:H22" si="2">G10-F10</f>
        <v>0</v>
      </c>
      <c r="I10" s="1">
        <f t="shared" ref="I10:I23" si="3">H10/F10</f>
        <v>0</v>
      </c>
    </row>
    <row r="11" spans="1:21">
      <c r="A11" t="s">
        <v>8</v>
      </c>
      <c r="B11" s="5">
        <v>31</v>
      </c>
      <c r="C11" s="45">
        <f>'Rate Year Therms'!P12</f>
        <v>228527070</v>
      </c>
      <c r="D11" s="7">
        <v>2.513E-2</v>
      </c>
      <c r="E11" s="7">
        <v>2.513E-2</v>
      </c>
      <c r="F11" s="36">
        <f t="shared" si="0"/>
        <v>5742885.2691000002</v>
      </c>
      <c r="G11" s="36">
        <f t="shared" si="1"/>
        <v>5742885.2691000002</v>
      </c>
      <c r="H11" s="8">
        <f t="shared" si="2"/>
        <v>0</v>
      </c>
      <c r="I11" s="1">
        <f t="shared" si="3"/>
        <v>0</v>
      </c>
    </row>
    <row r="12" spans="1:21">
      <c r="A12" t="s">
        <v>9</v>
      </c>
      <c r="B12" s="5">
        <v>41</v>
      </c>
      <c r="C12" s="45">
        <f>'Rate Year Therms'!P13</f>
        <v>60329189</v>
      </c>
      <c r="D12" s="7">
        <v>1.004E-2</v>
      </c>
      <c r="E12" s="7">
        <v>1.004E-2</v>
      </c>
      <c r="F12" s="36">
        <f t="shared" si="0"/>
        <v>605705.05755999999</v>
      </c>
      <c r="G12" s="36">
        <f t="shared" si="1"/>
        <v>605705.05755999999</v>
      </c>
      <c r="H12" s="8">
        <f t="shared" si="2"/>
        <v>0</v>
      </c>
      <c r="I12" s="1">
        <f t="shared" si="3"/>
        <v>0</v>
      </c>
    </row>
    <row r="13" spans="1:21">
      <c r="A13" t="s">
        <v>10</v>
      </c>
      <c r="B13" s="5">
        <v>85</v>
      </c>
      <c r="C13" s="45">
        <f>'Rate Year Therms'!P14</f>
        <v>16668227</v>
      </c>
      <c r="D13" s="7">
        <v>5.2900000000000004E-3</v>
      </c>
      <c r="E13" s="7">
        <v>5.2900000000000004E-3</v>
      </c>
      <c r="F13" s="36">
        <f t="shared" si="0"/>
        <v>88174.920830000003</v>
      </c>
      <c r="G13" s="36">
        <f t="shared" si="1"/>
        <v>88174.920830000003</v>
      </c>
      <c r="H13" s="8">
        <f t="shared" si="2"/>
        <v>0</v>
      </c>
      <c r="I13" s="1">
        <f t="shared" si="3"/>
        <v>0</v>
      </c>
    </row>
    <row r="14" spans="1:21">
      <c r="A14" t="s">
        <v>11</v>
      </c>
      <c r="B14" s="5">
        <v>86</v>
      </c>
      <c r="C14" s="45">
        <f>'Rate Year Therms'!P15</f>
        <v>4684519</v>
      </c>
      <c r="D14" s="7">
        <v>6.7299999999999999E-3</v>
      </c>
      <c r="E14" s="7">
        <v>6.7299999999999999E-3</v>
      </c>
      <c r="F14" s="36">
        <f t="shared" si="0"/>
        <v>31526.812869999998</v>
      </c>
      <c r="G14" s="36">
        <f t="shared" si="1"/>
        <v>31526.812869999998</v>
      </c>
      <c r="H14" s="8">
        <f t="shared" si="2"/>
        <v>0</v>
      </c>
      <c r="I14" s="1">
        <f t="shared" si="3"/>
        <v>0</v>
      </c>
    </row>
    <row r="15" spans="1:21">
      <c r="A15" t="s">
        <v>12</v>
      </c>
      <c r="B15" s="5">
        <v>87</v>
      </c>
      <c r="C15" s="45">
        <f>'Rate Year Therms'!P16</f>
        <v>20007657</v>
      </c>
      <c r="D15" s="7">
        <v>3.7699999999999999E-3</v>
      </c>
      <c r="E15" s="7">
        <v>3.7699999999999999E-3</v>
      </c>
      <c r="F15" s="36">
        <f t="shared" si="0"/>
        <v>75428.866890000005</v>
      </c>
      <c r="G15" s="36">
        <f t="shared" si="1"/>
        <v>75428.866890000005</v>
      </c>
      <c r="H15" s="8">
        <f t="shared" si="2"/>
        <v>0</v>
      </c>
      <c r="I15" s="1">
        <f t="shared" si="3"/>
        <v>0</v>
      </c>
    </row>
    <row r="16" spans="1:21">
      <c r="A16" t="s">
        <v>32</v>
      </c>
      <c r="B16" s="5" t="s">
        <v>33</v>
      </c>
      <c r="C16" s="45">
        <f>'Rate Year Therms'!P17</f>
        <v>0</v>
      </c>
      <c r="D16" s="7">
        <v>2.513E-2</v>
      </c>
      <c r="E16" s="7">
        <v>2.513E-2</v>
      </c>
      <c r="F16" s="36">
        <f t="shared" si="0"/>
        <v>0</v>
      </c>
      <c r="G16" s="36">
        <f t="shared" si="1"/>
        <v>0</v>
      </c>
      <c r="H16" s="8">
        <f t="shared" si="2"/>
        <v>0</v>
      </c>
      <c r="I16" s="1" t="e">
        <f t="shared" si="3"/>
        <v>#DIV/0!</v>
      </c>
    </row>
    <row r="17" spans="1:9">
      <c r="A17" t="s">
        <v>34</v>
      </c>
      <c r="B17" t="s">
        <v>35</v>
      </c>
      <c r="C17" s="45">
        <f>'Rate Year Therms'!P18</f>
        <v>21757669</v>
      </c>
      <c r="D17" s="7">
        <v>1.004E-2</v>
      </c>
      <c r="E17" s="7">
        <v>1.004E-2</v>
      </c>
      <c r="F17" s="36">
        <f t="shared" si="0"/>
        <v>218446.99676000001</v>
      </c>
      <c r="G17" s="36">
        <f t="shared" si="1"/>
        <v>218446.99676000001</v>
      </c>
      <c r="H17" s="8">
        <f t="shared" si="2"/>
        <v>0</v>
      </c>
      <c r="I17" s="1">
        <f t="shared" si="3"/>
        <v>0</v>
      </c>
    </row>
    <row r="18" spans="1:9">
      <c r="A18" t="s">
        <v>36</v>
      </c>
      <c r="B18" t="s">
        <v>37</v>
      </c>
      <c r="C18" s="45">
        <f>'Rate Year Therms'!P19</f>
        <v>62744436</v>
      </c>
      <c r="D18" s="7">
        <v>5.2900000000000004E-3</v>
      </c>
      <c r="E18" s="7">
        <v>5.2900000000000004E-3</v>
      </c>
      <c r="F18" s="36">
        <f t="shared" si="0"/>
        <v>331918.06644000002</v>
      </c>
      <c r="G18" s="36">
        <f t="shared" si="1"/>
        <v>331918.06644000002</v>
      </c>
      <c r="H18" s="8">
        <f t="shared" si="2"/>
        <v>0</v>
      </c>
      <c r="I18" s="1">
        <f t="shared" si="3"/>
        <v>0</v>
      </c>
    </row>
    <row r="19" spans="1:9">
      <c r="A19" t="s">
        <v>38</v>
      </c>
      <c r="B19" t="s">
        <v>39</v>
      </c>
      <c r="C19" s="45">
        <f>'Rate Year Therms'!P20</f>
        <v>1176527</v>
      </c>
      <c r="D19" s="7">
        <v>6.7299999999999999E-3</v>
      </c>
      <c r="E19" s="7">
        <v>6.7299999999999999E-3</v>
      </c>
      <c r="F19" s="36">
        <f t="shared" si="0"/>
        <v>7918.0267100000001</v>
      </c>
      <c r="G19" s="36">
        <f t="shared" si="1"/>
        <v>7918.0267100000001</v>
      </c>
      <c r="H19" s="8">
        <f t="shared" si="2"/>
        <v>0</v>
      </c>
      <c r="I19" s="1">
        <f t="shared" si="3"/>
        <v>0</v>
      </c>
    </row>
    <row r="20" spans="1:9">
      <c r="A20" t="s">
        <v>40</v>
      </c>
      <c r="B20" t="s">
        <v>41</v>
      </c>
      <c r="C20" s="45">
        <f>'Rate Year Therms'!P21</f>
        <v>66693986.719999999</v>
      </c>
      <c r="D20" s="7">
        <v>3.7699999999999999E-3</v>
      </c>
      <c r="E20" s="7">
        <v>3.7699999999999999E-3</v>
      </c>
      <c r="F20" s="36">
        <f t="shared" si="0"/>
        <v>251436.32993439998</v>
      </c>
      <c r="G20" s="36">
        <f t="shared" si="1"/>
        <v>251436.32993439998</v>
      </c>
      <c r="H20" s="8">
        <f t="shared" si="2"/>
        <v>0</v>
      </c>
      <c r="I20" s="1">
        <f t="shared" si="3"/>
        <v>0</v>
      </c>
    </row>
    <row r="21" spans="1:9">
      <c r="A21" t="s">
        <v>354</v>
      </c>
      <c r="B21" t="s">
        <v>355</v>
      </c>
      <c r="C21" s="45">
        <f>'Rate Year Therms'!P22</f>
        <v>39295144</v>
      </c>
      <c r="D21" s="7">
        <v>3.7699999999999999E-3</v>
      </c>
      <c r="E21" s="7">
        <v>3.7699999999999999E-3</v>
      </c>
      <c r="F21" s="36">
        <f t="shared" ref="F21" si="4">C21*D21</f>
        <v>148142.69287999999</v>
      </c>
      <c r="G21" s="36">
        <f t="shared" ref="G21" si="5">C21*E21</f>
        <v>148142.69287999999</v>
      </c>
      <c r="H21" s="8">
        <f t="shared" ref="H21" si="6">G21-F21</f>
        <v>0</v>
      </c>
      <c r="I21" s="1">
        <f t="shared" ref="I21" si="7">H21/F21</f>
        <v>0</v>
      </c>
    </row>
    <row r="22" spans="1:9">
      <c r="A22" t="s">
        <v>13</v>
      </c>
      <c r="C22" s="45">
        <f>'Rate Year Therms'!P23</f>
        <v>32030387</v>
      </c>
      <c r="D22" s="9">
        <v>9.3999999999999997E-4</v>
      </c>
      <c r="E22" s="9">
        <v>9.3999999999999997E-4</v>
      </c>
      <c r="F22" s="36">
        <f>C22*D22</f>
        <v>30108.56378</v>
      </c>
      <c r="G22" s="36">
        <f t="shared" si="1"/>
        <v>30108.56378</v>
      </c>
      <c r="H22" s="8">
        <f t="shared" si="2"/>
        <v>0</v>
      </c>
      <c r="I22" s="1">
        <f t="shared" si="3"/>
        <v>0</v>
      </c>
    </row>
    <row r="23" spans="1:9">
      <c r="A23" t="s">
        <v>6</v>
      </c>
      <c r="C23" s="10">
        <f>SUM(C9:C22)</f>
        <v>1093881399.72</v>
      </c>
      <c r="D23" s="6"/>
      <c r="E23" s="6"/>
      <c r="F23" s="37">
        <f t="shared" ref="F23:H23" si="8">SUM(F9:F22)</f>
        <v>19869928.139554396</v>
      </c>
      <c r="G23" s="37">
        <f t="shared" si="8"/>
        <v>19869928.139554396</v>
      </c>
      <c r="H23" s="11">
        <f t="shared" si="8"/>
        <v>0</v>
      </c>
      <c r="I23" s="2">
        <f t="shared" si="3"/>
        <v>0</v>
      </c>
    </row>
    <row r="24" spans="1:9">
      <c r="F24" s="8"/>
      <c r="G24" s="8"/>
    </row>
    <row r="25" spans="1:9">
      <c r="C25" s="14"/>
      <c r="F25" s="8"/>
      <c r="G25" s="8"/>
    </row>
    <row r="26" spans="1:9">
      <c r="A26" s="39"/>
    </row>
    <row r="42" spans="2:2" ht="17.25">
      <c r="B42" s="108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J52"/>
  <sheetViews>
    <sheetView zoomScale="90" zoomScaleNormal="90" workbookViewId="0">
      <selection activeCell="C41" sqref="C41"/>
    </sheetView>
  </sheetViews>
  <sheetFormatPr defaultRowHeight="15"/>
  <cols>
    <col min="1" max="1" width="36.85546875" bestFit="1" customWidth="1"/>
    <col min="2" max="2" width="9.28515625" bestFit="1" customWidth="1"/>
    <col min="3" max="3" width="18.7109375" bestFit="1" customWidth="1"/>
    <col min="4" max="5" width="13.7109375" customWidth="1"/>
    <col min="6" max="8" width="14.42578125" customWidth="1"/>
    <col min="9" max="9" width="9.85546875" bestFit="1" customWidth="1"/>
  </cols>
  <sheetData>
    <row r="1" spans="1:10" s="41" customForma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40"/>
    </row>
    <row r="2" spans="1:10" s="41" customFormat="1">
      <c r="A2" s="259" t="s">
        <v>296</v>
      </c>
      <c r="B2" s="259"/>
      <c r="C2" s="259"/>
      <c r="D2" s="259"/>
      <c r="E2" s="259"/>
      <c r="F2" s="259"/>
      <c r="G2" s="259"/>
      <c r="H2" s="259"/>
      <c r="I2" s="259"/>
      <c r="J2" s="40"/>
    </row>
    <row r="3" spans="1:10" s="41" customFormat="1">
      <c r="A3" s="259" t="s">
        <v>297</v>
      </c>
      <c r="B3" s="259"/>
      <c r="C3" s="259"/>
      <c r="D3" s="259"/>
      <c r="E3" s="259"/>
      <c r="F3" s="259"/>
      <c r="G3" s="259"/>
      <c r="H3" s="259"/>
      <c r="I3" s="259"/>
      <c r="J3" s="40"/>
    </row>
    <row r="4" spans="1:10" s="41" customFormat="1">
      <c r="A4" s="259" t="s">
        <v>325</v>
      </c>
      <c r="B4" s="259"/>
      <c r="C4" s="259"/>
      <c r="D4" s="259"/>
      <c r="E4" s="259"/>
      <c r="F4" s="259"/>
      <c r="G4" s="259"/>
      <c r="H4" s="259"/>
      <c r="I4" s="259"/>
      <c r="J4" s="40"/>
    </row>
    <row r="5" spans="1:10">
      <c r="D5" s="3"/>
      <c r="E5" s="3"/>
    </row>
    <row r="6" spans="1:10">
      <c r="A6" s="3"/>
      <c r="B6" s="3"/>
      <c r="C6" s="3" t="s">
        <v>15</v>
      </c>
      <c r="D6" s="3" t="s">
        <v>5</v>
      </c>
      <c r="E6" s="3" t="s">
        <v>1</v>
      </c>
      <c r="F6" s="46" t="s">
        <v>15</v>
      </c>
      <c r="G6" s="46" t="s">
        <v>15</v>
      </c>
      <c r="H6" s="3" t="s">
        <v>298</v>
      </c>
      <c r="I6" s="3"/>
    </row>
    <row r="7" spans="1:10">
      <c r="A7" s="3"/>
      <c r="B7" s="3" t="s">
        <v>17</v>
      </c>
      <c r="C7" s="3" t="s">
        <v>3</v>
      </c>
      <c r="D7" s="3" t="s">
        <v>298</v>
      </c>
      <c r="E7" s="3" t="s">
        <v>298</v>
      </c>
      <c r="F7" s="46" t="s">
        <v>2</v>
      </c>
      <c r="G7" s="46" t="s">
        <v>2</v>
      </c>
      <c r="H7" s="3" t="s">
        <v>2</v>
      </c>
      <c r="I7" s="3" t="s">
        <v>20</v>
      </c>
    </row>
    <row r="8" spans="1:10">
      <c r="A8" s="97" t="s">
        <v>4</v>
      </c>
      <c r="B8" s="97" t="s">
        <v>21</v>
      </c>
      <c r="C8" s="66" t="str">
        <f>'Sch. 101'!D8</f>
        <v>12ME Dec. 2025</v>
      </c>
      <c r="D8" s="97" t="s">
        <v>22</v>
      </c>
      <c r="E8" s="97" t="s">
        <v>22</v>
      </c>
      <c r="F8" s="42" t="s">
        <v>23</v>
      </c>
      <c r="G8" s="42" t="s">
        <v>124</v>
      </c>
      <c r="H8" s="97" t="s">
        <v>24</v>
      </c>
      <c r="I8" s="97" t="s">
        <v>24</v>
      </c>
    </row>
    <row r="9" spans="1:10">
      <c r="A9" t="s">
        <v>7</v>
      </c>
      <c r="B9" s="5" t="s">
        <v>30</v>
      </c>
      <c r="C9" s="45">
        <f>SUM('Rate Year Therms'!P10,'Rate Year Therms'!P11)</f>
        <v>539959592</v>
      </c>
      <c r="D9" s="7">
        <v>3.15E-3</v>
      </c>
      <c r="E9" s="7">
        <v>3.15E-3</v>
      </c>
      <c r="F9" s="36">
        <f>C9*D9</f>
        <v>1700872.7148</v>
      </c>
      <c r="G9" s="36">
        <f>C9*E9</f>
        <v>1700872.7148</v>
      </c>
      <c r="H9" s="8">
        <f>G9-F9</f>
        <v>0</v>
      </c>
      <c r="I9" s="1">
        <f>-H9/F9</f>
        <v>0</v>
      </c>
    </row>
    <row r="10" spans="1:10">
      <c r="A10" t="s">
        <v>31</v>
      </c>
      <c r="B10" s="5">
        <v>16</v>
      </c>
      <c r="C10" s="45">
        <f>'Rate Year Therms'!P9</f>
        <v>6996</v>
      </c>
      <c r="D10" s="7">
        <v>3.15E-3</v>
      </c>
      <c r="E10" s="7">
        <v>3.15E-3</v>
      </c>
      <c r="F10" s="36">
        <f t="shared" ref="F10:F36" si="0">C10*D10</f>
        <v>22.037400000000002</v>
      </c>
      <c r="G10" s="36">
        <f t="shared" ref="G10:G48" si="1">C10*E10</f>
        <v>22.037400000000002</v>
      </c>
      <c r="H10" s="8">
        <f t="shared" ref="H10:H48" si="2">G10-F10</f>
        <v>0</v>
      </c>
      <c r="I10" s="1">
        <f t="shared" ref="I10:I48" si="3">-H10/F10</f>
        <v>0</v>
      </c>
    </row>
    <row r="11" spans="1:10">
      <c r="A11" t="s">
        <v>8</v>
      </c>
      <c r="B11" s="5">
        <v>31</v>
      </c>
      <c r="C11" s="45">
        <f>'Rate Year Therms'!P12</f>
        <v>228527070</v>
      </c>
      <c r="D11" s="7">
        <v>2.8900000000000002E-3</v>
      </c>
      <c r="E11" s="7">
        <v>2.8900000000000002E-3</v>
      </c>
      <c r="F11" s="36">
        <f t="shared" si="0"/>
        <v>660443.23230000003</v>
      </c>
      <c r="G11" s="36">
        <f t="shared" si="1"/>
        <v>660443.23230000003</v>
      </c>
      <c r="H11" s="8">
        <f t="shared" si="2"/>
        <v>0</v>
      </c>
      <c r="I11" s="1">
        <f t="shared" si="3"/>
        <v>0</v>
      </c>
    </row>
    <row r="12" spans="1:10">
      <c r="A12" t="s">
        <v>9</v>
      </c>
      <c r="B12" s="5">
        <v>41</v>
      </c>
      <c r="C12" s="45">
        <f>'Rate Year Therms'!P13</f>
        <v>60329189</v>
      </c>
      <c r="D12" s="7">
        <v>2.2000000000000001E-3</v>
      </c>
      <c r="E12" s="7">
        <v>2.2000000000000001E-3</v>
      </c>
      <c r="F12" s="36">
        <f t="shared" si="0"/>
        <v>132724.21580000001</v>
      </c>
      <c r="G12" s="36">
        <f t="shared" si="1"/>
        <v>132724.21580000001</v>
      </c>
      <c r="H12" s="8">
        <f t="shared" si="2"/>
        <v>0</v>
      </c>
      <c r="I12" s="1">
        <f t="shared" si="3"/>
        <v>0</v>
      </c>
    </row>
    <row r="13" spans="1:10">
      <c r="A13" t="s">
        <v>10</v>
      </c>
      <c r="B13" s="5">
        <v>85</v>
      </c>
      <c r="C13" s="45">
        <f>'Rate Year Therms'!P14</f>
        <v>16668227</v>
      </c>
      <c r="D13" s="7">
        <v>1.8500000000000001E-3</v>
      </c>
      <c r="E13" s="7">
        <v>1.8500000000000001E-3</v>
      </c>
      <c r="F13" s="36">
        <f t="shared" si="0"/>
        <v>30836.219950000002</v>
      </c>
      <c r="G13" s="36">
        <f t="shared" si="1"/>
        <v>30836.219950000002</v>
      </c>
      <c r="H13" s="8">
        <f t="shared" si="2"/>
        <v>0</v>
      </c>
      <c r="I13" s="1">
        <f t="shared" si="3"/>
        <v>0</v>
      </c>
    </row>
    <row r="14" spans="1:10">
      <c r="A14" t="s">
        <v>11</v>
      </c>
      <c r="B14" s="5">
        <v>86</v>
      </c>
      <c r="C14" s="45">
        <f>'Rate Year Therms'!P15</f>
        <v>4684519</v>
      </c>
      <c r="D14" s="7">
        <v>4.8999999999999998E-4</v>
      </c>
      <c r="E14" s="7">
        <v>4.8999999999999998E-4</v>
      </c>
      <c r="F14" s="36">
        <f t="shared" si="0"/>
        <v>2295.4143100000001</v>
      </c>
      <c r="G14" s="36">
        <f t="shared" si="1"/>
        <v>2295.4143100000001</v>
      </c>
      <c r="H14" s="8">
        <f t="shared" si="2"/>
        <v>0</v>
      </c>
      <c r="I14" s="1">
        <f t="shared" si="3"/>
        <v>0</v>
      </c>
    </row>
    <row r="15" spans="1:10">
      <c r="B15" s="5"/>
      <c r="C15" s="45"/>
      <c r="D15" s="7"/>
      <c r="E15" s="7"/>
      <c r="F15" s="36"/>
      <c r="G15" s="36"/>
      <c r="H15" s="8"/>
      <c r="I15" s="1"/>
    </row>
    <row r="16" spans="1:10">
      <c r="A16" t="s">
        <v>12</v>
      </c>
      <c r="B16" s="5">
        <v>87</v>
      </c>
      <c r="D16" s="53"/>
      <c r="E16" s="53"/>
    </row>
    <row r="17" spans="1:9">
      <c r="A17" t="s">
        <v>293</v>
      </c>
      <c r="B17" s="5">
        <v>87</v>
      </c>
      <c r="C17" s="88">
        <f>'Rate Year Therms'!$P$16*'RY#1 Therms by Block%'!N41</f>
        <v>1200000</v>
      </c>
      <c r="D17" s="7">
        <v>3.3899999999999998E-3</v>
      </c>
      <c r="E17" s="7">
        <v>3.3899999999999998E-3</v>
      </c>
      <c r="F17" s="8">
        <f t="shared" si="0"/>
        <v>4067.9999999999995</v>
      </c>
      <c r="G17" s="8">
        <f t="shared" si="1"/>
        <v>4067.9999999999995</v>
      </c>
      <c r="H17" s="8">
        <f>G17-F17</f>
        <v>0</v>
      </c>
      <c r="I17" s="1">
        <f t="shared" si="3"/>
        <v>0</v>
      </c>
    </row>
    <row r="18" spans="1:9">
      <c r="A18" t="s">
        <v>294</v>
      </c>
      <c r="B18" s="5">
        <v>87</v>
      </c>
      <c r="C18" s="88">
        <f>'Rate Year Therms'!$P$16*'RY#1 Therms by Block%'!N42</f>
        <v>1200000</v>
      </c>
      <c r="D18" s="7">
        <v>2.0500000000000002E-3</v>
      </c>
      <c r="E18" s="7">
        <v>2.0500000000000002E-3</v>
      </c>
      <c r="F18" s="8">
        <f t="shared" si="0"/>
        <v>2460</v>
      </c>
      <c r="G18" s="8">
        <f t="shared" si="1"/>
        <v>2460</v>
      </c>
      <c r="H18" s="8">
        <f t="shared" si="2"/>
        <v>0</v>
      </c>
      <c r="I18" s="1">
        <f t="shared" si="3"/>
        <v>0</v>
      </c>
    </row>
    <row r="19" spans="1:9">
      <c r="A19" t="s">
        <v>295</v>
      </c>
      <c r="B19" s="5">
        <v>87</v>
      </c>
      <c r="C19" s="88">
        <f>'Rate Year Therms'!$P$16*'RY#1 Therms by Block%'!N43</f>
        <v>2400000</v>
      </c>
      <c r="D19" s="7">
        <v>1.2999999999999999E-3</v>
      </c>
      <c r="E19" s="7">
        <v>1.2999999999999999E-3</v>
      </c>
      <c r="F19" s="8">
        <f t="shared" si="0"/>
        <v>3120</v>
      </c>
      <c r="G19" s="8">
        <f t="shared" si="1"/>
        <v>3120</v>
      </c>
      <c r="H19" s="8">
        <f t="shared" si="2"/>
        <v>0</v>
      </c>
      <c r="I19" s="1">
        <f t="shared" si="3"/>
        <v>0</v>
      </c>
    </row>
    <row r="20" spans="1:9">
      <c r="A20" t="s">
        <v>63</v>
      </c>
      <c r="B20" s="5">
        <v>87</v>
      </c>
      <c r="C20" s="88">
        <f>'Rate Year Therms'!$P$16*'RY#1 Therms by Block%'!N44</f>
        <v>3127546.681753166</v>
      </c>
      <c r="D20" s="7">
        <v>8.4000000000000003E-4</v>
      </c>
      <c r="E20" s="7">
        <v>8.4000000000000003E-4</v>
      </c>
      <c r="F20" s="8">
        <f t="shared" si="0"/>
        <v>2627.1392126726596</v>
      </c>
      <c r="G20" s="8">
        <f t="shared" si="1"/>
        <v>2627.1392126726596</v>
      </c>
      <c r="H20" s="8">
        <f t="shared" si="2"/>
        <v>0</v>
      </c>
      <c r="I20" s="1">
        <f t="shared" si="3"/>
        <v>0</v>
      </c>
    </row>
    <row r="21" spans="1:9">
      <c r="A21" t="s">
        <v>64</v>
      </c>
      <c r="B21" s="5">
        <v>87</v>
      </c>
      <c r="C21" s="88">
        <f>'Rate Year Therms'!$P$16*'RY#1 Therms by Block%'!N45</f>
        <v>3948028.7649102923</v>
      </c>
      <c r="D21" s="7">
        <v>5.9999999999999995E-4</v>
      </c>
      <c r="E21" s="7">
        <v>5.9999999999999995E-4</v>
      </c>
      <c r="F21" s="8">
        <f t="shared" si="0"/>
        <v>2368.8172589461751</v>
      </c>
      <c r="G21" s="8">
        <f t="shared" si="1"/>
        <v>2368.8172589461751</v>
      </c>
      <c r="H21" s="8">
        <f t="shared" si="2"/>
        <v>0</v>
      </c>
      <c r="I21" s="1">
        <f t="shared" si="3"/>
        <v>0</v>
      </c>
    </row>
    <row r="22" spans="1:9">
      <c r="A22" t="s">
        <v>82</v>
      </c>
      <c r="B22" s="5">
        <v>87</v>
      </c>
      <c r="C22" s="88">
        <f>'Rate Year Therms'!$P$16*'RY#1 Therms by Block%'!N46</f>
        <v>8132081.5533365402</v>
      </c>
      <c r="D22" s="7">
        <v>1.1E-4</v>
      </c>
      <c r="E22" s="7">
        <v>1.1E-4</v>
      </c>
      <c r="F22" s="8">
        <f t="shared" si="0"/>
        <v>894.52897086701944</v>
      </c>
      <c r="G22" s="8">
        <f t="shared" si="1"/>
        <v>894.52897086701944</v>
      </c>
      <c r="H22" s="8">
        <f t="shared" si="2"/>
        <v>0</v>
      </c>
      <c r="I22" s="1">
        <f t="shared" si="3"/>
        <v>0</v>
      </c>
    </row>
    <row r="23" spans="1:9">
      <c r="A23" t="s">
        <v>6</v>
      </c>
      <c r="B23" s="5">
        <v>87</v>
      </c>
      <c r="C23" s="14">
        <f>SUM(C17:C22)</f>
        <v>20007657</v>
      </c>
      <c r="D23" s="170"/>
      <c r="E23" s="170"/>
      <c r="F23" s="36">
        <f>SUM(F17:F22)</f>
        <v>15538.485442485855</v>
      </c>
      <c r="G23" s="36">
        <f t="shared" ref="G23" si="4">SUM(G17:G22)</f>
        <v>15538.485442485855</v>
      </c>
      <c r="H23" s="36">
        <f>SUM(H17:H22)</f>
        <v>0</v>
      </c>
      <c r="I23" s="1">
        <f>-H23/F23</f>
        <v>0</v>
      </c>
    </row>
    <row r="24" spans="1:9">
      <c r="B24" s="5"/>
      <c r="C24" s="45"/>
      <c r="D24" s="170"/>
      <c r="E24" s="170"/>
      <c r="F24" s="36"/>
      <c r="G24" s="36"/>
      <c r="H24" s="8"/>
      <c r="I24" s="1"/>
    </row>
    <row r="25" spans="1:9">
      <c r="A25" t="s">
        <v>32</v>
      </c>
      <c r="B25" s="5" t="s">
        <v>33</v>
      </c>
      <c r="C25" s="45">
        <f>'Rate Year Therms'!P17</f>
        <v>0</v>
      </c>
      <c r="D25" s="170"/>
      <c r="E25" s="170"/>
      <c r="F25" s="36">
        <f t="shared" si="0"/>
        <v>0</v>
      </c>
      <c r="G25" s="36">
        <f t="shared" si="1"/>
        <v>0</v>
      </c>
      <c r="H25" s="8">
        <f t="shared" si="2"/>
        <v>0</v>
      </c>
      <c r="I25" s="1" t="e">
        <f t="shared" si="3"/>
        <v>#DIV/0!</v>
      </c>
    </row>
    <row r="26" spans="1:9">
      <c r="A26" t="s">
        <v>34</v>
      </c>
      <c r="B26" t="s">
        <v>35</v>
      </c>
      <c r="C26" s="45">
        <f>'Rate Year Therms'!P18</f>
        <v>21757669</v>
      </c>
      <c r="D26" s="170"/>
      <c r="E26" s="170"/>
      <c r="F26" s="36">
        <f t="shared" si="0"/>
        <v>0</v>
      </c>
      <c r="G26" s="36">
        <f t="shared" si="1"/>
        <v>0</v>
      </c>
      <c r="H26" s="8">
        <f t="shared" si="2"/>
        <v>0</v>
      </c>
      <c r="I26" s="1" t="e">
        <f t="shared" si="3"/>
        <v>#DIV/0!</v>
      </c>
    </row>
    <row r="27" spans="1:9">
      <c r="A27" t="s">
        <v>36</v>
      </c>
      <c r="B27" t="s">
        <v>37</v>
      </c>
      <c r="C27" s="45">
        <f>'Rate Year Therms'!P19</f>
        <v>62744436</v>
      </c>
      <c r="D27" s="170"/>
      <c r="E27" s="170"/>
      <c r="F27" s="36">
        <f t="shared" si="0"/>
        <v>0</v>
      </c>
      <c r="G27" s="36">
        <f t="shared" si="1"/>
        <v>0</v>
      </c>
      <c r="H27" s="8">
        <f t="shared" si="2"/>
        <v>0</v>
      </c>
      <c r="I27" s="1" t="e">
        <f t="shared" si="3"/>
        <v>#DIV/0!</v>
      </c>
    </row>
    <row r="28" spans="1:9">
      <c r="A28" t="s">
        <v>38</v>
      </c>
      <c r="B28" t="s">
        <v>39</v>
      </c>
      <c r="C28" s="45">
        <f>'Rate Year Therms'!P20</f>
        <v>1176527</v>
      </c>
      <c r="D28" s="170"/>
      <c r="E28" s="170"/>
      <c r="F28" s="36">
        <f t="shared" si="0"/>
        <v>0</v>
      </c>
      <c r="G28" s="36">
        <f t="shared" si="1"/>
        <v>0</v>
      </c>
      <c r="H28" s="8">
        <f t="shared" si="2"/>
        <v>0</v>
      </c>
      <c r="I28" s="1" t="e">
        <f t="shared" si="3"/>
        <v>#DIV/0!</v>
      </c>
    </row>
    <row r="29" spans="1:9">
      <c r="C29" s="45"/>
      <c r="D29" s="170"/>
      <c r="E29" s="170"/>
      <c r="F29" s="36"/>
      <c r="G29" s="36"/>
      <c r="H29" s="8"/>
      <c r="I29" s="1"/>
    </row>
    <row r="30" spans="1:9">
      <c r="A30" t="s">
        <v>40</v>
      </c>
      <c r="B30" t="s">
        <v>41</v>
      </c>
    </row>
    <row r="31" spans="1:9">
      <c r="A31" t="s">
        <v>293</v>
      </c>
      <c r="B31" t="s">
        <v>41</v>
      </c>
      <c r="C31" s="88">
        <f>'Rate Year Therms'!$P$21*'RY#1 Therms by Block%'!N50</f>
        <v>3000000</v>
      </c>
      <c r="D31" s="170"/>
      <c r="E31" s="170"/>
      <c r="F31" s="8">
        <f t="shared" si="0"/>
        <v>0</v>
      </c>
      <c r="G31" s="8">
        <f t="shared" si="1"/>
        <v>0</v>
      </c>
      <c r="H31" s="8">
        <f t="shared" si="2"/>
        <v>0</v>
      </c>
      <c r="I31" s="1" t="e">
        <f t="shared" ref="I31:I36" si="5">-H31/F31</f>
        <v>#DIV/0!</v>
      </c>
    </row>
    <row r="32" spans="1:9">
      <c r="A32" t="s">
        <v>294</v>
      </c>
      <c r="B32" t="s">
        <v>41</v>
      </c>
      <c r="C32" s="88">
        <f>'Rate Year Therms'!$P$21*'RY#1 Therms by Block%'!N51</f>
        <v>3000000</v>
      </c>
      <c r="D32" s="170"/>
      <c r="E32" s="170"/>
      <c r="F32" s="8">
        <f t="shared" si="0"/>
        <v>0</v>
      </c>
      <c r="G32" s="8">
        <f t="shared" si="1"/>
        <v>0</v>
      </c>
      <c r="H32" s="8">
        <f t="shared" si="2"/>
        <v>0</v>
      </c>
      <c r="I32" s="1" t="e">
        <f t="shared" si="5"/>
        <v>#DIV/0!</v>
      </c>
    </row>
    <row r="33" spans="1:9">
      <c r="A33" t="s">
        <v>295</v>
      </c>
      <c r="B33" t="s">
        <v>41</v>
      </c>
      <c r="C33" s="88">
        <f>'Rate Year Therms'!$P$21*'RY#1 Therms by Block%'!N52</f>
        <v>6000000</v>
      </c>
      <c r="D33" s="170"/>
      <c r="E33" s="170"/>
      <c r="F33" s="8">
        <f t="shared" si="0"/>
        <v>0</v>
      </c>
      <c r="G33" s="8">
        <f t="shared" si="1"/>
        <v>0</v>
      </c>
      <c r="H33" s="8">
        <f t="shared" si="2"/>
        <v>0</v>
      </c>
      <c r="I33" s="1" t="e">
        <f t="shared" si="5"/>
        <v>#DIV/0!</v>
      </c>
    </row>
    <row r="34" spans="1:9">
      <c r="A34" t="s">
        <v>63</v>
      </c>
      <c r="B34" t="s">
        <v>41</v>
      </c>
      <c r="C34" s="88">
        <f>'Rate Year Therms'!$P$21*'RY#1 Therms by Block%'!N53</f>
        <v>8824772.2542880289</v>
      </c>
      <c r="D34" s="170"/>
      <c r="E34" s="170"/>
      <c r="F34" s="8">
        <f t="shared" si="0"/>
        <v>0</v>
      </c>
      <c r="G34" s="8">
        <f t="shared" si="1"/>
        <v>0</v>
      </c>
      <c r="H34" s="8">
        <f t="shared" si="2"/>
        <v>0</v>
      </c>
      <c r="I34" s="1" t="e">
        <f t="shared" si="5"/>
        <v>#DIV/0!</v>
      </c>
    </row>
    <row r="35" spans="1:9">
      <c r="A35" t="s">
        <v>64</v>
      </c>
      <c r="B35" t="s">
        <v>41</v>
      </c>
      <c r="C35" s="88">
        <f>'Rate Year Therms'!$P$21*'RY#1 Therms by Block%'!N54</f>
        <v>19735102.43240466</v>
      </c>
      <c r="D35" s="170"/>
      <c r="E35" s="170"/>
      <c r="F35" s="8">
        <f t="shared" si="0"/>
        <v>0</v>
      </c>
      <c r="G35" s="8">
        <f t="shared" si="1"/>
        <v>0</v>
      </c>
      <c r="H35" s="8">
        <f t="shared" si="2"/>
        <v>0</v>
      </c>
      <c r="I35" s="1" t="e">
        <f t="shared" si="5"/>
        <v>#DIV/0!</v>
      </c>
    </row>
    <row r="36" spans="1:9">
      <c r="A36" t="s">
        <v>82</v>
      </c>
      <c r="B36" t="s">
        <v>41</v>
      </c>
      <c r="C36" s="88">
        <f>'Rate Year Therms'!$P$21*'RY#1 Therms by Block%'!N55</f>
        <v>26134112.03330731</v>
      </c>
      <c r="D36" s="170"/>
      <c r="E36" s="170"/>
      <c r="F36" s="8">
        <f t="shared" si="0"/>
        <v>0</v>
      </c>
      <c r="G36" s="8">
        <f t="shared" si="1"/>
        <v>0</v>
      </c>
      <c r="H36" s="8">
        <f t="shared" si="2"/>
        <v>0</v>
      </c>
      <c r="I36" s="1" t="e">
        <f t="shared" si="5"/>
        <v>#DIV/0!</v>
      </c>
    </row>
    <row r="37" spans="1:9">
      <c r="A37" t="s">
        <v>6</v>
      </c>
      <c r="B37" t="s">
        <v>41</v>
      </c>
      <c r="C37" s="14">
        <f>SUM(C31:C36)</f>
        <v>66693986.719999999</v>
      </c>
      <c r="D37" s="170"/>
      <c r="E37" s="170"/>
      <c r="F37" s="36">
        <f>SUM(F31:F36)</f>
        <v>0</v>
      </c>
      <c r="G37" s="36">
        <f t="shared" ref="G37:H37" si="6">SUM(G31:G36)</f>
        <v>0</v>
      </c>
      <c r="H37" s="36">
        <f t="shared" si="6"/>
        <v>0</v>
      </c>
      <c r="I37" s="1" t="e">
        <f>-H37/F37</f>
        <v>#DIV/0!</v>
      </c>
    </row>
    <row r="38" spans="1:9">
      <c r="C38" s="45"/>
      <c r="D38" s="170"/>
      <c r="E38" s="170"/>
      <c r="F38" s="36"/>
      <c r="G38" s="36"/>
      <c r="H38" s="8"/>
      <c r="I38" s="1"/>
    </row>
    <row r="39" spans="1:9">
      <c r="A39" t="s">
        <v>354</v>
      </c>
      <c r="B39" t="s">
        <v>355</v>
      </c>
    </row>
    <row r="40" spans="1:9">
      <c r="A40" t="s">
        <v>293</v>
      </c>
      <c r="B40" t="s">
        <v>355</v>
      </c>
      <c r="C40" s="88">
        <f>'Rate Year Therms'!$P$22*'RY#1 Therms by Block%'!N59</f>
        <v>300000</v>
      </c>
      <c r="D40" s="170"/>
      <c r="E40" s="170"/>
      <c r="F40" s="8">
        <f t="shared" ref="F40:F45" si="7">C40*D40</f>
        <v>0</v>
      </c>
      <c r="G40" s="8">
        <f t="shared" ref="G40:G45" si="8">C40*E40</f>
        <v>0</v>
      </c>
      <c r="H40" s="8">
        <f t="shared" ref="H40:H45" si="9">G40-F40</f>
        <v>0</v>
      </c>
      <c r="I40" s="1" t="e">
        <f t="shared" ref="I40:I45" si="10">-H40/F40</f>
        <v>#DIV/0!</v>
      </c>
    </row>
    <row r="41" spans="1:9">
      <c r="A41" t="s">
        <v>294</v>
      </c>
      <c r="B41" t="s">
        <v>355</v>
      </c>
      <c r="C41" s="88">
        <f>'Rate Year Therms'!$P$22*'RY#1 Therms by Block%'!N60</f>
        <v>300000</v>
      </c>
      <c r="D41" s="170"/>
      <c r="E41" s="170"/>
      <c r="F41" s="8">
        <f t="shared" si="7"/>
        <v>0</v>
      </c>
      <c r="G41" s="8">
        <f t="shared" si="8"/>
        <v>0</v>
      </c>
      <c r="H41" s="8">
        <f t="shared" si="9"/>
        <v>0</v>
      </c>
      <c r="I41" s="1" t="e">
        <f t="shared" si="10"/>
        <v>#DIV/0!</v>
      </c>
    </row>
    <row r="42" spans="1:9">
      <c r="A42" t="s">
        <v>295</v>
      </c>
      <c r="B42" t="s">
        <v>355</v>
      </c>
      <c r="C42" s="88">
        <f>'Rate Year Therms'!$P$22*'RY#1 Therms by Block%'!N61</f>
        <v>600000</v>
      </c>
      <c r="D42" s="170"/>
      <c r="E42" s="170"/>
      <c r="F42" s="8">
        <f t="shared" si="7"/>
        <v>0</v>
      </c>
      <c r="G42" s="8">
        <f t="shared" si="8"/>
        <v>0</v>
      </c>
      <c r="H42" s="8">
        <f t="shared" si="9"/>
        <v>0</v>
      </c>
      <c r="I42" s="1" t="e">
        <f t="shared" si="10"/>
        <v>#DIV/0!</v>
      </c>
    </row>
    <row r="43" spans="1:9">
      <c r="A43" t="s">
        <v>63</v>
      </c>
      <c r="B43" t="s">
        <v>355</v>
      </c>
      <c r="C43" s="88">
        <f>'Rate Year Therms'!$P$22*'RY#1 Therms by Block%'!N62</f>
        <v>1200000</v>
      </c>
      <c r="D43" s="170"/>
      <c r="E43" s="170"/>
      <c r="F43" s="8">
        <f t="shared" si="7"/>
        <v>0</v>
      </c>
      <c r="G43" s="8">
        <f t="shared" si="8"/>
        <v>0</v>
      </c>
      <c r="H43" s="8">
        <f t="shared" si="9"/>
        <v>0</v>
      </c>
      <c r="I43" s="1" t="e">
        <f t="shared" si="10"/>
        <v>#DIV/0!</v>
      </c>
    </row>
    <row r="44" spans="1:9">
      <c r="A44" t="s">
        <v>64</v>
      </c>
      <c r="B44" t="s">
        <v>355</v>
      </c>
      <c r="C44" s="88">
        <f>'Rate Year Therms'!$P$22*'RY#1 Therms by Block%'!N63</f>
        <v>3600000</v>
      </c>
      <c r="D44" s="170"/>
      <c r="E44" s="170"/>
      <c r="F44" s="8">
        <f t="shared" si="7"/>
        <v>0</v>
      </c>
      <c r="G44" s="8">
        <f t="shared" si="8"/>
        <v>0</v>
      </c>
      <c r="H44" s="8">
        <f t="shared" si="9"/>
        <v>0</v>
      </c>
      <c r="I44" s="1" t="e">
        <f t="shared" si="10"/>
        <v>#DIV/0!</v>
      </c>
    </row>
    <row r="45" spans="1:9">
      <c r="A45" t="s">
        <v>82</v>
      </c>
      <c r="B45" t="s">
        <v>355</v>
      </c>
      <c r="C45" s="88">
        <f>'Rate Year Therms'!$P$22*'RY#1 Therms by Block%'!N64</f>
        <v>33295144</v>
      </c>
      <c r="D45" s="170"/>
      <c r="E45" s="170"/>
      <c r="F45" s="8">
        <f t="shared" si="7"/>
        <v>0</v>
      </c>
      <c r="G45" s="8">
        <f t="shared" si="8"/>
        <v>0</v>
      </c>
      <c r="H45" s="8">
        <f t="shared" si="9"/>
        <v>0</v>
      </c>
      <c r="I45" s="1" t="e">
        <f t="shared" si="10"/>
        <v>#DIV/0!</v>
      </c>
    </row>
    <row r="46" spans="1:9">
      <c r="A46" t="s">
        <v>6</v>
      </c>
      <c r="B46" t="s">
        <v>355</v>
      </c>
      <c r="C46" s="14">
        <f>SUM(C40:C45)</f>
        <v>39295144</v>
      </c>
      <c r="D46" s="170"/>
      <c r="E46" s="170"/>
      <c r="F46" s="36">
        <f>SUM(F40:F45)</f>
        <v>0</v>
      </c>
      <c r="G46" s="36">
        <f t="shared" ref="G46:H46" si="11">SUM(G40:G45)</f>
        <v>0</v>
      </c>
      <c r="H46" s="36">
        <f t="shared" si="11"/>
        <v>0</v>
      </c>
      <c r="I46" s="1" t="e">
        <f>-H46/F46</f>
        <v>#DIV/0!</v>
      </c>
    </row>
    <row r="47" spans="1:9">
      <c r="C47" s="45"/>
      <c r="D47" s="170"/>
      <c r="E47" s="170"/>
      <c r="F47" s="36"/>
      <c r="G47" s="36"/>
      <c r="H47" s="8"/>
      <c r="I47" s="1"/>
    </row>
    <row r="48" spans="1:9">
      <c r="A48" t="s">
        <v>13</v>
      </c>
      <c r="C48" s="45">
        <f>'Rate Year Therms'!P23</f>
        <v>32030387</v>
      </c>
      <c r="D48" s="9"/>
      <c r="E48" s="7"/>
      <c r="F48" s="36">
        <f>C48*D48</f>
        <v>0</v>
      </c>
      <c r="G48" s="36">
        <f t="shared" si="1"/>
        <v>0</v>
      </c>
      <c r="H48" s="8">
        <f t="shared" si="2"/>
        <v>0</v>
      </c>
      <c r="I48" s="1" t="e">
        <f t="shared" si="3"/>
        <v>#DIV/0!</v>
      </c>
    </row>
    <row r="49" spans="1:9">
      <c r="A49" t="s">
        <v>6</v>
      </c>
      <c r="C49" s="10">
        <f>SUM(C9:C14,C23,C25:C28,C37,C46,C48)</f>
        <v>1093881399.72</v>
      </c>
      <c r="D49" s="6"/>
      <c r="E49" s="116"/>
      <c r="F49" s="72">
        <f>SUM(F9:F14,F23,F25:F28,F37,F46,F48)</f>
        <v>2542732.3200024855</v>
      </c>
      <c r="G49" s="72">
        <f t="shared" ref="G49:H49" si="12">SUM(G9:G14,G23,G25:G28,G37,G46,G48)</f>
        <v>2542732.3200024855</v>
      </c>
      <c r="H49" s="11">
        <f t="shared" si="12"/>
        <v>0</v>
      </c>
      <c r="I49" s="2">
        <f>-H49/F49</f>
        <v>0</v>
      </c>
    </row>
    <row r="50" spans="1:9">
      <c r="F50" s="8"/>
      <c r="G50" s="8"/>
    </row>
    <row r="51" spans="1:9">
      <c r="A51" s="175"/>
      <c r="C51" s="14"/>
      <c r="F51" s="8"/>
      <c r="G51" s="8"/>
    </row>
    <row r="52" spans="1:9">
      <c r="A52" s="39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70" orientation="landscape" blackAndWhite="1" r:id="rId1"/>
  <headerFooter>
    <oddFooter>&amp;L&amp;F 
&amp;A&amp;C&amp;P&amp;R&amp;D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U42"/>
  <sheetViews>
    <sheetView zoomScale="90" zoomScaleNormal="90" workbookViewId="0">
      <selection activeCell="E9" sqref="E9"/>
    </sheetView>
  </sheetViews>
  <sheetFormatPr defaultColWidth="8.7109375" defaultRowHeight="15"/>
  <cols>
    <col min="1" max="1" width="38.42578125" customWidth="1"/>
    <col min="2" max="2" width="9.140625" bestFit="1" customWidth="1"/>
    <col min="3" max="3" width="18.5703125" bestFit="1" customWidth="1"/>
    <col min="4" max="5" width="14.140625" bestFit="1" customWidth="1"/>
    <col min="6" max="7" width="14.42578125" customWidth="1"/>
    <col min="8" max="8" width="14.140625" bestFit="1" customWidth="1"/>
    <col min="9" max="9" width="7.85546875" bestFit="1" customWidth="1"/>
  </cols>
  <sheetData>
    <row r="1" spans="1:21" s="41" customForma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40"/>
    </row>
    <row r="2" spans="1:21" s="41" customFormat="1">
      <c r="A2" s="259" t="s">
        <v>378</v>
      </c>
      <c r="B2" s="265"/>
      <c r="C2" s="265"/>
      <c r="D2" s="265"/>
      <c r="E2" s="265"/>
      <c r="F2" s="265"/>
      <c r="G2" s="265"/>
      <c r="H2" s="265"/>
      <c r="I2" s="265"/>
      <c r="J2" s="109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1" s="41" customFormat="1">
      <c r="A3" s="259" t="s">
        <v>343</v>
      </c>
      <c r="B3" s="259"/>
      <c r="C3" s="259"/>
      <c r="D3" s="259"/>
      <c r="E3" s="259"/>
      <c r="F3" s="259"/>
      <c r="G3" s="259"/>
      <c r="H3" s="259"/>
      <c r="I3" s="259"/>
      <c r="J3" s="40"/>
    </row>
    <row r="4" spans="1:21" s="41" customFormat="1">
      <c r="A4" s="259" t="s">
        <v>374</v>
      </c>
      <c r="B4" s="259"/>
      <c r="C4" s="259"/>
      <c r="D4" s="259"/>
      <c r="E4" s="259"/>
      <c r="F4" s="259"/>
      <c r="G4" s="259"/>
      <c r="H4" s="259"/>
      <c r="I4" s="259"/>
      <c r="J4" s="40"/>
    </row>
    <row r="5" spans="1:21">
      <c r="D5" s="3"/>
      <c r="E5" s="3"/>
    </row>
    <row r="6" spans="1:21">
      <c r="A6" s="3"/>
      <c r="B6" s="3"/>
      <c r="C6" s="3" t="s">
        <v>15</v>
      </c>
      <c r="D6" s="3" t="s">
        <v>5</v>
      </c>
      <c r="E6" s="3" t="s">
        <v>1</v>
      </c>
      <c r="F6" s="46" t="s">
        <v>15</v>
      </c>
      <c r="G6" s="46" t="s">
        <v>15</v>
      </c>
      <c r="H6" s="3" t="s">
        <v>342</v>
      </c>
      <c r="I6" s="3"/>
    </row>
    <row r="7" spans="1:21">
      <c r="A7" s="3"/>
      <c r="B7" s="3" t="s">
        <v>17</v>
      </c>
      <c r="C7" s="3" t="s">
        <v>3</v>
      </c>
      <c r="D7" s="3" t="s">
        <v>342</v>
      </c>
      <c r="E7" s="3" t="s">
        <v>342</v>
      </c>
      <c r="F7" s="46" t="s">
        <v>2</v>
      </c>
      <c r="G7" s="46" t="s">
        <v>2</v>
      </c>
      <c r="H7" s="3" t="s">
        <v>2</v>
      </c>
      <c r="I7" s="3" t="s">
        <v>20</v>
      </c>
    </row>
    <row r="8" spans="1:21">
      <c r="A8" s="97" t="s">
        <v>4</v>
      </c>
      <c r="B8" s="97" t="s">
        <v>21</v>
      </c>
      <c r="C8" s="64" t="str">
        <f>'Sch. 101'!$D$8</f>
        <v>12ME Dec. 2025</v>
      </c>
      <c r="D8" s="97" t="s">
        <v>22</v>
      </c>
      <c r="E8" s="97" t="s">
        <v>22</v>
      </c>
      <c r="F8" s="42" t="s">
        <v>23</v>
      </c>
      <c r="G8" s="42" t="s">
        <v>124</v>
      </c>
      <c r="H8" s="97" t="s">
        <v>24</v>
      </c>
      <c r="I8" s="97" t="s">
        <v>24</v>
      </c>
      <c r="S8" s="96"/>
    </row>
    <row r="9" spans="1:21">
      <c r="A9" t="s">
        <v>7</v>
      </c>
      <c r="B9" s="5" t="s">
        <v>30</v>
      </c>
      <c r="C9" s="45">
        <f>SUM('Rate Year Therms'!P10,'Rate Year Therms'!P11)</f>
        <v>539959592</v>
      </c>
      <c r="D9" s="7">
        <v>0</v>
      </c>
      <c r="E9" s="170">
        <v>6.0830741360552963E-3</v>
      </c>
      <c r="F9" s="36">
        <f>C9*D9</f>
        <v>0</v>
      </c>
      <c r="G9" s="36">
        <f>C9*E9</f>
        <v>3284614.2286101701</v>
      </c>
      <c r="H9" s="8">
        <f>G9-F9</f>
        <v>3284614.2286101701</v>
      </c>
      <c r="I9" s="1" t="e">
        <f>H9/F9</f>
        <v>#DIV/0!</v>
      </c>
      <c r="S9" s="94"/>
    </row>
    <row r="10" spans="1:21">
      <c r="A10" t="s">
        <v>31</v>
      </c>
      <c r="B10" s="5">
        <v>16</v>
      </c>
      <c r="C10" s="45">
        <f>'Rate Year Therms'!P9</f>
        <v>6996</v>
      </c>
      <c r="D10" s="7">
        <v>0</v>
      </c>
      <c r="E10" s="170">
        <v>6.0830741360552963E-3</v>
      </c>
      <c r="F10" s="36">
        <f t="shared" ref="F10:F21" si="0">C10*D10</f>
        <v>0</v>
      </c>
      <c r="G10" s="36">
        <f t="shared" ref="G10:G22" si="1">C10*E10</f>
        <v>42.557186655842855</v>
      </c>
      <c r="H10" s="8">
        <f t="shared" ref="H10:H22" si="2">G10-F10</f>
        <v>42.557186655842855</v>
      </c>
      <c r="I10" s="1" t="e">
        <f t="shared" ref="I10:I23" si="3">H10/F10</f>
        <v>#DIV/0!</v>
      </c>
    </row>
    <row r="11" spans="1:21">
      <c r="A11" t="s">
        <v>8</v>
      </c>
      <c r="B11" s="5">
        <v>31</v>
      </c>
      <c r="C11" s="45">
        <f>'Rate Year Therms'!P12</f>
        <v>228527070</v>
      </c>
      <c r="D11" s="7">
        <v>0</v>
      </c>
      <c r="E11" s="170">
        <v>2.611923999057005E-3</v>
      </c>
      <c r="F11" s="36">
        <f t="shared" si="0"/>
        <v>0</v>
      </c>
      <c r="G11" s="36">
        <f t="shared" si="1"/>
        <v>596895.33856718009</v>
      </c>
      <c r="H11" s="8">
        <f t="shared" si="2"/>
        <v>596895.33856718009</v>
      </c>
      <c r="I11" s="1" t="e">
        <f t="shared" si="3"/>
        <v>#DIV/0!</v>
      </c>
    </row>
    <row r="12" spans="1:21">
      <c r="A12" t="s">
        <v>9</v>
      </c>
      <c r="B12" s="5">
        <v>41</v>
      </c>
      <c r="C12" s="45">
        <f>'Rate Year Therms'!P13</f>
        <v>60329189</v>
      </c>
      <c r="D12" s="7">
        <v>0</v>
      </c>
      <c r="E12" s="170">
        <v>1.0654778609188692E-3</v>
      </c>
      <c r="F12" s="36">
        <f t="shared" si="0"/>
        <v>0</v>
      </c>
      <c r="G12" s="36">
        <f t="shared" si="1"/>
        <v>64279.415246690172</v>
      </c>
      <c r="H12" s="8">
        <f t="shared" si="2"/>
        <v>64279.415246690172</v>
      </c>
      <c r="I12" s="1" t="e">
        <f t="shared" si="3"/>
        <v>#DIV/0!</v>
      </c>
    </row>
    <row r="13" spans="1:21">
      <c r="A13" t="s">
        <v>10</v>
      </c>
      <c r="B13" s="5">
        <v>85</v>
      </c>
      <c r="C13" s="45">
        <f>'Rate Year Therms'!P14</f>
        <v>16668227</v>
      </c>
      <c r="D13" s="7">
        <v>0</v>
      </c>
      <c r="E13" s="170">
        <v>4.2528409457104186E-4</v>
      </c>
      <c r="F13" s="36">
        <f t="shared" si="0"/>
        <v>0</v>
      </c>
      <c r="G13" s="36">
        <f t="shared" si="1"/>
        <v>7088.7318277995937</v>
      </c>
      <c r="H13" s="8">
        <f t="shared" si="2"/>
        <v>7088.7318277995937</v>
      </c>
      <c r="I13" s="1" t="e">
        <f t="shared" si="3"/>
        <v>#DIV/0!</v>
      </c>
    </row>
    <row r="14" spans="1:21">
      <c r="A14" t="s">
        <v>11</v>
      </c>
      <c r="B14" s="5">
        <v>86</v>
      </c>
      <c r="C14" s="45">
        <f>'Rate Year Therms'!P15</f>
        <v>4684519</v>
      </c>
      <c r="D14" s="7">
        <v>0</v>
      </c>
      <c r="E14" s="170">
        <v>9.6983119344735361E-4</v>
      </c>
      <c r="F14" s="36">
        <f t="shared" si="0"/>
        <v>0</v>
      </c>
      <c r="G14" s="36">
        <f t="shared" si="1"/>
        <v>4543.1926524968039</v>
      </c>
      <c r="H14" s="8">
        <f t="shared" si="2"/>
        <v>4543.1926524968039</v>
      </c>
      <c r="I14" s="1" t="e">
        <f t="shared" si="3"/>
        <v>#DIV/0!</v>
      </c>
    </row>
    <row r="15" spans="1:21">
      <c r="A15" t="s">
        <v>12</v>
      </c>
      <c r="B15" s="5">
        <v>87</v>
      </c>
      <c r="C15" s="45">
        <f>'Rate Year Therms'!P16</f>
        <v>20007657</v>
      </c>
      <c r="D15" s="7">
        <v>0</v>
      </c>
      <c r="E15" s="170">
        <v>2.2020920570554813E-4</v>
      </c>
      <c r="F15" s="36">
        <f t="shared" si="0"/>
        <v>0</v>
      </c>
      <c r="G15" s="36">
        <f t="shared" si="1"/>
        <v>4405.8702559990497</v>
      </c>
      <c r="H15" s="8">
        <f t="shared" si="2"/>
        <v>4405.8702559990497</v>
      </c>
      <c r="I15" s="1" t="e">
        <f t="shared" si="3"/>
        <v>#DIV/0!</v>
      </c>
    </row>
    <row r="16" spans="1:21">
      <c r="A16" t="s">
        <v>32</v>
      </c>
      <c r="B16" s="5" t="s">
        <v>33</v>
      </c>
      <c r="C16" s="45">
        <f>'Rate Year Therms'!P17</f>
        <v>0</v>
      </c>
      <c r="D16" s="7">
        <v>0</v>
      </c>
      <c r="E16" s="170">
        <v>2.611923999057005E-3</v>
      </c>
      <c r="F16" s="36">
        <f t="shared" si="0"/>
        <v>0</v>
      </c>
      <c r="G16" s="36">
        <f t="shared" si="1"/>
        <v>0</v>
      </c>
      <c r="H16" s="8">
        <f t="shared" si="2"/>
        <v>0</v>
      </c>
      <c r="I16" s="1" t="e">
        <f t="shared" si="3"/>
        <v>#DIV/0!</v>
      </c>
    </row>
    <row r="17" spans="1:9">
      <c r="A17" t="s">
        <v>34</v>
      </c>
      <c r="B17" t="s">
        <v>35</v>
      </c>
      <c r="C17" s="45">
        <f>'Rate Year Therms'!P18</f>
        <v>21757669</v>
      </c>
      <c r="D17" s="7">
        <v>0</v>
      </c>
      <c r="E17" s="170">
        <v>1.0654778609188692E-3</v>
      </c>
      <c r="F17" s="36">
        <f t="shared" si="0"/>
        <v>0</v>
      </c>
      <c r="G17" s="36">
        <f t="shared" si="1"/>
        <v>23182.31462470079</v>
      </c>
      <c r="H17" s="8">
        <f t="shared" si="2"/>
        <v>23182.31462470079</v>
      </c>
      <c r="I17" s="1" t="e">
        <f t="shared" si="3"/>
        <v>#DIV/0!</v>
      </c>
    </row>
    <row r="18" spans="1:9">
      <c r="A18" t="s">
        <v>36</v>
      </c>
      <c r="B18" t="s">
        <v>37</v>
      </c>
      <c r="C18" s="45">
        <f>'Rate Year Therms'!P19</f>
        <v>62744436</v>
      </c>
      <c r="D18" s="7">
        <v>0</v>
      </c>
      <c r="E18" s="170">
        <v>4.2528409457104186E-4</v>
      </c>
      <c r="F18" s="36">
        <f t="shared" si="0"/>
        <v>0</v>
      </c>
      <c r="G18" s="36">
        <f t="shared" si="1"/>
        <v>26684.210653630682</v>
      </c>
      <c r="H18" s="8">
        <f t="shared" si="2"/>
        <v>26684.210653630682</v>
      </c>
      <c r="I18" s="1" t="e">
        <f t="shared" si="3"/>
        <v>#DIV/0!</v>
      </c>
    </row>
    <row r="19" spans="1:9">
      <c r="A19" t="s">
        <v>38</v>
      </c>
      <c r="B19" t="s">
        <v>39</v>
      </c>
      <c r="C19" s="45">
        <f>'Rate Year Therms'!P20</f>
        <v>1176527</v>
      </c>
      <c r="D19" s="7">
        <v>0</v>
      </c>
      <c r="E19" s="170">
        <v>9.6983119344735361E-4</v>
      </c>
      <c r="F19" s="36">
        <f t="shared" si="0"/>
        <v>0</v>
      </c>
      <c r="G19" s="36">
        <f t="shared" si="1"/>
        <v>1141.0325845330347</v>
      </c>
      <c r="H19" s="8">
        <f t="shared" si="2"/>
        <v>1141.0325845330347</v>
      </c>
      <c r="I19" s="1" t="e">
        <f t="shared" si="3"/>
        <v>#DIV/0!</v>
      </c>
    </row>
    <row r="20" spans="1:9">
      <c r="A20" t="s">
        <v>40</v>
      </c>
      <c r="B20" t="s">
        <v>41</v>
      </c>
      <c r="C20" s="45">
        <f>'Rate Year Therms'!P21</f>
        <v>66693986.719999999</v>
      </c>
      <c r="D20" s="7">
        <v>0</v>
      </c>
      <c r="E20" s="170">
        <v>2.2020920570554813E-4</v>
      </c>
      <c r="F20" s="36">
        <f t="shared" si="0"/>
        <v>0</v>
      </c>
      <c r="G20" s="36">
        <f t="shared" si="1"/>
        <v>14686.629840947575</v>
      </c>
      <c r="H20" s="8">
        <f t="shared" si="2"/>
        <v>14686.629840947575</v>
      </c>
      <c r="I20" s="1" t="e">
        <f t="shared" si="3"/>
        <v>#DIV/0!</v>
      </c>
    </row>
    <row r="21" spans="1:9">
      <c r="A21" t="s">
        <v>354</v>
      </c>
      <c r="B21" t="s">
        <v>355</v>
      </c>
      <c r="C21" s="45">
        <f>'Rate Year Therms'!P22</f>
        <v>39295144</v>
      </c>
      <c r="D21" s="7">
        <v>0</v>
      </c>
      <c r="E21" s="170">
        <v>4.6459290806515218E-5</v>
      </c>
      <c r="F21" s="36">
        <f t="shared" si="0"/>
        <v>0</v>
      </c>
      <c r="G21" s="36">
        <f t="shared" si="1"/>
        <v>1825.6245223798917</v>
      </c>
      <c r="H21" s="8">
        <f t="shared" si="2"/>
        <v>1825.6245223798917</v>
      </c>
      <c r="I21" s="1" t="e">
        <f t="shared" si="3"/>
        <v>#DIV/0!</v>
      </c>
    </row>
    <row r="22" spans="1:9">
      <c r="A22" t="s">
        <v>13</v>
      </c>
      <c r="C22" s="45">
        <f>'Rate Year Therms'!P23</f>
        <v>32030387</v>
      </c>
      <c r="D22" s="7">
        <v>0</v>
      </c>
      <c r="E22" s="204">
        <v>1.7878636908781229E-4</v>
      </c>
      <c r="F22" s="36">
        <f>C22*D22</f>
        <v>0</v>
      </c>
      <c r="G22" s="36">
        <f t="shared" si="1"/>
        <v>5726.5965922074647</v>
      </c>
      <c r="H22" s="8">
        <f t="shared" si="2"/>
        <v>5726.5965922074647</v>
      </c>
      <c r="I22" s="1" t="e">
        <f t="shared" si="3"/>
        <v>#DIV/0!</v>
      </c>
    </row>
    <row r="23" spans="1:9">
      <c r="A23" t="s">
        <v>6</v>
      </c>
      <c r="C23" s="10">
        <f>SUM(C9:C22)</f>
        <v>1093881399.72</v>
      </c>
      <c r="D23" s="116"/>
      <c r="E23" s="6"/>
      <c r="F23" s="37">
        <f t="shared" ref="F23:H23" si="4">SUM(F9:F22)</f>
        <v>0</v>
      </c>
      <c r="G23" s="37">
        <f t="shared" si="4"/>
        <v>4035115.7431653915</v>
      </c>
      <c r="H23" s="11">
        <f t="shared" si="4"/>
        <v>4035115.7431653915</v>
      </c>
      <c r="I23" s="2" t="e">
        <f t="shared" si="3"/>
        <v>#DIV/0!</v>
      </c>
    </row>
    <row r="24" spans="1:9">
      <c r="F24" s="8"/>
      <c r="G24" s="8"/>
    </row>
    <row r="25" spans="1:9">
      <c r="C25" s="14"/>
      <c r="F25" s="8"/>
      <c r="G25" s="8"/>
    </row>
    <row r="26" spans="1:9">
      <c r="A26" s="39"/>
    </row>
    <row r="42" spans="2:2" ht="17.25">
      <c r="B42" s="108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&amp;A&amp;C&amp;P&amp;R&amp;D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52"/>
  <sheetViews>
    <sheetView zoomScale="90" zoomScaleNormal="90" workbookViewId="0">
      <selection activeCell="C41" sqref="C41"/>
    </sheetView>
  </sheetViews>
  <sheetFormatPr defaultRowHeight="15"/>
  <cols>
    <col min="1" max="1" width="36.85546875" bestFit="1" customWidth="1"/>
    <col min="2" max="2" width="9.28515625" bestFit="1" customWidth="1"/>
    <col min="3" max="3" width="18.7109375" bestFit="1" customWidth="1"/>
    <col min="4" max="5" width="13.7109375" customWidth="1"/>
    <col min="6" max="8" width="14.42578125" customWidth="1"/>
    <col min="9" max="9" width="9.85546875" bestFit="1" customWidth="1"/>
  </cols>
  <sheetData>
    <row r="1" spans="1:10" s="41" customForma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40"/>
    </row>
    <row r="2" spans="1:10" s="41" customFormat="1">
      <c r="A2" s="259" t="s">
        <v>262</v>
      </c>
      <c r="B2" s="259"/>
      <c r="C2" s="259"/>
      <c r="D2" s="259"/>
      <c r="E2" s="259"/>
      <c r="F2" s="259"/>
      <c r="G2" s="259"/>
      <c r="H2" s="259"/>
      <c r="I2" s="259"/>
      <c r="J2" s="40"/>
    </row>
    <row r="3" spans="1:10" s="41" customFormat="1">
      <c r="A3" s="259" t="s">
        <v>263</v>
      </c>
      <c r="B3" s="259"/>
      <c r="C3" s="259"/>
      <c r="D3" s="259"/>
      <c r="E3" s="259"/>
      <c r="F3" s="259"/>
      <c r="G3" s="259"/>
      <c r="H3" s="259"/>
      <c r="I3" s="259"/>
      <c r="J3" s="40"/>
    </row>
    <row r="4" spans="1:10" s="41" customFormat="1">
      <c r="A4" s="259" t="s">
        <v>374</v>
      </c>
      <c r="B4" s="259"/>
      <c r="C4" s="259"/>
      <c r="D4" s="259"/>
      <c r="E4" s="259"/>
      <c r="F4" s="259"/>
      <c r="G4" s="259"/>
      <c r="H4" s="259"/>
      <c r="I4" s="259"/>
      <c r="J4" s="40"/>
    </row>
    <row r="5" spans="1:10">
      <c r="D5" s="3"/>
      <c r="E5" s="3"/>
    </row>
    <row r="6" spans="1:10">
      <c r="A6" s="3"/>
      <c r="B6" s="3"/>
      <c r="C6" s="3" t="s">
        <v>15</v>
      </c>
      <c r="D6" s="3" t="s">
        <v>5</v>
      </c>
      <c r="E6" s="3" t="s">
        <v>1</v>
      </c>
      <c r="F6" s="46" t="s">
        <v>15</v>
      </c>
      <c r="G6" s="46" t="s">
        <v>15</v>
      </c>
      <c r="H6" s="3" t="s">
        <v>216</v>
      </c>
      <c r="I6" s="3"/>
    </row>
    <row r="7" spans="1:10">
      <c r="A7" s="3"/>
      <c r="B7" s="3" t="s">
        <v>17</v>
      </c>
      <c r="C7" s="3" t="s">
        <v>3</v>
      </c>
      <c r="D7" s="3" t="s">
        <v>216</v>
      </c>
      <c r="E7" s="3" t="s">
        <v>216</v>
      </c>
      <c r="F7" s="46" t="s">
        <v>2</v>
      </c>
      <c r="G7" s="46" t="s">
        <v>2</v>
      </c>
      <c r="H7" s="3" t="s">
        <v>2</v>
      </c>
      <c r="I7" s="3" t="s">
        <v>20</v>
      </c>
    </row>
    <row r="8" spans="1:10">
      <c r="A8" s="97" t="s">
        <v>4</v>
      </c>
      <c r="B8" s="97" t="s">
        <v>21</v>
      </c>
      <c r="C8" s="66" t="str">
        <f>'Sch. 101'!D8</f>
        <v>12ME Dec. 2025</v>
      </c>
      <c r="D8" s="97" t="s">
        <v>22</v>
      </c>
      <c r="E8" s="97" t="s">
        <v>22</v>
      </c>
      <c r="F8" s="42" t="s">
        <v>23</v>
      </c>
      <c r="G8" s="42" t="s">
        <v>124</v>
      </c>
      <c r="H8" s="97" t="s">
        <v>24</v>
      </c>
      <c r="I8" s="97" t="s">
        <v>24</v>
      </c>
    </row>
    <row r="9" spans="1:10">
      <c r="A9" t="s">
        <v>7</v>
      </c>
      <c r="B9" s="5" t="s">
        <v>30</v>
      </c>
      <c r="C9" s="45">
        <f>SUM('Rate Year Therms'!P10,'Rate Year Therms'!P11)</f>
        <v>539959592</v>
      </c>
      <c r="D9" s="7">
        <v>-4.7999999999999996E-3</v>
      </c>
      <c r="E9" s="7">
        <v>0</v>
      </c>
      <c r="F9" s="36">
        <f>C9*D9</f>
        <v>-2591806.0415999996</v>
      </c>
      <c r="G9" s="36">
        <f>C9*E9</f>
        <v>0</v>
      </c>
      <c r="H9" s="8">
        <f>G9-F9</f>
        <v>2591806.0415999996</v>
      </c>
      <c r="I9" s="1">
        <f>-H9/F9</f>
        <v>1</v>
      </c>
    </row>
    <row r="10" spans="1:10">
      <c r="A10" t="s">
        <v>31</v>
      </c>
      <c r="B10" s="5">
        <v>16</v>
      </c>
      <c r="C10" s="45">
        <f>'Rate Year Therms'!P9</f>
        <v>6996</v>
      </c>
      <c r="D10" s="7">
        <v>-4.7999999999999996E-3</v>
      </c>
      <c r="E10" s="7">
        <v>0</v>
      </c>
      <c r="F10" s="36">
        <f t="shared" ref="F10:F36" si="0">C10*D10</f>
        <v>-33.580799999999996</v>
      </c>
      <c r="G10" s="36">
        <f t="shared" ref="G10:G48" si="1">C10*E10</f>
        <v>0</v>
      </c>
      <c r="H10" s="8">
        <f t="shared" ref="H10:H48" si="2">G10-F10</f>
        <v>33.580799999999996</v>
      </c>
      <c r="I10" s="1">
        <f t="shared" ref="I10:I48" si="3">-H10/F10</f>
        <v>1</v>
      </c>
    </row>
    <row r="11" spans="1:10">
      <c r="A11" t="s">
        <v>8</v>
      </c>
      <c r="B11" s="5">
        <v>31</v>
      </c>
      <c r="C11" s="45">
        <f>'Rate Year Therms'!P12</f>
        <v>228527070</v>
      </c>
      <c r="D11" s="7">
        <v>-4.4000000000000003E-3</v>
      </c>
      <c r="E11" s="7">
        <v>0</v>
      </c>
      <c r="F11" s="36">
        <f t="shared" si="0"/>
        <v>-1005519.108</v>
      </c>
      <c r="G11" s="36">
        <f t="shared" si="1"/>
        <v>0</v>
      </c>
      <c r="H11" s="8">
        <f t="shared" si="2"/>
        <v>1005519.108</v>
      </c>
      <c r="I11" s="1">
        <f t="shared" si="3"/>
        <v>1</v>
      </c>
    </row>
    <row r="12" spans="1:10">
      <c r="A12" t="s">
        <v>9</v>
      </c>
      <c r="B12" s="5">
        <v>41</v>
      </c>
      <c r="C12" s="45">
        <f>'Rate Year Therms'!P13</f>
        <v>60329189</v>
      </c>
      <c r="D12" s="7">
        <v>-2.0999999999999999E-3</v>
      </c>
      <c r="E12" s="7">
        <v>0</v>
      </c>
      <c r="F12" s="36">
        <f t="shared" si="0"/>
        <v>-126691.29689999999</v>
      </c>
      <c r="G12" s="36">
        <f t="shared" si="1"/>
        <v>0</v>
      </c>
      <c r="H12" s="8">
        <f t="shared" si="2"/>
        <v>126691.29689999999</v>
      </c>
      <c r="I12" s="1">
        <f t="shared" si="3"/>
        <v>1</v>
      </c>
    </row>
    <row r="13" spans="1:10">
      <c r="A13" t="s">
        <v>10</v>
      </c>
      <c r="B13" s="5">
        <v>85</v>
      </c>
      <c r="C13" s="45">
        <f>'Rate Year Therms'!P14</f>
        <v>16668227</v>
      </c>
      <c r="D13" s="7">
        <v>-1.2800000000000001E-3</v>
      </c>
      <c r="E13" s="7">
        <v>0</v>
      </c>
      <c r="F13" s="36">
        <f t="shared" si="0"/>
        <v>-21335.330560000002</v>
      </c>
      <c r="G13" s="36">
        <f t="shared" si="1"/>
        <v>0</v>
      </c>
      <c r="H13" s="8">
        <f t="shared" si="2"/>
        <v>21335.330560000002</v>
      </c>
      <c r="I13" s="1">
        <f t="shared" si="3"/>
        <v>1</v>
      </c>
    </row>
    <row r="14" spans="1:10">
      <c r="A14" t="s">
        <v>11</v>
      </c>
      <c r="B14" s="5">
        <v>86</v>
      </c>
      <c r="C14" s="45">
        <f>'Rate Year Therms'!P15</f>
        <v>4684519</v>
      </c>
      <c r="D14" s="7">
        <v>-1.06E-3</v>
      </c>
      <c r="E14" s="7">
        <v>0</v>
      </c>
      <c r="F14" s="36">
        <f t="shared" si="0"/>
        <v>-4965.5901400000002</v>
      </c>
      <c r="G14" s="36">
        <f t="shared" si="1"/>
        <v>0</v>
      </c>
      <c r="H14" s="8">
        <f t="shared" si="2"/>
        <v>4965.5901400000002</v>
      </c>
      <c r="I14" s="1">
        <f t="shared" si="3"/>
        <v>1</v>
      </c>
    </row>
    <row r="15" spans="1:10">
      <c r="B15" s="5"/>
      <c r="C15" s="45"/>
      <c r="D15" s="7"/>
      <c r="E15" s="7"/>
      <c r="F15" s="36"/>
      <c r="G15" s="36"/>
      <c r="H15" s="8"/>
      <c r="I15" s="1"/>
    </row>
    <row r="16" spans="1:10">
      <c r="A16" t="s">
        <v>12</v>
      </c>
      <c r="B16" s="5">
        <v>87</v>
      </c>
      <c r="D16" s="53"/>
      <c r="E16" s="53"/>
    </row>
    <row r="17" spans="1:9">
      <c r="A17" t="s">
        <v>293</v>
      </c>
      <c r="B17" s="5">
        <v>87</v>
      </c>
      <c r="C17" s="88">
        <f>'Rate Year Therms'!$P$16*'RY#1 Therms by Block%'!N41</f>
        <v>1200000</v>
      </c>
      <c r="D17" s="7">
        <v>-2.6099999999999999E-3</v>
      </c>
      <c r="E17" s="7">
        <v>0</v>
      </c>
      <c r="F17" s="8">
        <f t="shared" si="0"/>
        <v>-3132</v>
      </c>
      <c r="G17" s="8">
        <f t="shared" si="1"/>
        <v>0</v>
      </c>
      <c r="H17" s="8">
        <f>G17-F17</f>
        <v>3132</v>
      </c>
      <c r="I17" s="1">
        <f t="shared" si="3"/>
        <v>1</v>
      </c>
    </row>
    <row r="18" spans="1:9">
      <c r="A18" t="s">
        <v>294</v>
      </c>
      <c r="B18" s="5">
        <v>87</v>
      </c>
      <c r="C18" s="88">
        <f>'Rate Year Therms'!$P$16*'RY#1 Therms by Block%'!N42</f>
        <v>1200000</v>
      </c>
      <c r="D18" s="7">
        <v>-1.58E-3</v>
      </c>
      <c r="E18" s="7">
        <v>0</v>
      </c>
      <c r="F18" s="8">
        <f t="shared" si="0"/>
        <v>-1896</v>
      </c>
      <c r="G18" s="8">
        <f t="shared" si="1"/>
        <v>0</v>
      </c>
      <c r="H18" s="8">
        <f t="shared" si="2"/>
        <v>1896</v>
      </c>
      <c r="I18" s="1">
        <f t="shared" si="3"/>
        <v>1</v>
      </c>
    </row>
    <row r="19" spans="1:9">
      <c r="A19" t="s">
        <v>295</v>
      </c>
      <c r="B19" s="5">
        <v>87</v>
      </c>
      <c r="C19" s="88">
        <f>'Rate Year Therms'!$P$16*'RY#1 Therms by Block%'!N43</f>
        <v>2400000</v>
      </c>
      <c r="D19" s="7">
        <v>-1E-3</v>
      </c>
      <c r="E19" s="7">
        <v>0</v>
      </c>
      <c r="F19" s="8">
        <f t="shared" si="0"/>
        <v>-2400</v>
      </c>
      <c r="G19" s="8">
        <f t="shared" si="1"/>
        <v>0</v>
      </c>
      <c r="H19" s="8">
        <f t="shared" si="2"/>
        <v>2400</v>
      </c>
      <c r="I19" s="1">
        <f t="shared" si="3"/>
        <v>1</v>
      </c>
    </row>
    <row r="20" spans="1:9">
      <c r="A20" t="s">
        <v>63</v>
      </c>
      <c r="B20" s="5">
        <v>87</v>
      </c>
      <c r="C20" s="88">
        <f>'Rate Year Therms'!$P$16*'RY#1 Therms by Block%'!N44</f>
        <v>3127546.681753166</v>
      </c>
      <c r="D20" s="7">
        <v>-6.4000000000000005E-4</v>
      </c>
      <c r="E20" s="7">
        <v>0</v>
      </c>
      <c r="F20" s="8">
        <f t="shared" si="0"/>
        <v>-2001.6298763220263</v>
      </c>
      <c r="G20" s="8">
        <f t="shared" si="1"/>
        <v>0</v>
      </c>
      <c r="H20" s="8">
        <f t="shared" si="2"/>
        <v>2001.6298763220263</v>
      </c>
      <c r="I20" s="1">
        <f t="shared" si="3"/>
        <v>1</v>
      </c>
    </row>
    <row r="21" spans="1:9">
      <c r="A21" t="s">
        <v>64</v>
      </c>
      <c r="B21" s="5">
        <v>87</v>
      </c>
      <c r="C21" s="88">
        <f>'Rate Year Therms'!$P$16*'RY#1 Therms by Block%'!N45</f>
        <v>3948028.7649102923</v>
      </c>
      <c r="D21" s="7">
        <v>-4.6000000000000001E-4</v>
      </c>
      <c r="E21" s="7">
        <v>0</v>
      </c>
      <c r="F21" s="8">
        <f t="shared" si="0"/>
        <v>-1816.0932318587345</v>
      </c>
      <c r="G21" s="8">
        <f t="shared" si="1"/>
        <v>0</v>
      </c>
      <c r="H21" s="8">
        <f t="shared" si="2"/>
        <v>1816.0932318587345</v>
      </c>
      <c r="I21" s="1">
        <f t="shared" si="3"/>
        <v>1</v>
      </c>
    </row>
    <row r="22" spans="1:9">
      <c r="A22" t="s">
        <v>82</v>
      </c>
      <c r="B22" s="5">
        <v>87</v>
      </c>
      <c r="C22" s="88">
        <f>'Rate Year Therms'!$P$16*'RY#1 Therms by Block%'!N46</f>
        <v>8132081.5533365402</v>
      </c>
      <c r="D22" s="7">
        <v>-6.9999999999999994E-5</v>
      </c>
      <c r="E22" s="7">
        <v>0</v>
      </c>
      <c r="F22" s="8">
        <f t="shared" si="0"/>
        <v>-569.24570873355776</v>
      </c>
      <c r="G22" s="8">
        <f t="shared" si="1"/>
        <v>0</v>
      </c>
      <c r="H22" s="8">
        <f t="shared" si="2"/>
        <v>569.24570873355776</v>
      </c>
      <c r="I22" s="1">
        <f t="shared" si="3"/>
        <v>1</v>
      </c>
    </row>
    <row r="23" spans="1:9">
      <c r="A23" t="s">
        <v>6</v>
      </c>
      <c r="B23" s="5">
        <v>87</v>
      </c>
      <c r="C23" s="14">
        <f>SUM(C17:C22)</f>
        <v>20007657</v>
      </c>
      <c r="D23" s="7"/>
      <c r="E23" s="7"/>
      <c r="F23" s="36">
        <f>SUM(F17:F22)</f>
        <v>-11814.968816914317</v>
      </c>
      <c r="G23" s="36">
        <f t="shared" ref="G23" si="4">SUM(G17:G22)</f>
        <v>0</v>
      </c>
      <c r="H23" s="36">
        <f>SUM(H17:H22)</f>
        <v>11814.968816914317</v>
      </c>
      <c r="I23" s="1">
        <f>-H23/F23</f>
        <v>1</v>
      </c>
    </row>
    <row r="24" spans="1:9">
      <c r="B24" s="5"/>
      <c r="C24" s="45"/>
      <c r="D24" s="7"/>
      <c r="E24" s="7"/>
      <c r="F24" s="36"/>
      <c r="G24" s="36"/>
      <c r="H24" s="8"/>
      <c r="I24" s="1"/>
    </row>
    <row r="25" spans="1:9">
      <c r="A25" t="s">
        <v>32</v>
      </c>
      <c r="B25" s="5" t="s">
        <v>33</v>
      </c>
      <c r="C25" s="45">
        <f>'Rate Year Therms'!P17</f>
        <v>0</v>
      </c>
      <c r="D25" s="7">
        <v>-4.4000000000000003E-3</v>
      </c>
      <c r="E25" s="7">
        <v>0</v>
      </c>
      <c r="F25" s="36">
        <f t="shared" si="0"/>
        <v>0</v>
      </c>
      <c r="G25" s="36">
        <f t="shared" si="1"/>
        <v>0</v>
      </c>
      <c r="H25" s="8">
        <f t="shared" si="2"/>
        <v>0</v>
      </c>
      <c r="I25" s="1" t="e">
        <f t="shared" si="3"/>
        <v>#DIV/0!</v>
      </c>
    </row>
    <row r="26" spans="1:9">
      <c r="A26" t="s">
        <v>34</v>
      </c>
      <c r="B26" t="s">
        <v>35</v>
      </c>
      <c r="C26" s="45">
        <f>'Rate Year Therms'!P18</f>
        <v>21757669</v>
      </c>
      <c r="D26" s="7">
        <v>-2.0999999999999999E-3</v>
      </c>
      <c r="E26" s="7">
        <v>0</v>
      </c>
      <c r="F26" s="36">
        <f t="shared" si="0"/>
        <v>-45691.104899999998</v>
      </c>
      <c r="G26" s="36">
        <f t="shared" si="1"/>
        <v>0</v>
      </c>
      <c r="H26" s="8">
        <f t="shared" si="2"/>
        <v>45691.104899999998</v>
      </c>
      <c r="I26" s="1">
        <f t="shared" si="3"/>
        <v>1</v>
      </c>
    </row>
    <row r="27" spans="1:9">
      <c r="A27" t="s">
        <v>36</v>
      </c>
      <c r="B27" t="s">
        <v>37</v>
      </c>
      <c r="C27" s="45">
        <f>'Rate Year Therms'!P19</f>
        <v>62744436</v>
      </c>
      <c r="D27" s="7">
        <v>-1.2800000000000001E-3</v>
      </c>
      <c r="E27" s="7">
        <v>0</v>
      </c>
      <c r="F27" s="36">
        <f t="shared" si="0"/>
        <v>-80312.87808000001</v>
      </c>
      <c r="G27" s="36">
        <f t="shared" si="1"/>
        <v>0</v>
      </c>
      <c r="H27" s="8">
        <f t="shared" si="2"/>
        <v>80312.87808000001</v>
      </c>
      <c r="I27" s="1">
        <f t="shared" si="3"/>
        <v>1</v>
      </c>
    </row>
    <row r="28" spans="1:9">
      <c r="A28" t="s">
        <v>38</v>
      </c>
      <c r="B28" t="s">
        <v>39</v>
      </c>
      <c r="C28" s="45">
        <f>'Rate Year Therms'!P20</f>
        <v>1176527</v>
      </c>
      <c r="D28" s="7">
        <v>-1.06E-3</v>
      </c>
      <c r="E28" s="7">
        <v>0</v>
      </c>
      <c r="F28" s="36">
        <f t="shared" si="0"/>
        <v>-1247.11862</v>
      </c>
      <c r="G28" s="36">
        <f t="shared" si="1"/>
        <v>0</v>
      </c>
      <c r="H28" s="8">
        <f t="shared" si="2"/>
        <v>1247.11862</v>
      </c>
      <c r="I28" s="1">
        <f t="shared" si="3"/>
        <v>1</v>
      </c>
    </row>
    <row r="29" spans="1:9">
      <c r="C29" s="45"/>
      <c r="D29" s="7"/>
      <c r="E29" s="7"/>
      <c r="F29" s="36"/>
      <c r="G29" s="36"/>
      <c r="H29" s="8"/>
      <c r="I29" s="1"/>
    </row>
    <row r="30" spans="1:9">
      <c r="A30" t="s">
        <v>40</v>
      </c>
      <c r="B30" t="s">
        <v>41</v>
      </c>
      <c r="D30" s="53"/>
      <c r="E30" s="53"/>
    </row>
    <row r="31" spans="1:9">
      <c r="A31" t="s">
        <v>293</v>
      </c>
      <c r="B31" t="s">
        <v>41</v>
      </c>
      <c r="C31" s="88">
        <f>'Rate Year Therms'!$P$21*'RY#1 Therms by Block%'!N50</f>
        <v>3000000</v>
      </c>
      <c r="D31" s="7">
        <v>-2.6099999999999999E-3</v>
      </c>
      <c r="E31" s="7">
        <v>0</v>
      </c>
      <c r="F31" s="8">
        <f t="shared" si="0"/>
        <v>-7830</v>
      </c>
      <c r="G31" s="8">
        <f t="shared" si="1"/>
        <v>0</v>
      </c>
      <c r="H31" s="8">
        <f t="shared" si="2"/>
        <v>7830</v>
      </c>
      <c r="I31" s="1">
        <f t="shared" ref="I31:I36" si="5">-H31/F31</f>
        <v>1</v>
      </c>
    </row>
    <row r="32" spans="1:9">
      <c r="A32" t="s">
        <v>294</v>
      </c>
      <c r="B32" t="s">
        <v>41</v>
      </c>
      <c r="C32" s="88">
        <f>'Rate Year Therms'!$P$21*'RY#1 Therms by Block%'!N51</f>
        <v>3000000</v>
      </c>
      <c r="D32" s="7">
        <v>-1.58E-3</v>
      </c>
      <c r="E32" s="7">
        <v>0</v>
      </c>
      <c r="F32" s="8">
        <f t="shared" si="0"/>
        <v>-4740</v>
      </c>
      <c r="G32" s="8">
        <f t="shared" si="1"/>
        <v>0</v>
      </c>
      <c r="H32" s="8">
        <f t="shared" si="2"/>
        <v>4740</v>
      </c>
      <c r="I32" s="1">
        <f t="shared" si="5"/>
        <v>1</v>
      </c>
    </row>
    <row r="33" spans="1:9">
      <c r="A33" t="s">
        <v>295</v>
      </c>
      <c r="B33" t="s">
        <v>41</v>
      </c>
      <c r="C33" s="88">
        <f>'Rate Year Therms'!$P$21*'RY#1 Therms by Block%'!N52</f>
        <v>6000000</v>
      </c>
      <c r="D33" s="7">
        <v>-1E-3</v>
      </c>
      <c r="E33" s="7">
        <v>0</v>
      </c>
      <c r="F33" s="8">
        <f t="shared" si="0"/>
        <v>-6000</v>
      </c>
      <c r="G33" s="8">
        <f t="shared" si="1"/>
        <v>0</v>
      </c>
      <c r="H33" s="8">
        <f t="shared" si="2"/>
        <v>6000</v>
      </c>
      <c r="I33" s="1">
        <f t="shared" si="5"/>
        <v>1</v>
      </c>
    </row>
    <row r="34" spans="1:9">
      <c r="A34" t="s">
        <v>63</v>
      </c>
      <c r="B34" t="s">
        <v>41</v>
      </c>
      <c r="C34" s="88">
        <f>'Rate Year Therms'!$P$21*'RY#1 Therms by Block%'!N53</f>
        <v>8824772.2542880289</v>
      </c>
      <c r="D34" s="7">
        <v>-6.4000000000000005E-4</v>
      </c>
      <c r="E34" s="7">
        <v>0</v>
      </c>
      <c r="F34" s="8">
        <f t="shared" si="0"/>
        <v>-5647.854242744339</v>
      </c>
      <c r="G34" s="8">
        <f t="shared" si="1"/>
        <v>0</v>
      </c>
      <c r="H34" s="8">
        <f t="shared" si="2"/>
        <v>5647.854242744339</v>
      </c>
      <c r="I34" s="1">
        <f t="shared" si="5"/>
        <v>1</v>
      </c>
    </row>
    <row r="35" spans="1:9">
      <c r="A35" t="s">
        <v>64</v>
      </c>
      <c r="B35" t="s">
        <v>41</v>
      </c>
      <c r="C35" s="88">
        <f>'Rate Year Therms'!$P$21*'RY#1 Therms by Block%'!N54</f>
        <v>19735102.43240466</v>
      </c>
      <c r="D35" s="7">
        <v>-4.6000000000000001E-4</v>
      </c>
      <c r="E35" s="7">
        <v>0</v>
      </c>
      <c r="F35" s="8">
        <f t="shared" si="0"/>
        <v>-9078.1471189061431</v>
      </c>
      <c r="G35" s="8">
        <f t="shared" si="1"/>
        <v>0</v>
      </c>
      <c r="H35" s="8">
        <f t="shared" si="2"/>
        <v>9078.1471189061431</v>
      </c>
      <c r="I35" s="1">
        <f t="shared" si="5"/>
        <v>1</v>
      </c>
    </row>
    <row r="36" spans="1:9">
      <c r="A36" t="s">
        <v>82</v>
      </c>
      <c r="B36" t="s">
        <v>41</v>
      </c>
      <c r="C36" s="88">
        <f>'Rate Year Therms'!$P$21*'RY#1 Therms by Block%'!N55</f>
        <v>26134112.03330731</v>
      </c>
      <c r="D36" s="7">
        <v>-6.9999999999999994E-5</v>
      </c>
      <c r="E36" s="7">
        <v>0</v>
      </c>
      <c r="F36" s="8">
        <f t="shared" si="0"/>
        <v>-1829.3878423315116</v>
      </c>
      <c r="G36" s="8">
        <f t="shared" si="1"/>
        <v>0</v>
      </c>
      <c r="H36" s="8">
        <f t="shared" si="2"/>
        <v>1829.3878423315116</v>
      </c>
      <c r="I36" s="1">
        <f t="shared" si="5"/>
        <v>1</v>
      </c>
    </row>
    <row r="37" spans="1:9">
      <c r="A37" t="s">
        <v>6</v>
      </c>
      <c r="B37" t="s">
        <v>41</v>
      </c>
      <c r="C37" s="14">
        <f>SUM(C31:C36)</f>
        <v>66693986.719999999</v>
      </c>
      <c r="D37" s="170"/>
      <c r="E37" s="170"/>
      <c r="F37" s="36">
        <f>SUM(F31:F36)</f>
        <v>-35125.389203981991</v>
      </c>
      <c r="G37" s="36">
        <f t="shared" ref="G37:H37" si="6">SUM(G31:G36)</f>
        <v>0</v>
      </c>
      <c r="H37" s="36">
        <f t="shared" si="6"/>
        <v>35125.389203981991</v>
      </c>
      <c r="I37" s="1">
        <f>-H37/F37</f>
        <v>1</v>
      </c>
    </row>
    <row r="38" spans="1:9">
      <c r="C38" s="45"/>
      <c r="D38" s="170"/>
      <c r="E38" s="170"/>
      <c r="F38" s="36"/>
      <c r="G38" s="36"/>
      <c r="H38" s="8"/>
      <c r="I38" s="1"/>
    </row>
    <row r="39" spans="1:9">
      <c r="A39" t="s">
        <v>354</v>
      </c>
      <c r="B39" t="s">
        <v>355</v>
      </c>
      <c r="D39" s="53"/>
      <c r="E39" s="53"/>
    </row>
    <row r="40" spans="1:9">
      <c r="A40" t="s">
        <v>293</v>
      </c>
      <c r="B40" t="s">
        <v>355</v>
      </c>
      <c r="C40" s="88">
        <f>'Rate Year Therms'!$P$22*'RY#1 Therms by Block%'!N59</f>
        <v>300000</v>
      </c>
      <c r="D40" s="7">
        <v>-2.6099999999999999E-3</v>
      </c>
      <c r="E40" s="7">
        <v>0</v>
      </c>
      <c r="F40" s="8">
        <f t="shared" ref="F40:F45" si="7">C40*D40</f>
        <v>-783</v>
      </c>
      <c r="G40" s="8">
        <f t="shared" ref="G40:G45" si="8">C40*E40</f>
        <v>0</v>
      </c>
      <c r="H40" s="8">
        <f t="shared" ref="H40:H45" si="9">G40-F40</f>
        <v>783</v>
      </c>
      <c r="I40" s="1">
        <f t="shared" ref="I40:I45" si="10">-H40/F40</f>
        <v>1</v>
      </c>
    </row>
    <row r="41" spans="1:9">
      <c r="A41" t="s">
        <v>294</v>
      </c>
      <c r="B41" t="s">
        <v>355</v>
      </c>
      <c r="C41" s="88">
        <f>'Rate Year Therms'!$P$22*'RY#1 Therms by Block%'!N60</f>
        <v>300000</v>
      </c>
      <c r="D41" s="7">
        <v>-1.58E-3</v>
      </c>
      <c r="E41" s="7">
        <v>0</v>
      </c>
      <c r="F41" s="8">
        <f t="shared" si="7"/>
        <v>-474</v>
      </c>
      <c r="G41" s="8">
        <f t="shared" si="8"/>
        <v>0</v>
      </c>
      <c r="H41" s="8">
        <f t="shared" si="9"/>
        <v>474</v>
      </c>
      <c r="I41" s="1">
        <f t="shared" si="10"/>
        <v>1</v>
      </c>
    </row>
    <row r="42" spans="1:9">
      <c r="A42" t="s">
        <v>295</v>
      </c>
      <c r="B42" t="s">
        <v>355</v>
      </c>
      <c r="C42" s="88">
        <f>'Rate Year Therms'!$P$22*'RY#1 Therms by Block%'!N61</f>
        <v>600000</v>
      </c>
      <c r="D42" s="7">
        <v>-1E-3</v>
      </c>
      <c r="E42" s="7">
        <v>0</v>
      </c>
      <c r="F42" s="8">
        <f t="shared" si="7"/>
        <v>-600</v>
      </c>
      <c r="G42" s="8">
        <f t="shared" si="8"/>
        <v>0</v>
      </c>
      <c r="H42" s="8">
        <f t="shared" si="9"/>
        <v>600</v>
      </c>
      <c r="I42" s="1">
        <f t="shared" si="10"/>
        <v>1</v>
      </c>
    </row>
    <row r="43" spans="1:9">
      <c r="A43" t="s">
        <v>63</v>
      </c>
      <c r="B43" t="s">
        <v>355</v>
      </c>
      <c r="C43" s="88">
        <f>'Rate Year Therms'!$P$22*'RY#1 Therms by Block%'!N62</f>
        <v>1200000</v>
      </c>
      <c r="D43" s="7">
        <v>-6.4000000000000005E-4</v>
      </c>
      <c r="E43" s="7">
        <v>0</v>
      </c>
      <c r="F43" s="8">
        <f t="shared" si="7"/>
        <v>-768.00000000000011</v>
      </c>
      <c r="G43" s="8">
        <f t="shared" si="8"/>
        <v>0</v>
      </c>
      <c r="H43" s="8">
        <f t="shared" si="9"/>
        <v>768.00000000000011</v>
      </c>
      <c r="I43" s="1">
        <f t="shared" si="10"/>
        <v>1</v>
      </c>
    </row>
    <row r="44" spans="1:9">
      <c r="A44" t="s">
        <v>64</v>
      </c>
      <c r="B44" t="s">
        <v>355</v>
      </c>
      <c r="C44" s="88">
        <f>'Rate Year Therms'!$P$22*'RY#1 Therms by Block%'!N63</f>
        <v>3600000</v>
      </c>
      <c r="D44" s="7">
        <v>-4.6000000000000001E-4</v>
      </c>
      <c r="E44" s="7">
        <v>0</v>
      </c>
      <c r="F44" s="8">
        <f t="shared" si="7"/>
        <v>-1656</v>
      </c>
      <c r="G44" s="8">
        <f t="shared" si="8"/>
        <v>0</v>
      </c>
      <c r="H44" s="8">
        <f t="shared" si="9"/>
        <v>1656</v>
      </c>
      <c r="I44" s="1">
        <f t="shared" si="10"/>
        <v>1</v>
      </c>
    </row>
    <row r="45" spans="1:9">
      <c r="A45" t="s">
        <v>82</v>
      </c>
      <c r="B45" t="s">
        <v>355</v>
      </c>
      <c r="C45" s="88">
        <f>'Rate Year Therms'!$P$22*'RY#1 Therms by Block%'!N64</f>
        <v>33295144</v>
      </c>
      <c r="D45" s="7">
        <v>-6.9999999999999994E-5</v>
      </c>
      <c r="E45" s="7">
        <v>0</v>
      </c>
      <c r="F45" s="8">
        <f t="shared" si="7"/>
        <v>-2330.6600799999997</v>
      </c>
      <c r="G45" s="8">
        <f t="shared" si="8"/>
        <v>0</v>
      </c>
      <c r="H45" s="8">
        <f t="shared" si="9"/>
        <v>2330.6600799999997</v>
      </c>
      <c r="I45" s="1">
        <f t="shared" si="10"/>
        <v>1</v>
      </c>
    </row>
    <row r="46" spans="1:9">
      <c r="A46" t="s">
        <v>6</v>
      </c>
      <c r="B46" t="s">
        <v>355</v>
      </c>
      <c r="C46" s="14">
        <f>SUM(C40:C45)</f>
        <v>39295144</v>
      </c>
      <c r="D46" s="170"/>
      <c r="E46" s="170"/>
      <c r="F46" s="36">
        <f>SUM(F40:F45)</f>
        <v>-6611.6600799999997</v>
      </c>
      <c r="G46" s="36">
        <f t="shared" ref="G46:H46" si="11">SUM(G40:G45)</f>
        <v>0</v>
      </c>
      <c r="H46" s="36">
        <f t="shared" si="11"/>
        <v>6611.6600799999997</v>
      </c>
      <c r="I46" s="1">
        <f>-H46/F46</f>
        <v>1</v>
      </c>
    </row>
    <row r="47" spans="1:9">
      <c r="C47" s="45"/>
      <c r="D47" s="170"/>
      <c r="E47" s="170"/>
      <c r="F47" s="36"/>
      <c r="G47" s="36"/>
      <c r="H47" s="8"/>
      <c r="I47" s="1"/>
    </row>
    <row r="48" spans="1:9">
      <c r="A48" t="s">
        <v>13</v>
      </c>
      <c r="C48" s="45">
        <f>'Rate Year Therms'!P23</f>
        <v>32030387</v>
      </c>
      <c r="D48" s="9"/>
      <c r="E48" s="7"/>
      <c r="F48" s="36">
        <f>C48*D48</f>
        <v>0</v>
      </c>
      <c r="G48" s="36">
        <f t="shared" si="1"/>
        <v>0</v>
      </c>
      <c r="H48" s="8">
        <f t="shared" si="2"/>
        <v>0</v>
      </c>
      <c r="I48" s="1" t="e">
        <f t="shared" si="3"/>
        <v>#DIV/0!</v>
      </c>
    </row>
    <row r="49" spans="1:9">
      <c r="A49" t="s">
        <v>6</v>
      </c>
      <c r="C49" s="10">
        <f>SUM(C9:C14,C23,C25:C28,C37,C46,C48)</f>
        <v>1093881399.72</v>
      </c>
      <c r="D49" s="6"/>
      <c r="E49" s="116"/>
      <c r="F49" s="201">
        <f>SUM(F9:F14,F23,F25:F28,F37,F46,F48)</f>
        <v>-3931154.0677008959</v>
      </c>
      <c r="G49" s="11">
        <f t="shared" ref="G49:H49" si="12">SUM(G9:G14,G23,G25:G28,G37,G46,G48)</f>
        <v>0</v>
      </c>
      <c r="H49" s="201">
        <f t="shared" si="12"/>
        <v>3931154.0677008959</v>
      </c>
      <c r="I49" s="2">
        <f>-H49/F49</f>
        <v>1</v>
      </c>
    </row>
    <row r="50" spans="1:9">
      <c r="F50" s="8"/>
      <c r="G50" s="8"/>
    </row>
    <row r="51" spans="1:9">
      <c r="A51" s="175"/>
      <c r="C51" s="14"/>
      <c r="F51" s="8"/>
      <c r="G51" s="8"/>
    </row>
    <row r="52" spans="1:9">
      <c r="A52" s="39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70" orientation="landscape" blackAndWhite="1" r:id="rId1"/>
  <headerFooter>
    <oddFooter>&amp;L&amp;F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J52"/>
  <sheetViews>
    <sheetView zoomScale="90" zoomScaleNormal="90" workbookViewId="0">
      <selection activeCell="C41" sqref="C41"/>
    </sheetView>
  </sheetViews>
  <sheetFormatPr defaultRowHeight="15"/>
  <cols>
    <col min="1" max="1" width="36.85546875" bestFit="1" customWidth="1"/>
    <col min="2" max="2" width="9.28515625" bestFit="1" customWidth="1"/>
    <col min="3" max="3" width="18.7109375" bestFit="1" customWidth="1"/>
    <col min="4" max="5" width="13.7109375" customWidth="1"/>
    <col min="6" max="8" width="14.42578125" customWidth="1"/>
    <col min="9" max="9" width="9.85546875" bestFit="1" customWidth="1"/>
  </cols>
  <sheetData>
    <row r="1" spans="1:10" s="41" customForma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40"/>
    </row>
    <row r="2" spans="1:10" s="41" customFormat="1">
      <c r="A2" s="259" t="s">
        <v>264</v>
      </c>
      <c r="B2" s="259"/>
      <c r="C2" s="259"/>
      <c r="D2" s="259"/>
      <c r="E2" s="259"/>
      <c r="F2" s="259"/>
      <c r="G2" s="259"/>
      <c r="H2" s="259"/>
      <c r="I2" s="259"/>
      <c r="J2" s="40"/>
    </row>
    <row r="3" spans="1:10" s="41" customFormat="1">
      <c r="A3" s="259" t="s">
        <v>263</v>
      </c>
      <c r="B3" s="259"/>
      <c r="C3" s="259"/>
      <c r="D3" s="259"/>
      <c r="E3" s="259"/>
      <c r="F3" s="259"/>
      <c r="G3" s="259"/>
      <c r="H3" s="259"/>
      <c r="I3" s="259"/>
      <c r="J3" s="40"/>
    </row>
    <row r="4" spans="1:10" s="41" customFormat="1">
      <c r="A4" s="259" t="s">
        <v>374</v>
      </c>
      <c r="B4" s="259"/>
      <c r="C4" s="259"/>
      <c r="D4" s="259"/>
      <c r="E4" s="259"/>
      <c r="F4" s="259"/>
      <c r="G4" s="259"/>
      <c r="H4" s="259"/>
      <c r="I4" s="259"/>
      <c r="J4" s="40"/>
    </row>
    <row r="5" spans="1:10">
      <c r="D5" s="3"/>
      <c r="E5" s="3"/>
    </row>
    <row r="6" spans="1:10">
      <c r="A6" s="3"/>
      <c r="B6" s="3"/>
      <c r="C6" s="3" t="s">
        <v>15</v>
      </c>
      <c r="D6" s="3" t="s">
        <v>5</v>
      </c>
      <c r="E6" s="3" t="s">
        <v>1</v>
      </c>
      <c r="F6" s="46" t="s">
        <v>15</v>
      </c>
      <c r="G6" s="46" t="s">
        <v>15</v>
      </c>
      <c r="H6" s="3" t="s">
        <v>217</v>
      </c>
      <c r="I6" s="3"/>
    </row>
    <row r="7" spans="1:10">
      <c r="A7" s="3"/>
      <c r="B7" s="3" t="s">
        <v>17</v>
      </c>
      <c r="C7" s="3" t="s">
        <v>3</v>
      </c>
      <c r="D7" s="3" t="s">
        <v>217</v>
      </c>
      <c r="E7" s="3" t="s">
        <v>217</v>
      </c>
      <c r="F7" s="46" t="s">
        <v>2</v>
      </c>
      <c r="G7" s="46" t="s">
        <v>2</v>
      </c>
      <c r="H7" s="3" t="s">
        <v>2</v>
      </c>
      <c r="I7" s="3" t="s">
        <v>20</v>
      </c>
    </row>
    <row r="8" spans="1:10">
      <c r="A8" s="97" t="s">
        <v>4</v>
      </c>
      <c r="B8" s="97" t="s">
        <v>21</v>
      </c>
      <c r="C8" s="66" t="str">
        <f>'Sch. 101'!D8</f>
        <v>12ME Dec. 2025</v>
      </c>
      <c r="D8" s="97" t="s">
        <v>22</v>
      </c>
      <c r="E8" s="97" t="s">
        <v>22</v>
      </c>
      <c r="F8" s="42" t="s">
        <v>23</v>
      </c>
      <c r="G8" s="42" t="s">
        <v>124</v>
      </c>
      <c r="H8" s="97" t="s">
        <v>24</v>
      </c>
      <c r="I8" s="97" t="s">
        <v>24</v>
      </c>
    </row>
    <row r="9" spans="1:10">
      <c r="A9" t="s">
        <v>7</v>
      </c>
      <c r="B9" s="5" t="s">
        <v>30</v>
      </c>
      <c r="C9" s="45">
        <f>SUM('Rate Year Therms'!P10,'Rate Year Therms'!P11)</f>
        <v>539959592</v>
      </c>
      <c r="D9" s="7">
        <v>7.2679999999999995E-2</v>
      </c>
      <c r="E9" s="7">
        <v>0</v>
      </c>
      <c r="F9" s="36">
        <f>C9*D9</f>
        <v>39244263.146559998</v>
      </c>
      <c r="G9" s="36">
        <f>C9*E9</f>
        <v>0</v>
      </c>
      <c r="H9" s="8">
        <f>G9-F9</f>
        <v>-39244263.146559998</v>
      </c>
      <c r="I9" s="1">
        <f>-H9/F9</f>
        <v>1</v>
      </c>
    </row>
    <row r="10" spans="1:10">
      <c r="A10" t="s">
        <v>31</v>
      </c>
      <c r="B10" s="5">
        <v>16</v>
      </c>
      <c r="C10" s="45">
        <f>'Rate Year Therms'!P9</f>
        <v>6996</v>
      </c>
      <c r="D10" s="7">
        <v>7.2679999999999995E-2</v>
      </c>
      <c r="E10" s="7">
        <v>0</v>
      </c>
      <c r="F10" s="36">
        <f t="shared" ref="F10:F36" si="0">C10*D10</f>
        <v>508.46927999999997</v>
      </c>
      <c r="G10" s="36">
        <f t="shared" ref="G10:G48" si="1">C10*E10</f>
        <v>0</v>
      </c>
      <c r="H10" s="8">
        <f t="shared" ref="H10:H48" si="2">G10-F10</f>
        <v>-508.46927999999997</v>
      </c>
      <c r="I10" s="1">
        <f t="shared" ref="I10:I48" si="3">-H10/F10</f>
        <v>1</v>
      </c>
    </row>
    <row r="11" spans="1:10">
      <c r="A11" t="s">
        <v>8</v>
      </c>
      <c r="B11" s="5">
        <v>31</v>
      </c>
      <c r="C11" s="45">
        <f>'Rate Year Therms'!P12</f>
        <v>228527070</v>
      </c>
      <c r="D11" s="7">
        <v>6.6659999999999997E-2</v>
      </c>
      <c r="E11" s="7">
        <v>0</v>
      </c>
      <c r="F11" s="36">
        <f t="shared" si="0"/>
        <v>15233614.486199999</v>
      </c>
      <c r="G11" s="36">
        <f t="shared" si="1"/>
        <v>0</v>
      </c>
      <c r="H11" s="8">
        <f t="shared" si="2"/>
        <v>-15233614.486199999</v>
      </c>
      <c r="I11" s="1">
        <f t="shared" si="3"/>
        <v>1</v>
      </c>
    </row>
    <row r="12" spans="1:10">
      <c r="A12" t="s">
        <v>9</v>
      </c>
      <c r="B12" s="5">
        <v>41</v>
      </c>
      <c r="C12" s="45">
        <f>'Rate Year Therms'!P13</f>
        <v>60329189</v>
      </c>
      <c r="D12" s="7">
        <v>3.1870000000000002E-2</v>
      </c>
      <c r="E12" s="7">
        <v>0</v>
      </c>
      <c r="F12" s="36">
        <f t="shared" si="0"/>
        <v>1922691.25343</v>
      </c>
      <c r="G12" s="36">
        <f t="shared" si="1"/>
        <v>0</v>
      </c>
      <c r="H12" s="8">
        <f t="shared" si="2"/>
        <v>-1922691.25343</v>
      </c>
      <c r="I12" s="1">
        <f t="shared" si="3"/>
        <v>1</v>
      </c>
    </row>
    <row r="13" spans="1:10">
      <c r="A13" t="s">
        <v>10</v>
      </c>
      <c r="B13" s="5">
        <v>85</v>
      </c>
      <c r="C13" s="45">
        <f>'Rate Year Therms'!P14</f>
        <v>16668227</v>
      </c>
      <c r="D13" s="7">
        <v>1.9390000000000001E-2</v>
      </c>
      <c r="E13" s="7">
        <v>0</v>
      </c>
      <c r="F13" s="36">
        <f t="shared" si="0"/>
        <v>323196.92152999999</v>
      </c>
      <c r="G13" s="36">
        <f t="shared" si="1"/>
        <v>0</v>
      </c>
      <c r="H13" s="8">
        <f t="shared" si="2"/>
        <v>-323196.92152999999</v>
      </c>
      <c r="I13" s="1">
        <f t="shared" si="3"/>
        <v>1</v>
      </c>
    </row>
    <row r="14" spans="1:10">
      <c r="A14" t="s">
        <v>11</v>
      </c>
      <c r="B14" s="5">
        <v>86</v>
      </c>
      <c r="C14" s="45">
        <f>'Rate Year Therms'!P15</f>
        <v>4684519</v>
      </c>
      <c r="D14" s="7">
        <v>1.6049999999999998E-2</v>
      </c>
      <c r="E14" s="7">
        <v>0</v>
      </c>
      <c r="F14" s="36">
        <f t="shared" si="0"/>
        <v>75186.529949999996</v>
      </c>
      <c r="G14" s="36">
        <f t="shared" si="1"/>
        <v>0</v>
      </c>
      <c r="H14" s="8">
        <f t="shared" si="2"/>
        <v>-75186.529949999996</v>
      </c>
      <c r="I14" s="1">
        <f t="shared" si="3"/>
        <v>1</v>
      </c>
    </row>
    <row r="15" spans="1:10">
      <c r="B15" s="5"/>
      <c r="C15" s="45"/>
      <c r="D15" s="7"/>
      <c r="E15" s="7"/>
      <c r="F15" s="36"/>
      <c r="G15" s="36"/>
      <c r="H15" s="8"/>
      <c r="I15" s="1"/>
    </row>
    <row r="16" spans="1:10">
      <c r="A16" t="s">
        <v>12</v>
      </c>
      <c r="B16" s="5">
        <v>87</v>
      </c>
      <c r="D16" s="53"/>
      <c r="E16" s="53"/>
    </row>
    <row r="17" spans="1:9">
      <c r="A17" t="s">
        <v>293</v>
      </c>
      <c r="B17" s="5">
        <v>87</v>
      </c>
      <c r="C17" s="88">
        <f>'Rate Year Therms'!$P$16*'RY#1 Therms by Block%'!N41</f>
        <v>1200000</v>
      </c>
      <c r="D17" s="7">
        <v>3.9230000000000001E-2</v>
      </c>
      <c r="E17" s="7">
        <v>0</v>
      </c>
      <c r="F17" s="8">
        <f t="shared" si="0"/>
        <v>47076</v>
      </c>
      <c r="G17" s="8">
        <f t="shared" si="1"/>
        <v>0</v>
      </c>
      <c r="H17" s="8">
        <f>G17-F17</f>
        <v>-47076</v>
      </c>
      <c r="I17" s="1">
        <f t="shared" si="3"/>
        <v>1</v>
      </c>
    </row>
    <row r="18" spans="1:9">
      <c r="A18" t="s">
        <v>294</v>
      </c>
      <c r="B18" s="5">
        <v>87</v>
      </c>
      <c r="C18" s="88">
        <f>'Rate Year Therms'!$P$16*'RY#1 Therms by Block%'!N42</f>
        <v>1200000</v>
      </c>
      <c r="D18" s="7">
        <v>2.3709999999999998E-2</v>
      </c>
      <c r="E18" s="7">
        <v>0</v>
      </c>
      <c r="F18" s="8">
        <f t="shared" si="0"/>
        <v>28451.999999999996</v>
      </c>
      <c r="G18" s="8">
        <f t="shared" si="1"/>
        <v>0</v>
      </c>
      <c r="H18" s="8">
        <f t="shared" si="2"/>
        <v>-28451.999999999996</v>
      </c>
      <c r="I18" s="1">
        <f t="shared" si="3"/>
        <v>1</v>
      </c>
    </row>
    <row r="19" spans="1:9">
      <c r="A19" t="s">
        <v>295</v>
      </c>
      <c r="B19" s="5">
        <v>87</v>
      </c>
      <c r="C19" s="88">
        <f>'Rate Year Therms'!$P$16*'RY#1 Therms by Block%'!N43</f>
        <v>2400000</v>
      </c>
      <c r="D19" s="7">
        <v>1.5089999999999999E-2</v>
      </c>
      <c r="E19" s="7">
        <v>0</v>
      </c>
      <c r="F19" s="8">
        <f t="shared" si="0"/>
        <v>36216</v>
      </c>
      <c r="G19" s="8">
        <f t="shared" si="1"/>
        <v>0</v>
      </c>
      <c r="H19" s="8">
        <f t="shared" si="2"/>
        <v>-36216</v>
      </c>
      <c r="I19" s="1">
        <f t="shared" si="3"/>
        <v>1</v>
      </c>
    </row>
    <row r="20" spans="1:9">
      <c r="A20" t="s">
        <v>63</v>
      </c>
      <c r="B20" s="5">
        <v>87</v>
      </c>
      <c r="C20" s="88">
        <f>'Rate Year Therms'!$P$16*'RY#1 Therms by Block%'!N44</f>
        <v>3127546.681753166</v>
      </c>
      <c r="D20" s="7">
        <v>9.6699999999999998E-3</v>
      </c>
      <c r="E20" s="7">
        <v>0</v>
      </c>
      <c r="F20" s="8">
        <f t="shared" si="0"/>
        <v>30243.376412553116</v>
      </c>
      <c r="G20" s="8">
        <f t="shared" si="1"/>
        <v>0</v>
      </c>
      <c r="H20" s="8">
        <f t="shared" si="2"/>
        <v>-30243.376412553116</v>
      </c>
      <c r="I20" s="1">
        <f t="shared" si="3"/>
        <v>1</v>
      </c>
    </row>
    <row r="21" spans="1:9">
      <c r="A21" t="s">
        <v>64</v>
      </c>
      <c r="B21" s="5">
        <v>87</v>
      </c>
      <c r="C21" s="88">
        <f>'Rate Year Therms'!$P$16*'RY#1 Therms by Block%'!N45</f>
        <v>3948028.7649102923</v>
      </c>
      <c r="D21" s="7">
        <v>6.96E-3</v>
      </c>
      <c r="E21" s="7">
        <v>0</v>
      </c>
      <c r="F21" s="8">
        <f t="shared" si="0"/>
        <v>27478.280203775634</v>
      </c>
      <c r="G21" s="8">
        <f t="shared" si="1"/>
        <v>0</v>
      </c>
      <c r="H21" s="8">
        <f t="shared" si="2"/>
        <v>-27478.280203775634</v>
      </c>
      <c r="I21" s="1">
        <f t="shared" si="3"/>
        <v>1</v>
      </c>
    </row>
    <row r="22" spans="1:9">
      <c r="A22" t="s">
        <v>82</v>
      </c>
      <c r="B22" s="5">
        <v>87</v>
      </c>
      <c r="C22" s="88">
        <f>'Rate Year Therms'!$P$16*'RY#1 Therms by Block%'!N46</f>
        <v>8132081.5533365402</v>
      </c>
      <c r="D22" s="7">
        <v>1.1299999999999999E-3</v>
      </c>
      <c r="E22" s="7">
        <v>0</v>
      </c>
      <c r="F22" s="8">
        <f t="shared" si="0"/>
        <v>9189.2521552702892</v>
      </c>
      <c r="G22" s="8">
        <f t="shared" si="1"/>
        <v>0</v>
      </c>
      <c r="H22" s="8">
        <f t="shared" si="2"/>
        <v>-9189.2521552702892</v>
      </c>
      <c r="I22" s="1">
        <f t="shared" si="3"/>
        <v>1</v>
      </c>
    </row>
    <row r="23" spans="1:9">
      <c r="A23" t="s">
        <v>6</v>
      </c>
      <c r="B23" s="5">
        <v>87</v>
      </c>
      <c r="C23" s="14">
        <f>SUM(C17:C22)</f>
        <v>20007657</v>
      </c>
      <c r="D23" s="7"/>
      <c r="E23" s="7"/>
      <c r="F23" s="36">
        <f>SUM(F17:F22)</f>
        <v>178654.90877159903</v>
      </c>
      <c r="G23" s="36">
        <f t="shared" ref="G23" si="4">SUM(G17:G22)</f>
        <v>0</v>
      </c>
      <c r="H23" s="36">
        <f>SUM(H17:H22)</f>
        <v>-178654.90877159903</v>
      </c>
      <c r="I23" s="1">
        <f>-H23/F23</f>
        <v>1</v>
      </c>
    </row>
    <row r="24" spans="1:9">
      <c r="B24" s="5"/>
      <c r="C24" s="45"/>
      <c r="D24" s="7"/>
      <c r="E24" s="7"/>
      <c r="F24" s="36"/>
      <c r="G24" s="36"/>
      <c r="H24" s="8"/>
      <c r="I24" s="1"/>
    </row>
    <row r="25" spans="1:9">
      <c r="A25" t="s">
        <v>32</v>
      </c>
      <c r="B25" s="5" t="s">
        <v>33</v>
      </c>
      <c r="C25" s="45">
        <f>'Rate Year Therms'!P17</f>
        <v>0</v>
      </c>
      <c r="D25" s="7">
        <v>6.6659999999999997E-2</v>
      </c>
      <c r="E25" s="7">
        <v>0</v>
      </c>
      <c r="F25" s="36">
        <f t="shared" si="0"/>
        <v>0</v>
      </c>
      <c r="G25" s="36">
        <f t="shared" si="1"/>
        <v>0</v>
      </c>
      <c r="H25" s="8">
        <f t="shared" si="2"/>
        <v>0</v>
      </c>
      <c r="I25" s="1" t="e">
        <f t="shared" si="3"/>
        <v>#DIV/0!</v>
      </c>
    </row>
    <row r="26" spans="1:9">
      <c r="A26" t="s">
        <v>34</v>
      </c>
      <c r="B26" t="s">
        <v>35</v>
      </c>
      <c r="C26" s="45">
        <f>'Rate Year Therms'!P18</f>
        <v>21757669</v>
      </c>
      <c r="D26" s="7">
        <v>3.1870000000000002E-2</v>
      </c>
      <c r="E26" s="7">
        <v>0</v>
      </c>
      <c r="F26" s="36">
        <f t="shared" si="0"/>
        <v>693416.91103000008</v>
      </c>
      <c r="G26" s="36">
        <f t="shared" si="1"/>
        <v>0</v>
      </c>
      <c r="H26" s="8">
        <f t="shared" si="2"/>
        <v>-693416.91103000008</v>
      </c>
      <c r="I26" s="1">
        <f t="shared" si="3"/>
        <v>1</v>
      </c>
    </row>
    <row r="27" spans="1:9">
      <c r="A27" t="s">
        <v>36</v>
      </c>
      <c r="B27" t="s">
        <v>37</v>
      </c>
      <c r="C27" s="45">
        <f>'Rate Year Therms'!P19</f>
        <v>62744436</v>
      </c>
      <c r="D27" s="7">
        <v>1.9390000000000001E-2</v>
      </c>
      <c r="E27" s="7">
        <v>0</v>
      </c>
      <c r="F27" s="36">
        <f t="shared" si="0"/>
        <v>1216614.6140400001</v>
      </c>
      <c r="G27" s="36">
        <f t="shared" si="1"/>
        <v>0</v>
      </c>
      <c r="H27" s="8">
        <f t="shared" si="2"/>
        <v>-1216614.6140400001</v>
      </c>
      <c r="I27" s="1">
        <f t="shared" si="3"/>
        <v>1</v>
      </c>
    </row>
    <row r="28" spans="1:9">
      <c r="A28" t="s">
        <v>38</v>
      </c>
      <c r="B28" t="s">
        <v>39</v>
      </c>
      <c r="C28" s="45">
        <f>'Rate Year Therms'!P20</f>
        <v>1176527</v>
      </c>
      <c r="D28" s="7">
        <v>1.6049999999999998E-2</v>
      </c>
      <c r="E28" s="7">
        <v>0</v>
      </c>
      <c r="F28" s="36">
        <f t="shared" si="0"/>
        <v>18883.258349999996</v>
      </c>
      <c r="G28" s="36">
        <f t="shared" si="1"/>
        <v>0</v>
      </c>
      <c r="H28" s="8">
        <f t="shared" si="2"/>
        <v>-18883.258349999996</v>
      </c>
      <c r="I28" s="1">
        <f t="shared" si="3"/>
        <v>1</v>
      </c>
    </row>
    <row r="29" spans="1:9">
      <c r="C29" s="45"/>
      <c r="D29" s="7"/>
      <c r="E29" s="7"/>
      <c r="F29" s="36"/>
      <c r="G29" s="36"/>
      <c r="H29" s="8"/>
      <c r="I29" s="1"/>
    </row>
    <row r="30" spans="1:9">
      <c r="A30" t="s">
        <v>40</v>
      </c>
      <c r="B30" t="s">
        <v>41</v>
      </c>
      <c r="D30" s="53"/>
      <c r="E30" s="53"/>
    </row>
    <row r="31" spans="1:9">
      <c r="A31" t="s">
        <v>293</v>
      </c>
      <c r="B31" t="s">
        <v>41</v>
      </c>
      <c r="C31" s="88">
        <f>'Rate Year Therms'!$P$21*'RY#1 Therms by Block%'!N50</f>
        <v>3000000</v>
      </c>
      <c r="D31" s="7">
        <v>3.9230000000000001E-2</v>
      </c>
      <c r="E31" s="7">
        <v>0</v>
      </c>
      <c r="F31" s="8">
        <f t="shared" si="0"/>
        <v>117690</v>
      </c>
      <c r="G31" s="8">
        <f t="shared" si="1"/>
        <v>0</v>
      </c>
      <c r="H31" s="8">
        <f t="shared" si="2"/>
        <v>-117690</v>
      </c>
      <c r="I31" s="1">
        <f t="shared" ref="I31:I36" si="5">-H31/F31</f>
        <v>1</v>
      </c>
    </row>
    <row r="32" spans="1:9">
      <c r="A32" t="s">
        <v>294</v>
      </c>
      <c r="B32" t="s">
        <v>41</v>
      </c>
      <c r="C32" s="88">
        <f>'Rate Year Therms'!$P$21*'RY#1 Therms by Block%'!N51</f>
        <v>3000000</v>
      </c>
      <c r="D32" s="7">
        <v>2.3709999999999998E-2</v>
      </c>
      <c r="E32" s="7">
        <v>0</v>
      </c>
      <c r="F32" s="8">
        <f t="shared" si="0"/>
        <v>71130</v>
      </c>
      <c r="G32" s="8">
        <f t="shared" si="1"/>
        <v>0</v>
      </c>
      <c r="H32" s="8">
        <f t="shared" si="2"/>
        <v>-71130</v>
      </c>
      <c r="I32" s="1">
        <f t="shared" si="5"/>
        <v>1</v>
      </c>
    </row>
    <row r="33" spans="1:9">
      <c r="A33" t="s">
        <v>295</v>
      </c>
      <c r="B33" t="s">
        <v>41</v>
      </c>
      <c r="C33" s="88">
        <f>'Rate Year Therms'!$P$21*'RY#1 Therms by Block%'!N52</f>
        <v>6000000</v>
      </c>
      <c r="D33" s="7">
        <v>1.5089999999999999E-2</v>
      </c>
      <c r="E33" s="7">
        <v>0</v>
      </c>
      <c r="F33" s="8">
        <f t="shared" si="0"/>
        <v>90540</v>
      </c>
      <c r="G33" s="8">
        <f t="shared" si="1"/>
        <v>0</v>
      </c>
      <c r="H33" s="8">
        <f t="shared" si="2"/>
        <v>-90540</v>
      </c>
      <c r="I33" s="1">
        <f t="shared" si="5"/>
        <v>1</v>
      </c>
    </row>
    <row r="34" spans="1:9">
      <c r="A34" t="s">
        <v>63</v>
      </c>
      <c r="B34" t="s">
        <v>41</v>
      </c>
      <c r="C34" s="88">
        <f>'Rate Year Therms'!$P$21*'RY#1 Therms by Block%'!N53</f>
        <v>8824772.2542880289</v>
      </c>
      <c r="D34" s="7">
        <v>9.6699999999999998E-3</v>
      </c>
      <c r="E34" s="7">
        <v>0</v>
      </c>
      <c r="F34" s="8">
        <f t="shared" si="0"/>
        <v>85335.547698965238</v>
      </c>
      <c r="G34" s="8">
        <f t="shared" si="1"/>
        <v>0</v>
      </c>
      <c r="H34" s="8">
        <f t="shared" si="2"/>
        <v>-85335.547698965238</v>
      </c>
      <c r="I34" s="1">
        <f t="shared" si="5"/>
        <v>1</v>
      </c>
    </row>
    <row r="35" spans="1:9">
      <c r="A35" t="s">
        <v>64</v>
      </c>
      <c r="B35" t="s">
        <v>41</v>
      </c>
      <c r="C35" s="88">
        <f>'Rate Year Therms'!$P$21*'RY#1 Therms by Block%'!N54</f>
        <v>19735102.43240466</v>
      </c>
      <c r="D35" s="7">
        <v>6.96E-3</v>
      </c>
      <c r="E35" s="7">
        <v>0</v>
      </c>
      <c r="F35" s="8">
        <f t="shared" si="0"/>
        <v>137356.31292953642</v>
      </c>
      <c r="G35" s="8">
        <f t="shared" si="1"/>
        <v>0</v>
      </c>
      <c r="H35" s="8">
        <f t="shared" si="2"/>
        <v>-137356.31292953642</v>
      </c>
      <c r="I35" s="1">
        <f t="shared" si="5"/>
        <v>1</v>
      </c>
    </row>
    <row r="36" spans="1:9">
      <c r="A36" t="s">
        <v>82</v>
      </c>
      <c r="B36" t="s">
        <v>41</v>
      </c>
      <c r="C36" s="88">
        <f>'Rate Year Therms'!$P$21*'RY#1 Therms by Block%'!N55</f>
        <v>26134112.03330731</v>
      </c>
      <c r="D36" s="7">
        <v>1.1299999999999999E-3</v>
      </c>
      <c r="E36" s="7">
        <v>0</v>
      </c>
      <c r="F36" s="8">
        <f t="shared" si="0"/>
        <v>29531.546597637258</v>
      </c>
      <c r="G36" s="8">
        <f t="shared" si="1"/>
        <v>0</v>
      </c>
      <c r="H36" s="8">
        <f t="shared" si="2"/>
        <v>-29531.546597637258</v>
      </c>
      <c r="I36" s="1">
        <f t="shared" si="5"/>
        <v>1</v>
      </c>
    </row>
    <row r="37" spans="1:9">
      <c r="A37" t="s">
        <v>6</v>
      </c>
      <c r="B37" t="s">
        <v>41</v>
      </c>
      <c r="C37" s="14">
        <f>SUM(C31:C36)</f>
        <v>66693986.719999999</v>
      </c>
      <c r="D37" s="170"/>
      <c r="E37" s="170"/>
      <c r="F37" s="36">
        <f>SUM(F31:F36)</f>
        <v>531583.40722613886</v>
      </c>
      <c r="G37" s="36">
        <f t="shared" ref="G37:H37" si="6">SUM(G31:G36)</f>
        <v>0</v>
      </c>
      <c r="H37" s="36">
        <f t="shared" si="6"/>
        <v>-531583.40722613886</v>
      </c>
      <c r="I37" s="1">
        <f>-H37/F37</f>
        <v>1</v>
      </c>
    </row>
    <row r="38" spans="1:9">
      <c r="C38" s="45"/>
      <c r="D38" s="170"/>
      <c r="E38" s="170"/>
      <c r="F38" s="36"/>
      <c r="G38" s="36"/>
      <c r="H38" s="8"/>
      <c r="I38" s="1"/>
    </row>
    <row r="39" spans="1:9">
      <c r="A39" t="s">
        <v>354</v>
      </c>
      <c r="B39" t="s">
        <v>355</v>
      </c>
      <c r="C39" s="45"/>
      <c r="D39" s="170"/>
      <c r="E39" s="170"/>
      <c r="F39" s="36"/>
      <c r="G39" s="36"/>
      <c r="H39" s="8"/>
      <c r="I39" s="1"/>
    </row>
    <row r="40" spans="1:9">
      <c r="A40" t="s">
        <v>293</v>
      </c>
      <c r="B40" t="s">
        <v>355</v>
      </c>
      <c r="C40" s="88">
        <f>'Rate Year Therms'!$P$22*'RY#1 Therms by Block%'!N59</f>
        <v>300000</v>
      </c>
      <c r="D40" s="7">
        <v>3.9230000000000001E-2</v>
      </c>
      <c r="E40" s="7">
        <v>0</v>
      </c>
      <c r="F40" s="8">
        <f t="shared" ref="F40:F45" si="7">C40*D40</f>
        <v>11769</v>
      </c>
      <c r="G40" s="8">
        <f t="shared" ref="G40:G45" si="8">C40*E40</f>
        <v>0</v>
      </c>
      <c r="H40" s="8">
        <f t="shared" ref="H40:H45" si="9">G40-F40</f>
        <v>-11769</v>
      </c>
      <c r="I40" s="1">
        <f t="shared" ref="I40:I45" si="10">-H40/F40</f>
        <v>1</v>
      </c>
    </row>
    <row r="41" spans="1:9">
      <c r="A41" t="s">
        <v>294</v>
      </c>
      <c r="B41" t="s">
        <v>355</v>
      </c>
      <c r="C41" s="88">
        <f>'Rate Year Therms'!$P$22*'RY#1 Therms by Block%'!N60</f>
        <v>300000</v>
      </c>
      <c r="D41" s="7">
        <v>2.3709999999999998E-2</v>
      </c>
      <c r="E41" s="7">
        <v>0</v>
      </c>
      <c r="F41" s="8">
        <f t="shared" si="7"/>
        <v>7112.9999999999991</v>
      </c>
      <c r="G41" s="8">
        <f t="shared" si="8"/>
        <v>0</v>
      </c>
      <c r="H41" s="8">
        <f t="shared" si="9"/>
        <v>-7112.9999999999991</v>
      </c>
      <c r="I41" s="1">
        <f t="shared" si="10"/>
        <v>1</v>
      </c>
    </row>
    <row r="42" spans="1:9">
      <c r="A42" t="s">
        <v>295</v>
      </c>
      <c r="B42" t="s">
        <v>355</v>
      </c>
      <c r="C42" s="88">
        <f>'Rate Year Therms'!$P$22*'RY#1 Therms by Block%'!N61</f>
        <v>600000</v>
      </c>
      <c r="D42" s="7">
        <v>1.5089999999999999E-2</v>
      </c>
      <c r="E42" s="7">
        <v>0</v>
      </c>
      <c r="F42" s="8">
        <f t="shared" si="7"/>
        <v>9054</v>
      </c>
      <c r="G42" s="8">
        <f t="shared" si="8"/>
        <v>0</v>
      </c>
      <c r="H42" s="8">
        <f t="shared" si="9"/>
        <v>-9054</v>
      </c>
      <c r="I42" s="1">
        <f t="shared" si="10"/>
        <v>1</v>
      </c>
    </row>
    <row r="43" spans="1:9">
      <c r="A43" t="s">
        <v>63</v>
      </c>
      <c r="B43" t="s">
        <v>355</v>
      </c>
      <c r="C43" s="88">
        <f>'Rate Year Therms'!$P$22*'RY#1 Therms by Block%'!N62</f>
        <v>1200000</v>
      </c>
      <c r="D43" s="7">
        <v>9.6699999999999998E-3</v>
      </c>
      <c r="E43" s="7">
        <v>0</v>
      </c>
      <c r="F43" s="8">
        <f t="shared" si="7"/>
        <v>11604</v>
      </c>
      <c r="G43" s="8">
        <f t="shared" si="8"/>
        <v>0</v>
      </c>
      <c r="H43" s="8">
        <f t="shared" si="9"/>
        <v>-11604</v>
      </c>
      <c r="I43" s="1">
        <f t="shared" si="10"/>
        <v>1</v>
      </c>
    </row>
    <row r="44" spans="1:9">
      <c r="A44" t="s">
        <v>64</v>
      </c>
      <c r="B44" t="s">
        <v>355</v>
      </c>
      <c r="C44" s="88">
        <f>'Rate Year Therms'!$P$22*'RY#1 Therms by Block%'!N63</f>
        <v>3600000</v>
      </c>
      <c r="D44" s="7">
        <v>6.96E-3</v>
      </c>
      <c r="E44" s="7">
        <v>0</v>
      </c>
      <c r="F44" s="8">
        <f t="shared" si="7"/>
        <v>25056</v>
      </c>
      <c r="G44" s="8">
        <f t="shared" si="8"/>
        <v>0</v>
      </c>
      <c r="H44" s="8">
        <f t="shared" si="9"/>
        <v>-25056</v>
      </c>
      <c r="I44" s="1">
        <f t="shared" si="10"/>
        <v>1</v>
      </c>
    </row>
    <row r="45" spans="1:9">
      <c r="A45" t="s">
        <v>82</v>
      </c>
      <c r="B45" t="s">
        <v>355</v>
      </c>
      <c r="C45" s="88">
        <f>'Rate Year Therms'!$P$22*'RY#1 Therms by Block%'!N64</f>
        <v>33295144</v>
      </c>
      <c r="D45" s="7">
        <v>1.1299999999999999E-3</v>
      </c>
      <c r="E45" s="7">
        <v>0</v>
      </c>
      <c r="F45" s="8">
        <f t="shared" si="7"/>
        <v>37623.512719999999</v>
      </c>
      <c r="G45" s="8">
        <f t="shared" si="8"/>
        <v>0</v>
      </c>
      <c r="H45" s="8">
        <f t="shared" si="9"/>
        <v>-37623.512719999999</v>
      </c>
      <c r="I45" s="1">
        <f t="shared" si="10"/>
        <v>1</v>
      </c>
    </row>
    <row r="46" spans="1:9">
      <c r="A46" t="s">
        <v>6</v>
      </c>
      <c r="B46" t="s">
        <v>355</v>
      </c>
      <c r="C46" s="14">
        <f>SUM(C40:C45)</f>
        <v>39295144</v>
      </c>
      <c r="D46" s="170"/>
      <c r="E46" s="170"/>
      <c r="F46" s="36">
        <f>SUM(F40:F45)</f>
        <v>102219.51272</v>
      </c>
      <c r="G46" s="36">
        <f t="shared" ref="G46:H46" si="11">SUM(G40:G45)</f>
        <v>0</v>
      </c>
      <c r="H46" s="36">
        <f t="shared" si="11"/>
        <v>-102219.51272</v>
      </c>
      <c r="I46" s="1">
        <f>-H46/F46</f>
        <v>1</v>
      </c>
    </row>
    <row r="47" spans="1:9">
      <c r="C47" s="45"/>
      <c r="D47" s="170"/>
      <c r="E47" s="170"/>
      <c r="F47" s="36"/>
      <c r="G47" s="36"/>
      <c r="H47" s="8"/>
      <c r="I47" s="1"/>
    </row>
    <row r="48" spans="1:9">
      <c r="A48" t="s">
        <v>13</v>
      </c>
      <c r="C48" s="45">
        <f>'Rate Year Therms'!P23</f>
        <v>32030387</v>
      </c>
      <c r="D48" s="9"/>
      <c r="E48" s="7"/>
      <c r="F48" s="36">
        <f>C48*D48</f>
        <v>0</v>
      </c>
      <c r="G48" s="36">
        <f t="shared" si="1"/>
        <v>0</v>
      </c>
      <c r="H48" s="8">
        <f t="shared" si="2"/>
        <v>0</v>
      </c>
      <c r="I48" s="1" t="e">
        <f t="shared" si="3"/>
        <v>#DIV/0!</v>
      </c>
    </row>
    <row r="49" spans="1:9">
      <c r="A49" t="s">
        <v>6</v>
      </c>
      <c r="C49" s="10">
        <f>SUM(C9:C14,C23,C25:C28,C37,C46,C48)</f>
        <v>1093881399.72</v>
      </c>
      <c r="D49" s="6"/>
      <c r="E49" s="116"/>
      <c r="F49" s="72">
        <f>SUM(F9:F14,F23,F25:F28,F37,F46,F48)</f>
        <v>59540833.419087738</v>
      </c>
      <c r="G49" s="37">
        <f t="shared" ref="G49:H49" si="12">SUM(G9:G14,G23,G25:G28,G37,G46,G48)</f>
        <v>0</v>
      </c>
      <c r="H49" s="72">
        <f t="shared" si="12"/>
        <v>-59540833.419087738</v>
      </c>
      <c r="I49" s="2">
        <f>-H49/F49</f>
        <v>1</v>
      </c>
    </row>
    <row r="50" spans="1:9">
      <c r="F50" s="8"/>
      <c r="G50" s="8"/>
    </row>
    <row r="51" spans="1:9">
      <c r="A51" s="175"/>
      <c r="C51" s="14"/>
      <c r="F51" s="8"/>
      <c r="G51" s="8"/>
    </row>
    <row r="52" spans="1:9">
      <c r="A52" s="39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70" orientation="landscape" blackAndWhite="1" r:id="rId1"/>
  <headerFooter>
    <oddFooter>&amp;L&amp;F 
&amp;A&amp;C&amp;P&amp;R&amp;D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J52"/>
  <sheetViews>
    <sheetView zoomScale="90" zoomScaleNormal="90" workbookViewId="0">
      <selection activeCell="C41" sqref="C41"/>
    </sheetView>
  </sheetViews>
  <sheetFormatPr defaultRowHeight="15"/>
  <cols>
    <col min="1" max="1" width="36.85546875" bestFit="1" customWidth="1"/>
    <col min="2" max="2" width="9.28515625" bestFit="1" customWidth="1"/>
    <col min="3" max="3" width="18.7109375" bestFit="1" customWidth="1"/>
    <col min="4" max="5" width="18" bestFit="1" customWidth="1"/>
    <col min="6" max="7" width="14.42578125" customWidth="1"/>
    <col min="8" max="8" width="18" bestFit="1" customWidth="1"/>
    <col min="9" max="9" width="9.85546875" bestFit="1" customWidth="1"/>
  </cols>
  <sheetData>
    <row r="1" spans="1:10" s="41" customForma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40"/>
    </row>
    <row r="2" spans="1:10" s="41" customFormat="1">
      <c r="A2" s="259" t="s">
        <v>332</v>
      </c>
      <c r="B2" s="259"/>
      <c r="C2" s="259"/>
      <c r="D2" s="259"/>
      <c r="E2" s="259"/>
      <c r="F2" s="259"/>
      <c r="G2" s="259"/>
      <c r="H2" s="259"/>
      <c r="I2" s="259"/>
      <c r="J2" s="40"/>
    </row>
    <row r="3" spans="1:10" s="41" customFormat="1">
      <c r="A3" s="259" t="s">
        <v>263</v>
      </c>
      <c r="B3" s="259"/>
      <c r="C3" s="259"/>
      <c r="D3" s="259"/>
      <c r="E3" s="259"/>
      <c r="F3" s="259"/>
      <c r="G3" s="259"/>
      <c r="H3" s="259"/>
      <c r="I3" s="259"/>
      <c r="J3" s="40"/>
    </row>
    <row r="4" spans="1:10" s="41" customFormat="1">
      <c r="A4" s="259" t="s">
        <v>309</v>
      </c>
      <c r="B4" s="259"/>
      <c r="C4" s="259"/>
      <c r="D4" s="259"/>
      <c r="E4" s="259"/>
      <c r="F4" s="259"/>
      <c r="G4" s="259"/>
      <c r="H4" s="259"/>
      <c r="I4" s="259"/>
      <c r="J4" s="40"/>
    </row>
    <row r="5" spans="1:10">
      <c r="D5" s="3"/>
      <c r="E5" s="3"/>
    </row>
    <row r="6" spans="1:10">
      <c r="A6" s="3"/>
      <c r="B6" s="3"/>
      <c r="C6" s="3" t="s">
        <v>15</v>
      </c>
      <c r="D6" s="3" t="s">
        <v>5</v>
      </c>
      <c r="E6" s="3" t="s">
        <v>1</v>
      </c>
      <c r="F6" s="46" t="s">
        <v>15</v>
      </c>
      <c r="G6" s="46" t="s">
        <v>15</v>
      </c>
      <c r="H6" s="3" t="s">
        <v>333</v>
      </c>
      <c r="I6" s="3"/>
    </row>
    <row r="7" spans="1:10">
      <c r="A7" s="3"/>
      <c r="B7" s="3" t="s">
        <v>17</v>
      </c>
      <c r="C7" s="3" t="s">
        <v>3</v>
      </c>
      <c r="D7" s="3" t="s">
        <v>333</v>
      </c>
      <c r="E7" s="3" t="s">
        <v>333</v>
      </c>
      <c r="F7" s="46" t="s">
        <v>2</v>
      </c>
      <c r="G7" s="46" t="s">
        <v>2</v>
      </c>
      <c r="H7" s="3" t="s">
        <v>2</v>
      </c>
      <c r="I7" s="3" t="s">
        <v>20</v>
      </c>
    </row>
    <row r="8" spans="1:10">
      <c r="A8" s="97" t="s">
        <v>4</v>
      </c>
      <c r="B8" s="97" t="s">
        <v>21</v>
      </c>
      <c r="C8" s="66" t="str">
        <f>'Sch. 101'!D8</f>
        <v>12ME Dec. 2025</v>
      </c>
      <c r="D8" s="97" t="s">
        <v>22</v>
      </c>
      <c r="E8" s="97" t="s">
        <v>22</v>
      </c>
      <c r="F8" s="42" t="s">
        <v>23</v>
      </c>
      <c r="G8" s="42" t="s">
        <v>124</v>
      </c>
      <c r="H8" s="97" t="s">
        <v>24</v>
      </c>
      <c r="I8" s="97" t="s">
        <v>24</v>
      </c>
    </row>
    <row r="9" spans="1:10">
      <c r="A9" t="s">
        <v>7</v>
      </c>
      <c r="B9" s="5" t="s">
        <v>30</v>
      </c>
      <c r="C9" s="45">
        <f>SUM('Rate Year Therms'!P10,'Rate Year Therms'!P11)</f>
        <v>539959592</v>
      </c>
      <c r="D9" s="7">
        <v>-1.5E-3</v>
      </c>
      <c r="E9" s="7">
        <v>-1.5E-3</v>
      </c>
      <c r="F9" s="36">
        <f>C9*D9</f>
        <v>-809939.38800000004</v>
      </c>
      <c r="G9" s="36">
        <f>C9*E9</f>
        <v>-809939.38800000004</v>
      </c>
      <c r="H9" s="8">
        <f>G9-F9</f>
        <v>0</v>
      </c>
      <c r="I9" s="1">
        <f>-H9/F9</f>
        <v>0</v>
      </c>
    </row>
    <row r="10" spans="1:10">
      <c r="A10" t="s">
        <v>31</v>
      </c>
      <c r="B10" s="5">
        <v>16</v>
      </c>
      <c r="C10" s="45">
        <f>'Rate Year Therms'!P9</f>
        <v>6996</v>
      </c>
      <c r="D10" s="7">
        <v>-1.5E-3</v>
      </c>
      <c r="E10" s="7">
        <v>-1.5E-3</v>
      </c>
      <c r="F10" s="36">
        <f t="shared" ref="F10:F36" si="0">C10*D10</f>
        <v>-10.494</v>
      </c>
      <c r="G10" s="36">
        <f t="shared" ref="G10:G48" si="1">C10*E10</f>
        <v>-10.494</v>
      </c>
      <c r="H10" s="8">
        <f t="shared" ref="H10:H48" si="2">G10-F10</f>
        <v>0</v>
      </c>
      <c r="I10" s="1">
        <f t="shared" ref="I10:I48" si="3">-H10/F10</f>
        <v>0</v>
      </c>
    </row>
    <row r="11" spans="1:10">
      <c r="A11" t="s">
        <v>8</v>
      </c>
      <c r="B11" s="5">
        <v>31</v>
      </c>
      <c r="C11" s="45">
        <f>'Rate Year Therms'!P12</f>
        <v>228527070</v>
      </c>
      <c r="D11" s="7">
        <v>-1.3699999999999999E-3</v>
      </c>
      <c r="E11" s="7">
        <v>-1.3699999999999999E-3</v>
      </c>
      <c r="F11" s="36">
        <f t="shared" si="0"/>
        <v>-313082.08590000001</v>
      </c>
      <c r="G11" s="36">
        <f t="shared" si="1"/>
        <v>-313082.08590000001</v>
      </c>
      <c r="H11" s="8">
        <f t="shared" si="2"/>
        <v>0</v>
      </c>
      <c r="I11" s="1">
        <f t="shared" si="3"/>
        <v>0</v>
      </c>
    </row>
    <row r="12" spans="1:10">
      <c r="A12" t="s">
        <v>9</v>
      </c>
      <c r="B12" s="5">
        <v>41</v>
      </c>
      <c r="C12" s="45">
        <f>'Rate Year Therms'!P13</f>
        <v>60329189</v>
      </c>
      <c r="D12" s="7">
        <v>-6.6E-4</v>
      </c>
      <c r="E12" s="7">
        <v>-6.6E-4</v>
      </c>
      <c r="F12" s="36">
        <f t="shared" si="0"/>
        <v>-39817.264739999999</v>
      </c>
      <c r="G12" s="36">
        <f t="shared" si="1"/>
        <v>-39817.264739999999</v>
      </c>
      <c r="H12" s="8">
        <f t="shared" si="2"/>
        <v>0</v>
      </c>
      <c r="I12" s="1">
        <f t="shared" si="3"/>
        <v>0</v>
      </c>
    </row>
    <row r="13" spans="1:10">
      <c r="A13" t="s">
        <v>10</v>
      </c>
      <c r="B13" s="5">
        <v>85</v>
      </c>
      <c r="C13" s="45">
        <f>'Rate Year Therms'!P14</f>
        <v>16668227</v>
      </c>
      <c r="D13" s="7">
        <v>-4.0000000000000002E-4</v>
      </c>
      <c r="E13" s="7">
        <v>-4.0000000000000002E-4</v>
      </c>
      <c r="F13" s="36">
        <f t="shared" si="0"/>
        <v>-6667.2908000000007</v>
      </c>
      <c r="G13" s="36">
        <f t="shared" si="1"/>
        <v>-6667.2908000000007</v>
      </c>
      <c r="H13" s="8">
        <f t="shared" si="2"/>
        <v>0</v>
      </c>
      <c r="I13" s="1">
        <f t="shared" si="3"/>
        <v>0</v>
      </c>
    </row>
    <row r="14" spans="1:10">
      <c r="A14" t="s">
        <v>11</v>
      </c>
      <c r="B14" s="5">
        <v>86</v>
      </c>
      <c r="C14" s="45">
        <f>'Rate Year Therms'!P15</f>
        <v>4684519</v>
      </c>
      <c r="D14" s="7">
        <v>-3.3E-4</v>
      </c>
      <c r="E14" s="7">
        <v>-3.3E-4</v>
      </c>
      <c r="F14" s="36">
        <f t="shared" si="0"/>
        <v>-1545.8912700000001</v>
      </c>
      <c r="G14" s="36">
        <f t="shared" si="1"/>
        <v>-1545.8912700000001</v>
      </c>
      <c r="H14" s="8">
        <f t="shared" si="2"/>
        <v>0</v>
      </c>
      <c r="I14" s="1">
        <f t="shared" si="3"/>
        <v>0</v>
      </c>
    </row>
    <row r="15" spans="1:10">
      <c r="B15" s="5"/>
      <c r="C15" s="45"/>
      <c r="D15" s="7"/>
      <c r="E15" s="7"/>
      <c r="F15" s="36"/>
      <c r="G15" s="36"/>
      <c r="H15" s="8"/>
      <c r="I15" s="1"/>
    </row>
    <row r="16" spans="1:10">
      <c r="A16" t="s">
        <v>12</v>
      </c>
      <c r="B16" s="5">
        <v>87</v>
      </c>
      <c r="D16" s="53"/>
      <c r="E16" s="53"/>
    </row>
    <row r="17" spans="1:9">
      <c r="A17" t="s">
        <v>293</v>
      </c>
      <c r="B17" s="5">
        <v>87</v>
      </c>
      <c r="C17" s="88">
        <f>'Rate Year Therms'!$P$16*'RY#1 Therms by Block%'!N41</f>
        <v>1200000</v>
      </c>
      <c r="D17" s="7">
        <v>-8.0999999999999996E-4</v>
      </c>
      <c r="E17" s="7">
        <v>-8.0999999999999996E-4</v>
      </c>
      <c r="F17" s="8">
        <f t="shared" si="0"/>
        <v>-972</v>
      </c>
      <c r="G17" s="8">
        <f t="shared" si="1"/>
        <v>-972</v>
      </c>
      <c r="H17" s="8">
        <f>G17-F17</f>
        <v>0</v>
      </c>
      <c r="I17" s="1">
        <f t="shared" si="3"/>
        <v>0</v>
      </c>
    </row>
    <row r="18" spans="1:9">
      <c r="A18" t="s">
        <v>294</v>
      </c>
      <c r="B18" s="5">
        <v>87</v>
      </c>
      <c r="C18" s="88">
        <f>'Rate Year Therms'!$P$16*'RY#1 Therms by Block%'!N42</f>
        <v>1200000</v>
      </c>
      <c r="D18" s="7">
        <v>-4.8999999999999998E-4</v>
      </c>
      <c r="E18" s="7">
        <v>-4.8999999999999998E-4</v>
      </c>
      <c r="F18" s="8">
        <f t="shared" si="0"/>
        <v>-588</v>
      </c>
      <c r="G18" s="8">
        <f t="shared" si="1"/>
        <v>-588</v>
      </c>
      <c r="H18" s="8">
        <f t="shared" si="2"/>
        <v>0</v>
      </c>
      <c r="I18" s="1">
        <f t="shared" si="3"/>
        <v>0</v>
      </c>
    </row>
    <row r="19" spans="1:9">
      <c r="A19" t="s">
        <v>295</v>
      </c>
      <c r="B19" s="5">
        <v>87</v>
      </c>
      <c r="C19" s="88">
        <f>'Rate Year Therms'!$P$16*'RY#1 Therms by Block%'!N43</f>
        <v>2400000</v>
      </c>
      <c r="D19" s="7">
        <v>-3.1E-4</v>
      </c>
      <c r="E19" s="7">
        <v>-3.1E-4</v>
      </c>
      <c r="F19" s="8">
        <f t="shared" si="0"/>
        <v>-744</v>
      </c>
      <c r="G19" s="8">
        <f t="shared" si="1"/>
        <v>-744</v>
      </c>
      <c r="H19" s="8">
        <f t="shared" si="2"/>
        <v>0</v>
      </c>
      <c r="I19" s="1">
        <f t="shared" si="3"/>
        <v>0</v>
      </c>
    </row>
    <row r="20" spans="1:9">
      <c r="A20" t="s">
        <v>63</v>
      </c>
      <c r="B20" s="5">
        <v>87</v>
      </c>
      <c r="C20" s="88">
        <f>'Rate Year Therms'!$P$16*'RY#1 Therms by Block%'!N44</f>
        <v>3127546.681753166</v>
      </c>
      <c r="D20" s="7">
        <v>-2.0000000000000001E-4</v>
      </c>
      <c r="E20" s="7">
        <v>-2.0000000000000001E-4</v>
      </c>
      <c r="F20" s="8">
        <f t="shared" si="0"/>
        <v>-625.50933635063325</v>
      </c>
      <c r="G20" s="8">
        <f t="shared" si="1"/>
        <v>-625.50933635063325</v>
      </c>
      <c r="H20" s="8">
        <f t="shared" si="2"/>
        <v>0</v>
      </c>
      <c r="I20" s="1">
        <f t="shared" si="3"/>
        <v>0</v>
      </c>
    </row>
    <row r="21" spans="1:9">
      <c r="A21" t="s">
        <v>64</v>
      </c>
      <c r="B21" s="5">
        <v>87</v>
      </c>
      <c r="C21" s="88">
        <f>'Rate Year Therms'!$P$16*'RY#1 Therms by Block%'!N45</f>
        <v>3948028.7649102923</v>
      </c>
      <c r="D21" s="7">
        <v>-1.3999999999999999E-4</v>
      </c>
      <c r="E21" s="7">
        <v>-1.3999999999999999E-4</v>
      </c>
      <c r="F21" s="8">
        <f t="shared" si="0"/>
        <v>-552.72402708744085</v>
      </c>
      <c r="G21" s="8">
        <f t="shared" si="1"/>
        <v>-552.72402708744085</v>
      </c>
      <c r="H21" s="8">
        <f t="shared" si="2"/>
        <v>0</v>
      </c>
      <c r="I21" s="1">
        <f t="shared" si="3"/>
        <v>0</v>
      </c>
    </row>
    <row r="22" spans="1:9">
      <c r="A22" t="s">
        <v>82</v>
      </c>
      <c r="B22" s="5">
        <v>87</v>
      </c>
      <c r="C22" s="88">
        <f>'Rate Year Therms'!$P$16*'RY#1 Therms by Block%'!N46</f>
        <v>8132081.5533365402</v>
      </c>
      <c r="D22" s="7">
        <v>-2.0000000000000002E-5</v>
      </c>
      <c r="E22" s="7">
        <v>-2.0000000000000002E-5</v>
      </c>
      <c r="F22" s="8">
        <f t="shared" si="0"/>
        <v>-162.64163106673081</v>
      </c>
      <c r="G22" s="8">
        <f t="shared" si="1"/>
        <v>-162.64163106673081</v>
      </c>
      <c r="H22" s="8">
        <f t="shared" si="2"/>
        <v>0</v>
      </c>
      <c r="I22" s="1">
        <f t="shared" si="3"/>
        <v>0</v>
      </c>
    </row>
    <row r="23" spans="1:9">
      <c r="A23" t="s">
        <v>6</v>
      </c>
      <c r="B23" s="5">
        <v>87</v>
      </c>
      <c r="C23" s="14">
        <f>SUM(C17:C22)</f>
        <v>20007657</v>
      </c>
      <c r="D23" s="7"/>
      <c r="E23" s="7"/>
      <c r="F23" s="36">
        <f>SUM(F17:F22)</f>
        <v>-3644.8749945048048</v>
      </c>
      <c r="G23" s="36">
        <f t="shared" ref="G23" si="4">SUM(G17:G22)</f>
        <v>-3644.8749945048048</v>
      </c>
      <c r="H23" s="36">
        <f>SUM(H17:H22)</f>
        <v>0</v>
      </c>
      <c r="I23" s="1">
        <f>-H23/F23</f>
        <v>0</v>
      </c>
    </row>
    <row r="24" spans="1:9">
      <c r="B24" s="5"/>
      <c r="C24" s="45"/>
      <c r="D24" s="7"/>
      <c r="E24" s="7"/>
      <c r="F24" s="36"/>
      <c r="G24" s="36"/>
      <c r="H24" s="8"/>
      <c r="I24" s="1"/>
    </row>
    <row r="25" spans="1:9">
      <c r="A25" t="s">
        <v>32</v>
      </c>
      <c r="B25" s="5" t="s">
        <v>33</v>
      </c>
      <c r="C25" s="45">
        <f>'Rate Year Therms'!P17</f>
        <v>0</v>
      </c>
      <c r="D25" s="7">
        <v>-1.3699999999999999E-3</v>
      </c>
      <c r="E25" s="7">
        <v>-1.3699999999999999E-3</v>
      </c>
      <c r="F25" s="36">
        <f t="shared" si="0"/>
        <v>0</v>
      </c>
      <c r="G25" s="36">
        <f t="shared" si="1"/>
        <v>0</v>
      </c>
      <c r="H25" s="8">
        <f t="shared" si="2"/>
        <v>0</v>
      </c>
      <c r="I25" s="1" t="e">
        <f t="shared" si="3"/>
        <v>#DIV/0!</v>
      </c>
    </row>
    <row r="26" spans="1:9">
      <c r="A26" t="s">
        <v>34</v>
      </c>
      <c r="B26" t="s">
        <v>35</v>
      </c>
      <c r="C26" s="45">
        <f>'Rate Year Therms'!P18</f>
        <v>21757669</v>
      </c>
      <c r="D26" s="7">
        <v>-6.6E-4</v>
      </c>
      <c r="E26" s="7">
        <v>-6.6E-4</v>
      </c>
      <c r="F26" s="36">
        <f t="shared" si="0"/>
        <v>-14360.061540000001</v>
      </c>
      <c r="G26" s="36">
        <f t="shared" si="1"/>
        <v>-14360.061540000001</v>
      </c>
      <c r="H26" s="8">
        <f t="shared" si="2"/>
        <v>0</v>
      </c>
      <c r="I26" s="1">
        <f t="shared" si="3"/>
        <v>0</v>
      </c>
    </row>
    <row r="27" spans="1:9">
      <c r="A27" t="s">
        <v>36</v>
      </c>
      <c r="B27" t="s">
        <v>37</v>
      </c>
      <c r="C27" s="45">
        <f>'Rate Year Therms'!P19</f>
        <v>62744436</v>
      </c>
      <c r="D27" s="7">
        <v>-4.0000000000000002E-4</v>
      </c>
      <c r="E27" s="7">
        <v>-4.0000000000000002E-4</v>
      </c>
      <c r="F27" s="36">
        <f t="shared" si="0"/>
        <v>-25097.774400000002</v>
      </c>
      <c r="G27" s="36">
        <f t="shared" si="1"/>
        <v>-25097.774400000002</v>
      </c>
      <c r="H27" s="8">
        <f t="shared" si="2"/>
        <v>0</v>
      </c>
      <c r="I27" s="1">
        <f t="shared" si="3"/>
        <v>0</v>
      </c>
    </row>
    <row r="28" spans="1:9">
      <c r="A28" t="s">
        <v>38</v>
      </c>
      <c r="B28" t="s">
        <v>39</v>
      </c>
      <c r="C28" s="45">
        <f>'Rate Year Therms'!P20</f>
        <v>1176527</v>
      </c>
      <c r="D28" s="7">
        <v>-3.3E-4</v>
      </c>
      <c r="E28" s="7">
        <v>-3.3E-4</v>
      </c>
      <c r="F28" s="36">
        <f t="shared" si="0"/>
        <v>-388.25391000000002</v>
      </c>
      <c r="G28" s="36">
        <f t="shared" si="1"/>
        <v>-388.25391000000002</v>
      </c>
      <c r="H28" s="8">
        <f t="shared" si="2"/>
        <v>0</v>
      </c>
      <c r="I28" s="1">
        <f t="shared" si="3"/>
        <v>0</v>
      </c>
    </row>
    <row r="29" spans="1:9">
      <c r="C29" s="45"/>
      <c r="D29" s="7"/>
      <c r="E29" s="7"/>
      <c r="F29" s="36"/>
      <c r="G29" s="36"/>
      <c r="H29" s="8"/>
      <c r="I29" s="1"/>
    </row>
    <row r="30" spans="1:9">
      <c r="A30" t="s">
        <v>40</v>
      </c>
      <c r="B30" t="s">
        <v>41</v>
      </c>
      <c r="D30" s="53"/>
      <c r="E30" s="53"/>
    </row>
    <row r="31" spans="1:9">
      <c r="A31" t="s">
        <v>293</v>
      </c>
      <c r="B31" t="s">
        <v>41</v>
      </c>
      <c r="C31" s="88">
        <f>'Rate Year Therms'!$P$21*'RY#1 Therms by Block%'!N50</f>
        <v>3000000</v>
      </c>
      <c r="D31" s="7">
        <v>-8.0999999999999996E-4</v>
      </c>
      <c r="E31" s="7">
        <v>-8.0999999999999996E-4</v>
      </c>
      <c r="F31" s="8">
        <f t="shared" si="0"/>
        <v>-2430</v>
      </c>
      <c r="G31" s="8">
        <f t="shared" si="1"/>
        <v>-2430</v>
      </c>
      <c r="H31" s="8">
        <f t="shared" si="2"/>
        <v>0</v>
      </c>
      <c r="I31" s="1">
        <f t="shared" ref="I31:I36" si="5">-H31/F31</f>
        <v>0</v>
      </c>
    </row>
    <row r="32" spans="1:9">
      <c r="A32" t="s">
        <v>294</v>
      </c>
      <c r="B32" t="s">
        <v>41</v>
      </c>
      <c r="C32" s="88">
        <f>'Rate Year Therms'!$P$21*'RY#1 Therms by Block%'!N51</f>
        <v>3000000</v>
      </c>
      <c r="D32" s="7">
        <v>-4.8999999999999998E-4</v>
      </c>
      <c r="E32" s="7">
        <v>-4.8999999999999998E-4</v>
      </c>
      <c r="F32" s="8">
        <f t="shared" si="0"/>
        <v>-1470</v>
      </c>
      <c r="G32" s="8">
        <f t="shared" si="1"/>
        <v>-1470</v>
      </c>
      <c r="H32" s="8">
        <f t="shared" si="2"/>
        <v>0</v>
      </c>
      <c r="I32" s="1">
        <f t="shared" si="5"/>
        <v>0</v>
      </c>
    </row>
    <row r="33" spans="1:9">
      <c r="A33" t="s">
        <v>295</v>
      </c>
      <c r="B33" t="s">
        <v>41</v>
      </c>
      <c r="C33" s="88">
        <f>'Rate Year Therms'!$P$21*'RY#1 Therms by Block%'!N52</f>
        <v>6000000</v>
      </c>
      <c r="D33" s="7">
        <v>-3.1E-4</v>
      </c>
      <c r="E33" s="7">
        <v>-3.1E-4</v>
      </c>
      <c r="F33" s="8">
        <f t="shared" si="0"/>
        <v>-1860</v>
      </c>
      <c r="G33" s="8">
        <f t="shared" si="1"/>
        <v>-1860</v>
      </c>
      <c r="H33" s="8">
        <f t="shared" si="2"/>
        <v>0</v>
      </c>
      <c r="I33" s="1">
        <f t="shared" si="5"/>
        <v>0</v>
      </c>
    </row>
    <row r="34" spans="1:9">
      <c r="A34" t="s">
        <v>63</v>
      </c>
      <c r="B34" t="s">
        <v>41</v>
      </c>
      <c r="C34" s="88">
        <f>'Rate Year Therms'!$P$21*'RY#1 Therms by Block%'!N53</f>
        <v>8824772.2542880289</v>
      </c>
      <c r="D34" s="7">
        <v>-2.0000000000000001E-4</v>
      </c>
      <c r="E34" s="7">
        <v>-2.0000000000000001E-4</v>
      </c>
      <c r="F34" s="8">
        <f t="shared" si="0"/>
        <v>-1764.9544508576059</v>
      </c>
      <c r="G34" s="8">
        <f t="shared" si="1"/>
        <v>-1764.9544508576059</v>
      </c>
      <c r="H34" s="8">
        <f t="shared" si="2"/>
        <v>0</v>
      </c>
      <c r="I34" s="1">
        <f t="shared" si="5"/>
        <v>0</v>
      </c>
    </row>
    <row r="35" spans="1:9">
      <c r="A35" t="s">
        <v>64</v>
      </c>
      <c r="B35" t="s">
        <v>41</v>
      </c>
      <c r="C35" s="88">
        <f>'Rate Year Therms'!$P$21*'RY#1 Therms by Block%'!N54</f>
        <v>19735102.43240466</v>
      </c>
      <c r="D35" s="7">
        <v>-1.3999999999999999E-4</v>
      </c>
      <c r="E35" s="7">
        <v>-1.3999999999999999E-4</v>
      </c>
      <c r="F35" s="8">
        <f t="shared" si="0"/>
        <v>-2762.9143405366522</v>
      </c>
      <c r="G35" s="8">
        <f t="shared" si="1"/>
        <v>-2762.9143405366522</v>
      </c>
      <c r="H35" s="8">
        <f t="shared" si="2"/>
        <v>0</v>
      </c>
      <c r="I35" s="1">
        <f t="shared" si="5"/>
        <v>0</v>
      </c>
    </row>
    <row r="36" spans="1:9">
      <c r="A36" t="s">
        <v>82</v>
      </c>
      <c r="B36" t="s">
        <v>41</v>
      </c>
      <c r="C36" s="88">
        <f>'Rate Year Therms'!$P$21*'RY#1 Therms by Block%'!N55</f>
        <v>26134112.03330731</v>
      </c>
      <c r="D36" s="7">
        <v>-2.0000000000000002E-5</v>
      </c>
      <c r="E36" s="7">
        <v>-2.0000000000000002E-5</v>
      </c>
      <c r="F36" s="8">
        <f t="shared" si="0"/>
        <v>-522.6822406661463</v>
      </c>
      <c r="G36" s="8">
        <f t="shared" si="1"/>
        <v>-522.6822406661463</v>
      </c>
      <c r="H36" s="8">
        <f t="shared" si="2"/>
        <v>0</v>
      </c>
      <c r="I36" s="1">
        <f t="shared" si="5"/>
        <v>0</v>
      </c>
    </row>
    <row r="37" spans="1:9">
      <c r="A37" t="s">
        <v>6</v>
      </c>
      <c r="B37" t="s">
        <v>41</v>
      </c>
      <c r="C37" s="14">
        <f>SUM(C31:C36)</f>
        <v>66693986.719999999</v>
      </c>
      <c r="D37" s="170"/>
      <c r="E37" s="170"/>
      <c r="F37" s="36">
        <f>SUM(F31:F36)</f>
        <v>-10810.551032060404</v>
      </c>
      <c r="G37" s="36">
        <f t="shared" ref="G37:H37" si="6">SUM(G31:G36)</f>
        <v>-10810.551032060404</v>
      </c>
      <c r="H37" s="36">
        <f t="shared" si="6"/>
        <v>0</v>
      </c>
      <c r="I37" s="1">
        <f>-H37/F37</f>
        <v>0</v>
      </c>
    </row>
    <row r="38" spans="1:9">
      <c r="C38" s="45"/>
      <c r="D38" s="170"/>
      <c r="E38" s="170"/>
      <c r="F38" s="36"/>
      <c r="G38" s="36"/>
      <c r="H38" s="8"/>
      <c r="I38" s="1"/>
    </row>
    <row r="39" spans="1:9">
      <c r="A39" t="s">
        <v>354</v>
      </c>
      <c r="B39" t="s">
        <v>355</v>
      </c>
      <c r="D39" s="53"/>
      <c r="E39" s="53"/>
    </row>
    <row r="40" spans="1:9">
      <c r="A40" t="s">
        <v>293</v>
      </c>
      <c r="B40" t="s">
        <v>355</v>
      </c>
      <c r="C40" s="88">
        <f>'Rate Year Therms'!$P$22*'RY#1 Therms by Block%'!N59</f>
        <v>300000</v>
      </c>
      <c r="D40" s="7">
        <v>-8.0999999999999996E-4</v>
      </c>
      <c r="E40" s="7">
        <v>-8.0999999999999996E-4</v>
      </c>
      <c r="F40" s="8">
        <f t="shared" ref="F40:F45" si="7">C40*D40</f>
        <v>-243</v>
      </c>
      <c r="G40" s="8">
        <f t="shared" ref="G40:G45" si="8">C40*E40</f>
        <v>-243</v>
      </c>
      <c r="H40" s="8">
        <f t="shared" ref="H40:H45" si="9">G40-F40</f>
        <v>0</v>
      </c>
      <c r="I40" s="1">
        <f t="shared" ref="I40:I45" si="10">-H40/F40</f>
        <v>0</v>
      </c>
    </row>
    <row r="41" spans="1:9">
      <c r="A41" t="s">
        <v>294</v>
      </c>
      <c r="B41" t="s">
        <v>355</v>
      </c>
      <c r="C41" s="88">
        <f>'Rate Year Therms'!$P$22*'RY#1 Therms by Block%'!N60</f>
        <v>300000</v>
      </c>
      <c r="D41" s="7">
        <v>-4.8999999999999998E-4</v>
      </c>
      <c r="E41" s="7">
        <v>-4.8999999999999998E-4</v>
      </c>
      <c r="F41" s="8">
        <f t="shared" si="7"/>
        <v>-147</v>
      </c>
      <c r="G41" s="8">
        <f t="shared" si="8"/>
        <v>-147</v>
      </c>
      <c r="H41" s="8">
        <f t="shared" si="9"/>
        <v>0</v>
      </c>
      <c r="I41" s="1">
        <f t="shared" si="10"/>
        <v>0</v>
      </c>
    </row>
    <row r="42" spans="1:9">
      <c r="A42" t="s">
        <v>295</v>
      </c>
      <c r="B42" t="s">
        <v>355</v>
      </c>
      <c r="C42" s="88">
        <f>'Rate Year Therms'!$P$22*'RY#1 Therms by Block%'!N61</f>
        <v>600000</v>
      </c>
      <c r="D42" s="7">
        <v>-3.1E-4</v>
      </c>
      <c r="E42" s="7">
        <v>-3.1E-4</v>
      </c>
      <c r="F42" s="8">
        <f t="shared" si="7"/>
        <v>-186</v>
      </c>
      <c r="G42" s="8">
        <f t="shared" si="8"/>
        <v>-186</v>
      </c>
      <c r="H42" s="8">
        <f t="shared" si="9"/>
        <v>0</v>
      </c>
      <c r="I42" s="1">
        <f t="shared" si="10"/>
        <v>0</v>
      </c>
    </row>
    <row r="43" spans="1:9">
      <c r="A43" t="s">
        <v>63</v>
      </c>
      <c r="B43" t="s">
        <v>355</v>
      </c>
      <c r="C43" s="88">
        <f>'Rate Year Therms'!$P$22*'RY#1 Therms by Block%'!N62</f>
        <v>1200000</v>
      </c>
      <c r="D43" s="7">
        <v>-2.0000000000000001E-4</v>
      </c>
      <c r="E43" s="7">
        <v>-2.0000000000000001E-4</v>
      </c>
      <c r="F43" s="8">
        <f t="shared" si="7"/>
        <v>-240</v>
      </c>
      <c r="G43" s="8">
        <f t="shared" si="8"/>
        <v>-240</v>
      </c>
      <c r="H43" s="8">
        <f t="shared" si="9"/>
        <v>0</v>
      </c>
      <c r="I43" s="1">
        <f t="shared" si="10"/>
        <v>0</v>
      </c>
    </row>
    <row r="44" spans="1:9">
      <c r="A44" t="s">
        <v>64</v>
      </c>
      <c r="B44" t="s">
        <v>355</v>
      </c>
      <c r="C44" s="88">
        <f>'Rate Year Therms'!$P$22*'RY#1 Therms by Block%'!N63</f>
        <v>3600000</v>
      </c>
      <c r="D44" s="7">
        <v>-1.3999999999999999E-4</v>
      </c>
      <c r="E44" s="7">
        <v>-1.3999999999999999E-4</v>
      </c>
      <c r="F44" s="8">
        <f t="shared" si="7"/>
        <v>-503.99999999999994</v>
      </c>
      <c r="G44" s="8">
        <f t="shared" si="8"/>
        <v>-503.99999999999994</v>
      </c>
      <c r="H44" s="8">
        <f t="shared" si="9"/>
        <v>0</v>
      </c>
      <c r="I44" s="1">
        <f t="shared" si="10"/>
        <v>0</v>
      </c>
    </row>
    <row r="45" spans="1:9">
      <c r="A45" t="s">
        <v>82</v>
      </c>
      <c r="B45" t="s">
        <v>355</v>
      </c>
      <c r="C45" s="88">
        <f>'Rate Year Therms'!$P$22*'RY#1 Therms by Block%'!N64</f>
        <v>33295144</v>
      </c>
      <c r="D45" s="7">
        <v>-2.0000000000000002E-5</v>
      </c>
      <c r="E45" s="7">
        <v>-2.0000000000000002E-5</v>
      </c>
      <c r="F45" s="8">
        <f t="shared" si="7"/>
        <v>-665.9028800000001</v>
      </c>
      <c r="G45" s="8">
        <f t="shared" si="8"/>
        <v>-665.9028800000001</v>
      </c>
      <c r="H45" s="8">
        <f t="shared" si="9"/>
        <v>0</v>
      </c>
      <c r="I45" s="1">
        <f t="shared" si="10"/>
        <v>0</v>
      </c>
    </row>
    <row r="46" spans="1:9">
      <c r="A46" t="s">
        <v>6</v>
      </c>
      <c r="B46" t="s">
        <v>355</v>
      </c>
      <c r="C46" s="14">
        <f>SUM(C40:C45)</f>
        <v>39295144</v>
      </c>
      <c r="D46" s="170"/>
      <c r="E46" s="170"/>
      <c r="F46" s="36">
        <f>SUM(F40:F45)</f>
        <v>-1985.9028800000001</v>
      </c>
      <c r="G46" s="36">
        <f t="shared" ref="G46:H46" si="11">SUM(G40:G45)</f>
        <v>-1985.9028800000001</v>
      </c>
      <c r="H46" s="36">
        <f t="shared" si="11"/>
        <v>0</v>
      </c>
      <c r="I46" s="1">
        <f>-H46/F46</f>
        <v>0</v>
      </c>
    </row>
    <row r="47" spans="1:9">
      <c r="C47" s="45"/>
      <c r="D47" s="170"/>
      <c r="E47" s="170"/>
      <c r="F47" s="36"/>
      <c r="G47" s="36"/>
      <c r="H47" s="8"/>
      <c r="I47" s="1"/>
    </row>
    <row r="48" spans="1:9">
      <c r="A48" t="s">
        <v>13</v>
      </c>
      <c r="C48" s="45">
        <f>'Rate Year Therms'!P23</f>
        <v>32030387</v>
      </c>
      <c r="D48" s="9"/>
      <c r="E48" s="7"/>
      <c r="F48" s="36">
        <f>C48*D48</f>
        <v>0</v>
      </c>
      <c r="G48" s="36">
        <f t="shared" si="1"/>
        <v>0</v>
      </c>
      <c r="H48" s="8">
        <f t="shared" si="2"/>
        <v>0</v>
      </c>
      <c r="I48" s="1" t="e">
        <f t="shared" si="3"/>
        <v>#DIV/0!</v>
      </c>
    </row>
    <row r="49" spans="1:9">
      <c r="A49" t="s">
        <v>6</v>
      </c>
      <c r="C49" s="10">
        <f>SUM(C9:C14,C23,C25:C28,C37,C46,C48)</f>
        <v>1093881399.72</v>
      </c>
      <c r="D49" s="6"/>
      <c r="E49" s="116"/>
      <c r="F49" s="72">
        <f>SUM(F9:F14,F23,F25:F28,F37,F46,F48)</f>
        <v>-1227349.833466565</v>
      </c>
      <c r="G49" s="72">
        <f t="shared" ref="G49:H49" si="12">SUM(G9:G14,G23,G25:G28,G37,G46,G48)</f>
        <v>-1227349.833466565</v>
      </c>
      <c r="H49" s="11">
        <f t="shared" si="12"/>
        <v>0</v>
      </c>
      <c r="I49" s="2">
        <f>-H49/F49</f>
        <v>0</v>
      </c>
    </row>
    <row r="50" spans="1:9">
      <c r="F50" s="8"/>
      <c r="G50" s="8"/>
    </row>
    <row r="51" spans="1:9">
      <c r="A51" s="175"/>
      <c r="C51" s="14"/>
      <c r="F51" s="8"/>
      <c r="G51" s="8"/>
    </row>
    <row r="52" spans="1:9">
      <c r="A52" s="39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N92"/>
  <sheetViews>
    <sheetView zoomScale="90" zoomScaleNormal="90" workbookViewId="0">
      <pane ySplit="8" topLeftCell="A9" activePane="bottomLeft" state="frozen"/>
      <selection activeCell="C41" sqref="C41"/>
      <selection pane="bottomLeft" activeCell="C41" sqref="C41"/>
    </sheetView>
  </sheetViews>
  <sheetFormatPr defaultColWidth="9.140625" defaultRowHeight="15"/>
  <cols>
    <col min="1" max="1" width="2.5703125" customWidth="1"/>
    <col min="2" max="2" width="26.42578125" customWidth="1"/>
    <col min="3" max="3" width="8.7109375" bestFit="1" customWidth="1"/>
    <col min="4" max="4" width="18.5703125" bestFit="1" customWidth="1"/>
    <col min="5" max="6" width="13.7109375" customWidth="1"/>
    <col min="7" max="8" width="14.42578125" customWidth="1"/>
    <col min="9" max="9" width="16" bestFit="1" customWidth="1"/>
    <col min="10" max="10" width="8.28515625" customWidth="1"/>
    <col min="13" max="14" width="11.28515625" bestFit="1" customWidth="1"/>
    <col min="15" max="15" width="9.7109375" bestFit="1" customWidth="1"/>
  </cols>
  <sheetData>
    <row r="1" spans="1:14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4">
      <c r="A2" s="259" t="s">
        <v>147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4">
      <c r="A3" s="259" t="s">
        <v>148</v>
      </c>
      <c r="B3" s="259"/>
      <c r="C3" s="259"/>
      <c r="D3" s="259"/>
      <c r="E3" s="259"/>
      <c r="F3" s="259"/>
      <c r="G3" s="259"/>
      <c r="H3" s="259"/>
      <c r="I3" s="259"/>
      <c r="J3" s="259"/>
    </row>
    <row r="4" spans="1:14">
      <c r="A4" s="259" t="s">
        <v>326</v>
      </c>
      <c r="B4" s="259"/>
      <c r="C4" s="259"/>
      <c r="D4" s="259"/>
      <c r="E4" s="259"/>
      <c r="F4" s="259"/>
      <c r="G4" s="259"/>
      <c r="H4" s="259"/>
      <c r="I4" s="259"/>
      <c r="J4" s="259"/>
    </row>
    <row r="5" spans="1:14">
      <c r="A5" s="3"/>
      <c r="B5" s="3"/>
      <c r="C5" s="3"/>
      <c r="D5" s="3"/>
      <c r="E5" s="3"/>
      <c r="F5" s="3"/>
      <c r="G5" s="3"/>
      <c r="H5" s="3"/>
    </row>
    <row r="6" spans="1:14" ht="15" customHeight="1">
      <c r="C6" s="3"/>
      <c r="D6" s="3" t="s">
        <v>15</v>
      </c>
      <c r="E6" s="3" t="s">
        <v>5</v>
      </c>
      <c r="F6" s="3" t="s">
        <v>1</v>
      </c>
      <c r="G6" s="46" t="s">
        <v>15</v>
      </c>
      <c r="H6" s="46" t="s">
        <v>15</v>
      </c>
      <c r="I6" s="3" t="s">
        <v>127</v>
      </c>
    </row>
    <row r="7" spans="1:14" ht="15" customHeight="1">
      <c r="C7" s="3" t="s">
        <v>17</v>
      </c>
      <c r="D7" s="3" t="s">
        <v>3</v>
      </c>
      <c r="E7" s="3" t="s">
        <v>45</v>
      </c>
      <c r="F7" s="3" t="s">
        <v>45</v>
      </c>
      <c r="G7" s="46" t="s">
        <v>2</v>
      </c>
      <c r="H7" s="46" t="s">
        <v>2</v>
      </c>
      <c r="I7" s="3" t="s">
        <v>46</v>
      </c>
      <c r="J7" s="3" t="s">
        <v>20</v>
      </c>
    </row>
    <row r="8" spans="1:14">
      <c r="A8" s="102" t="s">
        <v>74</v>
      </c>
      <c r="B8" s="102"/>
      <c r="C8" s="73" t="s">
        <v>21</v>
      </c>
      <c r="D8" s="64" t="str">
        <f>'Sch. 101'!$D$8</f>
        <v>12ME Dec. 2025</v>
      </c>
      <c r="E8" s="73" t="s">
        <v>22</v>
      </c>
      <c r="F8" s="73" t="s">
        <v>22</v>
      </c>
      <c r="G8" s="42" t="s">
        <v>23</v>
      </c>
      <c r="H8" s="42" t="s">
        <v>124</v>
      </c>
      <c r="I8" s="97" t="s">
        <v>115</v>
      </c>
      <c r="J8" s="97" t="s">
        <v>24</v>
      </c>
    </row>
    <row r="9" spans="1:14">
      <c r="A9" s="3"/>
      <c r="B9" s="3"/>
      <c r="C9" s="3"/>
      <c r="D9" s="103"/>
      <c r="E9" s="3"/>
      <c r="F9" s="3"/>
      <c r="G9" s="3"/>
      <c r="H9" s="3"/>
    </row>
    <row r="10" spans="1:14">
      <c r="A10" t="s">
        <v>7</v>
      </c>
      <c r="C10" s="3" t="s">
        <v>47</v>
      </c>
      <c r="D10" s="45">
        <f>SUM('Rate Year Therms'!P10,'Rate Year Therms'!P11)</f>
        <v>539959592</v>
      </c>
      <c r="E10" s="91">
        <v>4.64E-3</v>
      </c>
      <c r="F10" s="91">
        <v>4.64E-3</v>
      </c>
      <c r="G10" s="38">
        <f>ROUND(E10*D10,2)</f>
        <v>2505412.5099999998</v>
      </c>
      <c r="H10" s="38">
        <f>ROUND(F10*D10,2)</f>
        <v>2505412.5099999998</v>
      </c>
      <c r="I10" s="38">
        <f>H10-G10</f>
        <v>0</v>
      </c>
      <c r="J10" s="1">
        <f>I10/G10</f>
        <v>0</v>
      </c>
      <c r="L10" s="38"/>
      <c r="M10" s="38"/>
      <c r="N10" s="38"/>
    </row>
    <row r="11" spans="1:14">
      <c r="C11" s="3"/>
      <c r="D11" s="70"/>
      <c r="E11" s="91"/>
      <c r="F11" s="91"/>
      <c r="G11" s="38"/>
      <c r="H11" s="38"/>
      <c r="I11" s="38"/>
      <c r="L11" s="38"/>
      <c r="M11" s="38"/>
      <c r="N11" s="38"/>
    </row>
    <row r="12" spans="1:14">
      <c r="A12" t="s">
        <v>48</v>
      </c>
      <c r="C12" s="3">
        <v>31</v>
      </c>
      <c r="L12" s="38"/>
      <c r="M12" s="38"/>
      <c r="N12" s="38"/>
    </row>
    <row r="13" spans="1:14">
      <c r="B13" t="s">
        <v>51</v>
      </c>
      <c r="C13" s="3"/>
      <c r="D13" s="45">
        <f>'Rate Year Therms'!$P$12</f>
        <v>228527070</v>
      </c>
      <c r="E13" s="91">
        <v>-1.7249999999999988E-2</v>
      </c>
      <c r="F13" s="91">
        <v>-1.7249999999999988E-2</v>
      </c>
      <c r="G13" s="38">
        <f>ROUND(E13*D13,2)</f>
        <v>-3942091.96</v>
      </c>
      <c r="H13" s="38">
        <f t="shared" ref="H13:H14" si="0">ROUND(F13*D13,2)</f>
        <v>-3942091.96</v>
      </c>
      <c r="I13" s="38">
        <f t="shared" ref="I13:I14" si="1">H13-G13</f>
        <v>0</v>
      </c>
      <c r="J13" s="1">
        <f t="shared" ref="J13:J15" si="2">I13/G13</f>
        <v>0</v>
      </c>
      <c r="L13" s="38"/>
      <c r="M13" s="38"/>
      <c r="N13" s="38"/>
    </row>
    <row r="14" spans="1:14">
      <c r="B14" t="s">
        <v>55</v>
      </c>
      <c r="C14" s="3"/>
      <c r="D14" s="45">
        <f>'Rate Year Therms'!$P$12</f>
        <v>228527070</v>
      </c>
      <c r="E14" s="91">
        <v>-5.5999999999999973E-4</v>
      </c>
      <c r="F14" s="91">
        <v>-5.5999999999999973E-4</v>
      </c>
      <c r="G14" s="38">
        <f>ROUND(E14*D14,2)</f>
        <v>-127975.16</v>
      </c>
      <c r="H14" s="38">
        <f t="shared" si="0"/>
        <v>-127975.16</v>
      </c>
      <c r="I14" s="38">
        <f t="shared" si="1"/>
        <v>0</v>
      </c>
      <c r="J14" s="1">
        <f t="shared" si="2"/>
        <v>0</v>
      </c>
      <c r="L14" s="38"/>
      <c r="M14" s="38"/>
      <c r="N14" s="38"/>
    </row>
    <row r="15" spans="1:14">
      <c r="B15" t="s">
        <v>6</v>
      </c>
      <c r="C15" s="3"/>
      <c r="D15" s="45"/>
      <c r="E15" s="91"/>
      <c r="F15" s="91"/>
      <c r="G15" s="72">
        <f>SUM(G13:G14)</f>
        <v>-4070067.12</v>
      </c>
      <c r="H15" s="72">
        <f t="shared" ref="H15:I15" si="3">SUM(H13:H14)</f>
        <v>-4070067.12</v>
      </c>
      <c r="I15" s="72">
        <f t="shared" si="3"/>
        <v>0</v>
      </c>
      <c r="J15" s="2">
        <f t="shared" si="2"/>
        <v>0</v>
      </c>
      <c r="L15" s="38"/>
      <c r="M15" s="38"/>
      <c r="N15" s="38"/>
    </row>
    <row r="16" spans="1:14">
      <c r="C16" s="3"/>
      <c r="D16" s="70"/>
      <c r="E16" s="91"/>
      <c r="F16" s="91"/>
      <c r="G16" s="38"/>
      <c r="H16" s="38"/>
      <c r="I16" s="38"/>
      <c r="L16" s="38"/>
      <c r="M16" s="38"/>
      <c r="N16" s="38"/>
    </row>
    <row r="17" spans="1:14">
      <c r="A17" t="s">
        <v>103</v>
      </c>
      <c r="C17" s="3" t="s">
        <v>33</v>
      </c>
      <c r="D17" s="70"/>
      <c r="E17" s="91"/>
      <c r="F17" s="91"/>
      <c r="G17" s="38"/>
      <c r="H17" s="38"/>
      <c r="I17" s="38"/>
      <c r="L17" s="38"/>
      <c r="M17" s="38"/>
      <c r="N17" s="38"/>
    </row>
    <row r="18" spans="1:14">
      <c r="B18" t="s">
        <v>51</v>
      </c>
      <c r="C18" s="3"/>
      <c r="D18" s="45">
        <f>'Rate Year Therms'!P17</f>
        <v>0</v>
      </c>
      <c r="E18" s="91">
        <v>-1.7249999999999988E-2</v>
      </c>
      <c r="F18" s="91">
        <v>-1.7249999999999988E-2</v>
      </c>
      <c r="G18" s="38">
        <f>ROUND(E18*D18,2)</f>
        <v>0</v>
      </c>
      <c r="H18" s="38">
        <f t="shared" ref="H18" si="4">ROUND(F18*D18,2)</f>
        <v>0</v>
      </c>
      <c r="I18" s="38">
        <f t="shared" ref="I18" si="5">H18-G18</f>
        <v>0</v>
      </c>
      <c r="J18" s="1" t="e">
        <f t="shared" ref="J18" si="6">I18/G18</f>
        <v>#DIV/0!</v>
      </c>
      <c r="L18" s="38"/>
      <c r="M18" s="38"/>
      <c r="N18" s="38"/>
    </row>
    <row r="19" spans="1:14">
      <c r="C19" s="3"/>
      <c r="D19" s="70"/>
      <c r="E19" s="91"/>
      <c r="F19" s="91"/>
      <c r="G19" s="38"/>
      <c r="H19" s="38"/>
      <c r="I19" s="38"/>
      <c r="L19" s="38"/>
      <c r="M19" s="38"/>
      <c r="N19" s="38"/>
    </row>
    <row r="20" spans="1:14">
      <c r="A20" t="s">
        <v>49</v>
      </c>
      <c r="C20" s="3">
        <v>41</v>
      </c>
      <c r="D20" s="45"/>
      <c r="E20" s="91"/>
      <c r="F20" s="91"/>
      <c r="G20" s="38"/>
      <c r="H20" s="38"/>
      <c r="I20" s="38"/>
      <c r="L20" s="38"/>
      <c r="M20" s="38"/>
      <c r="N20" s="38"/>
    </row>
    <row r="21" spans="1:14">
      <c r="B21" t="s">
        <v>50</v>
      </c>
      <c r="C21" s="3"/>
      <c r="D21" s="45">
        <f>'RY#1 Bills &amp; Demand'!N12</f>
        <v>4954236</v>
      </c>
      <c r="E21" s="92">
        <v>-0.20000000000000018</v>
      </c>
      <c r="F21" s="92">
        <v>-0.20000000000000018</v>
      </c>
      <c r="G21" s="38">
        <f>ROUND(E21*D21,2)</f>
        <v>-990847.2</v>
      </c>
      <c r="H21" s="38">
        <f t="shared" ref="H21:H22" si="7">ROUND(F21*D21,2)</f>
        <v>-990847.2</v>
      </c>
      <c r="I21" s="38">
        <f t="shared" ref="I21:I22" si="8">H21-G21</f>
        <v>0</v>
      </c>
      <c r="J21" s="1">
        <f t="shared" ref="J21:J27" si="9">I21/G21</f>
        <v>0</v>
      </c>
      <c r="L21" s="38"/>
      <c r="M21" s="38"/>
      <c r="N21" s="38"/>
    </row>
    <row r="22" spans="1:14">
      <c r="B22" t="s">
        <v>55</v>
      </c>
      <c r="C22" s="3"/>
      <c r="D22" s="45">
        <f>'Rate Year Therms'!P13</f>
        <v>60329189</v>
      </c>
      <c r="E22" s="91">
        <v>-1.6500000000000004E-3</v>
      </c>
      <c r="F22" s="91">
        <v>-1.6500000000000004E-3</v>
      </c>
      <c r="G22" s="38">
        <f>ROUND(E22*D22,2)</f>
        <v>-99543.16</v>
      </c>
      <c r="H22" s="38">
        <f t="shared" si="7"/>
        <v>-99543.16</v>
      </c>
      <c r="I22" s="38">
        <f t="shared" si="8"/>
        <v>0</v>
      </c>
      <c r="J22" s="1">
        <f t="shared" si="9"/>
        <v>0</v>
      </c>
      <c r="L22" s="38"/>
      <c r="M22" s="38"/>
      <c r="N22" s="38"/>
    </row>
    <row r="23" spans="1:14">
      <c r="B23" t="s">
        <v>51</v>
      </c>
      <c r="C23" s="3"/>
      <c r="D23" s="45"/>
      <c r="E23" s="91"/>
      <c r="F23" s="91"/>
      <c r="G23" s="38"/>
      <c r="H23" s="38"/>
      <c r="I23" s="38"/>
      <c r="J23" s="1"/>
      <c r="L23" s="38"/>
      <c r="M23" s="38"/>
      <c r="N23" s="38"/>
    </row>
    <row r="24" spans="1:14">
      <c r="B24" t="s">
        <v>137</v>
      </c>
      <c r="C24" s="3"/>
      <c r="D24" s="45">
        <f>'Rate Year Therms'!$P$13*'RY#1 Therms by Block%'!N7</f>
        <v>11140115.685099756</v>
      </c>
      <c r="E24" s="91">
        <v>0</v>
      </c>
      <c r="F24" s="91">
        <v>0</v>
      </c>
      <c r="G24" s="38">
        <f>ROUND(E24*D24,2)</f>
        <v>0</v>
      </c>
      <c r="H24" s="38">
        <f t="shared" ref="H24:H26" si="10">ROUND(F24*D24,2)</f>
        <v>0</v>
      </c>
      <c r="I24" s="38">
        <f t="shared" ref="I24:I26" si="11">H24-G24</f>
        <v>0</v>
      </c>
      <c r="J24" s="1"/>
      <c r="L24" s="38"/>
      <c r="M24" s="38"/>
      <c r="N24" s="38"/>
    </row>
    <row r="25" spans="1:14">
      <c r="B25" t="s">
        <v>52</v>
      </c>
      <c r="C25" s="3"/>
      <c r="D25" s="45">
        <f>'Rate Year Therms'!$P$13*'RY#1 Therms by Block%'!N8</f>
        <v>27234497.836222991</v>
      </c>
      <c r="E25" s="91">
        <v>-2.3690000000000017E-2</v>
      </c>
      <c r="F25" s="91">
        <v>-2.3690000000000017E-2</v>
      </c>
      <c r="G25" s="38">
        <f>ROUND(E25*D25,2)</f>
        <v>-645185.25</v>
      </c>
      <c r="H25" s="38">
        <f t="shared" si="10"/>
        <v>-645185.25</v>
      </c>
      <c r="I25" s="38">
        <f t="shared" si="11"/>
        <v>0</v>
      </c>
      <c r="J25" s="1">
        <f t="shared" si="9"/>
        <v>0</v>
      </c>
      <c r="L25" s="38"/>
      <c r="M25" s="38"/>
      <c r="N25" s="38"/>
    </row>
    <row r="26" spans="1:14">
      <c r="B26" t="s">
        <v>53</v>
      </c>
      <c r="C26" s="3"/>
      <c r="D26" s="45">
        <f>'Rate Year Therms'!$P$13*'RY#1 Therms by Block%'!N9</f>
        <v>21954575.47867725</v>
      </c>
      <c r="E26" s="91">
        <v>-2.0889999999999992E-2</v>
      </c>
      <c r="F26" s="91">
        <v>-2.0889999999999992E-2</v>
      </c>
      <c r="G26" s="38">
        <f>ROUND(E26*D26,2)</f>
        <v>-458631.08</v>
      </c>
      <c r="H26" s="38">
        <f t="shared" si="10"/>
        <v>-458631.08</v>
      </c>
      <c r="I26" s="38">
        <f t="shared" si="11"/>
        <v>0</v>
      </c>
      <c r="J26" s="1">
        <f t="shared" si="9"/>
        <v>0</v>
      </c>
      <c r="L26" s="38"/>
      <c r="M26" s="38"/>
      <c r="N26" s="38"/>
    </row>
    <row r="27" spans="1:14">
      <c r="B27" t="s">
        <v>6</v>
      </c>
      <c r="C27" s="3"/>
      <c r="D27" s="45"/>
      <c r="E27" s="91"/>
      <c r="F27" s="91"/>
      <c r="G27" s="72">
        <f>SUM(G21:G26)</f>
        <v>-2194206.69</v>
      </c>
      <c r="H27" s="72">
        <f t="shared" ref="H27:I27" si="12">SUM(H21:H26)</f>
        <v>-2194206.69</v>
      </c>
      <c r="I27" s="72">
        <f t="shared" si="12"/>
        <v>0</v>
      </c>
      <c r="J27" s="2">
        <f t="shared" si="9"/>
        <v>0</v>
      </c>
      <c r="L27" s="38"/>
      <c r="M27" s="38"/>
      <c r="N27" s="38"/>
    </row>
    <row r="28" spans="1:14">
      <c r="C28" s="3"/>
      <c r="D28" s="70"/>
      <c r="E28" s="91"/>
      <c r="F28" s="91"/>
      <c r="G28" s="38"/>
      <c r="H28" s="38"/>
      <c r="I28" s="38"/>
      <c r="L28" s="38"/>
      <c r="M28" s="38"/>
      <c r="N28" s="38"/>
    </row>
    <row r="29" spans="1:14">
      <c r="A29" t="s">
        <v>54</v>
      </c>
      <c r="C29" s="3" t="s">
        <v>35</v>
      </c>
      <c r="D29" s="45"/>
      <c r="E29" s="91"/>
      <c r="F29" s="91"/>
      <c r="G29" s="38"/>
      <c r="H29" s="38"/>
      <c r="I29" s="38"/>
      <c r="L29" s="38"/>
      <c r="M29" s="38"/>
      <c r="N29" s="38"/>
    </row>
    <row r="30" spans="1:14">
      <c r="B30" t="s">
        <v>50</v>
      </c>
      <c r="C30" s="3"/>
      <c r="D30" s="45">
        <f>'RY#1 Bills &amp; Demand'!N13</f>
        <v>1060020</v>
      </c>
      <c r="E30" s="92">
        <v>-0.20000000000000018</v>
      </c>
      <c r="F30" s="92">
        <v>-0.20000000000000018</v>
      </c>
      <c r="G30" s="38">
        <f>ROUND(E30*D30,2)</f>
        <v>-212004</v>
      </c>
      <c r="H30" s="38">
        <f t="shared" ref="H30" si="13">ROUND(F30*D30,2)</f>
        <v>-212004</v>
      </c>
      <c r="I30" s="38">
        <f t="shared" ref="I30" si="14">H30-G30</f>
        <v>0</v>
      </c>
      <c r="J30" s="1">
        <f t="shared" ref="J30" si="15">I30/G30</f>
        <v>0</v>
      </c>
      <c r="L30" s="38"/>
      <c r="M30" s="38"/>
      <c r="N30" s="38"/>
    </row>
    <row r="31" spans="1:14">
      <c r="B31" t="s">
        <v>51</v>
      </c>
      <c r="C31" s="3"/>
      <c r="D31" s="45"/>
      <c r="E31" s="91"/>
      <c r="F31" s="91"/>
      <c r="G31" s="38"/>
      <c r="H31" s="38"/>
      <c r="I31" s="38"/>
      <c r="L31" s="38"/>
      <c r="M31" s="38"/>
      <c r="N31" s="38"/>
    </row>
    <row r="32" spans="1:14">
      <c r="B32" t="s">
        <v>137</v>
      </c>
      <c r="C32" s="3"/>
      <c r="D32" s="45">
        <f>'Rate Year Therms'!$P$18*'RY#1 Therms by Block%'!N13</f>
        <v>1061947.3251907832</v>
      </c>
      <c r="E32" s="91">
        <v>0</v>
      </c>
      <c r="F32" s="91">
        <v>0</v>
      </c>
      <c r="G32" s="38">
        <f>ROUND(E32*D32,2)</f>
        <v>0</v>
      </c>
      <c r="H32" s="38">
        <f t="shared" ref="H32" si="16">ROUND(F32*D32,2)</f>
        <v>0</v>
      </c>
      <c r="I32" s="38">
        <f t="shared" ref="I32" si="17">H32-G32</f>
        <v>0</v>
      </c>
      <c r="J32" s="1"/>
      <c r="L32" s="38"/>
      <c r="M32" s="38"/>
      <c r="N32" s="38"/>
    </row>
    <row r="33" spans="1:14">
      <c r="B33" t="s">
        <v>52</v>
      </c>
      <c r="C33" s="3"/>
      <c r="D33" s="45">
        <f>'Rate Year Therms'!$P$18*'RY#1 Therms by Block%'!N14</f>
        <v>4195510.5331741106</v>
      </c>
      <c r="E33" s="91">
        <v>-2.3690000000000017E-2</v>
      </c>
      <c r="F33" s="91">
        <v>-2.3690000000000017E-2</v>
      </c>
      <c r="G33" s="38">
        <f>ROUND(E33*D33,2)</f>
        <v>-99391.64</v>
      </c>
      <c r="H33" s="38">
        <f t="shared" ref="H33:H34" si="18">ROUND(F33*D33,2)</f>
        <v>-99391.64</v>
      </c>
      <c r="I33" s="38">
        <f t="shared" ref="I33:I34" si="19">H33-G33</f>
        <v>0</v>
      </c>
      <c r="J33" s="1">
        <f t="shared" ref="J33:J35" si="20">I33/G33</f>
        <v>0</v>
      </c>
      <c r="L33" s="38"/>
      <c r="M33" s="38"/>
      <c r="N33" s="38"/>
    </row>
    <row r="34" spans="1:14">
      <c r="B34" t="s">
        <v>53</v>
      </c>
      <c r="C34" s="3"/>
      <c r="D34" s="45">
        <f>'Rate Year Therms'!$P$18*'RY#1 Therms by Block%'!N15</f>
        <v>16500211.141635105</v>
      </c>
      <c r="E34" s="91">
        <v>-2.0889999999999992E-2</v>
      </c>
      <c r="F34" s="91">
        <v>-2.0889999999999992E-2</v>
      </c>
      <c r="G34" s="38">
        <f>ROUND(E34*D34,2)</f>
        <v>-344689.41</v>
      </c>
      <c r="H34" s="38">
        <f t="shared" si="18"/>
        <v>-344689.41</v>
      </c>
      <c r="I34" s="38">
        <f t="shared" si="19"/>
        <v>0</v>
      </c>
      <c r="J34" s="1">
        <f t="shared" si="20"/>
        <v>0</v>
      </c>
      <c r="L34" s="38"/>
      <c r="M34" s="38"/>
      <c r="N34" s="38"/>
    </row>
    <row r="35" spans="1:14">
      <c r="B35" t="s">
        <v>6</v>
      </c>
      <c r="C35" s="3"/>
      <c r="D35" s="45"/>
      <c r="E35" s="91"/>
      <c r="F35" s="91"/>
      <c r="G35" s="72">
        <f>SUM(G30:G34)</f>
        <v>-656085.05000000005</v>
      </c>
      <c r="H35" s="72">
        <f>SUM(H30:H34)</f>
        <v>-656085.05000000005</v>
      </c>
      <c r="I35" s="72">
        <f>SUM(I30:I34)</f>
        <v>0</v>
      </c>
      <c r="J35" s="2">
        <f t="shared" si="20"/>
        <v>0</v>
      </c>
      <c r="L35" s="38"/>
      <c r="M35" s="38"/>
      <c r="N35" s="38"/>
    </row>
    <row r="36" spans="1:14">
      <c r="C36" s="3"/>
      <c r="D36" s="70"/>
      <c r="E36" s="91"/>
      <c r="F36" s="91"/>
      <c r="G36" s="38"/>
      <c r="H36" s="38"/>
      <c r="I36" s="38"/>
      <c r="L36" s="38"/>
      <c r="M36" s="38"/>
      <c r="N36" s="38"/>
    </row>
    <row r="37" spans="1:14">
      <c r="A37" t="s">
        <v>11</v>
      </c>
      <c r="C37" s="3">
        <v>86</v>
      </c>
      <c r="D37" s="70"/>
      <c r="E37" s="91"/>
      <c r="F37" s="91"/>
      <c r="G37" s="38"/>
      <c r="H37" s="38"/>
      <c r="I37" s="38"/>
      <c r="L37" s="38"/>
      <c r="M37" s="38"/>
      <c r="N37" s="38"/>
    </row>
    <row r="38" spans="1:14">
      <c r="B38" t="s">
        <v>50</v>
      </c>
      <c r="C38" s="3"/>
      <c r="D38" s="45">
        <f>'RY#1 Bills &amp; Demand'!N16</f>
        <v>34152</v>
      </c>
      <c r="E38" s="92">
        <v>-0.20000000000000018</v>
      </c>
      <c r="F38" s="92">
        <v>-0.20000000000000018</v>
      </c>
      <c r="G38" s="38">
        <f>ROUND(E38*D38,2)</f>
        <v>-6830.4</v>
      </c>
      <c r="H38" s="38">
        <f t="shared" ref="H38:H39" si="21">ROUND(F38*D38,2)</f>
        <v>-6830.4</v>
      </c>
      <c r="I38" s="38">
        <f t="shared" ref="I38:I39" si="22">H38-G38</f>
        <v>0</v>
      </c>
      <c r="J38" s="1">
        <f t="shared" ref="J38:J39" si="23">I38/G38</f>
        <v>0</v>
      </c>
      <c r="L38" s="38"/>
      <c r="M38" s="38"/>
      <c r="N38" s="38"/>
    </row>
    <row r="39" spans="1:14">
      <c r="B39" t="s">
        <v>55</v>
      </c>
      <c r="C39" s="3"/>
      <c r="D39" s="45">
        <f>'Rate Year Therms'!P15</f>
        <v>4684519</v>
      </c>
      <c r="E39" s="91">
        <v>-1.7999999999999995E-3</v>
      </c>
      <c r="F39" s="91">
        <v>-1.7999999999999995E-3</v>
      </c>
      <c r="G39" s="38">
        <f>ROUND(E39*D39,2)</f>
        <v>-8432.1299999999992</v>
      </c>
      <c r="H39" s="38">
        <f t="shared" si="21"/>
        <v>-8432.1299999999992</v>
      </c>
      <c r="I39" s="38">
        <f t="shared" si="22"/>
        <v>0</v>
      </c>
      <c r="J39" s="1">
        <f t="shared" si="23"/>
        <v>0</v>
      </c>
      <c r="L39" s="38"/>
      <c r="M39" s="38"/>
      <c r="N39" s="38"/>
    </row>
    <row r="40" spans="1:14">
      <c r="B40" t="s">
        <v>51</v>
      </c>
      <c r="C40" s="3"/>
      <c r="D40" s="70"/>
      <c r="E40" s="91"/>
      <c r="F40" s="91"/>
      <c r="G40" s="38"/>
      <c r="H40" s="38"/>
      <c r="I40" s="38"/>
      <c r="L40" s="38"/>
      <c r="M40" s="38"/>
      <c r="N40" s="38"/>
    </row>
    <row r="41" spans="1:14">
      <c r="B41" t="s">
        <v>59</v>
      </c>
      <c r="C41" s="3"/>
      <c r="D41" s="45">
        <f>'Rate Year Therms'!P15*'RY#1 Therms by Block%'!N31</f>
        <v>837636.37749550142</v>
      </c>
      <c r="E41" s="91">
        <v>-3.0180000000000012E-2</v>
      </c>
      <c r="F41" s="91">
        <v>-3.0180000000000012E-2</v>
      </c>
      <c r="G41" s="38">
        <f>ROUND(E41*D41,2)</f>
        <v>-25279.87</v>
      </c>
      <c r="H41" s="38">
        <f t="shared" ref="H41:H42" si="24">ROUND(F41*D41,2)</f>
        <v>-25279.87</v>
      </c>
      <c r="I41" s="38">
        <f t="shared" ref="I41:I42" si="25">H41-G41</f>
        <v>0</v>
      </c>
      <c r="J41" s="1">
        <f t="shared" ref="J41:J43" si="26">I41/G41</f>
        <v>0</v>
      </c>
      <c r="L41" s="38"/>
      <c r="M41" s="38"/>
      <c r="N41" s="38"/>
    </row>
    <row r="42" spans="1:14">
      <c r="B42" t="s">
        <v>60</v>
      </c>
      <c r="C42" s="3"/>
      <c r="D42" s="45">
        <f>'Rate Year Therms'!P15*'RY#1 Therms by Block%'!N32</f>
        <v>3846882.6225044988</v>
      </c>
      <c r="E42" s="91">
        <v>-2.1819999999999978E-2</v>
      </c>
      <c r="F42" s="91">
        <v>-2.1819999999999978E-2</v>
      </c>
      <c r="G42" s="38">
        <f>ROUND(E42*D42,2)</f>
        <v>-83938.98</v>
      </c>
      <c r="H42" s="38">
        <f t="shared" si="24"/>
        <v>-83938.98</v>
      </c>
      <c r="I42" s="38">
        <f t="shared" si="25"/>
        <v>0</v>
      </c>
      <c r="J42" s="1">
        <f t="shared" si="26"/>
        <v>0</v>
      </c>
      <c r="L42" s="38"/>
      <c r="M42" s="38"/>
      <c r="N42" s="38"/>
    </row>
    <row r="43" spans="1:14">
      <c r="B43" t="s">
        <v>6</v>
      </c>
      <c r="C43" s="3"/>
      <c r="D43" s="45"/>
      <c r="E43" s="91"/>
      <c r="F43" s="91"/>
      <c r="G43" s="72">
        <f>SUM(G38:G42)</f>
        <v>-124481.37999999999</v>
      </c>
      <c r="H43" s="72">
        <f t="shared" ref="H43:I43" si="27">SUM(H38:H42)</f>
        <v>-124481.37999999999</v>
      </c>
      <c r="I43" s="72">
        <f t="shared" si="27"/>
        <v>0</v>
      </c>
      <c r="J43" s="2">
        <f t="shared" si="26"/>
        <v>0</v>
      </c>
      <c r="L43" s="38"/>
      <c r="M43" s="38"/>
      <c r="N43" s="38"/>
    </row>
    <row r="44" spans="1:14">
      <c r="C44" s="3"/>
      <c r="D44" s="45"/>
      <c r="E44" s="91"/>
      <c r="F44" s="91"/>
      <c r="G44" s="38"/>
      <c r="H44" s="38"/>
      <c r="I44" s="38"/>
      <c r="L44" s="38"/>
      <c r="M44" s="38"/>
      <c r="N44" s="38"/>
    </row>
    <row r="45" spans="1:14">
      <c r="A45" t="s">
        <v>61</v>
      </c>
      <c r="C45" s="3" t="s">
        <v>39</v>
      </c>
      <c r="D45" s="70"/>
      <c r="E45" s="91"/>
      <c r="F45" s="91"/>
      <c r="G45" s="38"/>
      <c r="H45" s="38"/>
      <c r="I45" s="38"/>
      <c r="L45" s="38"/>
      <c r="M45" s="38"/>
      <c r="N45" s="38"/>
    </row>
    <row r="46" spans="1:14">
      <c r="B46" t="s">
        <v>50</v>
      </c>
      <c r="C46" s="3"/>
      <c r="D46" s="45">
        <f>'RY#1 Bills &amp; Demand'!N17</f>
        <v>9000</v>
      </c>
      <c r="E46" s="92">
        <v>-0.20000000000000018</v>
      </c>
      <c r="F46" s="92">
        <v>-0.20000000000000018</v>
      </c>
      <c r="G46" s="38">
        <f>ROUND(E46*D46,2)</f>
        <v>-1800</v>
      </c>
      <c r="H46" s="38">
        <f>ROUND(F46*D46,2)</f>
        <v>-1800</v>
      </c>
      <c r="I46" s="38">
        <f>H46-G46</f>
        <v>0</v>
      </c>
      <c r="J46" s="1">
        <f t="shared" ref="J46" si="28">I46/G46</f>
        <v>0</v>
      </c>
      <c r="L46" s="38"/>
      <c r="M46" s="38"/>
      <c r="N46" s="38"/>
    </row>
    <row r="47" spans="1:14">
      <c r="B47" t="s">
        <v>51</v>
      </c>
      <c r="C47" s="3"/>
      <c r="D47" s="70"/>
      <c r="E47" s="91"/>
      <c r="F47" s="91"/>
      <c r="G47" s="38"/>
      <c r="H47" s="38"/>
      <c r="I47" s="38"/>
      <c r="L47" s="38"/>
      <c r="M47" s="38"/>
      <c r="N47" s="38"/>
    </row>
    <row r="48" spans="1:14">
      <c r="B48" t="s">
        <v>59</v>
      </c>
      <c r="C48" s="3"/>
      <c r="D48" s="45">
        <f>'Rate Year Therms'!$P$20*'RY#1 Therms by Block%'!N36</f>
        <v>52037.248887784677</v>
      </c>
      <c r="E48" s="91">
        <v>-3.0180000000000012E-2</v>
      </c>
      <c r="F48" s="91">
        <v>-3.0180000000000012E-2</v>
      </c>
      <c r="G48" s="38">
        <f>ROUND(E48*D48,2)</f>
        <v>-1570.48</v>
      </c>
      <c r="H48" s="38">
        <f t="shared" ref="H48:H49" si="29">ROUND(F48*D48,2)</f>
        <v>-1570.48</v>
      </c>
      <c r="I48" s="38">
        <f t="shared" ref="I48:I49" si="30">H48-G48</f>
        <v>0</v>
      </c>
      <c r="J48" s="1">
        <f t="shared" ref="J48:J50" si="31">I48/G48</f>
        <v>0</v>
      </c>
      <c r="L48" s="38"/>
      <c r="M48" s="38"/>
      <c r="N48" s="38"/>
    </row>
    <row r="49" spans="1:14">
      <c r="B49" t="s">
        <v>60</v>
      </c>
      <c r="C49" s="3"/>
      <c r="D49" s="45">
        <f>'Rate Year Therms'!$P$20*'RY#1 Therms by Block%'!N37</f>
        <v>1124489.7511122152</v>
      </c>
      <c r="E49" s="91">
        <v>-2.1819999999999978E-2</v>
      </c>
      <c r="F49" s="91">
        <v>-2.1819999999999978E-2</v>
      </c>
      <c r="G49" s="38">
        <f>ROUND(E49*D49,2)</f>
        <v>-24536.37</v>
      </c>
      <c r="H49" s="38">
        <f t="shared" si="29"/>
        <v>-24536.37</v>
      </c>
      <c r="I49" s="38">
        <f t="shared" si="30"/>
        <v>0</v>
      </c>
      <c r="J49" s="1">
        <f t="shared" si="31"/>
        <v>0</v>
      </c>
      <c r="L49" s="38"/>
      <c r="M49" s="38"/>
      <c r="N49" s="38"/>
    </row>
    <row r="50" spans="1:14">
      <c r="B50" t="s">
        <v>6</v>
      </c>
      <c r="C50" s="3"/>
      <c r="D50" s="45"/>
      <c r="E50" s="91"/>
      <c r="F50" s="86"/>
      <c r="G50" s="72">
        <f>SUM(G46:G49)</f>
        <v>-27906.85</v>
      </c>
      <c r="H50" s="72">
        <f t="shared" ref="H50:I50" si="32">SUM(H46:H49)</f>
        <v>-27906.85</v>
      </c>
      <c r="I50" s="72">
        <f t="shared" si="32"/>
        <v>0</v>
      </c>
      <c r="J50" s="2">
        <f t="shared" si="31"/>
        <v>0</v>
      </c>
      <c r="L50" s="38"/>
      <c r="M50" s="38"/>
      <c r="N50" s="38"/>
    </row>
    <row r="51" spans="1:14">
      <c r="C51" s="3"/>
      <c r="D51" s="45"/>
      <c r="E51" s="59"/>
      <c r="F51" s="86"/>
      <c r="G51" s="38"/>
      <c r="H51" s="38"/>
      <c r="I51" s="38"/>
      <c r="L51" s="38"/>
      <c r="M51" s="38"/>
      <c r="N51" s="38"/>
    </row>
    <row r="52" spans="1:14">
      <c r="A52" t="s">
        <v>6</v>
      </c>
      <c r="E52" s="59"/>
      <c r="F52" s="86"/>
      <c r="G52" s="72">
        <f>G10+G15+G18+G27+G35+G43+G50</f>
        <v>-4567334.58</v>
      </c>
      <c r="H52" s="72">
        <f t="shared" ref="H52:I52" si="33">H10+H15+H18+H27+H35+H43+H50</f>
        <v>-4567334.58</v>
      </c>
      <c r="I52" s="72">
        <f t="shared" si="33"/>
        <v>0</v>
      </c>
      <c r="J52" s="2">
        <f t="shared" ref="J52" si="34">I52/G52</f>
        <v>0</v>
      </c>
      <c r="L52" s="38"/>
      <c r="M52" s="38"/>
      <c r="N52" s="38"/>
    </row>
    <row r="53" spans="1:14">
      <c r="B53" s="5" t="s">
        <v>114</v>
      </c>
      <c r="D53" s="14">
        <f>SUM(D10,D13,D18,D24:D26,D32:D34,D41:D42,D48:D49)</f>
        <v>856434566</v>
      </c>
      <c r="F53" s="70"/>
      <c r="N53" s="38"/>
    </row>
    <row r="54" spans="1:14">
      <c r="A54" s="93"/>
      <c r="B54" s="5" t="s">
        <v>102</v>
      </c>
      <c r="D54" s="14">
        <f>SUM(D21,D30,D38,D46)</f>
        <v>6057408</v>
      </c>
      <c r="F54" s="70"/>
      <c r="N54" s="38"/>
    </row>
    <row r="55" spans="1:14" ht="12.75" customHeight="1">
      <c r="A55" s="93"/>
      <c r="B55" s="104"/>
      <c r="C55" s="104"/>
      <c r="D55" s="104"/>
      <c r="E55" s="104"/>
      <c r="F55" s="124"/>
      <c r="G55" s="105"/>
      <c r="H55" s="105"/>
      <c r="I55" s="104"/>
      <c r="N55" s="38"/>
    </row>
    <row r="56" spans="1:14">
      <c r="F56" s="70"/>
      <c r="N56" s="38"/>
    </row>
    <row r="57" spans="1:14">
      <c r="F57" s="70"/>
      <c r="N57" s="38"/>
    </row>
    <row r="58" spans="1:14">
      <c r="F58" s="70"/>
      <c r="N58" s="38"/>
    </row>
    <row r="59" spans="1:14">
      <c r="F59" s="70"/>
      <c r="N59" s="38"/>
    </row>
    <row r="60" spans="1:14">
      <c r="F60" s="70"/>
      <c r="N60" s="38"/>
    </row>
    <row r="61" spans="1:14">
      <c r="F61" s="70"/>
      <c r="N61" s="38"/>
    </row>
    <row r="62" spans="1:14">
      <c r="F62" s="70"/>
      <c r="N62" s="38"/>
    </row>
    <row r="63" spans="1:14">
      <c r="F63" s="70"/>
      <c r="N63" s="38"/>
    </row>
    <row r="64" spans="1:14">
      <c r="F64" s="70"/>
      <c r="N64" s="38"/>
    </row>
    <row r="65" spans="6:14">
      <c r="F65" s="70"/>
      <c r="N65" s="38"/>
    </row>
    <row r="66" spans="6:14">
      <c r="F66" s="70"/>
      <c r="N66" s="38"/>
    </row>
    <row r="67" spans="6:14">
      <c r="F67" s="70"/>
      <c r="N67" s="38"/>
    </row>
    <row r="68" spans="6:14">
      <c r="F68" s="70"/>
      <c r="N68" s="38"/>
    </row>
    <row r="69" spans="6:14">
      <c r="F69" s="70"/>
      <c r="N69" s="38"/>
    </row>
    <row r="70" spans="6:14">
      <c r="F70" s="70"/>
      <c r="N70" s="38"/>
    </row>
    <row r="71" spans="6:14">
      <c r="F71" s="70"/>
      <c r="N71" s="38"/>
    </row>
    <row r="72" spans="6:14">
      <c r="F72" s="70"/>
      <c r="N72" s="38"/>
    </row>
    <row r="73" spans="6:14">
      <c r="F73" s="70"/>
      <c r="N73" s="38"/>
    </row>
    <row r="74" spans="6:14">
      <c r="F74" s="70"/>
      <c r="N74" s="38"/>
    </row>
    <row r="75" spans="6:14">
      <c r="F75" s="70"/>
      <c r="N75" s="38"/>
    </row>
    <row r="76" spans="6:14">
      <c r="F76" s="70"/>
      <c r="N76" s="38"/>
    </row>
    <row r="77" spans="6:14">
      <c r="F77" s="70"/>
      <c r="N77" s="38"/>
    </row>
    <row r="78" spans="6:14">
      <c r="F78" s="70"/>
      <c r="N78" s="38"/>
    </row>
    <row r="79" spans="6:14">
      <c r="F79" s="70"/>
      <c r="N79" s="38"/>
    </row>
    <row r="80" spans="6:14">
      <c r="F80" s="70"/>
      <c r="N80" s="38"/>
    </row>
    <row r="81" spans="6:14">
      <c r="F81" s="70"/>
      <c r="N81" s="38"/>
    </row>
    <row r="82" spans="6:14">
      <c r="F82" s="70"/>
      <c r="N82" s="38"/>
    </row>
    <row r="83" spans="6:14">
      <c r="N83" s="38"/>
    </row>
    <row r="84" spans="6:14">
      <c r="N84" s="38"/>
    </row>
    <row r="85" spans="6:14">
      <c r="N85" s="38"/>
    </row>
    <row r="86" spans="6:14">
      <c r="N86" s="38"/>
    </row>
    <row r="87" spans="6:14">
      <c r="N87" s="38"/>
    </row>
    <row r="88" spans="6:14">
      <c r="N88" s="38"/>
    </row>
    <row r="89" spans="6:14">
      <c r="N89" s="38"/>
    </row>
    <row r="90" spans="6:14">
      <c r="N90" s="38"/>
    </row>
    <row r="91" spans="6:14">
      <c r="N91" s="38"/>
    </row>
    <row r="92" spans="6:14">
      <c r="N92" s="38"/>
    </row>
  </sheetData>
  <mergeCells count="4">
    <mergeCell ref="A1:J1"/>
    <mergeCell ref="A2:J2"/>
    <mergeCell ref="A3:J3"/>
    <mergeCell ref="A4:J4"/>
  </mergeCells>
  <printOptions horizontalCentered="1"/>
  <pageMargins left="0.7" right="0.7" top="0.5" bottom="0.5" header="0.3" footer="0.3"/>
  <pageSetup scale="61" orientation="landscape" blackAndWhite="1" r:id="rId1"/>
  <headerFooter>
    <oddFooter>&amp;L&amp;F
&amp;A&amp;C&amp;P&amp;R&amp;D</oddFooter>
  </headerFooter>
  <customProperties>
    <customPr name="_pios_id" r:id="rId2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C000"/>
  </sheetPr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Q34"/>
  <sheetViews>
    <sheetView zoomScale="90" zoomScaleNormal="90" workbookViewId="0">
      <selection activeCell="M40" sqref="M40"/>
    </sheetView>
  </sheetViews>
  <sheetFormatPr defaultRowHeight="15"/>
  <cols>
    <col min="1" max="1" width="11.7109375" bestFit="1" customWidth="1"/>
    <col min="3" max="3" width="11.42578125" bestFit="1" customWidth="1"/>
    <col min="4" max="15" width="10.42578125" bestFit="1" customWidth="1"/>
  </cols>
  <sheetData>
    <row r="1" spans="1:17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7">
      <c r="A2" s="259" t="s">
        <v>222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7">
      <c r="A3" s="259" t="s">
        <v>350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</row>
    <row r="4" spans="1:17">
      <c r="A4" s="259" t="s">
        <v>223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</row>
    <row r="6" spans="1:17" s="104" customFormat="1" ht="34.5" customHeight="1">
      <c r="A6" s="160" t="s">
        <v>224</v>
      </c>
      <c r="B6" s="160" t="s">
        <v>225</v>
      </c>
      <c r="C6" s="160" t="s">
        <v>226</v>
      </c>
      <c r="D6" s="161">
        <v>44743</v>
      </c>
      <c r="E6" s="161">
        <f>EDATE(D6,1)</f>
        <v>44774</v>
      </c>
      <c r="F6" s="161">
        <f t="shared" ref="F6:O6" si="0">EDATE(E6,1)</f>
        <v>44805</v>
      </c>
      <c r="G6" s="161">
        <f t="shared" si="0"/>
        <v>44835</v>
      </c>
      <c r="H6" s="161">
        <f t="shared" si="0"/>
        <v>44866</v>
      </c>
      <c r="I6" s="161">
        <f t="shared" si="0"/>
        <v>44896</v>
      </c>
      <c r="J6" s="161">
        <f t="shared" si="0"/>
        <v>44927</v>
      </c>
      <c r="K6" s="161">
        <f t="shared" si="0"/>
        <v>44958</v>
      </c>
      <c r="L6" s="161">
        <f t="shared" si="0"/>
        <v>44986</v>
      </c>
      <c r="M6" s="161">
        <f t="shared" si="0"/>
        <v>45017</v>
      </c>
      <c r="N6" s="161">
        <f t="shared" si="0"/>
        <v>45047</v>
      </c>
      <c r="O6" s="161">
        <f t="shared" si="0"/>
        <v>45078</v>
      </c>
    </row>
    <row r="7" spans="1:17" s="104" customFormat="1">
      <c r="A7" s="5">
        <v>0</v>
      </c>
      <c r="B7" s="162">
        <f>C7/$C$34</f>
        <v>2.5427186263748069E-2</v>
      </c>
      <c r="C7" s="34">
        <f>SUM(D7:O7)</f>
        <v>248551</v>
      </c>
      <c r="D7" s="198">
        <v>34055</v>
      </c>
      <c r="E7" s="198">
        <v>49582</v>
      </c>
      <c r="F7" s="198">
        <v>32060</v>
      </c>
      <c r="G7" s="198">
        <v>14417</v>
      </c>
      <c r="H7" s="198">
        <v>12521</v>
      </c>
      <c r="I7" s="198">
        <v>11889</v>
      </c>
      <c r="J7" s="198">
        <v>12552</v>
      </c>
      <c r="K7" s="198">
        <v>12728</v>
      </c>
      <c r="L7" s="198">
        <v>12468</v>
      </c>
      <c r="M7" s="198">
        <v>13220</v>
      </c>
      <c r="N7" s="198">
        <v>15726</v>
      </c>
      <c r="O7" s="198">
        <v>27333</v>
      </c>
      <c r="Q7" s="163"/>
    </row>
    <row r="8" spans="1:17">
      <c r="A8" s="5" t="s">
        <v>227</v>
      </c>
      <c r="B8" s="162">
        <f>C8/$C$34</f>
        <v>0.11228182886769425</v>
      </c>
      <c r="C8" s="34">
        <f>SUM(D8:O8)</f>
        <v>1097556</v>
      </c>
      <c r="D8" s="198">
        <v>213775</v>
      </c>
      <c r="E8" s="198">
        <v>252961</v>
      </c>
      <c r="F8" s="198">
        <v>194482</v>
      </c>
      <c r="G8" s="198">
        <v>44651</v>
      </c>
      <c r="H8" s="198">
        <v>25231</v>
      </c>
      <c r="I8" s="198">
        <v>22048</v>
      </c>
      <c r="J8" s="198">
        <v>23078</v>
      </c>
      <c r="K8" s="198">
        <v>24750</v>
      </c>
      <c r="L8" s="198">
        <v>25044</v>
      </c>
      <c r="M8" s="198">
        <v>33103</v>
      </c>
      <c r="N8" s="198">
        <v>82427</v>
      </c>
      <c r="O8" s="198">
        <v>156006</v>
      </c>
      <c r="Q8" s="163"/>
    </row>
    <row r="9" spans="1:17">
      <c r="A9" s="5" t="s">
        <v>228</v>
      </c>
      <c r="B9" s="162">
        <f t="shared" ref="B9:B33" si="1">C9/$C$34</f>
        <v>0.15766480034291525</v>
      </c>
      <c r="C9" s="34">
        <f t="shared" ref="C9:C33" si="2">SUM(D9:O9)</f>
        <v>1541175</v>
      </c>
      <c r="D9" s="198">
        <v>303394</v>
      </c>
      <c r="E9" s="198">
        <v>306402</v>
      </c>
      <c r="F9" s="198">
        <v>297848</v>
      </c>
      <c r="G9" s="198">
        <v>69191</v>
      </c>
      <c r="H9" s="198">
        <v>21825</v>
      </c>
      <c r="I9" s="198">
        <v>18343</v>
      </c>
      <c r="J9" s="198">
        <v>21019</v>
      </c>
      <c r="K9" s="198">
        <v>21950</v>
      </c>
      <c r="L9" s="198">
        <v>22740</v>
      </c>
      <c r="M9" s="198">
        <v>37432</v>
      </c>
      <c r="N9" s="198">
        <v>155226</v>
      </c>
      <c r="O9" s="198">
        <v>265805</v>
      </c>
      <c r="Q9" s="163"/>
    </row>
    <row r="10" spans="1:17">
      <c r="A10" s="5" t="s">
        <v>229</v>
      </c>
      <c r="B10" s="162">
        <f t="shared" si="1"/>
        <v>0.1148644349212942</v>
      </c>
      <c r="C10" s="34">
        <f t="shared" si="2"/>
        <v>1122801</v>
      </c>
      <c r="D10" s="198">
        <v>164873</v>
      </c>
      <c r="E10" s="198">
        <v>133538</v>
      </c>
      <c r="F10" s="198">
        <v>174031</v>
      </c>
      <c r="G10" s="198">
        <v>103906</v>
      </c>
      <c r="H10" s="198">
        <v>20023</v>
      </c>
      <c r="I10" s="198">
        <v>15559</v>
      </c>
      <c r="J10" s="198">
        <v>19370</v>
      </c>
      <c r="K10" s="198">
        <v>19205</v>
      </c>
      <c r="L10" s="198">
        <v>21923</v>
      </c>
      <c r="M10" s="198">
        <v>46625</v>
      </c>
      <c r="N10" s="198">
        <v>201677</v>
      </c>
      <c r="O10" s="198">
        <v>202071</v>
      </c>
      <c r="Q10" s="163"/>
    </row>
    <row r="11" spans="1:17">
      <c r="A11" s="5" t="s">
        <v>230</v>
      </c>
      <c r="B11" s="162">
        <f t="shared" si="1"/>
        <v>7.3780794086144158E-2</v>
      </c>
      <c r="C11" s="34">
        <f t="shared" si="2"/>
        <v>721208</v>
      </c>
      <c r="D11" s="198">
        <v>56592</v>
      </c>
      <c r="E11" s="198">
        <v>40412</v>
      </c>
      <c r="F11" s="198">
        <v>66591</v>
      </c>
      <c r="G11" s="198">
        <v>134759</v>
      </c>
      <c r="H11" s="198">
        <v>22218</v>
      </c>
      <c r="I11" s="198">
        <v>15294</v>
      </c>
      <c r="J11" s="198">
        <v>20544</v>
      </c>
      <c r="K11" s="198">
        <v>20678</v>
      </c>
      <c r="L11" s="198">
        <v>24309</v>
      </c>
      <c r="M11" s="198">
        <v>62014</v>
      </c>
      <c r="N11" s="198">
        <v>163999</v>
      </c>
      <c r="O11" s="198">
        <v>93798</v>
      </c>
      <c r="Q11" s="163"/>
    </row>
    <row r="12" spans="1:17">
      <c r="A12" s="5" t="s">
        <v>231</v>
      </c>
      <c r="B12" s="162">
        <f t="shared" si="1"/>
        <v>5.4592783025285904E-2</v>
      </c>
      <c r="C12" s="34">
        <f t="shared" si="2"/>
        <v>533645</v>
      </c>
      <c r="D12" s="198">
        <v>19419</v>
      </c>
      <c r="E12" s="198">
        <v>13782</v>
      </c>
      <c r="F12" s="198">
        <v>24048</v>
      </c>
      <c r="G12" s="198">
        <v>134522</v>
      </c>
      <c r="H12" s="198">
        <v>27930</v>
      </c>
      <c r="I12" s="198">
        <v>17795</v>
      </c>
      <c r="J12" s="198">
        <v>24666</v>
      </c>
      <c r="K12" s="198">
        <v>25808</v>
      </c>
      <c r="L12" s="198">
        <v>30215</v>
      </c>
      <c r="M12" s="198">
        <v>82603</v>
      </c>
      <c r="N12" s="198">
        <v>95403</v>
      </c>
      <c r="O12" s="198">
        <v>37454</v>
      </c>
      <c r="Q12" s="163"/>
    </row>
    <row r="13" spans="1:17">
      <c r="A13" s="5" t="s">
        <v>232</v>
      </c>
      <c r="B13" s="162">
        <f t="shared" si="1"/>
        <v>4.7258365976096187E-2</v>
      </c>
      <c r="C13" s="34">
        <f t="shared" si="2"/>
        <v>461951</v>
      </c>
      <c r="D13" s="198">
        <v>7941</v>
      </c>
      <c r="E13" s="198">
        <v>5751</v>
      </c>
      <c r="F13" s="198">
        <v>10009</v>
      </c>
      <c r="G13" s="198">
        <v>108214</v>
      </c>
      <c r="H13" s="198">
        <v>37380</v>
      </c>
      <c r="I13" s="198">
        <v>22566</v>
      </c>
      <c r="J13" s="198">
        <v>31708</v>
      </c>
      <c r="K13" s="198">
        <v>34455</v>
      </c>
      <c r="L13" s="198">
        <v>40049</v>
      </c>
      <c r="M13" s="198">
        <v>99826</v>
      </c>
      <c r="N13" s="198">
        <v>48739</v>
      </c>
      <c r="O13" s="198">
        <v>15313</v>
      </c>
      <c r="Q13" s="163"/>
    </row>
    <row r="14" spans="1:17">
      <c r="A14" s="5" t="s">
        <v>233</v>
      </c>
      <c r="B14" s="162">
        <f t="shared" si="1"/>
        <v>4.4361386842571002E-2</v>
      </c>
      <c r="C14" s="34">
        <f t="shared" si="2"/>
        <v>433633</v>
      </c>
      <c r="D14" s="198">
        <v>3707</v>
      </c>
      <c r="E14" s="198">
        <v>2872</v>
      </c>
      <c r="F14" s="198">
        <v>4622</v>
      </c>
      <c r="G14" s="198">
        <v>74409</v>
      </c>
      <c r="H14" s="198">
        <v>48227</v>
      </c>
      <c r="I14" s="198">
        <v>29392</v>
      </c>
      <c r="J14" s="198">
        <v>40705</v>
      </c>
      <c r="K14" s="198">
        <v>45079</v>
      </c>
      <c r="L14" s="198">
        <v>51723</v>
      </c>
      <c r="M14" s="198">
        <v>102682</v>
      </c>
      <c r="N14" s="198">
        <v>23256</v>
      </c>
      <c r="O14" s="198">
        <v>6959</v>
      </c>
      <c r="Q14" s="163"/>
    </row>
    <row r="15" spans="1:17">
      <c r="A15" s="5" t="s">
        <v>234</v>
      </c>
      <c r="B15" s="162">
        <f t="shared" si="1"/>
        <v>4.3847627777362889E-2</v>
      </c>
      <c r="C15" s="34">
        <f t="shared" si="2"/>
        <v>428611</v>
      </c>
      <c r="D15" s="198">
        <v>1999</v>
      </c>
      <c r="E15" s="198">
        <v>1555</v>
      </c>
      <c r="F15" s="198">
        <v>2384</v>
      </c>
      <c r="G15" s="198">
        <v>47686</v>
      </c>
      <c r="H15" s="198">
        <v>59605</v>
      </c>
      <c r="I15" s="198">
        <v>37983</v>
      </c>
      <c r="J15" s="198">
        <v>50620</v>
      </c>
      <c r="K15" s="198">
        <v>56399</v>
      </c>
      <c r="L15" s="198">
        <v>63631</v>
      </c>
      <c r="M15" s="198">
        <v>91419</v>
      </c>
      <c r="N15" s="198">
        <v>11687</v>
      </c>
      <c r="O15" s="198">
        <v>3643</v>
      </c>
      <c r="Q15" s="163"/>
    </row>
    <row r="16" spans="1:17">
      <c r="A16" s="5" t="s">
        <v>235</v>
      </c>
      <c r="B16" s="162">
        <f t="shared" si="1"/>
        <v>4.3623996292586911E-2</v>
      </c>
      <c r="C16" s="34">
        <f t="shared" si="2"/>
        <v>426425</v>
      </c>
      <c r="D16" s="198">
        <v>1193</v>
      </c>
      <c r="E16" s="198">
        <v>923</v>
      </c>
      <c r="F16" s="198">
        <v>1414</v>
      </c>
      <c r="G16" s="198">
        <v>29496</v>
      </c>
      <c r="H16" s="198">
        <v>67952</v>
      </c>
      <c r="I16" s="198">
        <v>46293</v>
      </c>
      <c r="J16" s="198">
        <v>60070</v>
      </c>
      <c r="K16" s="198">
        <v>67019</v>
      </c>
      <c r="L16" s="198">
        <v>71386</v>
      </c>
      <c r="M16" s="198">
        <v>72694</v>
      </c>
      <c r="N16" s="198">
        <v>6060</v>
      </c>
      <c r="O16" s="198">
        <v>1925</v>
      </c>
      <c r="Q16" s="163"/>
    </row>
    <row r="17" spans="1:17">
      <c r="A17" s="5" t="s">
        <v>236</v>
      </c>
      <c r="B17" s="162">
        <f t="shared" si="1"/>
        <v>4.2713102083783032E-2</v>
      </c>
      <c r="C17" s="34">
        <f t="shared" si="2"/>
        <v>417521</v>
      </c>
      <c r="D17" s="198">
        <v>778</v>
      </c>
      <c r="E17" s="198">
        <v>653</v>
      </c>
      <c r="F17" s="198">
        <v>839</v>
      </c>
      <c r="G17" s="198">
        <v>17568</v>
      </c>
      <c r="H17" s="198">
        <v>71876</v>
      </c>
      <c r="I17" s="198">
        <v>54726</v>
      </c>
      <c r="J17" s="198">
        <v>66574</v>
      </c>
      <c r="K17" s="198">
        <v>72292</v>
      </c>
      <c r="L17" s="198">
        <v>74277</v>
      </c>
      <c r="M17" s="198">
        <v>53202</v>
      </c>
      <c r="N17" s="198">
        <v>3569</v>
      </c>
      <c r="O17" s="198">
        <v>1167</v>
      </c>
      <c r="Q17" s="163"/>
    </row>
    <row r="18" spans="1:17">
      <c r="A18" s="5" t="s">
        <v>237</v>
      </c>
      <c r="B18" s="162">
        <f t="shared" si="1"/>
        <v>4.0310649298568493E-2</v>
      </c>
      <c r="C18" s="34">
        <f t="shared" si="2"/>
        <v>394037</v>
      </c>
      <c r="D18" s="198">
        <v>544</v>
      </c>
      <c r="E18" s="198">
        <v>447</v>
      </c>
      <c r="F18" s="198">
        <v>615</v>
      </c>
      <c r="G18" s="198">
        <v>11242</v>
      </c>
      <c r="H18" s="198">
        <v>70454</v>
      </c>
      <c r="I18" s="198">
        <v>59978</v>
      </c>
      <c r="J18" s="198">
        <v>68306</v>
      </c>
      <c r="K18" s="198">
        <v>71809</v>
      </c>
      <c r="L18" s="198">
        <v>70487</v>
      </c>
      <c r="M18" s="198">
        <v>37332</v>
      </c>
      <c r="N18" s="198">
        <v>2026</v>
      </c>
      <c r="O18" s="198">
        <v>797</v>
      </c>
      <c r="Q18" s="163"/>
    </row>
    <row r="19" spans="1:17">
      <c r="A19" s="5" t="s">
        <v>238</v>
      </c>
      <c r="B19" s="162">
        <f t="shared" si="1"/>
        <v>3.6439042006095136E-2</v>
      </c>
      <c r="C19" s="34">
        <f t="shared" si="2"/>
        <v>356192</v>
      </c>
      <c r="D19" s="198">
        <v>376</v>
      </c>
      <c r="E19" s="198">
        <v>367</v>
      </c>
      <c r="F19" s="198">
        <v>444</v>
      </c>
      <c r="G19" s="198">
        <v>6943</v>
      </c>
      <c r="H19" s="198">
        <v>63988</v>
      </c>
      <c r="I19" s="198">
        <v>62246</v>
      </c>
      <c r="J19" s="198">
        <v>65402</v>
      </c>
      <c r="K19" s="198">
        <v>66178</v>
      </c>
      <c r="L19" s="198">
        <v>63059</v>
      </c>
      <c r="M19" s="198">
        <v>25268</v>
      </c>
      <c r="N19" s="198">
        <v>1361</v>
      </c>
      <c r="O19" s="198">
        <v>560</v>
      </c>
      <c r="Q19" s="163"/>
    </row>
    <row r="20" spans="1:17">
      <c r="A20" s="5" t="s">
        <v>239</v>
      </c>
      <c r="B20" s="162">
        <f t="shared" si="1"/>
        <v>3.1758637587071523E-2</v>
      </c>
      <c r="C20" s="34">
        <f t="shared" si="2"/>
        <v>310441</v>
      </c>
      <c r="D20" s="198">
        <v>366</v>
      </c>
      <c r="E20" s="198">
        <v>295</v>
      </c>
      <c r="F20" s="198">
        <v>325</v>
      </c>
      <c r="G20" s="198">
        <v>4374</v>
      </c>
      <c r="H20" s="198">
        <v>55154</v>
      </c>
      <c r="I20" s="198">
        <v>60358</v>
      </c>
      <c r="J20" s="198">
        <v>59317</v>
      </c>
      <c r="K20" s="198">
        <v>57980</v>
      </c>
      <c r="L20" s="198">
        <v>53414</v>
      </c>
      <c r="M20" s="198">
        <v>17501</v>
      </c>
      <c r="N20" s="198">
        <v>900</v>
      </c>
      <c r="O20" s="198">
        <v>457</v>
      </c>
      <c r="Q20" s="163"/>
    </row>
    <row r="21" spans="1:17">
      <c r="A21" s="5" t="s">
        <v>240</v>
      </c>
      <c r="B21" s="162">
        <f t="shared" si="1"/>
        <v>2.6634755360864081E-2</v>
      </c>
      <c r="C21" s="34">
        <f t="shared" si="2"/>
        <v>260355</v>
      </c>
      <c r="D21" s="198">
        <v>294</v>
      </c>
      <c r="E21" s="198">
        <v>257</v>
      </c>
      <c r="F21" s="198">
        <v>272</v>
      </c>
      <c r="G21" s="198">
        <v>2889</v>
      </c>
      <c r="H21" s="198">
        <v>44944</v>
      </c>
      <c r="I21" s="198">
        <v>56697</v>
      </c>
      <c r="J21" s="198">
        <v>51075</v>
      </c>
      <c r="K21" s="198">
        <v>48127</v>
      </c>
      <c r="L21" s="198">
        <v>43237</v>
      </c>
      <c r="M21" s="198">
        <v>11521</v>
      </c>
      <c r="N21" s="198">
        <v>711</v>
      </c>
      <c r="O21" s="198">
        <v>331</v>
      </c>
      <c r="Q21" s="163"/>
    </row>
    <row r="22" spans="1:17">
      <c r="A22" s="5" t="s">
        <v>241</v>
      </c>
      <c r="B22" s="162">
        <f t="shared" si="1"/>
        <v>2.1733481602576366E-2</v>
      </c>
      <c r="C22" s="34">
        <f t="shared" si="2"/>
        <v>212445</v>
      </c>
      <c r="D22" s="198">
        <v>242</v>
      </c>
      <c r="E22" s="198">
        <v>238</v>
      </c>
      <c r="F22" s="198">
        <v>267</v>
      </c>
      <c r="G22" s="198">
        <v>2008</v>
      </c>
      <c r="H22" s="198">
        <v>36013</v>
      </c>
      <c r="I22" s="198">
        <v>50101</v>
      </c>
      <c r="J22" s="198">
        <v>42362</v>
      </c>
      <c r="K22" s="198">
        <v>38551</v>
      </c>
      <c r="L22" s="198">
        <v>34095</v>
      </c>
      <c r="M22" s="198">
        <v>7832</v>
      </c>
      <c r="N22" s="198">
        <v>450</v>
      </c>
      <c r="O22" s="198">
        <v>286</v>
      </c>
      <c r="Q22" s="163"/>
    </row>
    <row r="23" spans="1:17">
      <c r="A23" s="5" t="s">
        <v>242</v>
      </c>
      <c r="B23" s="162">
        <f t="shared" si="1"/>
        <v>1.7373690666301109E-2</v>
      </c>
      <c r="C23" s="34">
        <f t="shared" si="2"/>
        <v>169828</v>
      </c>
      <c r="D23" s="198">
        <v>211</v>
      </c>
      <c r="E23" s="198">
        <v>194</v>
      </c>
      <c r="F23" s="198">
        <v>208</v>
      </c>
      <c r="G23" s="198">
        <v>1411</v>
      </c>
      <c r="H23" s="198">
        <v>28687</v>
      </c>
      <c r="I23" s="198">
        <v>43064</v>
      </c>
      <c r="J23" s="198">
        <v>33933</v>
      </c>
      <c r="K23" s="198">
        <v>29909</v>
      </c>
      <c r="L23" s="198">
        <v>26125</v>
      </c>
      <c r="M23" s="198">
        <v>5453</v>
      </c>
      <c r="N23" s="198">
        <v>388</v>
      </c>
      <c r="O23" s="198">
        <v>245</v>
      </c>
      <c r="Q23" s="163"/>
    </row>
    <row r="24" spans="1:17">
      <c r="A24" s="5" t="s">
        <v>243</v>
      </c>
      <c r="B24" s="162">
        <f t="shared" si="1"/>
        <v>1.3749653453039946E-2</v>
      </c>
      <c r="C24" s="34">
        <f t="shared" si="2"/>
        <v>134403</v>
      </c>
      <c r="D24" s="198">
        <v>180</v>
      </c>
      <c r="E24" s="198">
        <v>196</v>
      </c>
      <c r="F24" s="198">
        <v>168</v>
      </c>
      <c r="G24" s="198">
        <v>1068</v>
      </c>
      <c r="H24" s="198">
        <v>21992</v>
      </c>
      <c r="I24" s="198">
        <v>36087</v>
      </c>
      <c r="J24" s="198">
        <v>26882</v>
      </c>
      <c r="K24" s="198">
        <v>23278</v>
      </c>
      <c r="L24" s="198">
        <v>20171</v>
      </c>
      <c r="M24" s="198">
        <v>3859</v>
      </c>
      <c r="N24" s="198">
        <v>299</v>
      </c>
      <c r="O24" s="198">
        <v>223</v>
      </c>
      <c r="Q24" s="163"/>
    </row>
    <row r="25" spans="1:17">
      <c r="A25" s="5" t="s">
        <v>244</v>
      </c>
      <c r="B25" s="162">
        <f t="shared" si="1"/>
        <v>1.0770321462586739E-2</v>
      </c>
      <c r="C25" s="34">
        <f t="shared" si="2"/>
        <v>105280</v>
      </c>
      <c r="D25" s="198">
        <v>193</v>
      </c>
      <c r="E25" s="198">
        <v>169</v>
      </c>
      <c r="F25" s="198">
        <v>197</v>
      </c>
      <c r="G25" s="198">
        <v>725</v>
      </c>
      <c r="H25" s="198">
        <v>17001</v>
      </c>
      <c r="I25" s="198">
        <v>29694</v>
      </c>
      <c r="J25" s="198">
        <v>20944</v>
      </c>
      <c r="K25" s="198">
        <v>17909</v>
      </c>
      <c r="L25" s="198">
        <v>15207</v>
      </c>
      <c r="M25" s="198">
        <v>2796</v>
      </c>
      <c r="N25" s="198">
        <v>252</v>
      </c>
      <c r="O25" s="198">
        <v>193</v>
      </c>
      <c r="Q25" s="163"/>
    </row>
    <row r="26" spans="1:17">
      <c r="A26" s="5" t="s">
        <v>245</v>
      </c>
      <c r="B26" s="162">
        <f t="shared" si="1"/>
        <v>8.3398380155109818E-3</v>
      </c>
      <c r="C26" s="34">
        <f t="shared" si="2"/>
        <v>81522</v>
      </c>
      <c r="D26" s="198">
        <v>152</v>
      </c>
      <c r="E26" s="198">
        <v>151</v>
      </c>
      <c r="F26" s="198">
        <v>129</v>
      </c>
      <c r="G26" s="198">
        <v>585</v>
      </c>
      <c r="H26" s="198">
        <v>13002</v>
      </c>
      <c r="I26" s="198">
        <v>24070</v>
      </c>
      <c r="J26" s="198">
        <v>16140</v>
      </c>
      <c r="K26" s="198">
        <v>13335</v>
      </c>
      <c r="L26" s="198">
        <v>11540</v>
      </c>
      <c r="M26" s="198">
        <v>2049</v>
      </c>
      <c r="N26" s="198">
        <v>212</v>
      </c>
      <c r="O26" s="198">
        <v>157</v>
      </c>
      <c r="Q26" s="163"/>
    </row>
    <row r="27" spans="1:17">
      <c r="A27" s="5" t="s">
        <v>246</v>
      </c>
      <c r="B27" s="162">
        <f t="shared" si="1"/>
        <v>6.4781519405095241E-3</v>
      </c>
      <c r="C27" s="34">
        <f t="shared" si="2"/>
        <v>63324</v>
      </c>
      <c r="D27" s="198">
        <v>132</v>
      </c>
      <c r="E27" s="198">
        <v>122</v>
      </c>
      <c r="F27" s="198">
        <v>138</v>
      </c>
      <c r="G27" s="198">
        <v>483</v>
      </c>
      <c r="H27" s="198">
        <v>9934</v>
      </c>
      <c r="I27" s="198">
        <v>19291</v>
      </c>
      <c r="J27" s="198">
        <v>12462</v>
      </c>
      <c r="K27" s="198">
        <v>10165</v>
      </c>
      <c r="L27" s="198">
        <v>8705</v>
      </c>
      <c r="M27" s="198">
        <v>1562</v>
      </c>
      <c r="N27" s="198">
        <v>202</v>
      </c>
      <c r="O27" s="198">
        <v>128</v>
      </c>
      <c r="Q27" s="163"/>
    </row>
    <row r="28" spans="1:17">
      <c r="A28" s="5" t="s">
        <v>247</v>
      </c>
      <c r="B28" s="162">
        <f t="shared" si="1"/>
        <v>5.0087928298794583E-3</v>
      </c>
      <c r="C28" s="34">
        <f t="shared" si="2"/>
        <v>48961</v>
      </c>
      <c r="D28" s="198">
        <v>131</v>
      </c>
      <c r="E28" s="198">
        <v>144</v>
      </c>
      <c r="F28" s="198">
        <v>120</v>
      </c>
      <c r="G28" s="198">
        <v>345</v>
      </c>
      <c r="H28" s="198">
        <v>7474</v>
      </c>
      <c r="I28" s="198">
        <v>15447</v>
      </c>
      <c r="J28" s="198">
        <v>9473</v>
      </c>
      <c r="K28" s="198">
        <v>7850</v>
      </c>
      <c r="L28" s="198">
        <v>6492</v>
      </c>
      <c r="M28" s="198">
        <v>1166</v>
      </c>
      <c r="N28" s="198">
        <v>192</v>
      </c>
      <c r="O28" s="198">
        <v>127</v>
      </c>
      <c r="Q28" s="163"/>
    </row>
    <row r="29" spans="1:17">
      <c r="A29" s="5" t="s">
        <v>248</v>
      </c>
      <c r="B29" s="162">
        <f t="shared" si="1"/>
        <v>3.9169269392051774E-3</v>
      </c>
      <c r="C29" s="34">
        <f t="shared" si="2"/>
        <v>38288</v>
      </c>
      <c r="D29" s="198">
        <v>141</v>
      </c>
      <c r="E29" s="198">
        <v>119</v>
      </c>
      <c r="F29" s="198">
        <v>117</v>
      </c>
      <c r="G29" s="198">
        <v>283</v>
      </c>
      <c r="H29" s="198">
        <v>5837</v>
      </c>
      <c r="I29" s="198">
        <v>12214</v>
      </c>
      <c r="J29" s="198">
        <v>7426</v>
      </c>
      <c r="K29" s="198">
        <v>5991</v>
      </c>
      <c r="L29" s="198">
        <v>5010</v>
      </c>
      <c r="M29" s="198">
        <v>873</v>
      </c>
      <c r="N29" s="198">
        <v>144</v>
      </c>
      <c r="O29" s="198">
        <v>133</v>
      </c>
      <c r="Q29" s="163"/>
    </row>
    <row r="30" spans="1:17">
      <c r="A30" s="5" t="s">
        <v>249</v>
      </c>
      <c r="B30" s="162">
        <f t="shared" si="1"/>
        <v>3.0362117276606366E-3</v>
      </c>
      <c r="C30" s="34">
        <f t="shared" si="2"/>
        <v>29679</v>
      </c>
      <c r="D30" s="198">
        <v>97</v>
      </c>
      <c r="E30" s="198">
        <v>83</v>
      </c>
      <c r="F30" s="198">
        <v>99</v>
      </c>
      <c r="G30" s="198">
        <v>257</v>
      </c>
      <c r="H30" s="198">
        <v>4499</v>
      </c>
      <c r="I30" s="198">
        <v>9721</v>
      </c>
      <c r="J30" s="198">
        <v>5632</v>
      </c>
      <c r="K30" s="198">
        <v>4513</v>
      </c>
      <c r="L30" s="198">
        <v>3833</v>
      </c>
      <c r="M30" s="198">
        <v>709</v>
      </c>
      <c r="N30" s="198">
        <v>122</v>
      </c>
      <c r="O30" s="198">
        <v>114</v>
      </c>
      <c r="Q30" s="163"/>
    </row>
    <row r="31" spans="1:17">
      <c r="A31" s="5" t="s">
        <v>250</v>
      </c>
      <c r="B31" s="162">
        <f t="shared" si="1"/>
        <v>2.3876190407989351E-3</v>
      </c>
      <c r="C31" s="34">
        <f t="shared" si="2"/>
        <v>23339</v>
      </c>
      <c r="D31" s="198">
        <v>100</v>
      </c>
      <c r="E31" s="198">
        <v>92</v>
      </c>
      <c r="F31" s="198">
        <v>115</v>
      </c>
      <c r="G31" s="198">
        <v>201</v>
      </c>
      <c r="H31" s="198">
        <v>3613</v>
      </c>
      <c r="I31" s="198">
        <v>7669</v>
      </c>
      <c r="J31" s="198">
        <v>4380</v>
      </c>
      <c r="K31" s="198">
        <v>3440</v>
      </c>
      <c r="L31" s="198">
        <v>3030</v>
      </c>
      <c r="M31" s="198">
        <v>480</v>
      </c>
      <c r="N31" s="198">
        <v>121</v>
      </c>
      <c r="O31" s="198">
        <v>98</v>
      </c>
      <c r="Q31" s="163"/>
    </row>
    <row r="32" spans="1:17">
      <c r="A32" s="5" t="s">
        <v>251</v>
      </c>
      <c r="B32" s="162">
        <f t="shared" si="1"/>
        <v>1.9055734981345287E-3</v>
      </c>
      <c r="C32" s="34">
        <f t="shared" si="2"/>
        <v>18627</v>
      </c>
      <c r="D32" s="198">
        <v>94</v>
      </c>
      <c r="E32" s="198">
        <v>80</v>
      </c>
      <c r="F32" s="198">
        <v>90</v>
      </c>
      <c r="G32" s="198">
        <v>169</v>
      </c>
      <c r="H32" s="198">
        <v>2816</v>
      </c>
      <c r="I32" s="198">
        <v>6101</v>
      </c>
      <c r="J32" s="198">
        <v>3481</v>
      </c>
      <c r="K32" s="198">
        <v>2855</v>
      </c>
      <c r="L32" s="198">
        <v>2309</v>
      </c>
      <c r="M32" s="198">
        <v>447</v>
      </c>
      <c r="N32" s="198">
        <v>107</v>
      </c>
      <c r="O32" s="198">
        <v>78</v>
      </c>
      <c r="Q32" s="163"/>
    </row>
    <row r="33" spans="1:17">
      <c r="A33" s="5" t="s">
        <v>204</v>
      </c>
      <c r="B33" s="162">
        <f t="shared" si="1"/>
        <v>9.7403480917155078E-3</v>
      </c>
      <c r="C33" s="34">
        <f t="shared" si="2"/>
        <v>95212</v>
      </c>
      <c r="D33" s="198">
        <v>965</v>
      </c>
      <c r="E33" s="198">
        <v>948</v>
      </c>
      <c r="F33" s="198">
        <v>1080</v>
      </c>
      <c r="G33" s="198">
        <v>1572</v>
      </c>
      <c r="H33" s="198">
        <v>13848</v>
      </c>
      <c r="I33" s="198">
        <v>29902</v>
      </c>
      <c r="J33" s="198">
        <v>16975</v>
      </c>
      <c r="K33" s="198">
        <v>13332</v>
      </c>
      <c r="L33" s="198">
        <v>11537</v>
      </c>
      <c r="M33" s="198">
        <v>2644</v>
      </c>
      <c r="N33" s="198">
        <v>1197</v>
      </c>
      <c r="O33" s="198">
        <v>1212</v>
      </c>
      <c r="Q33" s="163"/>
    </row>
    <row r="34" spans="1:17">
      <c r="A34" s="164" t="s">
        <v>252</v>
      </c>
      <c r="B34" s="165">
        <f>SUM(B7:B33)</f>
        <v>1</v>
      </c>
      <c r="C34" s="166">
        <f>SUM(C7:C33)</f>
        <v>9775010</v>
      </c>
      <c r="D34" s="166">
        <f t="shared" ref="D34:O34" si="3">SUM(D7:D33)</f>
        <v>811944</v>
      </c>
      <c r="E34" s="166">
        <f t="shared" si="3"/>
        <v>812333</v>
      </c>
      <c r="F34" s="166">
        <f t="shared" si="3"/>
        <v>812712</v>
      </c>
      <c r="G34" s="166">
        <f t="shared" si="3"/>
        <v>813374</v>
      </c>
      <c r="H34" s="166">
        <f t="shared" si="3"/>
        <v>814044</v>
      </c>
      <c r="I34" s="166">
        <f t="shared" si="3"/>
        <v>814528</v>
      </c>
      <c r="J34" s="166">
        <f t="shared" si="3"/>
        <v>815096</v>
      </c>
      <c r="K34" s="166">
        <f t="shared" si="3"/>
        <v>815585</v>
      </c>
      <c r="L34" s="166">
        <f t="shared" si="3"/>
        <v>816016</v>
      </c>
      <c r="M34" s="166">
        <f t="shared" si="3"/>
        <v>816312</v>
      </c>
      <c r="N34" s="166">
        <f t="shared" si="3"/>
        <v>816453</v>
      </c>
      <c r="O34" s="166">
        <f t="shared" si="3"/>
        <v>816613</v>
      </c>
      <c r="Q34" s="163"/>
    </row>
  </sheetData>
  <mergeCells count="4">
    <mergeCell ref="A1:O1"/>
    <mergeCell ref="A2:O2"/>
    <mergeCell ref="A3:O3"/>
    <mergeCell ref="A4:O4"/>
  </mergeCells>
  <pageMargins left="0.7" right="0.7" top="0.75" bottom="0.75" header="0.3" footer="0.3"/>
  <pageSetup scale="78" orientation="landscape" horizontalDpi="90" verticalDpi="90" r:id="rId1"/>
  <headerFooter>
    <oddFooter>&amp;L&amp;F
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AE43"/>
  <sheetViews>
    <sheetView topLeftCell="J1" zoomScale="90" zoomScaleNormal="90" workbookViewId="0">
      <selection activeCell="M40" sqref="M40"/>
    </sheetView>
  </sheetViews>
  <sheetFormatPr defaultColWidth="9.140625" defaultRowHeight="15"/>
  <cols>
    <col min="1" max="1" width="1.5703125" style="21" customWidth="1"/>
    <col min="2" max="2" width="14.85546875" style="21" customWidth="1"/>
    <col min="3" max="3" width="2.85546875" style="21" customWidth="1"/>
    <col min="4" max="15" width="13.42578125" style="21" customWidth="1"/>
    <col min="16" max="16" width="14" style="21" customWidth="1"/>
    <col min="17" max="17" width="14.85546875" style="21" customWidth="1"/>
    <col min="18" max="18" width="2.85546875" style="21" customWidth="1"/>
    <col min="19" max="30" width="13.42578125" style="21" customWidth="1"/>
    <col min="31" max="31" width="13.85546875" style="21" customWidth="1"/>
    <col min="32" max="16384" width="9.140625" style="21"/>
  </cols>
  <sheetData>
    <row r="1" spans="2:31">
      <c r="B1" s="271" t="s">
        <v>0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 t="s">
        <v>0</v>
      </c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</row>
    <row r="2" spans="2:31">
      <c r="B2" s="272" t="s">
        <v>169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 t="s">
        <v>169</v>
      </c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</row>
    <row r="3" spans="2:31">
      <c r="B3" s="272" t="s">
        <v>218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 t="s">
        <v>341</v>
      </c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</row>
    <row r="4" spans="2:31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2:31">
      <c r="B5" s="21" t="s">
        <v>340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1" t="str">
        <f>'Rate Year Therms'!B5</f>
        <v>Source: F2023 Load Forecast (5-26-2023)</v>
      </c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7" spans="2:31">
      <c r="B7" s="24" t="s">
        <v>21</v>
      </c>
      <c r="D7" s="29">
        <v>45658</v>
      </c>
      <c r="E7" s="29">
        <f>EDATE(D7,1)</f>
        <v>45689</v>
      </c>
      <c r="F7" s="29">
        <f t="shared" ref="F7:O7" si="0">EDATE(E7,1)</f>
        <v>45717</v>
      </c>
      <c r="G7" s="29">
        <f t="shared" si="0"/>
        <v>45748</v>
      </c>
      <c r="H7" s="29">
        <f t="shared" si="0"/>
        <v>45778</v>
      </c>
      <c r="I7" s="29">
        <f t="shared" si="0"/>
        <v>45809</v>
      </c>
      <c r="J7" s="29">
        <f t="shared" si="0"/>
        <v>45839</v>
      </c>
      <c r="K7" s="29">
        <f t="shared" si="0"/>
        <v>45870</v>
      </c>
      <c r="L7" s="29">
        <f t="shared" si="0"/>
        <v>45901</v>
      </c>
      <c r="M7" s="29">
        <f t="shared" si="0"/>
        <v>45931</v>
      </c>
      <c r="N7" s="29">
        <f t="shared" si="0"/>
        <v>45962</v>
      </c>
      <c r="O7" s="29">
        <f t="shared" si="0"/>
        <v>45992</v>
      </c>
      <c r="P7" s="24" t="s">
        <v>6</v>
      </c>
      <c r="Q7" s="24" t="s">
        <v>21</v>
      </c>
      <c r="S7" s="29">
        <v>46023</v>
      </c>
      <c r="T7" s="29">
        <f t="shared" ref="T7:AD7" si="1">EDATE(S7,1)</f>
        <v>46054</v>
      </c>
      <c r="U7" s="29">
        <f t="shared" si="1"/>
        <v>46082</v>
      </c>
      <c r="V7" s="29">
        <f t="shared" si="1"/>
        <v>46113</v>
      </c>
      <c r="W7" s="29">
        <f t="shared" si="1"/>
        <v>46143</v>
      </c>
      <c r="X7" s="29">
        <f t="shared" si="1"/>
        <v>46174</v>
      </c>
      <c r="Y7" s="29">
        <f t="shared" si="1"/>
        <v>46204</v>
      </c>
      <c r="Z7" s="29">
        <f t="shared" si="1"/>
        <v>46235</v>
      </c>
      <c r="AA7" s="29">
        <f t="shared" si="1"/>
        <v>46266</v>
      </c>
      <c r="AB7" s="29">
        <f t="shared" si="1"/>
        <v>46296</v>
      </c>
      <c r="AC7" s="29">
        <f t="shared" si="1"/>
        <v>46327</v>
      </c>
      <c r="AD7" s="29">
        <f t="shared" si="1"/>
        <v>46357</v>
      </c>
      <c r="AE7" s="24" t="s">
        <v>6</v>
      </c>
    </row>
    <row r="8" spans="2:31">
      <c r="B8" s="25"/>
      <c r="Q8" s="25"/>
    </row>
    <row r="9" spans="2:31">
      <c r="B9" s="12">
        <v>16</v>
      </c>
      <c r="D9" s="148">
        <v>583</v>
      </c>
      <c r="E9" s="148">
        <v>583</v>
      </c>
      <c r="F9" s="148">
        <v>583</v>
      </c>
      <c r="G9" s="148">
        <v>583</v>
      </c>
      <c r="H9" s="148">
        <v>583</v>
      </c>
      <c r="I9" s="148">
        <v>583</v>
      </c>
      <c r="J9" s="148">
        <v>583</v>
      </c>
      <c r="K9" s="148">
        <v>583</v>
      </c>
      <c r="L9" s="148">
        <v>583</v>
      </c>
      <c r="M9" s="148">
        <v>583</v>
      </c>
      <c r="N9" s="148">
        <v>583</v>
      </c>
      <c r="O9" s="148">
        <v>583</v>
      </c>
      <c r="P9" s="23">
        <f>SUM(D9:O9)</f>
        <v>6996</v>
      </c>
      <c r="Q9" s="12">
        <v>16</v>
      </c>
      <c r="S9" s="148">
        <v>583</v>
      </c>
      <c r="T9" s="148">
        <v>583</v>
      </c>
      <c r="U9" s="148">
        <v>583</v>
      </c>
      <c r="V9" s="148">
        <v>583</v>
      </c>
      <c r="W9" s="148">
        <v>583</v>
      </c>
      <c r="X9" s="148">
        <v>583</v>
      </c>
      <c r="Y9" s="148">
        <v>583</v>
      </c>
      <c r="Z9" s="148">
        <v>583</v>
      </c>
      <c r="AA9" s="148">
        <v>583</v>
      </c>
      <c r="AB9" s="148">
        <v>583</v>
      </c>
      <c r="AC9" s="148">
        <v>583</v>
      </c>
      <c r="AD9" s="148">
        <v>583</v>
      </c>
      <c r="AE9" s="23">
        <f t="shared" ref="AE9:AE23" si="2">SUM(S9:AD9)</f>
        <v>6996</v>
      </c>
    </row>
    <row r="10" spans="2:31">
      <c r="B10" s="25">
        <v>23</v>
      </c>
      <c r="D10" s="148">
        <v>82737764</v>
      </c>
      <c r="E10" s="148">
        <v>71461185</v>
      </c>
      <c r="F10" s="148">
        <v>65421149</v>
      </c>
      <c r="G10" s="148">
        <v>45585511</v>
      </c>
      <c r="H10" s="148">
        <v>26565812</v>
      </c>
      <c r="I10" s="148">
        <v>18196952</v>
      </c>
      <c r="J10" s="148">
        <v>13838955</v>
      </c>
      <c r="K10" s="148">
        <v>13356534</v>
      </c>
      <c r="L10" s="148">
        <v>17608048</v>
      </c>
      <c r="M10" s="148">
        <v>37562230</v>
      </c>
      <c r="N10" s="148">
        <v>62985541</v>
      </c>
      <c r="O10" s="148">
        <v>84639911</v>
      </c>
      <c r="P10" s="23">
        <f>SUM(D10:O10)</f>
        <v>539959592</v>
      </c>
      <c r="Q10" s="25">
        <v>23</v>
      </c>
      <c r="S10" s="148">
        <v>82543368</v>
      </c>
      <c r="T10" s="148">
        <v>71213772</v>
      </c>
      <c r="U10" s="148">
        <v>64904485</v>
      </c>
      <c r="V10" s="148">
        <v>45107384</v>
      </c>
      <c r="W10" s="148">
        <v>26189000</v>
      </c>
      <c r="X10" s="148">
        <v>17952501</v>
      </c>
      <c r="Y10" s="148">
        <v>13712113</v>
      </c>
      <c r="Z10" s="148">
        <v>13241492</v>
      </c>
      <c r="AA10" s="148">
        <v>17425724</v>
      </c>
      <c r="AB10" s="148">
        <v>37046600</v>
      </c>
      <c r="AC10" s="148">
        <v>61850475</v>
      </c>
      <c r="AD10" s="148">
        <v>83135438</v>
      </c>
      <c r="AE10" s="23">
        <f t="shared" si="2"/>
        <v>534322352</v>
      </c>
    </row>
    <row r="11" spans="2:31">
      <c r="B11" s="25">
        <v>53</v>
      </c>
      <c r="D11" s="148">
        <v>0</v>
      </c>
      <c r="E11" s="148">
        <v>0</v>
      </c>
      <c r="F11" s="148">
        <v>0</v>
      </c>
      <c r="G11" s="148">
        <v>0</v>
      </c>
      <c r="H11" s="148">
        <v>0</v>
      </c>
      <c r="I11" s="148">
        <v>0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8">
        <v>0</v>
      </c>
      <c r="P11" s="23">
        <f t="shared" ref="P11:P27" si="3">SUM(D11:O11)</f>
        <v>0</v>
      </c>
      <c r="Q11" s="25">
        <v>53</v>
      </c>
      <c r="S11" s="148">
        <v>0</v>
      </c>
      <c r="T11" s="148">
        <v>0</v>
      </c>
      <c r="U11" s="148">
        <v>0</v>
      </c>
      <c r="V11" s="148">
        <v>0</v>
      </c>
      <c r="W11" s="148">
        <v>0</v>
      </c>
      <c r="X11" s="148">
        <v>0</v>
      </c>
      <c r="Y11" s="148">
        <v>0</v>
      </c>
      <c r="Z11" s="148">
        <v>0</v>
      </c>
      <c r="AA11" s="148">
        <v>0</v>
      </c>
      <c r="AB11" s="148">
        <v>0</v>
      </c>
      <c r="AC11" s="148">
        <v>0</v>
      </c>
      <c r="AD11" s="148">
        <v>0</v>
      </c>
      <c r="AE11" s="23">
        <f t="shared" si="2"/>
        <v>0</v>
      </c>
    </row>
    <row r="12" spans="2:31">
      <c r="B12" s="25">
        <v>31</v>
      </c>
      <c r="D12" s="148">
        <v>29080225</v>
      </c>
      <c r="E12" s="148">
        <v>26056253</v>
      </c>
      <c r="F12" s="148">
        <v>23378566</v>
      </c>
      <c r="G12" s="148">
        <v>16969763</v>
      </c>
      <c r="H12" s="148">
        <v>12444620</v>
      </c>
      <c r="I12" s="148">
        <v>10043323</v>
      </c>
      <c r="J12" s="148">
        <v>8597979</v>
      </c>
      <c r="K12" s="148">
        <v>9460722</v>
      </c>
      <c r="L12" s="148">
        <v>11613098</v>
      </c>
      <c r="M12" s="148">
        <v>19566506</v>
      </c>
      <c r="N12" s="148">
        <v>27708212</v>
      </c>
      <c r="O12" s="148">
        <v>33607803</v>
      </c>
      <c r="P12" s="23">
        <f t="shared" si="3"/>
        <v>228527070</v>
      </c>
      <c r="Q12" s="25">
        <v>31</v>
      </c>
      <c r="S12" s="148">
        <v>29195081</v>
      </c>
      <c r="T12" s="148">
        <v>26072345</v>
      </c>
      <c r="U12" s="148">
        <v>23347183</v>
      </c>
      <c r="V12" s="148">
        <v>16898500</v>
      </c>
      <c r="W12" s="148">
        <v>12424329</v>
      </c>
      <c r="X12" s="148">
        <v>10071259</v>
      </c>
      <c r="Y12" s="148">
        <v>8642809</v>
      </c>
      <c r="Z12" s="148">
        <v>9529876</v>
      </c>
      <c r="AA12" s="148">
        <v>11681334</v>
      </c>
      <c r="AB12" s="148">
        <v>19577800</v>
      </c>
      <c r="AC12" s="148">
        <v>27581537</v>
      </c>
      <c r="AD12" s="148">
        <v>33403201</v>
      </c>
      <c r="AE12" s="23">
        <f t="shared" si="2"/>
        <v>228425254</v>
      </c>
    </row>
    <row r="13" spans="2:31">
      <c r="B13" s="25">
        <v>41</v>
      </c>
      <c r="D13" s="148">
        <v>6802981</v>
      </c>
      <c r="E13" s="148">
        <v>6457012</v>
      </c>
      <c r="F13" s="148">
        <v>5990884</v>
      </c>
      <c r="G13" s="148">
        <v>4648592</v>
      </c>
      <c r="H13" s="148">
        <v>3723542</v>
      </c>
      <c r="I13" s="148">
        <v>3163412</v>
      </c>
      <c r="J13" s="148">
        <v>2583008</v>
      </c>
      <c r="K13" s="148">
        <v>2824135</v>
      </c>
      <c r="L13" s="148">
        <v>3521943</v>
      </c>
      <c r="M13" s="148">
        <v>5575648</v>
      </c>
      <c r="N13" s="148">
        <v>7199201</v>
      </c>
      <c r="O13" s="148">
        <v>7838831</v>
      </c>
      <c r="P13" s="23">
        <f t="shared" si="3"/>
        <v>60329189</v>
      </c>
      <c r="Q13" s="25">
        <v>41</v>
      </c>
      <c r="S13" s="148">
        <v>6779910</v>
      </c>
      <c r="T13" s="148">
        <v>6410380</v>
      </c>
      <c r="U13" s="148">
        <v>5930818</v>
      </c>
      <c r="V13" s="148">
        <v>4576167</v>
      </c>
      <c r="W13" s="148">
        <v>3657247</v>
      </c>
      <c r="X13" s="148">
        <v>3103837</v>
      </c>
      <c r="Y13" s="148">
        <v>2529566</v>
      </c>
      <c r="Z13" s="148">
        <v>2766344</v>
      </c>
      <c r="AA13" s="148">
        <v>3454557</v>
      </c>
      <c r="AB13" s="148">
        <v>5476806</v>
      </c>
      <c r="AC13" s="148">
        <v>7083419</v>
      </c>
      <c r="AD13" s="148">
        <v>7728801</v>
      </c>
      <c r="AE13" s="23">
        <f t="shared" si="2"/>
        <v>59497852</v>
      </c>
    </row>
    <row r="14" spans="2:31">
      <c r="B14" s="25">
        <v>85</v>
      </c>
      <c r="D14" s="148">
        <v>1539745</v>
      </c>
      <c r="E14" s="148">
        <v>1517466</v>
      </c>
      <c r="F14" s="148">
        <v>1487011</v>
      </c>
      <c r="G14" s="148">
        <v>1294313</v>
      </c>
      <c r="H14" s="148">
        <v>1299683</v>
      </c>
      <c r="I14" s="148">
        <v>1202087</v>
      </c>
      <c r="J14" s="148">
        <v>1215543</v>
      </c>
      <c r="K14" s="148">
        <v>1318203</v>
      </c>
      <c r="L14" s="148">
        <v>1153579</v>
      </c>
      <c r="M14" s="148">
        <v>1406661</v>
      </c>
      <c r="N14" s="148">
        <v>1483186</v>
      </c>
      <c r="O14" s="148">
        <v>1750750</v>
      </c>
      <c r="P14" s="23">
        <f t="shared" si="3"/>
        <v>16668227</v>
      </c>
      <c r="Q14" s="25">
        <v>85</v>
      </c>
      <c r="S14" s="148">
        <v>1505229</v>
      </c>
      <c r="T14" s="148">
        <v>1480958</v>
      </c>
      <c r="U14" s="148">
        <v>1449643</v>
      </c>
      <c r="V14" s="148">
        <v>1260956</v>
      </c>
      <c r="W14" s="148">
        <v>1265240</v>
      </c>
      <c r="X14" s="148">
        <v>1172877</v>
      </c>
      <c r="Y14" s="148">
        <v>1187461</v>
      </c>
      <c r="Z14" s="148">
        <v>1288229</v>
      </c>
      <c r="AA14" s="148">
        <v>1126087</v>
      </c>
      <c r="AB14" s="148">
        <v>1369976</v>
      </c>
      <c r="AC14" s="148">
        <v>1443670</v>
      </c>
      <c r="AD14" s="148">
        <v>1704423</v>
      </c>
      <c r="AE14" s="23">
        <f t="shared" si="2"/>
        <v>16254749</v>
      </c>
    </row>
    <row r="15" spans="2:31">
      <c r="B15" s="25">
        <v>86</v>
      </c>
      <c r="D15" s="148">
        <v>672352</v>
      </c>
      <c r="E15" s="148">
        <v>656625</v>
      </c>
      <c r="F15" s="148">
        <v>636858</v>
      </c>
      <c r="G15" s="148">
        <v>453214</v>
      </c>
      <c r="H15" s="148">
        <v>376559</v>
      </c>
      <c r="I15" s="148">
        <v>215984</v>
      </c>
      <c r="J15" s="148">
        <v>95860</v>
      </c>
      <c r="K15" s="148">
        <v>15864</v>
      </c>
      <c r="L15" s="148">
        <v>44659</v>
      </c>
      <c r="M15" s="148">
        <v>265187</v>
      </c>
      <c r="N15" s="148">
        <v>487001</v>
      </c>
      <c r="O15" s="148">
        <v>764356</v>
      </c>
      <c r="P15" s="23">
        <f t="shared" si="3"/>
        <v>4684519</v>
      </c>
      <c r="Q15" s="25">
        <v>86</v>
      </c>
      <c r="S15" s="148">
        <v>654488</v>
      </c>
      <c r="T15" s="148">
        <v>638309</v>
      </c>
      <c r="U15" s="148">
        <v>618165</v>
      </c>
      <c r="V15" s="148">
        <v>439275</v>
      </c>
      <c r="W15" s="148">
        <v>364479</v>
      </c>
      <c r="X15" s="148">
        <v>208945</v>
      </c>
      <c r="Y15" s="148">
        <v>92111</v>
      </c>
      <c r="Z15" s="148">
        <v>14076</v>
      </c>
      <c r="AA15" s="148">
        <v>42192</v>
      </c>
      <c r="AB15" s="148">
        <v>256254</v>
      </c>
      <c r="AC15" s="148">
        <v>471304</v>
      </c>
      <c r="AD15" s="148">
        <v>740045</v>
      </c>
      <c r="AE15" s="23">
        <f t="shared" si="2"/>
        <v>4539643</v>
      </c>
    </row>
    <row r="16" spans="2:31">
      <c r="B16" s="25">
        <v>87</v>
      </c>
      <c r="D16" s="148">
        <v>1756978</v>
      </c>
      <c r="E16" s="148">
        <v>1729058</v>
      </c>
      <c r="F16" s="148">
        <v>1673461</v>
      </c>
      <c r="G16" s="148">
        <v>1357724</v>
      </c>
      <c r="H16" s="148">
        <v>1465597</v>
      </c>
      <c r="I16" s="148">
        <v>1322828</v>
      </c>
      <c r="J16" s="148">
        <v>1438357</v>
      </c>
      <c r="K16" s="148">
        <v>1570252</v>
      </c>
      <c r="L16" s="148">
        <v>1461265</v>
      </c>
      <c r="M16" s="148">
        <v>2007343</v>
      </c>
      <c r="N16" s="148">
        <v>1929213</v>
      </c>
      <c r="O16" s="148">
        <v>2295581</v>
      </c>
      <c r="P16" s="23">
        <f t="shared" si="3"/>
        <v>20007657</v>
      </c>
      <c r="Q16" s="25">
        <v>87</v>
      </c>
      <c r="S16" s="148">
        <v>1711411</v>
      </c>
      <c r="T16" s="148">
        <v>1682002</v>
      </c>
      <c r="U16" s="148">
        <v>1625499</v>
      </c>
      <c r="V16" s="148">
        <v>1317416</v>
      </c>
      <c r="W16" s="148">
        <v>1421572</v>
      </c>
      <c r="X16" s="148">
        <v>1284683</v>
      </c>
      <c r="Y16" s="148">
        <v>1398853</v>
      </c>
      <c r="Z16" s="148">
        <v>1528152</v>
      </c>
      <c r="AA16" s="148">
        <v>1421336</v>
      </c>
      <c r="AB16" s="148">
        <v>1948541</v>
      </c>
      <c r="AC16" s="148">
        <v>1869551</v>
      </c>
      <c r="AD16" s="148">
        <v>2224436</v>
      </c>
      <c r="AE16" s="23">
        <f t="shared" si="2"/>
        <v>19433452</v>
      </c>
    </row>
    <row r="17" spans="2:31">
      <c r="B17" s="25" t="s">
        <v>33</v>
      </c>
      <c r="D17" s="148">
        <v>0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  <c r="P17" s="23">
        <f t="shared" si="3"/>
        <v>0</v>
      </c>
      <c r="Q17" s="25" t="s">
        <v>33</v>
      </c>
      <c r="S17" s="148">
        <v>0</v>
      </c>
      <c r="T17" s="148">
        <v>0</v>
      </c>
      <c r="U17" s="148">
        <v>0</v>
      </c>
      <c r="V17" s="148">
        <v>0</v>
      </c>
      <c r="W17" s="148">
        <v>0</v>
      </c>
      <c r="X17" s="148">
        <v>0</v>
      </c>
      <c r="Y17" s="148">
        <v>0</v>
      </c>
      <c r="Z17" s="148">
        <v>0</v>
      </c>
      <c r="AA17" s="148">
        <v>0</v>
      </c>
      <c r="AB17" s="148">
        <v>0</v>
      </c>
      <c r="AC17" s="148">
        <v>0</v>
      </c>
      <c r="AD17" s="148">
        <v>0</v>
      </c>
      <c r="AE17" s="23">
        <f t="shared" si="2"/>
        <v>0</v>
      </c>
    </row>
    <row r="18" spans="2:31">
      <c r="B18" s="25" t="s">
        <v>35</v>
      </c>
      <c r="D18" s="148">
        <v>1744799</v>
      </c>
      <c r="E18" s="148">
        <v>2050563</v>
      </c>
      <c r="F18" s="148">
        <v>1806087</v>
      </c>
      <c r="G18" s="148">
        <v>1938903</v>
      </c>
      <c r="H18" s="148">
        <v>1881978</v>
      </c>
      <c r="I18" s="148">
        <v>1916497</v>
      </c>
      <c r="J18" s="148">
        <v>1707458</v>
      </c>
      <c r="K18" s="148">
        <v>1718963</v>
      </c>
      <c r="L18" s="148">
        <v>1769044</v>
      </c>
      <c r="M18" s="148">
        <v>1517453</v>
      </c>
      <c r="N18" s="148">
        <v>1856822</v>
      </c>
      <c r="O18" s="148">
        <v>1849102</v>
      </c>
      <c r="P18" s="23">
        <f t="shared" si="3"/>
        <v>21757669</v>
      </c>
      <c r="Q18" s="25" t="s">
        <v>35</v>
      </c>
      <c r="S18" s="148">
        <v>1774590</v>
      </c>
      <c r="T18" s="148">
        <v>2095597</v>
      </c>
      <c r="U18" s="148">
        <v>1836085</v>
      </c>
      <c r="V18" s="148">
        <v>1975302</v>
      </c>
      <c r="W18" s="148">
        <v>1942975</v>
      </c>
      <c r="X18" s="148">
        <v>1950546</v>
      </c>
      <c r="Y18" s="148">
        <v>1736490</v>
      </c>
      <c r="Z18" s="148">
        <v>1745217</v>
      </c>
      <c r="AA18" s="148">
        <v>1802603</v>
      </c>
      <c r="AB18" s="148">
        <v>1512306</v>
      </c>
      <c r="AC18" s="148">
        <v>1886783</v>
      </c>
      <c r="AD18" s="148">
        <v>1871072</v>
      </c>
      <c r="AE18" s="23">
        <f t="shared" si="2"/>
        <v>22129566</v>
      </c>
    </row>
    <row r="19" spans="2:31">
      <c r="B19" s="25" t="s">
        <v>37</v>
      </c>
      <c r="D19" s="148">
        <v>4816873</v>
      </c>
      <c r="E19" s="148">
        <v>5808776</v>
      </c>
      <c r="F19" s="148">
        <v>4973508</v>
      </c>
      <c r="G19" s="148">
        <v>5591887</v>
      </c>
      <c r="H19" s="148">
        <v>5877901</v>
      </c>
      <c r="I19" s="148">
        <v>5362124</v>
      </c>
      <c r="J19" s="148">
        <v>4923645</v>
      </c>
      <c r="K19" s="148">
        <v>4818131</v>
      </c>
      <c r="L19" s="148">
        <v>5370198</v>
      </c>
      <c r="M19" s="148">
        <v>4341485</v>
      </c>
      <c r="N19" s="148">
        <v>5425036</v>
      </c>
      <c r="O19" s="148">
        <v>5434872</v>
      </c>
      <c r="P19" s="23">
        <f t="shared" si="3"/>
        <v>62744436</v>
      </c>
      <c r="Q19" s="25" t="s">
        <v>37</v>
      </c>
      <c r="S19" s="148">
        <v>4749252</v>
      </c>
      <c r="T19" s="148">
        <v>5788991</v>
      </c>
      <c r="U19" s="148">
        <v>4900402</v>
      </c>
      <c r="V19" s="148">
        <v>5535929</v>
      </c>
      <c r="W19" s="148">
        <v>6050954</v>
      </c>
      <c r="X19" s="148">
        <v>5305540</v>
      </c>
      <c r="Y19" s="148">
        <v>4862919</v>
      </c>
      <c r="Z19" s="148">
        <v>4734888</v>
      </c>
      <c r="AA19" s="148">
        <v>5326595</v>
      </c>
      <c r="AB19" s="148">
        <v>4012423</v>
      </c>
      <c r="AC19" s="148">
        <v>5369517</v>
      </c>
      <c r="AD19" s="148">
        <v>5295885</v>
      </c>
      <c r="AE19" s="23">
        <f t="shared" si="2"/>
        <v>61933295</v>
      </c>
    </row>
    <row r="20" spans="2:31">
      <c r="B20" s="25" t="s">
        <v>39</v>
      </c>
      <c r="D20" s="148">
        <v>93203</v>
      </c>
      <c r="E20" s="148">
        <v>117030</v>
      </c>
      <c r="F20" s="148">
        <v>99848</v>
      </c>
      <c r="G20" s="148">
        <v>109333</v>
      </c>
      <c r="H20" s="148">
        <v>104325</v>
      </c>
      <c r="I20" s="148">
        <v>102346</v>
      </c>
      <c r="J20" s="148">
        <v>88505</v>
      </c>
      <c r="K20" s="148">
        <v>81617</v>
      </c>
      <c r="L20" s="148">
        <v>95126</v>
      </c>
      <c r="M20" s="148">
        <v>80774</v>
      </c>
      <c r="N20" s="148">
        <v>103349</v>
      </c>
      <c r="O20" s="148">
        <v>101071</v>
      </c>
      <c r="P20" s="23">
        <f t="shared" si="3"/>
        <v>1176527</v>
      </c>
      <c r="Q20" s="25" t="s">
        <v>39</v>
      </c>
      <c r="S20" s="148">
        <v>91888</v>
      </c>
      <c r="T20" s="148">
        <v>116253</v>
      </c>
      <c r="U20" s="148">
        <v>98319</v>
      </c>
      <c r="V20" s="148">
        <v>107874</v>
      </c>
      <c r="W20" s="148">
        <v>105386</v>
      </c>
      <c r="X20" s="148">
        <v>100663</v>
      </c>
      <c r="Y20" s="148">
        <v>86910</v>
      </c>
      <c r="Z20" s="148">
        <v>79916</v>
      </c>
      <c r="AA20" s="148">
        <v>93697</v>
      </c>
      <c r="AB20" s="148">
        <v>76402</v>
      </c>
      <c r="AC20" s="148">
        <v>101996</v>
      </c>
      <c r="AD20" s="148">
        <v>98764</v>
      </c>
      <c r="AE20" s="23">
        <f t="shared" si="2"/>
        <v>1158068</v>
      </c>
    </row>
    <row r="21" spans="2:31">
      <c r="B21" s="25" t="s">
        <v>41</v>
      </c>
      <c r="D21" s="148">
        <v>4797818.26</v>
      </c>
      <c r="E21" s="148">
        <v>6288303.5499999998</v>
      </c>
      <c r="F21" s="148">
        <v>4758080.75</v>
      </c>
      <c r="G21" s="148">
        <v>5122871.6500000004</v>
      </c>
      <c r="H21" s="148">
        <v>5937430.3200000003</v>
      </c>
      <c r="I21" s="148">
        <v>6125826.9299999997</v>
      </c>
      <c r="J21" s="148">
        <v>5711959.4299999997</v>
      </c>
      <c r="K21" s="148">
        <v>5582659.5600000005</v>
      </c>
      <c r="L21" s="148">
        <v>6171542.6699999999</v>
      </c>
      <c r="M21" s="148">
        <v>4192328.87</v>
      </c>
      <c r="N21" s="148">
        <v>3977937.7300000004</v>
      </c>
      <c r="O21" s="148">
        <v>8027227</v>
      </c>
      <c r="P21" s="23">
        <f t="shared" si="3"/>
        <v>66693986.719999999</v>
      </c>
      <c r="Q21" s="25" t="s">
        <v>41</v>
      </c>
      <c r="S21" s="148">
        <v>4706034.26</v>
      </c>
      <c r="T21" s="148">
        <v>6267930.5499999998</v>
      </c>
      <c r="U21" s="148">
        <v>4658105.75</v>
      </c>
      <c r="V21" s="148">
        <v>5055738.6500000004</v>
      </c>
      <c r="W21" s="148">
        <v>6238833.3200000003</v>
      </c>
      <c r="X21" s="148">
        <v>6062698.9299999997</v>
      </c>
      <c r="Y21" s="148">
        <v>5632992.4299999997</v>
      </c>
      <c r="Z21" s="148">
        <v>5467825.5600000005</v>
      </c>
      <c r="AA21" s="148">
        <v>6124141.6699999999</v>
      </c>
      <c r="AB21" s="148">
        <v>3721017.870000001</v>
      </c>
      <c r="AC21" s="148">
        <v>3908842.7300000004</v>
      </c>
      <c r="AD21" s="148">
        <v>7814184</v>
      </c>
      <c r="AE21" s="23">
        <f t="shared" si="2"/>
        <v>65658345.720000014</v>
      </c>
    </row>
    <row r="22" spans="2:31">
      <c r="B22" s="25" t="s">
        <v>355</v>
      </c>
      <c r="D22" s="148">
        <v>2224930</v>
      </c>
      <c r="E22" s="148">
        <v>2009615</v>
      </c>
      <c r="F22" s="148">
        <v>2224930</v>
      </c>
      <c r="G22" s="148">
        <v>2153159</v>
      </c>
      <c r="H22" s="148">
        <v>2224930</v>
      </c>
      <c r="I22" s="148">
        <v>4721469</v>
      </c>
      <c r="J22" s="148">
        <v>4878851</v>
      </c>
      <c r="K22" s="148">
        <v>4878851</v>
      </c>
      <c r="L22" s="148">
        <v>4721469</v>
      </c>
      <c r="M22" s="148">
        <v>4878851</v>
      </c>
      <c r="N22" s="148">
        <v>2153159</v>
      </c>
      <c r="O22" s="148">
        <v>2224930</v>
      </c>
      <c r="P22" s="23">
        <f t="shared" si="3"/>
        <v>39295144</v>
      </c>
      <c r="Q22" s="25" t="s">
        <v>355</v>
      </c>
      <c r="S22" s="148">
        <v>2927060</v>
      </c>
      <c r="T22" s="148">
        <v>2643796</v>
      </c>
      <c r="U22" s="148">
        <v>2927060</v>
      </c>
      <c r="V22" s="148">
        <v>2832639</v>
      </c>
      <c r="W22" s="148">
        <v>2927060</v>
      </c>
      <c r="X22" s="148">
        <v>6211440</v>
      </c>
      <c r="Y22" s="148">
        <v>6418488</v>
      </c>
      <c r="Z22" s="148">
        <v>6418488</v>
      </c>
      <c r="AA22" s="148">
        <v>6211440</v>
      </c>
      <c r="AB22" s="148">
        <v>6418488</v>
      </c>
      <c r="AC22" s="148">
        <v>2832639</v>
      </c>
      <c r="AD22" s="148">
        <v>2927060</v>
      </c>
      <c r="AE22" s="23">
        <f t="shared" si="2"/>
        <v>51695658</v>
      </c>
    </row>
    <row r="23" spans="2:31">
      <c r="B23" s="25" t="s">
        <v>13</v>
      </c>
      <c r="D23" s="148">
        <v>3272269</v>
      </c>
      <c r="E23" s="148">
        <v>4075429</v>
      </c>
      <c r="F23" s="148">
        <v>2843106</v>
      </c>
      <c r="G23" s="148">
        <v>2786749</v>
      </c>
      <c r="H23" s="148">
        <v>2564761</v>
      </c>
      <c r="I23" s="148">
        <v>1973750</v>
      </c>
      <c r="J23" s="148">
        <v>1737264</v>
      </c>
      <c r="K23" s="148">
        <v>1579101</v>
      </c>
      <c r="L23" s="148">
        <v>1952947</v>
      </c>
      <c r="M23" s="148">
        <v>1971061</v>
      </c>
      <c r="N23" s="148">
        <v>3395737</v>
      </c>
      <c r="O23" s="148">
        <v>3878213</v>
      </c>
      <c r="P23" s="23">
        <f t="shared" si="3"/>
        <v>32030387</v>
      </c>
      <c r="Q23" s="25" t="s">
        <v>13</v>
      </c>
      <c r="S23" s="148">
        <v>3226698</v>
      </c>
      <c r="T23" s="148">
        <v>4078744</v>
      </c>
      <c r="U23" s="148">
        <v>2803802</v>
      </c>
      <c r="V23" s="148">
        <v>2768625</v>
      </c>
      <c r="W23" s="148">
        <v>2679447</v>
      </c>
      <c r="X23" s="148">
        <v>1962103</v>
      </c>
      <c r="Y23" s="148">
        <v>1722459</v>
      </c>
      <c r="Z23" s="148">
        <v>1555276</v>
      </c>
      <c r="AA23" s="148">
        <v>1945963</v>
      </c>
      <c r="AB23" s="148">
        <v>1783866</v>
      </c>
      <c r="AC23" s="148">
        <v>3371179</v>
      </c>
      <c r="AD23" s="148">
        <v>3764886</v>
      </c>
      <c r="AE23" s="23">
        <f t="shared" si="2"/>
        <v>31663048</v>
      </c>
    </row>
    <row r="24" spans="2:31">
      <c r="B24" s="25" t="s">
        <v>6</v>
      </c>
      <c r="D24" s="26">
        <f t="shared" ref="D24:P24" si="4">SUM(D9:D23)</f>
        <v>139540520.25999999</v>
      </c>
      <c r="E24" s="26">
        <f t="shared" si="4"/>
        <v>128227898.55</v>
      </c>
      <c r="F24" s="26">
        <f t="shared" si="4"/>
        <v>115294071.75</v>
      </c>
      <c r="G24" s="26">
        <f t="shared" si="4"/>
        <v>88012602.650000006</v>
      </c>
      <c r="H24" s="26">
        <f t="shared" si="4"/>
        <v>64467721.32</v>
      </c>
      <c r="I24" s="26">
        <f t="shared" si="4"/>
        <v>54347181.93</v>
      </c>
      <c r="J24" s="26">
        <f t="shared" si="4"/>
        <v>46817967.43</v>
      </c>
      <c r="K24" s="26">
        <f t="shared" si="4"/>
        <v>47205615.560000002</v>
      </c>
      <c r="L24" s="26">
        <f t="shared" si="4"/>
        <v>55483501.670000002</v>
      </c>
      <c r="M24" s="26">
        <f t="shared" si="4"/>
        <v>83366110.870000005</v>
      </c>
      <c r="N24" s="26">
        <f t="shared" si="4"/>
        <v>118704977.73</v>
      </c>
      <c r="O24" s="26">
        <f t="shared" si="4"/>
        <v>152413230</v>
      </c>
      <c r="P24" s="26">
        <f t="shared" si="4"/>
        <v>1093881399.72</v>
      </c>
      <c r="Q24" s="25" t="s">
        <v>6</v>
      </c>
      <c r="S24" s="26">
        <f t="shared" ref="S24:AE24" si="5">SUM(S9:S23)</f>
        <v>139865592.25999999</v>
      </c>
      <c r="T24" s="26">
        <f t="shared" si="5"/>
        <v>128489660.55</v>
      </c>
      <c r="U24" s="26">
        <f t="shared" si="5"/>
        <v>115100149.75</v>
      </c>
      <c r="V24" s="26">
        <f t="shared" si="5"/>
        <v>87876388.650000006</v>
      </c>
      <c r="W24" s="26">
        <f t="shared" si="5"/>
        <v>65267105.32</v>
      </c>
      <c r="X24" s="26">
        <f t="shared" si="5"/>
        <v>55387675.93</v>
      </c>
      <c r="Y24" s="26">
        <f t="shared" si="5"/>
        <v>48023754.43</v>
      </c>
      <c r="Z24" s="26">
        <f t="shared" si="5"/>
        <v>48370362.560000002</v>
      </c>
      <c r="AA24" s="26">
        <f t="shared" si="5"/>
        <v>56656252.670000002</v>
      </c>
      <c r="AB24" s="26">
        <f t="shared" si="5"/>
        <v>83201062.870000005</v>
      </c>
      <c r="AC24" s="26">
        <f t="shared" si="5"/>
        <v>117771495.73</v>
      </c>
      <c r="AD24" s="26">
        <f t="shared" si="5"/>
        <v>150708778</v>
      </c>
      <c r="AE24" s="26">
        <f t="shared" si="5"/>
        <v>1096718278.72</v>
      </c>
    </row>
    <row r="25" spans="2:31">
      <c r="B25" s="25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5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2:31">
      <c r="B26" s="25" t="s">
        <v>66</v>
      </c>
      <c r="D26" s="23">
        <f t="shared" ref="D26:O26" si="6">SUM(D9:D13)</f>
        <v>118621553</v>
      </c>
      <c r="E26" s="23">
        <f t="shared" si="6"/>
        <v>103975033</v>
      </c>
      <c r="F26" s="23">
        <f t="shared" si="6"/>
        <v>94791182</v>
      </c>
      <c r="G26" s="23">
        <f t="shared" si="6"/>
        <v>67204449</v>
      </c>
      <c r="H26" s="23">
        <f t="shared" si="6"/>
        <v>42734557</v>
      </c>
      <c r="I26" s="23">
        <f t="shared" si="6"/>
        <v>31404270</v>
      </c>
      <c r="J26" s="23">
        <f t="shared" si="6"/>
        <v>25020525</v>
      </c>
      <c r="K26" s="23">
        <f t="shared" si="6"/>
        <v>25641974</v>
      </c>
      <c r="L26" s="23">
        <f t="shared" si="6"/>
        <v>32743672</v>
      </c>
      <c r="M26" s="23">
        <f t="shared" si="6"/>
        <v>62704967</v>
      </c>
      <c r="N26" s="23">
        <f t="shared" si="6"/>
        <v>97893537</v>
      </c>
      <c r="O26" s="23">
        <f t="shared" si="6"/>
        <v>126087128</v>
      </c>
      <c r="P26" s="23">
        <f t="shared" si="3"/>
        <v>828822847</v>
      </c>
      <c r="Q26" s="25" t="s">
        <v>66</v>
      </c>
      <c r="S26" s="23">
        <f t="shared" ref="S26:AD26" si="7">SUM(S9:S13)</f>
        <v>118518942</v>
      </c>
      <c r="T26" s="23">
        <f t="shared" si="7"/>
        <v>103697080</v>
      </c>
      <c r="U26" s="23">
        <f t="shared" si="7"/>
        <v>94183069</v>
      </c>
      <c r="V26" s="23">
        <f t="shared" si="7"/>
        <v>66582634</v>
      </c>
      <c r="W26" s="23">
        <f t="shared" si="7"/>
        <v>42271159</v>
      </c>
      <c r="X26" s="23">
        <f t="shared" si="7"/>
        <v>31128180</v>
      </c>
      <c r="Y26" s="23">
        <f t="shared" si="7"/>
        <v>24885071</v>
      </c>
      <c r="Z26" s="23">
        <f t="shared" si="7"/>
        <v>25538295</v>
      </c>
      <c r="AA26" s="23">
        <f t="shared" si="7"/>
        <v>32562198</v>
      </c>
      <c r="AB26" s="23">
        <f t="shared" si="7"/>
        <v>62101789</v>
      </c>
      <c r="AC26" s="23">
        <f t="shared" si="7"/>
        <v>96516014</v>
      </c>
      <c r="AD26" s="23">
        <f t="shared" si="7"/>
        <v>124268023</v>
      </c>
      <c r="AE26" s="23">
        <f>SUM(S26:AD26)</f>
        <v>822252454</v>
      </c>
    </row>
    <row r="27" spans="2:31">
      <c r="B27" s="25" t="s">
        <v>67</v>
      </c>
      <c r="D27" s="23">
        <f>SUM(D14:D16)</f>
        <v>3969075</v>
      </c>
      <c r="E27" s="23">
        <f t="shared" ref="E27:O27" si="8">SUM(E14:E16)</f>
        <v>3903149</v>
      </c>
      <c r="F27" s="23">
        <f t="shared" si="8"/>
        <v>3797330</v>
      </c>
      <c r="G27" s="23">
        <f t="shared" si="8"/>
        <v>3105251</v>
      </c>
      <c r="H27" s="23">
        <f t="shared" si="8"/>
        <v>3141839</v>
      </c>
      <c r="I27" s="23">
        <f t="shared" si="8"/>
        <v>2740899</v>
      </c>
      <c r="J27" s="23">
        <f t="shared" si="8"/>
        <v>2749760</v>
      </c>
      <c r="K27" s="23">
        <f t="shared" si="8"/>
        <v>2904319</v>
      </c>
      <c r="L27" s="23">
        <f t="shared" si="8"/>
        <v>2659503</v>
      </c>
      <c r="M27" s="23">
        <f t="shared" si="8"/>
        <v>3679191</v>
      </c>
      <c r="N27" s="23">
        <f t="shared" si="8"/>
        <v>3899400</v>
      </c>
      <c r="O27" s="23">
        <f t="shared" si="8"/>
        <v>4810687</v>
      </c>
      <c r="P27" s="23">
        <f t="shared" si="3"/>
        <v>41360403</v>
      </c>
      <c r="Q27" s="25" t="s">
        <v>67</v>
      </c>
      <c r="S27" s="23">
        <f t="shared" ref="S27:AD27" si="9">SUM(S14:S16)</f>
        <v>3871128</v>
      </c>
      <c r="T27" s="23">
        <f t="shared" si="9"/>
        <v>3801269</v>
      </c>
      <c r="U27" s="23">
        <f t="shared" si="9"/>
        <v>3693307</v>
      </c>
      <c r="V27" s="23">
        <f t="shared" si="9"/>
        <v>3017647</v>
      </c>
      <c r="W27" s="23">
        <f t="shared" si="9"/>
        <v>3051291</v>
      </c>
      <c r="X27" s="23">
        <f t="shared" si="9"/>
        <v>2666505</v>
      </c>
      <c r="Y27" s="23">
        <f t="shared" si="9"/>
        <v>2678425</v>
      </c>
      <c r="Z27" s="23">
        <f t="shared" si="9"/>
        <v>2830457</v>
      </c>
      <c r="AA27" s="23">
        <f t="shared" si="9"/>
        <v>2589615</v>
      </c>
      <c r="AB27" s="23">
        <f t="shared" si="9"/>
        <v>3574771</v>
      </c>
      <c r="AC27" s="23">
        <f t="shared" si="9"/>
        <v>3784525</v>
      </c>
      <c r="AD27" s="23">
        <f t="shared" si="9"/>
        <v>4668904</v>
      </c>
      <c r="AE27" s="23">
        <f>SUM(S27:AD27)</f>
        <v>40227844</v>
      </c>
    </row>
    <row r="28" spans="2:31">
      <c r="B28" s="25" t="s">
        <v>68</v>
      </c>
      <c r="D28" s="26">
        <f>SUM(D26:D27)</f>
        <v>122590628</v>
      </c>
      <c r="E28" s="26">
        <f t="shared" ref="E28:P28" si="10">SUM(E26:E27)</f>
        <v>107878182</v>
      </c>
      <c r="F28" s="26">
        <f t="shared" si="10"/>
        <v>98588512</v>
      </c>
      <c r="G28" s="26">
        <f t="shared" si="10"/>
        <v>70309700</v>
      </c>
      <c r="H28" s="26">
        <f t="shared" si="10"/>
        <v>45876396</v>
      </c>
      <c r="I28" s="26">
        <f t="shared" si="10"/>
        <v>34145169</v>
      </c>
      <c r="J28" s="26">
        <f t="shared" si="10"/>
        <v>27770285</v>
      </c>
      <c r="K28" s="26">
        <f t="shared" si="10"/>
        <v>28546293</v>
      </c>
      <c r="L28" s="26">
        <f t="shared" si="10"/>
        <v>35403175</v>
      </c>
      <c r="M28" s="26">
        <f t="shared" si="10"/>
        <v>66384158</v>
      </c>
      <c r="N28" s="26">
        <f t="shared" si="10"/>
        <v>101792937</v>
      </c>
      <c r="O28" s="26">
        <f t="shared" si="10"/>
        <v>130897815</v>
      </c>
      <c r="P28" s="26">
        <f t="shared" si="10"/>
        <v>870183250</v>
      </c>
      <c r="Q28" s="25" t="s">
        <v>68</v>
      </c>
      <c r="S28" s="26">
        <f t="shared" ref="S28:AE28" si="11">SUM(S26:S27)</f>
        <v>122390070</v>
      </c>
      <c r="T28" s="26">
        <f t="shared" si="11"/>
        <v>107498349</v>
      </c>
      <c r="U28" s="26">
        <f t="shared" si="11"/>
        <v>97876376</v>
      </c>
      <c r="V28" s="26">
        <f t="shared" si="11"/>
        <v>69600281</v>
      </c>
      <c r="W28" s="26">
        <f t="shared" si="11"/>
        <v>45322450</v>
      </c>
      <c r="X28" s="26">
        <f t="shared" si="11"/>
        <v>33794685</v>
      </c>
      <c r="Y28" s="26">
        <f t="shared" si="11"/>
        <v>27563496</v>
      </c>
      <c r="Z28" s="26">
        <f t="shared" si="11"/>
        <v>28368752</v>
      </c>
      <c r="AA28" s="26">
        <f t="shared" si="11"/>
        <v>35151813</v>
      </c>
      <c r="AB28" s="26">
        <f t="shared" si="11"/>
        <v>65676560</v>
      </c>
      <c r="AC28" s="26">
        <f t="shared" si="11"/>
        <v>100300539</v>
      </c>
      <c r="AD28" s="26">
        <f t="shared" si="11"/>
        <v>128936927</v>
      </c>
      <c r="AE28" s="26">
        <f t="shared" si="11"/>
        <v>862480298</v>
      </c>
    </row>
    <row r="29" spans="2:31">
      <c r="B29" s="25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5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2:31">
      <c r="B30" s="25" t="s">
        <v>69</v>
      </c>
      <c r="D30" s="23">
        <f>SUM(D17:D23)</f>
        <v>16949892.259999998</v>
      </c>
      <c r="E30" s="23">
        <f t="shared" ref="E30:O30" si="12">SUM(E17:E23)</f>
        <v>20349716.550000001</v>
      </c>
      <c r="F30" s="23">
        <f t="shared" si="12"/>
        <v>16705559.75</v>
      </c>
      <c r="G30" s="23">
        <f t="shared" si="12"/>
        <v>17702902.649999999</v>
      </c>
      <c r="H30" s="23">
        <f t="shared" si="12"/>
        <v>18591325.32</v>
      </c>
      <c r="I30" s="23">
        <f t="shared" si="12"/>
        <v>20202012.93</v>
      </c>
      <c r="J30" s="23">
        <f t="shared" si="12"/>
        <v>19047682.43</v>
      </c>
      <c r="K30" s="23">
        <f t="shared" si="12"/>
        <v>18659322.560000002</v>
      </c>
      <c r="L30" s="23">
        <f t="shared" si="12"/>
        <v>20080326.670000002</v>
      </c>
      <c r="M30" s="23">
        <f t="shared" si="12"/>
        <v>16981952.870000001</v>
      </c>
      <c r="N30" s="23">
        <f t="shared" si="12"/>
        <v>16912040.73</v>
      </c>
      <c r="O30" s="23">
        <f t="shared" si="12"/>
        <v>21515415</v>
      </c>
      <c r="P30" s="23">
        <f>SUM(D30:O30)</f>
        <v>223698149.72</v>
      </c>
      <c r="Q30" s="25" t="s">
        <v>69</v>
      </c>
      <c r="S30" s="23">
        <f t="shared" ref="S30:AD30" si="13">SUM(S17:S23)</f>
        <v>17475522.259999998</v>
      </c>
      <c r="T30" s="23">
        <f t="shared" si="13"/>
        <v>20991311.550000001</v>
      </c>
      <c r="U30" s="23">
        <f t="shared" si="13"/>
        <v>17223773.75</v>
      </c>
      <c r="V30" s="23">
        <f t="shared" si="13"/>
        <v>18276107.649999999</v>
      </c>
      <c r="W30" s="23">
        <f t="shared" si="13"/>
        <v>19944655.32</v>
      </c>
      <c r="X30" s="23">
        <f t="shared" si="13"/>
        <v>21592990.93</v>
      </c>
      <c r="Y30" s="23">
        <f t="shared" si="13"/>
        <v>20460258.43</v>
      </c>
      <c r="Z30" s="23">
        <f t="shared" si="13"/>
        <v>20001610.560000002</v>
      </c>
      <c r="AA30" s="23">
        <f t="shared" si="13"/>
        <v>21504439.670000002</v>
      </c>
      <c r="AB30" s="23">
        <f t="shared" si="13"/>
        <v>17524502.870000001</v>
      </c>
      <c r="AC30" s="23">
        <f t="shared" si="13"/>
        <v>17470956.73</v>
      </c>
      <c r="AD30" s="23">
        <f t="shared" si="13"/>
        <v>21771851</v>
      </c>
      <c r="AE30" s="23">
        <f>SUM(S30:AD30)</f>
        <v>234237980.72</v>
      </c>
    </row>
    <row r="31" spans="2:31">
      <c r="B31" s="25" t="s">
        <v>6</v>
      </c>
      <c r="D31" s="26">
        <f>D28+D30</f>
        <v>139540520.25999999</v>
      </c>
      <c r="E31" s="26">
        <f t="shared" ref="E31:P31" si="14">E28+E30</f>
        <v>128227898.55</v>
      </c>
      <c r="F31" s="26">
        <f t="shared" si="14"/>
        <v>115294071.75</v>
      </c>
      <c r="G31" s="26">
        <f t="shared" si="14"/>
        <v>88012602.650000006</v>
      </c>
      <c r="H31" s="26">
        <f t="shared" si="14"/>
        <v>64467721.32</v>
      </c>
      <c r="I31" s="26">
        <f t="shared" si="14"/>
        <v>54347181.93</v>
      </c>
      <c r="J31" s="26">
        <f t="shared" si="14"/>
        <v>46817967.43</v>
      </c>
      <c r="K31" s="26">
        <f t="shared" si="14"/>
        <v>47205615.560000002</v>
      </c>
      <c r="L31" s="26">
        <f t="shared" si="14"/>
        <v>55483501.670000002</v>
      </c>
      <c r="M31" s="26">
        <f t="shared" si="14"/>
        <v>83366110.870000005</v>
      </c>
      <c r="N31" s="26">
        <f t="shared" si="14"/>
        <v>118704977.73</v>
      </c>
      <c r="O31" s="26">
        <f t="shared" si="14"/>
        <v>152413230</v>
      </c>
      <c r="P31" s="26">
        <f t="shared" si="14"/>
        <v>1093881399.72</v>
      </c>
      <c r="Q31" s="25" t="s">
        <v>6</v>
      </c>
      <c r="S31" s="26">
        <f t="shared" ref="S31:AE31" si="15">S28+S30</f>
        <v>139865592.25999999</v>
      </c>
      <c r="T31" s="26">
        <f t="shared" si="15"/>
        <v>128489660.55</v>
      </c>
      <c r="U31" s="26">
        <f t="shared" si="15"/>
        <v>115100149.75</v>
      </c>
      <c r="V31" s="26">
        <f t="shared" si="15"/>
        <v>87876388.650000006</v>
      </c>
      <c r="W31" s="26">
        <f t="shared" si="15"/>
        <v>65267105.32</v>
      </c>
      <c r="X31" s="26">
        <f t="shared" si="15"/>
        <v>55387675.93</v>
      </c>
      <c r="Y31" s="26">
        <f t="shared" si="15"/>
        <v>48023754.43</v>
      </c>
      <c r="Z31" s="26">
        <f t="shared" si="15"/>
        <v>48370362.560000002</v>
      </c>
      <c r="AA31" s="26">
        <f t="shared" si="15"/>
        <v>56656252.670000002</v>
      </c>
      <c r="AB31" s="26">
        <f t="shared" si="15"/>
        <v>83201062.870000005</v>
      </c>
      <c r="AC31" s="26">
        <f t="shared" si="15"/>
        <v>117771495.73</v>
      </c>
      <c r="AD31" s="26">
        <f t="shared" si="15"/>
        <v>150708778</v>
      </c>
      <c r="AE31" s="26">
        <f t="shared" si="15"/>
        <v>1096718278.72</v>
      </c>
    </row>
    <row r="32" spans="2:31">
      <c r="B32" s="27" t="s">
        <v>70</v>
      </c>
      <c r="D32" s="28">
        <f>D24-D31</f>
        <v>0</v>
      </c>
      <c r="E32" s="28">
        <f t="shared" ref="E32:P32" si="16">E24-E31</f>
        <v>0</v>
      </c>
      <c r="F32" s="28">
        <f t="shared" si="16"/>
        <v>0</v>
      </c>
      <c r="G32" s="28">
        <f t="shared" si="16"/>
        <v>0</v>
      </c>
      <c r="H32" s="28">
        <f t="shared" si="16"/>
        <v>0</v>
      </c>
      <c r="I32" s="28">
        <f t="shared" si="16"/>
        <v>0</v>
      </c>
      <c r="J32" s="28">
        <f t="shared" si="16"/>
        <v>0</v>
      </c>
      <c r="K32" s="28">
        <f t="shared" si="16"/>
        <v>0</v>
      </c>
      <c r="L32" s="28">
        <f t="shared" si="16"/>
        <v>0</v>
      </c>
      <c r="M32" s="28">
        <f t="shared" si="16"/>
        <v>0</v>
      </c>
      <c r="N32" s="28">
        <f t="shared" si="16"/>
        <v>0</v>
      </c>
      <c r="O32" s="28">
        <f t="shared" si="16"/>
        <v>0</v>
      </c>
      <c r="P32" s="28">
        <f t="shared" si="16"/>
        <v>0</v>
      </c>
      <c r="Q32" s="27" t="s">
        <v>70</v>
      </c>
      <c r="S32" s="28">
        <f t="shared" ref="S32:AE32" si="17">S24-S31</f>
        <v>0</v>
      </c>
      <c r="T32" s="28">
        <f t="shared" si="17"/>
        <v>0</v>
      </c>
      <c r="U32" s="28">
        <f t="shared" si="17"/>
        <v>0</v>
      </c>
      <c r="V32" s="28">
        <f t="shared" si="17"/>
        <v>0</v>
      </c>
      <c r="W32" s="28">
        <f t="shared" si="17"/>
        <v>0</v>
      </c>
      <c r="X32" s="28">
        <f t="shared" si="17"/>
        <v>0</v>
      </c>
      <c r="Y32" s="28">
        <f t="shared" si="17"/>
        <v>0</v>
      </c>
      <c r="Z32" s="28">
        <f t="shared" si="17"/>
        <v>0</v>
      </c>
      <c r="AA32" s="28">
        <f t="shared" si="17"/>
        <v>0</v>
      </c>
      <c r="AB32" s="28">
        <f t="shared" si="17"/>
        <v>0</v>
      </c>
      <c r="AC32" s="28">
        <f t="shared" si="17"/>
        <v>0</v>
      </c>
      <c r="AD32" s="28">
        <f t="shared" si="17"/>
        <v>0</v>
      </c>
      <c r="AE32" s="28">
        <f t="shared" si="17"/>
        <v>0</v>
      </c>
    </row>
    <row r="33" spans="2:31">
      <c r="C33" s="23"/>
      <c r="R33" s="23"/>
    </row>
    <row r="34" spans="2:31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  <row r="35" spans="2:31">
      <c r="B35" s="5" t="s">
        <v>168</v>
      </c>
      <c r="C35" s="23"/>
      <c r="D35" s="23">
        <f t="shared" ref="D35:P35" si="18">SUM(D9:D11)</f>
        <v>82738347</v>
      </c>
      <c r="E35" s="23">
        <f t="shared" si="18"/>
        <v>71461768</v>
      </c>
      <c r="F35" s="23">
        <f t="shared" si="18"/>
        <v>65421732</v>
      </c>
      <c r="G35" s="23">
        <f t="shared" si="18"/>
        <v>45586094</v>
      </c>
      <c r="H35" s="23">
        <f t="shared" si="18"/>
        <v>26566395</v>
      </c>
      <c r="I35" s="23">
        <f t="shared" si="18"/>
        <v>18197535</v>
      </c>
      <c r="J35" s="23">
        <f t="shared" si="18"/>
        <v>13839538</v>
      </c>
      <c r="K35" s="23">
        <f t="shared" si="18"/>
        <v>13357117</v>
      </c>
      <c r="L35" s="23">
        <f t="shared" si="18"/>
        <v>17608631</v>
      </c>
      <c r="M35" s="23">
        <f t="shared" si="18"/>
        <v>37562813</v>
      </c>
      <c r="N35" s="23">
        <f t="shared" si="18"/>
        <v>62986124</v>
      </c>
      <c r="O35" s="23">
        <f t="shared" si="18"/>
        <v>84640494</v>
      </c>
      <c r="P35" s="23">
        <f t="shared" si="18"/>
        <v>539966588</v>
      </c>
      <c r="Q35" s="5" t="s">
        <v>168</v>
      </c>
      <c r="R35" s="23"/>
      <c r="S35" s="23">
        <f t="shared" ref="S35:AE35" si="19">SUM(S9:S11)</f>
        <v>82543951</v>
      </c>
      <c r="T35" s="23">
        <f t="shared" si="19"/>
        <v>71214355</v>
      </c>
      <c r="U35" s="23">
        <f t="shared" si="19"/>
        <v>64905068</v>
      </c>
      <c r="V35" s="23">
        <f t="shared" si="19"/>
        <v>45107967</v>
      </c>
      <c r="W35" s="23">
        <f t="shared" si="19"/>
        <v>26189583</v>
      </c>
      <c r="X35" s="23">
        <f t="shared" si="19"/>
        <v>17953084</v>
      </c>
      <c r="Y35" s="23">
        <f t="shared" si="19"/>
        <v>13712696</v>
      </c>
      <c r="Z35" s="23">
        <f t="shared" si="19"/>
        <v>13242075</v>
      </c>
      <c r="AA35" s="23">
        <f t="shared" si="19"/>
        <v>17426307</v>
      </c>
      <c r="AB35" s="23">
        <f t="shared" si="19"/>
        <v>37047183</v>
      </c>
      <c r="AC35" s="23">
        <f t="shared" si="19"/>
        <v>61851058</v>
      </c>
      <c r="AD35" s="23">
        <f t="shared" si="19"/>
        <v>83136021</v>
      </c>
      <c r="AE35" s="23">
        <f t="shared" si="19"/>
        <v>534329348</v>
      </c>
    </row>
    <row r="36" spans="2:31">
      <c r="B36" s="25" t="s">
        <v>117</v>
      </c>
      <c r="C36" s="23"/>
      <c r="D36" s="23">
        <f t="shared" ref="D36:P36" si="20">SUM(D12,D17)</f>
        <v>29080225</v>
      </c>
      <c r="E36" s="23">
        <f t="shared" si="20"/>
        <v>26056253</v>
      </c>
      <c r="F36" s="23">
        <f t="shared" si="20"/>
        <v>23378566</v>
      </c>
      <c r="G36" s="23">
        <f t="shared" si="20"/>
        <v>16969763</v>
      </c>
      <c r="H36" s="23">
        <f t="shared" si="20"/>
        <v>12444620</v>
      </c>
      <c r="I36" s="23">
        <f t="shared" si="20"/>
        <v>10043323</v>
      </c>
      <c r="J36" s="23">
        <f t="shared" si="20"/>
        <v>8597979</v>
      </c>
      <c r="K36" s="23">
        <f t="shared" si="20"/>
        <v>9460722</v>
      </c>
      <c r="L36" s="23">
        <f t="shared" si="20"/>
        <v>11613098</v>
      </c>
      <c r="M36" s="23">
        <f t="shared" si="20"/>
        <v>19566506</v>
      </c>
      <c r="N36" s="23">
        <f t="shared" si="20"/>
        <v>27708212</v>
      </c>
      <c r="O36" s="23">
        <f t="shared" si="20"/>
        <v>33607803</v>
      </c>
      <c r="P36" s="23">
        <f t="shared" si="20"/>
        <v>228527070</v>
      </c>
      <c r="Q36" s="25" t="s">
        <v>117</v>
      </c>
      <c r="R36" s="23"/>
      <c r="S36" s="23">
        <f t="shared" ref="S36:AE36" si="21">SUM(S12,S17)</f>
        <v>29195081</v>
      </c>
      <c r="T36" s="23">
        <f t="shared" si="21"/>
        <v>26072345</v>
      </c>
      <c r="U36" s="23">
        <f t="shared" si="21"/>
        <v>23347183</v>
      </c>
      <c r="V36" s="23">
        <f t="shared" si="21"/>
        <v>16898500</v>
      </c>
      <c r="W36" s="23">
        <f t="shared" si="21"/>
        <v>12424329</v>
      </c>
      <c r="X36" s="23">
        <f t="shared" si="21"/>
        <v>10071259</v>
      </c>
      <c r="Y36" s="23">
        <f t="shared" si="21"/>
        <v>8642809</v>
      </c>
      <c r="Z36" s="23">
        <f t="shared" si="21"/>
        <v>9529876</v>
      </c>
      <c r="AA36" s="23">
        <f t="shared" si="21"/>
        <v>11681334</v>
      </c>
      <c r="AB36" s="23">
        <f t="shared" si="21"/>
        <v>19577800</v>
      </c>
      <c r="AC36" s="23">
        <f t="shared" si="21"/>
        <v>27581537</v>
      </c>
      <c r="AD36" s="23">
        <f t="shared" si="21"/>
        <v>33403201</v>
      </c>
      <c r="AE36" s="23">
        <f t="shared" si="21"/>
        <v>228425254</v>
      </c>
    </row>
    <row r="37" spans="2:31">
      <c r="B37" s="25" t="s">
        <v>118</v>
      </c>
      <c r="D37" s="23">
        <f t="shared" ref="D37:P37" si="22">SUM(D13,D18)</f>
        <v>8547780</v>
      </c>
      <c r="E37" s="23">
        <f t="shared" si="22"/>
        <v>8507575</v>
      </c>
      <c r="F37" s="23">
        <f t="shared" si="22"/>
        <v>7796971</v>
      </c>
      <c r="G37" s="23">
        <f t="shared" si="22"/>
        <v>6587495</v>
      </c>
      <c r="H37" s="23">
        <f t="shared" si="22"/>
        <v>5605520</v>
      </c>
      <c r="I37" s="23">
        <f t="shared" si="22"/>
        <v>5079909</v>
      </c>
      <c r="J37" s="23">
        <f t="shared" si="22"/>
        <v>4290466</v>
      </c>
      <c r="K37" s="23">
        <f t="shared" si="22"/>
        <v>4543098</v>
      </c>
      <c r="L37" s="23">
        <f t="shared" si="22"/>
        <v>5290987</v>
      </c>
      <c r="M37" s="23">
        <f t="shared" si="22"/>
        <v>7093101</v>
      </c>
      <c r="N37" s="23">
        <f t="shared" si="22"/>
        <v>9056023</v>
      </c>
      <c r="O37" s="23">
        <f t="shared" si="22"/>
        <v>9687933</v>
      </c>
      <c r="P37" s="23">
        <f t="shared" si="22"/>
        <v>82086858</v>
      </c>
      <c r="Q37" s="25" t="s">
        <v>118</v>
      </c>
      <c r="S37" s="23">
        <f t="shared" ref="S37:AE37" si="23">SUM(S13,S18)</f>
        <v>8554500</v>
      </c>
      <c r="T37" s="23">
        <f t="shared" si="23"/>
        <v>8505977</v>
      </c>
      <c r="U37" s="23">
        <f t="shared" si="23"/>
        <v>7766903</v>
      </c>
      <c r="V37" s="23">
        <f t="shared" si="23"/>
        <v>6551469</v>
      </c>
      <c r="W37" s="23">
        <f t="shared" si="23"/>
        <v>5600222</v>
      </c>
      <c r="X37" s="23">
        <f t="shared" si="23"/>
        <v>5054383</v>
      </c>
      <c r="Y37" s="23">
        <f t="shared" si="23"/>
        <v>4266056</v>
      </c>
      <c r="Z37" s="23">
        <f t="shared" si="23"/>
        <v>4511561</v>
      </c>
      <c r="AA37" s="23">
        <f t="shared" si="23"/>
        <v>5257160</v>
      </c>
      <c r="AB37" s="23">
        <f t="shared" si="23"/>
        <v>6989112</v>
      </c>
      <c r="AC37" s="23">
        <f t="shared" si="23"/>
        <v>8970202</v>
      </c>
      <c r="AD37" s="23">
        <f t="shared" si="23"/>
        <v>9599873</v>
      </c>
      <c r="AE37" s="23">
        <f t="shared" si="23"/>
        <v>81627418</v>
      </c>
    </row>
    <row r="38" spans="2:31">
      <c r="B38" s="58" t="s">
        <v>121</v>
      </c>
      <c r="D38" s="23">
        <f t="shared" ref="D38:P38" si="24">SUM(D14,D19)</f>
        <v>6356618</v>
      </c>
      <c r="E38" s="23">
        <f t="shared" si="24"/>
        <v>7326242</v>
      </c>
      <c r="F38" s="23">
        <f t="shared" si="24"/>
        <v>6460519</v>
      </c>
      <c r="G38" s="23">
        <f t="shared" si="24"/>
        <v>6886200</v>
      </c>
      <c r="H38" s="23">
        <f t="shared" si="24"/>
        <v>7177584</v>
      </c>
      <c r="I38" s="23">
        <f t="shared" si="24"/>
        <v>6564211</v>
      </c>
      <c r="J38" s="23">
        <f t="shared" si="24"/>
        <v>6139188</v>
      </c>
      <c r="K38" s="23">
        <f t="shared" si="24"/>
        <v>6136334</v>
      </c>
      <c r="L38" s="23">
        <f t="shared" si="24"/>
        <v>6523777</v>
      </c>
      <c r="M38" s="23">
        <f t="shared" si="24"/>
        <v>5748146</v>
      </c>
      <c r="N38" s="23">
        <f t="shared" si="24"/>
        <v>6908222</v>
      </c>
      <c r="O38" s="23">
        <f t="shared" si="24"/>
        <v>7185622</v>
      </c>
      <c r="P38" s="23">
        <f t="shared" si="24"/>
        <v>79412663</v>
      </c>
      <c r="Q38" s="58" t="s">
        <v>121</v>
      </c>
      <c r="S38" s="23">
        <f t="shared" ref="S38:AE38" si="25">SUM(S14,S19)</f>
        <v>6254481</v>
      </c>
      <c r="T38" s="23">
        <f t="shared" si="25"/>
        <v>7269949</v>
      </c>
      <c r="U38" s="23">
        <f t="shared" si="25"/>
        <v>6350045</v>
      </c>
      <c r="V38" s="23">
        <f t="shared" si="25"/>
        <v>6796885</v>
      </c>
      <c r="W38" s="23">
        <f t="shared" si="25"/>
        <v>7316194</v>
      </c>
      <c r="X38" s="23">
        <f t="shared" si="25"/>
        <v>6478417</v>
      </c>
      <c r="Y38" s="23">
        <f t="shared" si="25"/>
        <v>6050380</v>
      </c>
      <c r="Z38" s="23">
        <f t="shared" si="25"/>
        <v>6023117</v>
      </c>
      <c r="AA38" s="23">
        <f t="shared" si="25"/>
        <v>6452682</v>
      </c>
      <c r="AB38" s="23">
        <f t="shared" si="25"/>
        <v>5382399</v>
      </c>
      <c r="AC38" s="23">
        <f t="shared" si="25"/>
        <v>6813187</v>
      </c>
      <c r="AD38" s="23">
        <f t="shared" si="25"/>
        <v>7000308</v>
      </c>
      <c r="AE38" s="23">
        <f t="shared" si="25"/>
        <v>78188044</v>
      </c>
    </row>
    <row r="39" spans="2:31">
      <c r="B39" s="25" t="s">
        <v>119</v>
      </c>
      <c r="D39" s="23">
        <f t="shared" ref="D39:P39" si="26">SUM(D15,D20)</f>
        <v>765555</v>
      </c>
      <c r="E39" s="23">
        <f t="shared" si="26"/>
        <v>773655</v>
      </c>
      <c r="F39" s="23">
        <f t="shared" si="26"/>
        <v>736706</v>
      </c>
      <c r="G39" s="23">
        <f t="shared" si="26"/>
        <v>562547</v>
      </c>
      <c r="H39" s="23">
        <f t="shared" si="26"/>
        <v>480884</v>
      </c>
      <c r="I39" s="23">
        <f t="shared" si="26"/>
        <v>318330</v>
      </c>
      <c r="J39" s="23">
        <f t="shared" si="26"/>
        <v>184365</v>
      </c>
      <c r="K39" s="23">
        <f t="shared" si="26"/>
        <v>97481</v>
      </c>
      <c r="L39" s="23">
        <f t="shared" si="26"/>
        <v>139785</v>
      </c>
      <c r="M39" s="23">
        <f t="shared" si="26"/>
        <v>345961</v>
      </c>
      <c r="N39" s="23">
        <f t="shared" si="26"/>
        <v>590350</v>
      </c>
      <c r="O39" s="23">
        <f t="shared" si="26"/>
        <v>865427</v>
      </c>
      <c r="P39" s="23">
        <f t="shared" si="26"/>
        <v>5861046</v>
      </c>
      <c r="Q39" s="25" t="s">
        <v>119</v>
      </c>
      <c r="S39" s="23">
        <f t="shared" ref="S39:AE39" si="27">SUM(S15,S20)</f>
        <v>746376</v>
      </c>
      <c r="T39" s="23">
        <f t="shared" si="27"/>
        <v>754562</v>
      </c>
      <c r="U39" s="23">
        <f t="shared" si="27"/>
        <v>716484</v>
      </c>
      <c r="V39" s="23">
        <f t="shared" si="27"/>
        <v>547149</v>
      </c>
      <c r="W39" s="23">
        <f t="shared" si="27"/>
        <v>469865</v>
      </c>
      <c r="X39" s="23">
        <f t="shared" si="27"/>
        <v>309608</v>
      </c>
      <c r="Y39" s="23">
        <f t="shared" si="27"/>
        <v>179021</v>
      </c>
      <c r="Z39" s="23">
        <f t="shared" si="27"/>
        <v>93992</v>
      </c>
      <c r="AA39" s="23">
        <f t="shared" si="27"/>
        <v>135889</v>
      </c>
      <c r="AB39" s="23">
        <f t="shared" si="27"/>
        <v>332656</v>
      </c>
      <c r="AC39" s="23">
        <f t="shared" si="27"/>
        <v>573300</v>
      </c>
      <c r="AD39" s="23">
        <f t="shared" si="27"/>
        <v>838809</v>
      </c>
      <c r="AE39" s="23">
        <f t="shared" si="27"/>
        <v>5697711</v>
      </c>
    </row>
    <row r="40" spans="2:31">
      <c r="B40" s="25" t="s">
        <v>120</v>
      </c>
      <c r="D40" s="23">
        <f>SUM(D16,D21)</f>
        <v>6554796.2599999998</v>
      </c>
      <c r="E40" s="23">
        <f t="shared" ref="E40:P41" si="28">SUM(E16,E21)</f>
        <v>8017361.5499999998</v>
      </c>
      <c r="F40" s="23">
        <f t="shared" si="28"/>
        <v>6431541.75</v>
      </c>
      <c r="G40" s="23">
        <f t="shared" si="28"/>
        <v>6480595.6500000004</v>
      </c>
      <c r="H40" s="23">
        <f t="shared" si="28"/>
        <v>7403027.3200000003</v>
      </c>
      <c r="I40" s="23">
        <f t="shared" si="28"/>
        <v>7448654.9299999997</v>
      </c>
      <c r="J40" s="23">
        <f t="shared" si="28"/>
        <v>7150316.4299999997</v>
      </c>
      <c r="K40" s="23">
        <f t="shared" si="28"/>
        <v>7152911.5600000005</v>
      </c>
      <c r="L40" s="23">
        <f t="shared" si="28"/>
        <v>7632807.6699999999</v>
      </c>
      <c r="M40" s="23">
        <f t="shared" si="28"/>
        <v>6199671.8700000001</v>
      </c>
      <c r="N40" s="23">
        <f t="shared" si="28"/>
        <v>5907150.7300000004</v>
      </c>
      <c r="O40" s="23">
        <f t="shared" si="28"/>
        <v>10322808</v>
      </c>
      <c r="P40" s="23">
        <f t="shared" si="28"/>
        <v>86701643.719999999</v>
      </c>
      <c r="Q40" s="25" t="s">
        <v>120</v>
      </c>
      <c r="S40" s="23">
        <f t="shared" ref="S40:AE40" si="29">SUM(S16,S21)</f>
        <v>6417445.2599999998</v>
      </c>
      <c r="T40" s="23">
        <f t="shared" si="29"/>
        <v>7949932.5499999998</v>
      </c>
      <c r="U40" s="23">
        <f t="shared" si="29"/>
        <v>6283604.75</v>
      </c>
      <c r="V40" s="23">
        <f t="shared" si="29"/>
        <v>6373154.6500000004</v>
      </c>
      <c r="W40" s="23">
        <f t="shared" si="29"/>
        <v>7660405.3200000003</v>
      </c>
      <c r="X40" s="23">
        <f t="shared" si="29"/>
        <v>7347381.9299999997</v>
      </c>
      <c r="Y40" s="23">
        <f t="shared" si="29"/>
        <v>7031845.4299999997</v>
      </c>
      <c r="Z40" s="23">
        <f t="shared" si="29"/>
        <v>6995977.5600000005</v>
      </c>
      <c r="AA40" s="23">
        <f t="shared" si="29"/>
        <v>7545477.6699999999</v>
      </c>
      <c r="AB40" s="23">
        <f t="shared" si="29"/>
        <v>5669558.870000001</v>
      </c>
      <c r="AC40" s="23">
        <f t="shared" si="29"/>
        <v>5778393.7300000004</v>
      </c>
      <c r="AD40" s="23">
        <f t="shared" si="29"/>
        <v>10038620</v>
      </c>
      <c r="AE40" s="23">
        <f t="shared" si="29"/>
        <v>85091797.720000014</v>
      </c>
    </row>
    <row r="41" spans="2:31">
      <c r="B41" s="25" t="s">
        <v>355</v>
      </c>
      <c r="D41" s="23">
        <f>D22</f>
        <v>2224930</v>
      </c>
      <c r="E41" s="23">
        <f t="shared" ref="E41:O41" si="30">E22</f>
        <v>2009615</v>
      </c>
      <c r="F41" s="23">
        <f t="shared" si="30"/>
        <v>2224930</v>
      </c>
      <c r="G41" s="23">
        <f t="shared" si="30"/>
        <v>2153159</v>
      </c>
      <c r="H41" s="23">
        <f t="shared" si="30"/>
        <v>2224930</v>
      </c>
      <c r="I41" s="23">
        <f t="shared" si="30"/>
        <v>4721469</v>
      </c>
      <c r="J41" s="23">
        <f t="shared" si="30"/>
        <v>4878851</v>
      </c>
      <c r="K41" s="23">
        <f t="shared" si="30"/>
        <v>4878851</v>
      </c>
      <c r="L41" s="23">
        <f t="shared" si="30"/>
        <v>4721469</v>
      </c>
      <c r="M41" s="23">
        <f t="shared" si="30"/>
        <v>4878851</v>
      </c>
      <c r="N41" s="23">
        <f t="shared" si="30"/>
        <v>2153159</v>
      </c>
      <c r="O41" s="23">
        <f t="shared" si="30"/>
        <v>2224930</v>
      </c>
      <c r="P41" s="23">
        <f t="shared" si="28"/>
        <v>39295144</v>
      </c>
      <c r="Q41" s="25" t="s">
        <v>355</v>
      </c>
      <c r="S41" s="23">
        <f t="shared" ref="S41:AD41" si="31">S22</f>
        <v>2927060</v>
      </c>
      <c r="T41" s="23">
        <f t="shared" si="31"/>
        <v>2643796</v>
      </c>
      <c r="U41" s="23">
        <f t="shared" si="31"/>
        <v>2927060</v>
      </c>
      <c r="V41" s="23">
        <f t="shared" si="31"/>
        <v>2832639</v>
      </c>
      <c r="W41" s="23">
        <f t="shared" si="31"/>
        <v>2927060</v>
      </c>
      <c r="X41" s="23">
        <f t="shared" si="31"/>
        <v>6211440</v>
      </c>
      <c r="Y41" s="23">
        <f t="shared" si="31"/>
        <v>6418488</v>
      </c>
      <c r="Z41" s="23">
        <f t="shared" si="31"/>
        <v>6418488</v>
      </c>
      <c r="AA41" s="23">
        <f t="shared" si="31"/>
        <v>6211440</v>
      </c>
      <c r="AB41" s="23">
        <f t="shared" si="31"/>
        <v>6418488</v>
      </c>
      <c r="AC41" s="23">
        <f t="shared" si="31"/>
        <v>2832639</v>
      </c>
      <c r="AD41" s="23">
        <f t="shared" si="31"/>
        <v>2927060</v>
      </c>
      <c r="AE41" s="23">
        <f>SUM(AE17,AE22)</f>
        <v>51695658</v>
      </c>
    </row>
    <row r="42" spans="2:31">
      <c r="B42" s="58" t="s">
        <v>13</v>
      </c>
      <c r="D42" s="23">
        <f>D23</f>
        <v>3272269</v>
      </c>
      <c r="E42" s="23">
        <f t="shared" ref="E42:P42" si="32">E23</f>
        <v>4075429</v>
      </c>
      <c r="F42" s="23">
        <f t="shared" si="32"/>
        <v>2843106</v>
      </c>
      <c r="G42" s="23">
        <f t="shared" si="32"/>
        <v>2786749</v>
      </c>
      <c r="H42" s="23">
        <f t="shared" si="32"/>
        <v>2564761</v>
      </c>
      <c r="I42" s="23">
        <f t="shared" si="32"/>
        <v>1973750</v>
      </c>
      <c r="J42" s="23">
        <f t="shared" si="32"/>
        <v>1737264</v>
      </c>
      <c r="K42" s="23">
        <f t="shared" si="32"/>
        <v>1579101</v>
      </c>
      <c r="L42" s="23">
        <f t="shared" si="32"/>
        <v>1952947</v>
      </c>
      <c r="M42" s="23">
        <f t="shared" si="32"/>
        <v>1971061</v>
      </c>
      <c r="N42" s="23">
        <f t="shared" si="32"/>
        <v>3395737</v>
      </c>
      <c r="O42" s="23">
        <f t="shared" si="32"/>
        <v>3878213</v>
      </c>
      <c r="P42" s="23">
        <f t="shared" si="32"/>
        <v>32030387</v>
      </c>
      <c r="Q42" s="58" t="s">
        <v>13</v>
      </c>
      <c r="S42" s="23">
        <f t="shared" ref="S42:AD42" si="33">S23</f>
        <v>3226698</v>
      </c>
      <c r="T42" s="23">
        <f t="shared" si="33"/>
        <v>4078744</v>
      </c>
      <c r="U42" s="23">
        <f t="shared" si="33"/>
        <v>2803802</v>
      </c>
      <c r="V42" s="23">
        <f t="shared" si="33"/>
        <v>2768625</v>
      </c>
      <c r="W42" s="23">
        <f t="shared" si="33"/>
        <v>2679447</v>
      </c>
      <c r="X42" s="23">
        <f t="shared" si="33"/>
        <v>1962103</v>
      </c>
      <c r="Y42" s="23">
        <f t="shared" si="33"/>
        <v>1722459</v>
      </c>
      <c r="Z42" s="23">
        <f t="shared" si="33"/>
        <v>1555276</v>
      </c>
      <c r="AA42" s="23">
        <f t="shared" si="33"/>
        <v>1945963</v>
      </c>
      <c r="AB42" s="23">
        <f t="shared" si="33"/>
        <v>1783866</v>
      </c>
      <c r="AC42" s="23">
        <f t="shared" si="33"/>
        <v>3371179</v>
      </c>
      <c r="AD42" s="23">
        <f t="shared" si="33"/>
        <v>3764886</v>
      </c>
      <c r="AE42" s="23">
        <f>AE23</f>
        <v>31663048</v>
      </c>
    </row>
    <row r="43" spans="2:31">
      <c r="B43" s="27" t="s">
        <v>70</v>
      </c>
      <c r="D43" s="28">
        <f>SUM(D35:D42)-D24</f>
        <v>0</v>
      </c>
      <c r="E43" s="28">
        <f t="shared" ref="E43:P43" si="34">SUM(E35:E42)-E24</f>
        <v>0</v>
      </c>
      <c r="F43" s="28">
        <f t="shared" si="34"/>
        <v>0</v>
      </c>
      <c r="G43" s="28">
        <f t="shared" si="34"/>
        <v>0</v>
      </c>
      <c r="H43" s="28">
        <f t="shared" si="34"/>
        <v>0</v>
      </c>
      <c r="I43" s="28">
        <f t="shared" si="34"/>
        <v>0</v>
      </c>
      <c r="J43" s="28">
        <f t="shared" si="34"/>
        <v>0</v>
      </c>
      <c r="K43" s="28">
        <f t="shared" si="34"/>
        <v>0</v>
      </c>
      <c r="L43" s="28">
        <f t="shared" si="34"/>
        <v>0</v>
      </c>
      <c r="M43" s="28">
        <f t="shared" si="34"/>
        <v>0</v>
      </c>
      <c r="N43" s="28">
        <f t="shared" si="34"/>
        <v>0</v>
      </c>
      <c r="O43" s="28">
        <f t="shared" si="34"/>
        <v>0</v>
      </c>
      <c r="P43" s="28">
        <f t="shared" si="34"/>
        <v>0</v>
      </c>
      <c r="Q43" s="27" t="s">
        <v>70</v>
      </c>
      <c r="S43" s="28">
        <f t="shared" ref="S43:AE43" si="35">SUM(S35:S42)-S24</f>
        <v>0</v>
      </c>
      <c r="T43" s="28">
        <f t="shared" si="35"/>
        <v>0</v>
      </c>
      <c r="U43" s="28">
        <f t="shared" si="35"/>
        <v>0</v>
      </c>
      <c r="V43" s="28">
        <f t="shared" si="35"/>
        <v>0</v>
      </c>
      <c r="W43" s="28">
        <f t="shared" si="35"/>
        <v>0</v>
      </c>
      <c r="X43" s="28">
        <f t="shared" si="35"/>
        <v>0</v>
      </c>
      <c r="Y43" s="28">
        <f t="shared" si="35"/>
        <v>0</v>
      </c>
      <c r="Z43" s="28">
        <f t="shared" si="35"/>
        <v>0</v>
      </c>
      <c r="AA43" s="28">
        <f t="shared" si="35"/>
        <v>0</v>
      </c>
      <c r="AB43" s="28">
        <f t="shared" si="35"/>
        <v>0</v>
      </c>
      <c r="AC43" s="28">
        <f t="shared" si="35"/>
        <v>0</v>
      </c>
      <c r="AD43" s="28">
        <f t="shared" si="35"/>
        <v>0</v>
      </c>
      <c r="AE43" s="28">
        <f t="shared" si="35"/>
        <v>0</v>
      </c>
    </row>
  </sheetData>
  <mergeCells count="6">
    <mergeCell ref="B1:P1"/>
    <mergeCell ref="B2:P2"/>
    <mergeCell ref="B3:P3"/>
    <mergeCell ref="Q1:AE1"/>
    <mergeCell ref="Q2:AE2"/>
    <mergeCell ref="Q3:AE3"/>
  </mergeCells>
  <printOptions horizontalCentered="1"/>
  <pageMargins left="0.7" right="0.7" top="0.75" bottom="0.75" header="0.3" footer="0.3"/>
  <pageSetup scale="62" fitToWidth="2" orientation="landscape" blackAndWhite="1" r:id="rId1"/>
  <headerFooter>
    <oddFooter>&amp;L&amp;F 
&amp;A&amp;C&amp;P&amp;R&amp;D</oddFooter>
  </headerFooter>
  <colBreaks count="1" manualBreakCount="1">
    <brk id="16" max="1048575" man="1"/>
  </colBreaks>
  <customProperties>
    <customPr name="_pios_id" r:id="rId2"/>
  </customPropertie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P80"/>
  <sheetViews>
    <sheetView zoomScale="90" zoomScaleNormal="90" workbookViewId="0">
      <pane ySplit="5" topLeftCell="A27" activePane="bottomLeft" state="frozen"/>
      <selection activeCell="M40" sqref="M40"/>
      <selection pane="bottomLeft" activeCell="M40" sqref="M40"/>
    </sheetView>
  </sheetViews>
  <sheetFormatPr defaultColWidth="9.140625" defaultRowHeight="12.75"/>
  <cols>
    <col min="1" max="1" width="32.7109375" style="62" bestFit="1" customWidth="1"/>
    <col min="2" max="6" width="10.28515625" style="62" bestFit="1" customWidth="1"/>
    <col min="7" max="7" width="11.28515625" style="62" bestFit="1" customWidth="1"/>
    <col min="8" max="9" width="10.28515625" style="62" bestFit="1" customWidth="1"/>
    <col min="10" max="10" width="11.28515625" style="62" bestFit="1" customWidth="1"/>
    <col min="11" max="13" width="10.28515625" style="62" bestFit="1" customWidth="1"/>
    <col min="14" max="14" width="10.28515625" style="62" customWidth="1"/>
    <col min="15" max="16384" width="9.140625" style="62"/>
  </cols>
  <sheetData>
    <row r="1" spans="1:42">
      <c r="A1" s="62" t="s">
        <v>0</v>
      </c>
    </row>
    <row r="2" spans="1:42">
      <c r="A2" s="62" t="s">
        <v>208</v>
      </c>
    </row>
    <row r="3" spans="1:42">
      <c r="A3" s="62" t="s">
        <v>211</v>
      </c>
    </row>
    <row r="5" spans="1:42">
      <c r="A5" s="51" t="s">
        <v>76</v>
      </c>
      <c r="B5" s="150">
        <v>45658</v>
      </c>
      <c r="C5" s="150">
        <f>EDATE(B5,1)</f>
        <v>45689</v>
      </c>
      <c r="D5" s="150">
        <f t="shared" ref="D5:M5" si="0">EDATE(C5,1)</f>
        <v>45717</v>
      </c>
      <c r="E5" s="150">
        <f t="shared" si="0"/>
        <v>45748</v>
      </c>
      <c r="F5" s="150">
        <f t="shared" si="0"/>
        <v>45778</v>
      </c>
      <c r="G5" s="150">
        <f t="shared" si="0"/>
        <v>45809</v>
      </c>
      <c r="H5" s="150">
        <f t="shared" si="0"/>
        <v>45839</v>
      </c>
      <c r="I5" s="150">
        <f t="shared" si="0"/>
        <v>45870</v>
      </c>
      <c r="J5" s="150">
        <f t="shared" si="0"/>
        <v>45901</v>
      </c>
      <c r="K5" s="150">
        <f t="shared" si="0"/>
        <v>45931</v>
      </c>
      <c r="L5" s="150">
        <f t="shared" si="0"/>
        <v>45962</v>
      </c>
      <c r="M5" s="150">
        <f t="shared" si="0"/>
        <v>45992</v>
      </c>
      <c r="N5" s="63" t="s">
        <v>6</v>
      </c>
    </row>
    <row r="6" spans="1:42">
      <c r="A6" s="31" t="s">
        <v>84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42">
      <c r="A7" s="30" t="s">
        <v>83</v>
      </c>
      <c r="B7" s="154">
        <f>'RY#1 Therms by Block'!B7/'RY#1 Therms by Block'!B$10</f>
        <v>0.18850838378384632</v>
      </c>
      <c r="C7" s="154">
        <f>'RY#1 Therms by Block'!C7/'RY#1 Therms by Block'!C$10</f>
        <v>0.18773167743650646</v>
      </c>
      <c r="D7" s="154">
        <f>'RY#1 Therms by Block'!D7/'RY#1 Therms by Block'!D$10</f>
        <v>0.18659225924106618</v>
      </c>
      <c r="E7" s="154">
        <f>'RY#1 Therms by Block'!E7/'RY#1 Therms by Block'!E$10</f>
        <v>0.18318009074922728</v>
      </c>
      <c r="F7" s="154">
        <f>'RY#1 Therms by Block'!F7/'RY#1 Therms by Block'!F$10</f>
        <v>0.18225162308386381</v>
      </c>
      <c r="G7" s="154">
        <f>'RY#1 Therms by Block'!G7/'RY#1 Therms by Block'!G$10</f>
        <v>0.17934108532607668</v>
      </c>
      <c r="H7" s="154">
        <f>'RY#1 Therms by Block'!H7/'RY#1 Therms by Block'!H$10</f>
        <v>0.17720259343763758</v>
      </c>
      <c r="I7" s="154">
        <f>'RY#1 Therms by Block'!I7/'RY#1 Therms by Block'!I$10</f>
        <v>0.17591905943187156</v>
      </c>
      <c r="J7" s="154">
        <f>'RY#1 Therms by Block'!J7/'RY#1 Therms by Block'!J$10</f>
        <v>0.17500386003325302</v>
      </c>
      <c r="K7" s="154">
        <f>'RY#1 Therms by Block'!K7/'RY#1 Therms by Block'!K$10</f>
        <v>0.18678730761953666</v>
      </c>
      <c r="L7" s="154">
        <f>'RY#1 Therms by Block'!L7/'RY#1 Therms by Block'!L$10</f>
        <v>0.18689312453716847</v>
      </c>
      <c r="M7" s="154">
        <f>'RY#1 Therms by Block'!M7/'RY#1 Therms by Block'!M$10</f>
        <v>0.18782745566486647</v>
      </c>
      <c r="N7" s="154">
        <f>'RY#1 Therms by Block'!N7/'RY#1 Therms by Block'!N$10</f>
        <v>0.18465548550801431</v>
      </c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>
      <c r="A8" s="30" t="s">
        <v>78</v>
      </c>
      <c r="B8" s="154">
        <f>'RY#1 Therms by Block'!B8/'RY#1 Therms by Block'!B$10</f>
        <v>0.45773408233490925</v>
      </c>
      <c r="C8" s="154">
        <f>'RY#1 Therms by Block'!C8/'RY#1 Therms by Block'!C$10</f>
        <v>0.45646354899342384</v>
      </c>
      <c r="D8" s="154">
        <f>'RY#1 Therms by Block'!D8/'RY#1 Therms by Block'!D$10</f>
        <v>0.45459969296577563</v>
      </c>
      <c r="E8" s="154">
        <f>'RY#1 Therms by Block'!E8/'RY#1 Therms by Block'!E$10</f>
        <v>0.44901808049344921</v>
      </c>
      <c r="F8" s="154">
        <f>'RY#1 Therms by Block'!F8/'RY#1 Therms by Block'!F$10</f>
        <v>0.44749929655486598</v>
      </c>
      <c r="G8" s="154">
        <f>'RY#1 Therms by Block'!G8/'RY#1 Therms by Block'!G$10</f>
        <v>0.44273824976339099</v>
      </c>
      <c r="H8" s="154">
        <f>'RY#1 Therms by Block'!H8/'RY#1 Therms by Block'!H$10</f>
        <v>0.43924011272091218</v>
      </c>
      <c r="I8" s="154">
        <f>'RY#1 Therms by Block'!I8/'RY#1 Therms by Block'!I$10</f>
        <v>0.43714051258909753</v>
      </c>
      <c r="J8" s="154">
        <f>'RY#1 Therms by Block'!J8/'RY#1 Therms by Block'!J$10</f>
        <v>0.43564343283169032</v>
      </c>
      <c r="K8" s="154">
        <f>'RY#1 Therms by Block'!K8/'RY#1 Therms by Block'!K$10</f>
        <v>0.45491875237464763</v>
      </c>
      <c r="L8" s="154">
        <f>'RY#1 Therms by Block'!L8/'RY#1 Therms by Block'!L$10</f>
        <v>0.45509184729321611</v>
      </c>
      <c r="M8" s="154">
        <f>'RY#1 Therms by Block'!M8/'RY#1 Therms by Block'!M$10</f>
        <v>0.45662022266158242</v>
      </c>
      <c r="N8" s="154">
        <f>'RY#1 Therms by Block'!N8/'RY#1 Therms by Block'!N$10</f>
        <v>0.45143152572833345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>
      <c r="A9" s="30" t="s">
        <v>79</v>
      </c>
      <c r="B9" s="154">
        <f>'RY#1 Therms by Block'!B9/'RY#1 Therms by Block'!B$10</f>
        <v>0.35375753388124431</v>
      </c>
      <c r="C9" s="154">
        <f>'RY#1 Therms by Block'!C9/'RY#1 Therms by Block'!C$10</f>
        <v>0.35580477357006962</v>
      </c>
      <c r="D9" s="154">
        <f>'RY#1 Therms by Block'!D9/'RY#1 Therms by Block'!D$10</f>
        <v>0.35880804779315817</v>
      </c>
      <c r="E9" s="154">
        <f>'RY#1 Therms by Block'!E9/'RY#1 Therms by Block'!E$10</f>
        <v>0.36780182875732348</v>
      </c>
      <c r="F9" s="154">
        <f>'RY#1 Therms by Block'!F9/'RY#1 Therms by Block'!F$10</f>
        <v>0.37024908036127019</v>
      </c>
      <c r="G9" s="154">
        <f>'RY#1 Therms by Block'!G9/'RY#1 Therms by Block'!G$10</f>
        <v>0.37792066491053228</v>
      </c>
      <c r="H9" s="154">
        <f>'RY#1 Therms by Block'!H9/'RY#1 Therms by Block'!H$10</f>
        <v>0.38355729384145015</v>
      </c>
      <c r="I9" s="154">
        <f>'RY#1 Therms by Block'!I9/'RY#1 Therms by Block'!I$10</f>
        <v>0.38694042797903083</v>
      </c>
      <c r="J9" s="154">
        <f>'RY#1 Therms by Block'!J9/'RY#1 Therms by Block'!J$10</f>
        <v>0.3893527071350566</v>
      </c>
      <c r="K9" s="154">
        <f>'RY#1 Therms by Block'!K9/'RY#1 Therms by Block'!K$10</f>
        <v>0.35829394000581566</v>
      </c>
      <c r="L9" s="154">
        <f>'RY#1 Therms by Block'!L9/'RY#1 Therms by Block'!L$10</f>
        <v>0.3580150281696155</v>
      </c>
      <c r="M9" s="154">
        <f>'RY#1 Therms by Block'!M9/'RY#1 Therms by Block'!M$10</f>
        <v>0.35555232167355116</v>
      </c>
      <c r="N9" s="154">
        <f>'RY#1 Therms by Block'!N9/'RY#1 Therms by Block'!N$10</f>
        <v>0.36391298876365219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>
      <c r="A10" s="30" t="s">
        <v>6</v>
      </c>
      <c r="B10" s="155">
        <f>SUM(B7:B9)</f>
        <v>0.99999999999999989</v>
      </c>
      <c r="C10" s="155">
        <f t="shared" ref="C10:N10" si="1">SUM(C7:C9)</f>
        <v>1</v>
      </c>
      <c r="D10" s="155">
        <f t="shared" si="1"/>
        <v>1</v>
      </c>
      <c r="E10" s="155">
        <f t="shared" si="1"/>
        <v>1</v>
      </c>
      <c r="F10" s="155">
        <f t="shared" si="1"/>
        <v>1</v>
      </c>
      <c r="G10" s="155">
        <f t="shared" si="1"/>
        <v>1</v>
      </c>
      <c r="H10" s="155">
        <f t="shared" si="1"/>
        <v>1</v>
      </c>
      <c r="I10" s="155">
        <f t="shared" si="1"/>
        <v>0.99999999999999989</v>
      </c>
      <c r="J10" s="155">
        <f t="shared" si="1"/>
        <v>1</v>
      </c>
      <c r="K10" s="155">
        <f t="shared" si="1"/>
        <v>1</v>
      </c>
      <c r="L10" s="155">
        <f t="shared" si="1"/>
        <v>1</v>
      </c>
      <c r="M10" s="155">
        <f t="shared" si="1"/>
        <v>1</v>
      </c>
      <c r="N10" s="155">
        <f t="shared" si="1"/>
        <v>0.99999999999999989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>
      <c r="A11" s="30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>
      <c r="A12" s="31" t="s">
        <v>35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>
      <c r="A13" s="30" t="s">
        <v>77</v>
      </c>
      <c r="B13" s="154">
        <f>'RY#1 Therms by Block'!B13/'RY#1 Therms by Block'!B$16</f>
        <v>4.8749952185866745E-2</v>
      </c>
      <c r="C13" s="154">
        <f>'RY#1 Therms by Block'!C13/'RY#1 Therms by Block'!C$16</f>
        <v>4.8916527549402414E-2</v>
      </c>
      <c r="D13" s="154">
        <f>'RY#1 Therms by Block'!D13/'RY#1 Therms by Block'!D$16</f>
        <v>4.934672103713246E-2</v>
      </c>
      <c r="E13" s="154">
        <f>'RY#1 Therms by Block'!E13/'RY#1 Therms by Block'!E$16</f>
        <v>4.8892299420327121E-2</v>
      </c>
      <c r="F13" s="154">
        <f>'RY#1 Therms by Block'!F13/'RY#1 Therms by Block'!F$16</f>
        <v>4.7676598014152513E-2</v>
      </c>
      <c r="G13" s="154">
        <f>'RY#1 Therms by Block'!G13/'RY#1 Therms by Block'!G$16</f>
        <v>4.8720072609355763E-2</v>
      </c>
      <c r="H13" s="154">
        <f>'RY#1 Therms by Block'!H13/'RY#1 Therms by Block'!H$16</f>
        <v>4.8404765481636129E-2</v>
      </c>
      <c r="I13" s="154">
        <f>'RY#1 Therms by Block'!I13/'RY#1 Therms by Block'!I$16</f>
        <v>4.8869774914719936E-2</v>
      </c>
      <c r="J13" s="154">
        <f>'RY#1 Therms by Block'!J13/'RY#1 Therms by Block'!J$16</f>
        <v>4.8758471950207175E-2</v>
      </c>
      <c r="K13" s="154">
        <f>'RY#1 Therms by Block'!K13/'RY#1 Therms by Block'!K$16</f>
        <v>4.9338286610383857E-2</v>
      </c>
      <c r="L13" s="154">
        <f>'RY#1 Therms by Block'!L13/'RY#1 Therms by Block'!L$16</f>
        <v>4.8959730879676346E-2</v>
      </c>
      <c r="M13" s="154">
        <f>'RY#1 Therms by Block'!M13/'RY#1 Therms by Block'!M$16</f>
        <v>4.9144719587826874E-2</v>
      </c>
      <c r="N13" s="154">
        <f>'RY#1 Therms by Block'!N13/'RY#1 Therms by Block'!N$16</f>
        <v>4.8807954803926065E-2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>
      <c r="A14" s="30" t="s">
        <v>78</v>
      </c>
      <c r="B14" s="154">
        <f>'RY#1 Therms by Block'!B14/'RY#1 Therms by Block'!B$16</f>
        <v>0.192647011837492</v>
      </c>
      <c r="C14" s="154">
        <f>'RY#1 Therms by Block'!C14/'RY#1 Therms by Block'!C$16</f>
        <v>0.19316978528432197</v>
      </c>
      <c r="D14" s="154">
        <f>'RY#1 Therms by Block'!D14/'RY#1 Therms by Block'!D$16</f>
        <v>0.19451988728987024</v>
      </c>
      <c r="E14" s="154">
        <f>'RY#1 Therms by Block'!E14/'RY#1 Therms by Block'!E$16</f>
        <v>0.19309374869476817</v>
      </c>
      <c r="F14" s="154">
        <f>'RY#1 Therms by Block'!F14/'RY#1 Therms by Block'!F$16</f>
        <v>0.18927844011051978</v>
      </c>
      <c r="G14" s="154">
        <f>'RY#1 Therms by Block'!G14/'RY#1 Therms by Block'!G$16</f>
        <v>0.1925532389717397</v>
      </c>
      <c r="H14" s="154">
        <f>'RY#1 Therms by Block'!H14/'RY#1 Therms by Block'!H$16</f>
        <v>0.19156369171535476</v>
      </c>
      <c r="I14" s="154">
        <f>'RY#1 Therms by Block'!I14/'RY#1 Therms by Block'!I$16</f>
        <v>0.19302305868884853</v>
      </c>
      <c r="J14" s="154">
        <f>'RY#1 Therms by Block'!J14/'RY#1 Therms by Block'!J$16</f>
        <v>0.19267374992454095</v>
      </c>
      <c r="K14" s="154">
        <f>'RY#1 Therms by Block'!K14/'RY#1 Therms by Block'!K$16</f>
        <v>0.19449341702290035</v>
      </c>
      <c r="L14" s="154">
        <f>'RY#1 Therms by Block'!L14/'RY#1 Therms by Block'!L$16</f>
        <v>0.19330537288504784</v>
      </c>
      <c r="M14" s="154">
        <f>'RY#1 Therms by Block'!M14/'RY#1 Therms by Block'!M$16</f>
        <v>0.19388593403485893</v>
      </c>
      <c r="N14" s="154">
        <f>'RY#1 Therms by Block'!N14/'RY#1 Therms by Block'!N$16</f>
        <v>0.1928290449300479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>
      <c r="A15" s="30" t="s">
        <v>79</v>
      </c>
      <c r="B15" s="154">
        <f>'RY#1 Therms by Block'!B15/'RY#1 Therms by Block'!B$16</f>
        <v>0.75860303597664114</v>
      </c>
      <c r="C15" s="154">
        <f>'RY#1 Therms by Block'!C15/'RY#1 Therms by Block'!C$16</f>
        <v>0.75791368716627561</v>
      </c>
      <c r="D15" s="154">
        <f>'RY#1 Therms by Block'!D15/'RY#1 Therms by Block'!D$16</f>
        <v>0.75613339167299731</v>
      </c>
      <c r="E15" s="154">
        <f>'RY#1 Therms by Block'!E15/'RY#1 Therms by Block'!E$16</f>
        <v>0.75801395188490472</v>
      </c>
      <c r="F15" s="154">
        <f>'RY#1 Therms by Block'!F15/'RY#1 Therms by Block'!F$16</f>
        <v>0.76304496187532767</v>
      </c>
      <c r="G15" s="154">
        <f>'RY#1 Therms by Block'!G15/'RY#1 Therms by Block'!G$16</f>
        <v>0.75872668841890456</v>
      </c>
      <c r="H15" s="154">
        <f>'RY#1 Therms by Block'!H15/'RY#1 Therms by Block'!H$16</f>
        <v>0.76003154280300911</v>
      </c>
      <c r="I15" s="154">
        <f>'RY#1 Therms by Block'!I15/'RY#1 Therms by Block'!I$16</f>
        <v>0.7581071663964315</v>
      </c>
      <c r="J15" s="154">
        <f>'RY#1 Therms by Block'!J15/'RY#1 Therms by Block'!J$16</f>
        <v>0.75856777812525189</v>
      </c>
      <c r="K15" s="154">
        <f>'RY#1 Therms by Block'!K15/'RY#1 Therms by Block'!K$16</f>
        <v>0.75616829636671579</v>
      </c>
      <c r="L15" s="154">
        <f>'RY#1 Therms by Block'!L15/'RY#1 Therms by Block'!L$16</f>
        <v>0.75773489623527579</v>
      </c>
      <c r="M15" s="154">
        <f>'RY#1 Therms by Block'!M15/'RY#1 Therms by Block'!M$16</f>
        <v>0.75696934637731417</v>
      </c>
      <c r="N15" s="154">
        <f>'RY#1 Therms by Block'!N15/'RY#1 Therms by Block'!N$16</f>
        <v>0.75836300026602599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>
      <c r="A16" s="30" t="s">
        <v>6</v>
      </c>
      <c r="B16" s="158">
        <f>SUM(B13:B15)</f>
        <v>0.99999999999999989</v>
      </c>
      <c r="C16" s="158">
        <f t="shared" ref="C16:N16" si="2">SUM(C13:C15)</f>
        <v>1</v>
      </c>
      <c r="D16" s="158">
        <f t="shared" si="2"/>
        <v>1</v>
      </c>
      <c r="E16" s="158">
        <f t="shared" si="2"/>
        <v>1</v>
      </c>
      <c r="F16" s="158">
        <f t="shared" si="2"/>
        <v>1</v>
      </c>
      <c r="G16" s="158">
        <f t="shared" si="2"/>
        <v>1</v>
      </c>
      <c r="H16" s="158">
        <f t="shared" si="2"/>
        <v>1</v>
      </c>
      <c r="I16" s="158">
        <f t="shared" si="2"/>
        <v>1</v>
      </c>
      <c r="J16" s="158">
        <f t="shared" si="2"/>
        <v>1</v>
      </c>
      <c r="K16" s="158">
        <f t="shared" si="2"/>
        <v>1</v>
      </c>
      <c r="L16" s="158">
        <f t="shared" si="2"/>
        <v>1</v>
      </c>
      <c r="M16" s="158">
        <f t="shared" si="2"/>
        <v>1</v>
      </c>
      <c r="N16" s="158">
        <f t="shared" si="2"/>
        <v>1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>
      <c r="A18" s="62" t="s">
        <v>85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>
      <c r="A19" s="30" t="s">
        <v>56</v>
      </c>
      <c r="B19" s="154">
        <f>'RY#1 Therms by Block'!B19/'RY#1 Therms by Block'!B$22</f>
        <v>0.40870467782457909</v>
      </c>
      <c r="C19" s="154">
        <f>'RY#1 Therms by Block'!C19/'RY#1 Therms by Block'!C$22</f>
        <v>0.40917004860833384</v>
      </c>
      <c r="D19" s="154">
        <f>'RY#1 Therms by Block'!D19/'RY#1 Therms by Block'!D$22</f>
        <v>0.40731724920556162</v>
      </c>
      <c r="E19" s="154">
        <f>'RY#1 Therms by Block'!E19/'RY#1 Therms by Block'!E$22</f>
        <v>0.40502251884819734</v>
      </c>
      <c r="F19" s="154">
        <f>'RY#1 Therms by Block'!F19/'RY#1 Therms by Block'!F$22</f>
        <v>0.40671281301975248</v>
      </c>
      <c r="G19" s="154">
        <f>'RY#1 Therms by Block'!G19/'RY#1 Therms by Block'!G$22</f>
        <v>0.40124331703310395</v>
      </c>
      <c r="H19" s="154">
        <f>'RY#1 Therms by Block'!H19/'RY#1 Therms by Block'!H$22</f>
        <v>0.40092537630523656</v>
      </c>
      <c r="I19" s="154">
        <f>'RY#1 Therms by Block'!I19/'RY#1 Therms by Block'!I$22</f>
        <v>0.40246814505497619</v>
      </c>
      <c r="J19" s="154">
        <f>'RY#1 Therms by Block'!J19/'RY#1 Therms by Block'!J$22</f>
        <v>0.40519529788858988</v>
      </c>
      <c r="K19" s="154">
        <f>'RY#1 Therms by Block'!K19/'RY#1 Therms by Block'!K$22</f>
        <v>0.40860719868996831</v>
      </c>
      <c r="L19" s="154">
        <f>'RY#1 Therms by Block'!L19/'RY#1 Therms by Block'!L$22</f>
        <v>0.4084627205818821</v>
      </c>
      <c r="M19" s="154">
        <f>'RY#1 Therms by Block'!M19/'RY#1 Therms by Block'!M$22</f>
        <v>0.40961467044761124</v>
      </c>
      <c r="N19" s="154">
        <f>'RY#1 Therms by Block'!N19/'RY#1 Therms by Block'!N$22</f>
        <v>0.40640634951647042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>
      <c r="A20" s="30" t="s">
        <v>57</v>
      </c>
      <c r="B20" s="154">
        <f>'RY#1 Therms by Block'!B20/'RY#1 Therms by Block'!B$22</f>
        <v>0.2372962603315773</v>
      </c>
      <c r="C20" s="154">
        <f>'RY#1 Therms by Block'!C20/'RY#1 Therms by Block'!C$22</f>
        <v>0.23769097512896606</v>
      </c>
      <c r="D20" s="154">
        <f>'RY#1 Therms by Block'!D20/'RY#1 Therms by Block'!D$22</f>
        <v>0.2361194812440971</v>
      </c>
      <c r="E20" s="154">
        <f>'RY#1 Therms by Block'!E20/'RY#1 Therms by Block'!E$22</f>
        <v>0.23417315358519064</v>
      </c>
      <c r="F20" s="154">
        <f>'RY#1 Therms by Block'!F20/'RY#1 Therms by Block'!F$22</f>
        <v>0.23560681496820604</v>
      </c>
      <c r="G20" s="154">
        <f>'RY#1 Therms by Block'!G20/'RY#1 Therms by Block'!G$22</f>
        <v>0.23096773775160459</v>
      </c>
      <c r="H20" s="154">
        <f>'RY#1 Therms by Block'!H20/'RY#1 Therms by Block'!H$22</f>
        <v>0.23069806910380236</v>
      </c>
      <c r="I20" s="154">
        <f>'RY#1 Therms by Block'!I20/'RY#1 Therms by Block'!I$22</f>
        <v>0.23200660345045374</v>
      </c>
      <c r="J20" s="154">
        <f>'RY#1 Therms by Block'!J20/'RY#1 Therms by Block'!J$22</f>
        <v>0.23431970005158312</v>
      </c>
      <c r="K20" s="154">
        <f>'RY#1 Therms by Block'!K20/'RY#1 Therms by Block'!K$22</f>
        <v>0.23721358119010419</v>
      </c>
      <c r="L20" s="154">
        <f>'RY#1 Therms by Block'!L20/'RY#1 Therms by Block'!L$22</f>
        <v>0.23709103880207488</v>
      </c>
      <c r="M20" s="154">
        <f>'RY#1 Therms by Block'!M20/'RY#1 Therms by Block'!M$22</f>
        <v>0.23806809123795128</v>
      </c>
      <c r="N20" s="154">
        <f>'RY#1 Therms by Block'!N20/'RY#1 Therms by Block'!N$22</f>
        <v>0.23534688098904849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>
      <c r="A21" s="30" t="s">
        <v>80</v>
      </c>
      <c r="B21" s="154">
        <f>'RY#1 Therms by Block'!B21/'RY#1 Therms by Block'!B$22</f>
        <v>0.35399906184384367</v>
      </c>
      <c r="C21" s="154">
        <f>'RY#1 Therms by Block'!C21/'RY#1 Therms by Block'!C$22</f>
        <v>0.35313897626270013</v>
      </c>
      <c r="D21" s="154">
        <f>'RY#1 Therms by Block'!D21/'RY#1 Therms by Block'!D$22</f>
        <v>0.35656326955034134</v>
      </c>
      <c r="E21" s="154">
        <f>'RY#1 Therms by Block'!E21/'RY#1 Therms by Block'!E$22</f>
        <v>0.36080432756661207</v>
      </c>
      <c r="F21" s="154">
        <f>'RY#1 Therms by Block'!F21/'RY#1 Therms by Block'!F$22</f>
        <v>0.3576803720120415</v>
      </c>
      <c r="G21" s="154">
        <f>'RY#1 Therms by Block'!G21/'RY#1 Therms by Block'!G$22</f>
        <v>0.36778894521529154</v>
      </c>
      <c r="H21" s="154">
        <f>'RY#1 Therms by Block'!H21/'RY#1 Therms by Block'!H$22</f>
        <v>0.36837655459096108</v>
      </c>
      <c r="I21" s="154">
        <f>'RY#1 Therms by Block'!I21/'RY#1 Therms by Block'!I$22</f>
        <v>0.3655252514945701</v>
      </c>
      <c r="J21" s="154">
        <f>'RY#1 Therms by Block'!J21/'RY#1 Therms by Block'!J$22</f>
        <v>0.36048500205982709</v>
      </c>
      <c r="K21" s="154">
        <f>'RY#1 Therms by Block'!K21/'RY#1 Therms by Block'!K$22</f>
        <v>0.35417922011992753</v>
      </c>
      <c r="L21" s="154">
        <f>'RY#1 Therms by Block'!L21/'RY#1 Therms by Block'!L$22</f>
        <v>0.35444624061604313</v>
      </c>
      <c r="M21" s="154">
        <f>'RY#1 Therms by Block'!M21/'RY#1 Therms by Block'!M$22</f>
        <v>0.35231723831443745</v>
      </c>
      <c r="N21" s="154">
        <f>'RY#1 Therms by Block'!N21/'RY#1 Therms by Block'!N$22</f>
        <v>0.35824676949448114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>
      <c r="A22" s="30" t="s">
        <v>6</v>
      </c>
      <c r="B22" s="158">
        <f>SUM(B19:B21)</f>
        <v>1</v>
      </c>
      <c r="C22" s="158">
        <f t="shared" ref="C22:N22" si="3">SUM(C19:C21)</f>
        <v>1</v>
      </c>
      <c r="D22" s="158">
        <f t="shared" si="3"/>
        <v>1</v>
      </c>
      <c r="E22" s="158">
        <f t="shared" si="3"/>
        <v>1</v>
      </c>
      <c r="F22" s="158">
        <f t="shared" si="3"/>
        <v>1</v>
      </c>
      <c r="G22" s="158">
        <f t="shared" si="3"/>
        <v>1</v>
      </c>
      <c r="H22" s="158">
        <f t="shared" si="3"/>
        <v>1</v>
      </c>
      <c r="I22" s="158">
        <f t="shared" si="3"/>
        <v>1</v>
      </c>
      <c r="J22" s="158">
        <f t="shared" si="3"/>
        <v>1</v>
      </c>
      <c r="K22" s="158">
        <f t="shared" si="3"/>
        <v>1</v>
      </c>
      <c r="L22" s="158">
        <f t="shared" si="3"/>
        <v>1</v>
      </c>
      <c r="M22" s="158">
        <f t="shared" si="3"/>
        <v>1</v>
      </c>
      <c r="N22" s="158">
        <f t="shared" si="3"/>
        <v>1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>
      <c r="A24" s="31" t="s">
        <v>37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>
      <c r="A25" s="30" t="s">
        <v>56</v>
      </c>
      <c r="B25" s="154">
        <f>'RY#1 Therms by Block'!B25/'RY#1 Therms by Block'!B$28</f>
        <v>0.37759148593993186</v>
      </c>
      <c r="C25" s="154">
        <f>'RY#1 Therms by Block'!C25/'RY#1 Therms by Block'!C$28</f>
        <v>0.37603657854579775</v>
      </c>
      <c r="D25" s="154">
        <f>'RY#1 Therms by Block'!D25/'RY#1 Therms by Block'!D$28</f>
        <v>0.37706638456192937</v>
      </c>
      <c r="E25" s="154">
        <f>'RY#1 Therms by Block'!E25/'RY#1 Therms by Block'!E$28</f>
        <v>0.37581188171382707</v>
      </c>
      <c r="F25" s="154">
        <f>'RY#1 Therms by Block'!F25/'RY#1 Therms by Block'!F$28</f>
        <v>0.37380391413343078</v>
      </c>
      <c r="G25" s="154">
        <f>'RY#1 Therms by Block'!G25/'RY#1 Therms by Block'!G$28</f>
        <v>0.37531032739452524</v>
      </c>
      <c r="H25" s="154">
        <f>'RY#1 Therms by Block'!H25/'RY#1 Therms by Block'!H$28</f>
        <v>0.37442258864136307</v>
      </c>
      <c r="I25" s="154">
        <f>'RY#1 Therms by Block'!I25/'RY#1 Therms by Block'!I$28</f>
        <v>0.374843879508867</v>
      </c>
      <c r="J25" s="154">
        <f>'RY#1 Therms by Block'!J25/'RY#1 Therms by Block'!J$28</f>
        <v>0.37386122397159477</v>
      </c>
      <c r="K25" s="154">
        <f>'RY#1 Therms by Block'!K25/'RY#1 Therms by Block'!K$28</f>
        <v>0.37534678970227897</v>
      </c>
      <c r="L25" s="154">
        <f>'RY#1 Therms by Block'!L25/'RY#1 Therms by Block'!L$28</f>
        <v>0.37488427311523737</v>
      </c>
      <c r="M25" s="154">
        <f>'RY#1 Therms by Block'!M25/'RY#1 Therms by Block'!M$28</f>
        <v>0.37589753504003415</v>
      </c>
      <c r="N25" s="154">
        <f>'RY#1 Therms by Block'!N25/'RY#1 Therms by Block'!N$28</f>
        <v>0.37538250243253751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>
      <c r="A26" s="30" t="s">
        <v>57</v>
      </c>
      <c r="B26" s="154">
        <f>'RY#1 Therms by Block'!B26/'RY#1 Therms by Block'!B$28</f>
        <v>0.25387927177684438</v>
      </c>
      <c r="C26" s="154">
        <f>'RY#1 Therms by Block'!C26/'RY#1 Therms by Block'!C$28</f>
        <v>0.25305514446407668</v>
      </c>
      <c r="D26" s="154">
        <f>'RY#1 Therms by Block'!D26/'RY#1 Therms by Block'!D$28</f>
        <v>0.25360095913313563</v>
      </c>
      <c r="E26" s="154">
        <f>'RY#1 Therms by Block'!E26/'RY#1 Therms by Block'!E$28</f>
        <v>0.25293605132900127</v>
      </c>
      <c r="F26" s="154">
        <f>'RY#1 Therms by Block'!F26/'RY#1 Therms by Block'!F$28</f>
        <v>0.25187179442701513</v>
      </c>
      <c r="G26" s="154">
        <f>'RY#1 Therms by Block'!G26/'RY#1 Therms by Block'!G$28</f>
        <v>0.25267021902610493</v>
      </c>
      <c r="H26" s="154">
        <f>'RY#1 Therms by Block'!H26/'RY#1 Therms by Block'!H$28</f>
        <v>0.25219970241794981</v>
      </c>
      <c r="I26" s="154">
        <f>'RY#1 Therms by Block'!I26/'RY#1 Therms by Block'!I$28</f>
        <v>0.2524229937289561</v>
      </c>
      <c r="J26" s="154">
        <f>'RY#1 Therms by Block'!J26/'RY#1 Therms by Block'!J$28</f>
        <v>0.25190216961405154</v>
      </c>
      <c r="K26" s="154">
        <f>'RY#1 Therms by Block'!K26/'RY#1 Therms by Block'!K$28</f>
        <v>0.25268954466814619</v>
      </c>
      <c r="L26" s="154">
        <f>'RY#1 Therms by Block'!L26/'RY#1 Therms by Block'!L$28</f>
        <v>0.2524444030259963</v>
      </c>
      <c r="M26" s="154">
        <f>'RY#1 Therms by Block'!M26/'RY#1 Therms by Block'!M$28</f>
        <v>0.25298144904581898</v>
      </c>
      <c r="N26" s="154">
        <f>'RY#1 Therms by Block'!N26/'RY#1 Therms by Block'!N$28</f>
        <v>0.25270847302139132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>
      <c r="A27" s="30" t="s">
        <v>80</v>
      </c>
      <c r="B27" s="154">
        <f>'RY#1 Therms by Block'!B27/'RY#1 Therms by Block'!B$28</f>
        <v>0.36852924228322381</v>
      </c>
      <c r="C27" s="154">
        <f>'RY#1 Therms by Block'!C27/'RY#1 Therms by Block'!C$28</f>
        <v>0.37090827699012552</v>
      </c>
      <c r="D27" s="154">
        <f>'RY#1 Therms by Block'!D27/'RY#1 Therms by Block'!D$28</f>
        <v>0.36933265630493489</v>
      </c>
      <c r="E27" s="154">
        <f>'RY#1 Therms by Block'!E27/'RY#1 Therms by Block'!E$28</f>
        <v>0.37125206695717161</v>
      </c>
      <c r="F27" s="154">
        <f>'RY#1 Therms by Block'!F27/'RY#1 Therms by Block'!F$28</f>
        <v>0.37432429143955415</v>
      </c>
      <c r="G27" s="154">
        <f>'RY#1 Therms by Block'!G27/'RY#1 Therms by Block'!G$28</f>
        <v>0.37201945357936994</v>
      </c>
      <c r="H27" s="154">
        <f>'RY#1 Therms by Block'!H27/'RY#1 Therms by Block'!H$28</f>
        <v>0.37337770894068711</v>
      </c>
      <c r="I27" s="154">
        <f>'RY#1 Therms by Block'!I27/'RY#1 Therms by Block'!I$28</f>
        <v>0.3727331267621769</v>
      </c>
      <c r="J27" s="154">
        <f>'RY#1 Therms by Block'!J27/'RY#1 Therms by Block'!J$28</f>
        <v>0.37423660641435363</v>
      </c>
      <c r="K27" s="154">
        <f>'RY#1 Therms by Block'!K27/'RY#1 Therms by Block'!K$28</f>
        <v>0.37196366562957472</v>
      </c>
      <c r="L27" s="154">
        <f>'RY#1 Therms by Block'!L27/'RY#1 Therms by Block'!L$28</f>
        <v>0.37267132385876639</v>
      </c>
      <c r="M27" s="154">
        <f>'RY#1 Therms by Block'!M27/'RY#1 Therms by Block'!M$28</f>
        <v>0.37112101591414681</v>
      </c>
      <c r="N27" s="154">
        <f>'RY#1 Therms by Block'!N27/'RY#1 Therms by Block'!N$28</f>
        <v>0.37190902454607117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>
      <c r="A28" s="30" t="s">
        <v>6</v>
      </c>
      <c r="B28" s="158">
        <f>SUM(B25:B27)</f>
        <v>1</v>
      </c>
      <c r="C28" s="158">
        <f t="shared" ref="C28:N28" si="4">SUM(C25:C27)</f>
        <v>1</v>
      </c>
      <c r="D28" s="158">
        <f t="shared" si="4"/>
        <v>0.99999999999999978</v>
      </c>
      <c r="E28" s="158">
        <f t="shared" si="4"/>
        <v>0.99999999999999989</v>
      </c>
      <c r="F28" s="158">
        <f t="shared" si="4"/>
        <v>1</v>
      </c>
      <c r="G28" s="158">
        <f t="shared" si="4"/>
        <v>1</v>
      </c>
      <c r="H28" s="158">
        <f t="shared" si="4"/>
        <v>1</v>
      </c>
      <c r="I28" s="158">
        <f t="shared" si="4"/>
        <v>1</v>
      </c>
      <c r="J28" s="158">
        <f t="shared" si="4"/>
        <v>1</v>
      </c>
      <c r="K28" s="158">
        <f t="shared" si="4"/>
        <v>0.99999999999999989</v>
      </c>
      <c r="L28" s="158">
        <f t="shared" si="4"/>
        <v>1</v>
      </c>
      <c r="M28" s="158">
        <f t="shared" si="4"/>
        <v>0.99999999999999989</v>
      </c>
      <c r="N28" s="158">
        <f t="shared" si="4"/>
        <v>1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>
      <c r="A30" s="31" t="s">
        <v>86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>
      <c r="A31" s="30" t="s">
        <v>59</v>
      </c>
      <c r="B31" s="154">
        <f>'RY#1 Therms by Block'!B31/'RY#1 Therms by Block'!B$33</f>
        <v>0.17923909280261185</v>
      </c>
      <c r="C31" s="154">
        <f>'RY#1 Therms by Block'!C31/'RY#1 Therms by Block'!C$33</f>
        <v>0.17913753607218003</v>
      </c>
      <c r="D31" s="154">
        <f>'RY#1 Therms by Block'!D31/'RY#1 Therms by Block'!D$33</f>
        <v>0.17905435882041912</v>
      </c>
      <c r="E31" s="154">
        <f>'RY#1 Therms by Block'!E31/'RY#1 Therms by Block'!E$33</f>
        <v>0.17894967996951811</v>
      </c>
      <c r="F31" s="154">
        <f>'RY#1 Therms by Block'!F31/'RY#1 Therms by Block'!F$33</f>
        <v>0.17889511705700958</v>
      </c>
      <c r="G31" s="154">
        <f>'RY#1 Therms by Block'!G31/'RY#1 Therms by Block'!G$33</f>
        <v>0.17756879325540764</v>
      </c>
      <c r="H31" s="154">
        <f>'RY#1 Therms by Block'!H31/'RY#1 Therms by Block'!H$33</f>
        <v>0.1754339791936757</v>
      </c>
      <c r="I31" s="154">
        <f>'RY#1 Therms by Block'!I31/'RY#1 Therms by Block'!I$33</f>
        <v>0.15617101413501258</v>
      </c>
      <c r="J31" s="154">
        <f>'RY#1 Therms by Block'!J31/'RY#1 Therms by Block'!J$33</f>
        <v>0.17351598321290981</v>
      </c>
      <c r="K31" s="154">
        <f>'RY#1 Therms by Block'!K31/'RY#1 Therms by Block'!K$33</f>
        <v>0.1783343732125551</v>
      </c>
      <c r="L31" s="154">
        <f>'RY#1 Therms by Block'!L31/'RY#1 Therms by Block'!L$33</f>
        <v>0.17889933147714229</v>
      </c>
      <c r="M31" s="154">
        <f>'RY#1 Therms by Block'!M31/'RY#1 Therms by Block'!M$33</f>
        <v>0.17948100799694389</v>
      </c>
      <c r="N31" s="154">
        <f>'RY#1 Therms by Block'!N31/'RY#1 Therms by Block'!N$33</f>
        <v>0.17880947382121867</v>
      </c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>
      <c r="A32" s="30" t="s">
        <v>81</v>
      </c>
      <c r="B32" s="154">
        <f>'RY#1 Therms by Block'!B32/'RY#1 Therms by Block'!B$33</f>
        <v>0.82076090719738815</v>
      </c>
      <c r="C32" s="154">
        <f>'RY#1 Therms by Block'!C32/'RY#1 Therms by Block'!C$33</f>
        <v>0.82086246392782003</v>
      </c>
      <c r="D32" s="154">
        <f>'RY#1 Therms by Block'!D32/'RY#1 Therms by Block'!D$33</f>
        <v>0.82094564117958091</v>
      </c>
      <c r="E32" s="154">
        <f>'RY#1 Therms by Block'!E32/'RY#1 Therms by Block'!E$33</f>
        <v>0.82105032003048195</v>
      </c>
      <c r="F32" s="154">
        <f>'RY#1 Therms by Block'!F32/'RY#1 Therms by Block'!F$33</f>
        <v>0.82110488294299033</v>
      </c>
      <c r="G32" s="154">
        <f>'RY#1 Therms by Block'!G32/'RY#1 Therms by Block'!G$33</f>
        <v>0.82243120674459236</v>
      </c>
      <c r="H32" s="154">
        <f>'RY#1 Therms by Block'!H32/'RY#1 Therms by Block'!H$33</f>
        <v>0.82456602080632435</v>
      </c>
      <c r="I32" s="154">
        <f>'RY#1 Therms by Block'!I32/'RY#1 Therms by Block'!I$33</f>
        <v>0.84382898586498745</v>
      </c>
      <c r="J32" s="154">
        <f>'RY#1 Therms by Block'!J32/'RY#1 Therms by Block'!J$33</f>
        <v>0.82648401678709005</v>
      </c>
      <c r="K32" s="154">
        <f>'RY#1 Therms by Block'!K32/'RY#1 Therms by Block'!K$33</f>
        <v>0.82166562678744481</v>
      </c>
      <c r="L32" s="154">
        <f>'RY#1 Therms by Block'!L32/'RY#1 Therms by Block'!L$33</f>
        <v>0.82110066852285779</v>
      </c>
      <c r="M32" s="154">
        <f>'RY#1 Therms by Block'!M32/'RY#1 Therms by Block'!M$33</f>
        <v>0.82051899200305622</v>
      </c>
      <c r="N32" s="154">
        <f>'RY#1 Therms by Block'!N32/'RY#1 Therms by Block'!N$33</f>
        <v>0.82119052617878141</v>
      </c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>
      <c r="A33" s="30" t="s">
        <v>6</v>
      </c>
      <c r="B33" s="155">
        <f>SUM(B31:B32)</f>
        <v>1</v>
      </c>
      <c r="C33" s="155">
        <f t="shared" ref="C33:N33" si="5">SUM(C31:C32)</f>
        <v>1</v>
      </c>
      <c r="D33" s="155">
        <f t="shared" si="5"/>
        <v>1</v>
      </c>
      <c r="E33" s="155">
        <f t="shared" si="5"/>
        <v>1</v>
      </c>
      <c r="F33" s="155">
        <f t="shared" si="5"/>
        <v>0.99999999999999989</v>
      </c>
      <c r="G33" s="155">
        <f t="shared" si="5"/>
        <v>1</v>
      </c>
      <c r="H33" s="155">
        <f t="shared" si="5"/>
        <v>1</v>
      </c>
      <c r="I33" s="155">
        <f t="shared" si="5"/>
        <v>1</v>
      </c>
      <c r="J33" s="155">
        <f t="shared" si="5"/>
        <v>0.99999999999999989</v>
      </c>
      <c r="K33" s="155">
        <f t="shared" si="5"/>
        <v>0.99999999999999989</v>
      </c>
      <c r="L33" s="155">
        <f t="shared" si="5"/>
        <v>1</v>
      </c>
      <c r="M33" s="155">
        <f t="shared" si="5"/>
        <v>1</v>
      </c>
      <c r="N33" s="155">
        <f t="shared" si="5"/>
        <v>1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>
      <c r="A35" s="31" t="s">
        <v>39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>
      <c r="A36" s="30" t="s">
        <v>59</v>
      </c>
      <c r="B36" s="154">
        <f>'RY#1 Therms by Block'!B36/'RY#1 Therms by Block'!B$38</f>
        <v>4.7196597465746955E-2</v>
      </c>
      <c r="C36" s="154">
        <f>'RY#1 Therms by Block'!C36/'RY#1 Therms by Block'!C$38</f>
        <v>4.7811099127713148E-2</v>
      </c>
      <c r="D36" s="154">
        <f>'RY#1 Therms by Block'!D36/'RY#1 Therms by Block'!D$38</f>
        <v>4.674093938109844E-2</v>
      </c>
      <c r="E36" s="154">
        <f>'RY#1 Therms by Block'!E36/'RY#1 Therms by Block'!E$38</f>
        <v>4.4966670004431837E-2</v>
      </c>
      <c r="F36" s="154">
        <f>'RY#1 Therms by Block'!F36/'RY#1 Therms by Block'!F$38</f>
        <v>4.5104330360839669E-2</v>
      </c>
      <c r="G36" s="154">
        <f>'RY#1 Therms by Block'!G36/'RY#1 Therms by Block'!G$38</f>
        <v>4.0774987676976904E-2</v>
      </c>
      <c r="H36" s="154">
        <f>'RY#1 Therms by Block'!H36/'RY#1 Therms by Block'!H$38</f>
        <v>3.9567086102421122E-2</v>
      </c>
      <c r="I36" s="154">
        <f>'RY#1 Therms by Block'!I36/'RY#1 Therms by Block'!I$38</f>
        <v>3.6012009424091877E-2</v>
      </c>
      <c r="J36" s="154">
        <f>'RY#1 Therms by Block'!J36/'RY#1 Therms by Block'!J$38</f>
        <v>4.0943069898554535E-2</v>
      </c>
      <c r="K36" s="154">
        <f>'RY#1 Therms by Block'!K36/'RY#1 Therms by Block'!K$38</f>
        <v>4.3017259012948339E-2</v>
      </c>
      <c r="L36" s="154">
        <f>'RY#1 Therms by Block'!L36/'RY#1 Therms by Block'!L$38</f>
        <v>4.7252077588474127E-2</v>
      </c>
      <c r="M36" s="154">
        <f>'RY#1 Therms by Block'!M36/'RY#1 Therms by Block'!M$38</f>
        <v>4.8353102676668681E-2</v>
      </c>
      <c r="N36" s="154">
        <f>'RY#1 Therms by Block'!N36/'RY#1 Therms by Block'!N$38</f>
        <v>4.4229540748138105E-2</v>
      </c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>
      <c r="A37" s="30" t="s">
        <v>81</v>
      </c>
      <c r="B37" s="154">
        <f>'RY#1 Therms by Block'!B37/'RY#1 Therms by Block'!B$38</f>
        <v>0.952803402534253</v>
      </c>
      <c r="C37" s="154">
        <f>'RY#1 Therms by Block'!C37/'RY#1 Therms by Block'!C$38</f>
        <v>0.95218890087228691</v>
      </c>
      <c r="D37" s="154">
        <f>'RY#1 Therms by Block'!D37/'RY#1 Therms by Block'!D$38</f>
        <v>0.95325906061890164</v>
      </c>
      <c r="E37" s="154">
        <f>'RY#1 Therms by Block'!E37/'RY#1 Therms by Block'!E$38</f>
        <v>0.95503332999556811</v>
      </c>
      <c r="F37" s="154">
        <f>'RY#1 Therms by Block'!F37/'RY#1 Therms by Block'!F$38</f>
        <v>0.95489566963916028</v>
      </c>
      <c r="G37" s="154">
        <f>'RY#1 Therms by Block'!G37/'RY#1 Therms by Block'!G$38</f>
        <v>0.95922501232302304</v>
      </c>
      <c r="H37" s="154">
        <f>'RY#1 Therms by Block'!H37/'RY#1 Therms by Block'!H$38</f>
        <v>0.9604329138975789</v>
      </c>
      <c r="I37" s="154">
        <f>'RY#1 Therms by Block'!I37/'RY#1 Therms by Block'!I$38</f>
        <v>0.963987990575908</v>
      </c>
      <c r="J37" s="154">
        <f>'RY#1 Therms by Block'!J37/'RY#1 Therms by Block'!J$38</f>
        <v>0.95905693010144544</v>
      </c>
      <c r="K37" s="154">
        <f>'RY#1 Therms by Block'!K37/'RY#1 Therms by Block'!K$38</f>
        <v>0.95698274098705161</v>
      </c>
      <c r="L37" s="154">
        <f>'RY#1 Therms by Block'!L37/'RY#1 Therms by Block'!L$38</f>
        <v>0.95274792241152595</v>
      </c>
      <c r="M37" s="154">
        <f>'RY#1 Therms by Block'!M37/'RY#1 Therms by Block'!M$38</f>
        <v>0.9516468973233313</v>
      </c>
      <c r="N37" s="154">
        <f>'RY#1 Therms by Block'!N37/'RY#1 Therms by Block'!N$38</f>
        <v>0.95577045925186177</v>
      </c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>
      <c r="A38" s="30" t="s">
        <v>6</v>
      </c>
      <c r="B38" s="158">
        <f>SUM(B36:B37)</f>
        <v>1</v>
      </c>
      <c r="C38" s="158">
        <f t="shared" ref="C38:M38" si="6">SUM(C36:C37)</f>
        <v>1</v>
      </c>
      <c r="D38" s="158">
        <f t="shared" si="6"/>
        <v>1</v>
      </c>
      <c r="E38" s="158">
        <f t="shared" si="6"/>
        <v>1</v>
      </c>
      <c r="F38" s="158">
        <f t="shared" si="6"/>
        <v>1</v>
      </c>
      <c r="G38" s="158">
        <f t="shared" si="6"/>
        <v>1</v>
      </c>
      <c r="H38" s="158">
        <f t="shared" si="6"/>
        <v>1</v>
      </c>
      <c r="I38" s="158">
        <f t="shared" si="6"/>
        <v>0.99999999999999989</v>
      </c>
      <c r="J38" s="158">
        <f t="shared" si="6"/>
        <v>1</v>
      </c>
      <c r="K38" s="158">
        <f t="shared" si="6"/>
        <v>1</v>
      </c>
      <c r="L38" s="158">
        <f t="shared" si="6"/>
        <v>1</v>
      </c>
      <c r="M38" s="158">
        <f t="shared" si="6"/>
        <v>1</v>
      </c>
      <c r="N38" s="158">
        <f>SUM(N36:N37)</f>
        <v>0.99999999999999989</v>
      </c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>
      <c r="A40" s="62" t="s">
        <v>87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>
      <c r="A41" s="30" t="s">
        <v>56</v>
      </c>
      <c r="B41" s="154">
        <f>'RY#1 Therms by Block'!B41/'RY#1 Therms by Block'!B$47</f>
        <v>5.6915909021057746E-2</v>
      </c>
      <c r="C41" s="154">
        <f>'RY#1 Therms by Block'!C41/'RY#1 Therms by Block'!C$47</f>
        <v>5.7834959845187377E-2</v>
      </c>
      <c r="D41" s="154">
        <f>'RY#1 Therms by Block'!D41/'RY#1 Therms by Block'!D$47</f>
        <v>5.9756397071697519E-2</v>
      </c>
      <c r="E41" s="154">
        <f>'RY#1 Therms by Block'!E41/'RY#1 Therms by Block'!E$47</f>
        <v>7.3652671677012407E-2</v>
      </c>
      <c r="F41" s="154">
        <f>'RY#1 Therms by Block'!F41/'RY#1 Therms by Block'!F$47</f>
        <v>6.8231580714207249E-2</v>
      </c>
      <c r="G41" s="154">
        <f>'RY#1 Therms by Block'!G41/'RY#1 Therms by Block'!G$47</f>
        <v>7.5595617873223123E-2</v>
      </c>
      <c r="H41" s="154">
        <f>'RY#1 Therms by Block'!H41/'RY#1 Therms by Block'!H$47</f>
        <v>6.9523769133810309E-2</v>
      </c>
      <c r="I41" s="154">
        <f>'RY#1 Therms by Block'!I41/'RY#1 Therms by Block'!I$47</f>
        <v>6.3684045618155563E-2</v>
      </c>
      <c r="J41" s="154">
        <f>'RY#1 Therms by Block'!J41/'RY#1 Therms by Block'!J$47</f>
        <v>6.8433856966395548E-2</v>
      </c>
      <c r="K41" s="154">
        <f>'RY#1 Therms by Block'!K41/'RY#1 Therms by Block'!K$47</f>
        <v>4.9817096530089776E-2</v>
      </c>
      <c r="L41" s="154">
        <f>'RY#1 Therms by Block'!L41/'RY#1 Therms by Block'!L$47</f>
        <v>5.1834608205522145E-2</v>
      </c>
      <c r="M41" s="154">
        <f>'RY#1 Therms by Block'!M41/'RY#1 Therms by Block'!M$47</f>
        <v>4.3561956646269509E-2</v>
      </c>
      <c r="N41" s="154">
        <f>'RY#1 Therms by Block'!N41/'RY#1 Therms by Block'!N$47</f>
        <v>5.9977037791081683E-2</v>
      </c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s="50" customFormat="1">
      <c r="A42" s="30" t="s">
        <v>57</v>
      </c>
      <c r="B42" s="154">
        <f>'RY#1 Therms by Block'!B42/'RY#1 Therms by Block'!B$47</f>
        <v>5.6915909021057746E-2</v>
      </c>
      <c r="C42" s="154">
        <f>'RY#1 Therms by Block'!C42/'RY#1 Therms by Block'!C$47</f>
        <v>5.7834959845187377E-2</v>
      </c>
      <c r="D42" s="154">
        <f>'RY#1 Therms by Block'!D42/'RY#1 Therms by Block'!D$47</f>
        <v>5.9756397071697519E-2</v>
      </c>
      <c r="E42" s="154">
        <f>'RY#1 Therms by Block'!E42/'RY#1 Therms by Block'!E$47</f>
        <v>7.3652671677012407E-2</v>
      </c>
      <c r="F42" s="154">
        <f>'RY#1 Therms by Block'!F42/'RY#1 Therms by Block'!F$47</f>
        <v>6.8231580714207249E-2</v>
      </c>
      <c r="G42" s="154">
        <f>'RY#1 Therms by Block'!G42/'RY#1 Therms by Block'!G$47</f>
        <v>7.5595617873223123E-2</v>
      </c>
      <c r="H42" s="154">
        <f>'RY#1 Therms by Block'!H42/'RY#1 Therms by Block'!H$47</f>
        <v>6.9523769133810309E-2</v>
      </c>
      <c r="I42" s="154">
        <f>'RY#1 Therms by Block'!I42/'RY#1 Therms by Block'!I$47</f>
        <v>6.3684045618155563E-2</v>
      </c>
      <c r="J42" s="154">
        <f>'RY#1 Therms by Block'!J42/'RY#1 Therms by Block'!J$47</f>
        <v>6.8433856966395548E-2</v>
      </c>
      <c r="K42" s="154">
        <f>'RY#1 Therms by Block'!K42/'RY#1 Therms by Block'!K$47</f>
        <v>4.9817096530089776E-2</v>
      </c>
      <c r="L42" s="154">
        <f>'RY#1 Therms by Block'!L42/'RY#1 Therms by Block'!L$47</f>
        <v>5.1834608205522145E-2</v>
      </c>
      <c r="M42" s="154">
        <f>'RY#1 Therms by Block'!M42/'RY#1 Therms by Block'!M$47</f>
        <v>4.3561956646269509E-2</v>
      </c>
      <c r="N42" s="154">
        <f>'RY#1 Therms by Block'!N42/'RY#1 Therms by Block'!N$47</f>
        <v>5.9977037791081683E-2</v>
      </c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>
      <c r="A43" s="30" t="s">
        <v>62</v>
      </c>
      <c r="B43" s="154">
        <f>'RY#1 Therms by Block'!B43/'RY#1 Therms by Block'!B$47</f>
        <v>0.11383181804211549</v>
      </c>
      <c r="C43" s="154">
        <f>'RY#1 Therms by Block'!C43/'RY#1 Therms by Block'!C$47</f>
        <v>0.11566991969037475</v>
      </c>
      <c r="D43" s="154">
        <f>'RY#1 Therms by Block'!D43/'RY#1 Therms by Block'!D$47</f>
        <v>0.11951279414339504</v>
      </c>
      <c r="E43" s="154">
        <f>'RY#1 Therms by Block'!E43/'RY#1 Therms by Block'!E$47</f>
        <v>0.14730534335402481</v>
      </c>
      <c r="F43" s="154">
        <f>'RY#1 Therms by Block'!F43/'RY#1 Therms by Block'!F$47</f>
        <v>0.1364631614284145</v>
      </c>
      <c r="G43" s="154">
        <f>'RY#1 Therms by Block'!G43/'RY#1 Therms by Block'!G$47</f>
        <v>0.15119123574644625</v>
      </c>
      <c r="H43" s="154">
        <f>'RY#1 Therms by Block'!H43/'RY#1 Therms by Block'!H$47</f>
        <v>0.13904753826762062</v>
      </c>
      <c r="I43" s="154">
        <f>'RY#1 Therms by Block'!I43/'RY#1 Therms by Block'!I$47</f>
        <v>0.12736809123631113</v>
      </c>
      <c r="J43" s="154">
        <f>'RY#1 Therms by Block'!J43/'RY#1 Therms by Block'!J$47</f>
        <v>0.1368677139327911</v>
      </c>
      <c r="K43" s="154">
        <f>'RY#1 Therms by Block'!K43/'RY#1 Therms by Block'!K$47</f>
        <v>9.9634193060179552E-2</v>
      </c>
      <c r="L43" s="154">
        <f>'RY#1 Therms by Block'!L43/'RY#1 Therms by Block'!L$47</f>
        <v>0.10366921641104429</v>
      </c>
      <c r="M43" s="154">
        <f>'RY#1 Therms by Block'!M43/'RY#1 Therms by Block'!M$47</f>
        <v>8.7123913292539018E-2</v>
      </c>
      <c r="N43" s="154">
        <f>'RY#1 Therms by Block'!N43/'RY#1 Therms by Block'!N$47</f>
        <v>0.11995407558216337</v>
      </c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>
      <c r="A44" s="30" t="s">
        <v>63</v>
      </c>
      <c r="B44" s="154">
        <f>'RY#1 Therms by Block'!B44/'RY#1 Therms by Block'!B$47</f>
        <v>0.15883564655371102</v>
      </c>
      <c r="C44" s="154">
        <f>'RY#1 Therms by Block'!C44/'RY#1 Therms by Block'!C$47</f>
        <v>0.15807961310151802</v>
      </c>
      <c r="D44" s="154">
        <f>'RY#1 Therms by Block'!D44/'RY#1 Therms by Block'!D$47</f>
        <v>0.15649899233344869</v>
      </c>
      <c r="E44" s="154">
        <f>'RY#1 Therms by Block'!E44/'RY#1 Therms by Block'!E$47</f>
        <v>0.14506758050437249</v>
      </c>
      <c r="F44" s="154">
        <f>'RY#1 Therms by Block'!F44/'RY#1 Therms by Block'!F$47</f>
        <v>0.14952710113985326</v>
      </c>
      <c r="G44" s="154">
        <f>'RY#1 Therms by Block'!G44/'RY#1 Therms by Block'!G$47</f>
        <v>0.14346926593723472</v>
      </c>
      <c r="H44" s="154">
        <f>'RY#1 Therms by Block'!H44/'RY#1 Therms by Block'!H$47</f>
        <v>0.14846411567038104</v>
      </c>
      <c r="I44" s="154">
        <f>'RY#1 Therms by Block'!I44/'RY#1 Therms by Block'!I$47</f>
        <v>0.15326801357621675</v>
      </c>
      <c r="J44" s="154">
        <f>'RY#1 Therms by Block'!J44/'RY#1 Therms by Block'!J$47</f>
        <v>0.14936070379900609</v>
      </c>
      <c r="K44" s="154">
        <f>'RY#1 Therms by Block'!K44/'RY#1 Therms by Block'!K$47</f>
        <v>0.1646753015250231</v>
      </c>
      <c r="L44" s="154">
        <f>'RY#1 Therms by Block'!L44/'RY#1 Therms by Block'!L$47</f>
        <v>0.16301564758993062</v>
      </c>
      <c r="M44" s="154">
        <f>'RY#1 Therms by Block'!M44/'RY#1 Therms by Block'!M$47</f>
        <v>0.16982093098984966</v>
      </c>
      <c r="N44" s="154">
        <f>'RY#1 Therms by Block'!N44/'RY#1 Therms by Block'!N$47</f>
        <v>0.15631748793740147</v>
      </c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>
      <c r="A45" s="30" t="s">
        <v>64</v>
      </c>
      <c r="B45" s="154">
        <f>'RY#1 Therms by Block'!B45/'RY#1 Therms by Block'!B$47</f>
        <v>0.20050466557245999</v>
      </c>
      <c r="C45" s="154">
        <f>'RY#1 Therms by Block'!C45/'RY#1 Therms by Block'!C$47</f>
        <v>0.1995502939450414</v>
      </c>
      <c r="D45" s="154">
        <f>'RY#1 Therms by Block'!D45/'RY#1 Therms by Block'!D$47</f>
        <v>0.19755501237333542</v>
      </c>
      <c r="E45" s="154">
        <f>'RY#1 Therms by Block'!E45/'RY#1 Therms by Block'!E$47</f>
        <v>0.18312467853114639</v>
      </c>
      <c r="F45" s="154">
        <f>'RY#1 Therms by Block'!F45/'RY#1 Therms by Block'!F$47</f>
        <v>0.18875411192995331</v>
      </c>
      <c r="G45" s="154">
        <f>'RY#1 Therms by Block'!G45/'RY#1 Therms by Block'!G$47</f>
        <v>0.18110706136071367</v>
      </c>
      <c r="H45" s="154">
        <f>'RY#1 Therms by Block'!H45/'RY#1 Therms by Block'!H$47</f>
        <v>0.18741226234713415</v>
      </c>
      <c r="I45" s="154">
        <f>'RY#1 Therms by Block'!I45/'RY#1 Therms by Block'!I$47</f>
        <v>0.19347641711309921</v>
      </c>
      <c r="J45" s="154">
        <f>'RY#1 Therms by Block'!J45/'RY#1 Therms by Block'!J$47</f>
        <v>0.18854406183161207</v>
      </c>
      <c r="K45" s="154">
        <f>'RY#1 Therms by Block'!K45/'RY#1 Therms by Block'!K$47</f>
        <v>0.20787629840480124</v>
      </c>
      <c r="L45" s="154">
        <f>'RY#1 Therms by Block'!L45/'RY#1 Therms by Block'!L$47</f>
        <v>0.20578125006746709</v>
      </c>
      <c r="M45" s="154">
        <f>'RY#1 Therms by Block'!M45/'RY#1 Therms by Block'!M$47</f>
        <v>0.21437183474938346</v>
      </c>
      <c r="N45" s="154">
        <f>'RY#1 Therms by Block'!N45/'RY#1 Therms by Block'!N$47</f>
        <v>0.1973258920277518</v>
      </c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>
      <c r="A46" s="30" t="s">
        <v>82</v>
      </c>
      <c r="B46" s="154">
        <f>'RY#1 Therms by Block'!B46/'RY#1 Therms by Block'!B$47</f>
        <v>0.41299605178959797</v>
      </c>
      <c r="C46" s="154">
        <f>'RY#1 Therms by Block'!C46/'RY#1 Therms by Block'!C$47</f>
        <v>0.41103025357269096</v>
      </c>
      <c r="D46" s="154">
        <f>'RY#1 Therms by Block'!D46/'RY#1 Therms by Block'!D$47</f>
        <v>0.40692040700642579</v>
      </c>
      <c r="E46" s="154">
        <f>'RY#1 Therms by Block'!E46/'RY#1 Therms by Block'!E$47</f>
        <v>0.37719705425643141</v>
      </c>
      <c r="F46" s="154">
        <f>'RY#1 Therms by Block'!F46/'RY#1 Therms by Block'!F$47</f>
        <v>0.38879246407336437</v>
      </c>
      <c r="G46" s="154">
        <f>'RY#1 Therms by Block'!G46/'RY#1 Therms by Block'!G$47</f>
        <v>0.37304120120915907</v>
      </c>
      <c r="H46" s="154">
        <f>'RY#1 Therms by Block'!H46/'RY#1 Therms by Block'!H$47</f>
        <v>0.38602854544724358</v>
      </c>
      <c r="I46" s="154">
        <f>'RY#1 Therms by Block'!I46/'RY#1 Therms by Block'!I$47</f>
        <v>0.39851938683806176</v>
      </c>
      <c r="J46" s="154">
        <f>'RY#1 Therms by Block'!J46/'RY#1 Therms by Block'!J$47</f>
        <v>0.38835980650379964</v>
      </c>
      <c r="K46" s="154">
        <f>'RY#1 Therms by Block'!K46/'RY#1 Therms by Block'!K$47</f>
        <v>0.42818001394981653</v>
      </c>
      <c r="L46" s="154">
        <f>'RY#1 Therms by Block'!L46/'RY#1 Therms by Block'!L$47</f>
        <v>0.42386466952051366</v>
      </c>
      <c r="M46" s="154">
        <f>'RY#1 Therms by Block'!M46/'RY#1 Therms by Block'!M$47</f>
        <v>0.4415594076756888</v>
      </c>
      <c r="N46" s="154">
        <f>'RY#1 Therms by Block'!N46/'RY#1 Therms by Block'!N$47</f>
        <v>0.40644846887051994</v>
      </c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>
      <c r="A47" s="30" t="s">
        <v>6</v>
      </c>
      <c r="B47" s="155">
        <f>SUM(B41:B46)</f>
        <v>0.99999999999999989</v>
      </c>
      <c r="C47" s="155">
        <f t="shared" ref="C47:N47" si="7">SUM(C41:C46)</f>
        <v>0.99999999999999989</v>
      </c>
      <c r="D47" s="155">
        <f t="shared" si="7"/>
        <v>1</v>
      </c>
      <c r="E47" s="155">
        <f t="shared" si="7"/>
        <v>0.99999999999999978</v>
      </c>
      <c r="F47" s="155">
        <f t="shared" si="7"/>
        <v>1</v>
      </c>
      <c r="G47" s="155">
        <f t="shared" si="7"/>
        <v>0.99999999999999989</v>
      </c>
      <c r="H47" s="155">
        <f t="shared" si="7"/>
        <v>1</v>
      </c>
      <c r="I47" s="155">
        <f t="shared" si="7"/>
        <v>0.99999999999999989</v>
      </c>
      <c r="J47" s="155">
        <f t="shared" si="7"/>
        <v>1</v>
      </c>
      <c r="K47" s="155">
        <f t="shared" si="7"/>
        <v>1</v>
      </c>
      <c r="L47" s="155">
        <f t="shared" si="7"/>
        <v>1</v>
      </c>
      <c r="M47" s="155">
        <f t="shared" si="7"/>
        <v>1</v>
      </c>
      <c r="N47" s="155">
        <f t="shared" si="7"/>
        <v>1</v>
      </c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>
      <c r="A49" s="31" t="s">
        <v>41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>
      <c r="A50" s="30" t="s">
        <v>56</v>
      </c>
      <c r="B50" s="154">
        <f>'RY#1 Therms by Block'!B50/'RY#1 Therms by Block'!B$56</f>
        <v>5.2107017492571718E-2</v>
      </c>
      <c r="C50" s="154">
        <f>'RY#1 Therms by Block'!C50/'RY#1 Therms by Block'!C$56</f>
        <v>3.9756350502513513E-2</v>
      </c>
      <c r="D50" s="154">
        <f>'RY#1 Therms by Block'!D50/'RY#1 Therms by Block'!D$56</f>
        <v>5.2542193614515682E-2</v>
      </c>
      <c r="E50" s="154">
        <f>'RY#1 Therms by Block'!E50/'RY#1 Therms by Block'!E$56</f>
        <v>4.8800754162950759E-2</v>
      </c>
      <c r="F50" s="154">
        <f>'RY#1 Therms by Block'!F50/'RY#1 Therms by Block'!F$56</f>
        <v>4.2105757293333587E-2</v>
      </c>
      <c r="G50" s="154">
        <f>'RY#1 Therms by Block'!G50/'RY#1 Therms by Block'!G$56</f>
        <v>4.0810816703892742E-2</v>
      </c>
      <c r="H50" s="154">
        <f>'RY#1 Therms by Block'!H50/'RY#1 Therms by Block'!H$56</f>
        <v>4.3767817867711993E-2</v>
      </c>
      <c r="I50" s="154">
        <f>'RY#1 Therms by Block'!I50/'RY#1 Therms by Block'!I$56</f>
        <v>4.4781523450088359E-2</v>
      </c>
      <c r="J50" s="154">
        <f>'RY#1 Therms by Block'!J50/'RY#1 Therms by Block'!J$56</f>
        <v>4.0508510330043622E-2</v>
      </c>
      <c r="K50" s="154">
        <f>'RY#1 Therms by Block'!K50/'RY#1 Therms by Block'!K$56</f>
        <v>5.9632726284662874E-2</v>
      </c>
      <c r="L50" s="154">
        <f>'RY#1 Therms by Block'!L50/'RY#1 Therms by Block'!L$56</f>
        <v>6.2846634856699973E-2</v>
      </c>
      <c r="M50" s="154">
        <f>'RY#1 Therms by Block'!M50/'RY#1 Therms by Block'!M$56</f>
        <v>3.1144005271060596E-2</v>
      </c>
      <c r="N50" s="154">
        <f>'RY#1 Therms by Block'!N50/'RY#1 Therms by Block'!N$56</f>
        <v>4.4981566518055648E-2</v>
      </c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>
      <c r="A51" s="30" t="s">
        <v>57</v>
      </c>
      <c r="B51" s="154">
        <f>'RY#1 Therms by Block'!B51/'RY#1 Therms by Block'!B$56</f>
        <v>5.2107017492571718E-2</v>
      </c>
      <c r="C51" s="154">
        <f>'RY#1 Therms by Block'!C51/'RY#1 Therms by Block'!C$56</f>
        <v>3.9756350502513513E-2</v>
      </c>
      <c r="D51" s="154">
        <f>'RY#1 Therms by Block'!D51/'RY#1 Therms by Block'!D$56</f>
        <v>5.2542193614515682E-2</v>
      </c>
      <c r="E51" s="154">
        <f>'RY#1 Therms by Block'!E51/'RY#1 Therms by Block'!E$56</f>
        <v>4.8800754162950759E-2</v>
      </c>
      <c r="F51" s="154">
        <f>'RY#1 Therms by Block'!F51/'RY#1 Therms by Block'!F$56</f>
        <v>4.2105757293333587E-2</v>
      </c>
      <c r="G51" s="154">
        <f>'RY#1 Therms by Block'!G51/'RY#1 Therms by Block'!G$56</f>
        <v>4.0810816703892742E-2</v>
      </c>
      <c r="H51" s="154">
        <f>'RY#1 Therms by Block'!H51/'RY#1 Therms by Block'!H$56</f>
        <v>4.3767817867711993E-2</v>
      </c>
      <c r="I51" s="154">
        <f>'RY#1 Therms by Block'!I51/'RY#1 Therms by Block'!I$56</f>
        <v>4.4781523450088359E-2</v>
      </c>
      <c r="J51" s="154">
        <f>'RY#1 Therms by Block'!J51/'RY#1 Therms by Block'!J$56</f>
        <v>4.0508510330043622E-2</v>
      </c>
      <c r="K51" s="154">
        <f>'RY#1 Therms by Block'!K51/'RY#1 Therms by Block'!K$56</f>
        <v>5.9632726284662874E-2</v>
      </c>
      <c r="L51" s="154">
        <f>'RY#1 Therms by Block'!L51/'RY#1 Therms by Block'!L$56</f>
        <v>6.2846634856699973E-2</v>
      </c>
      <c r="M51" s="154">
        <f>'RY#1 Therms by Block'!M51/'RY#1 Therms by Block'!M$56</f>
        <v>3.1144005271060596E-2</v>
      </c>
      <c r="N51" s="154">
        <f>'RY#1 Therms by Block'!N51/'RY#1 Therms by Block'!N$56</f>
        <v>4.4981566518055648E-2</v>
      </c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>
      <c r="A52" s="30" t="s">
        <v>62</v>
      </c>
      <c r="B52" s="154">
        <f>'RY#1 Therms by Block'!B52/'RY#1 Therms by Block'!B$56</f>
        <v>0.10421403498514344</v>
      </c>
      <c r="C52" s="154">
        <f>'RY#1 Therms by Block'!C52/'RY#1 Therms by Block'!C$56</f>
        <v>7.9512701005027026E-2</v>
      </c>
      <c r="D52" s="154">
        <f>'RY#1 Therms by Block'!D52/'RY#1 Therms by Block'!D$56</f>
        <v>0.10508438722903136</v>
      </c>
      <c r="E52" s="154">
        <f>'RY#1 Therms by Block'!E52/'RY#1 Therms by Block'!E$56</f>
        <v>9.7601508325901518E-2</v>
      </c>
      <c r="F52" s="154">
        <f>'RY#1 Therms by Block'!F52/'RY#1 Therms by Block'!F$56</f>
        <v>8.4211514586667174E-2</v>
      </c>
      <c r="G52" s="154">
        <f>'RY#1 Therms by Block'!G52/'RY#1 Therms by Block'!G$56</f>
        <v>8.1621633407785485E-2</v>
      </c>
      <c r="H52" s="154">
        <f>'RY#1 Therms by Block'!H52/'RY#1 Therms by Block'!H$56</f>
        <v>8.7535635735423986E-2</v>
      </c>
      <c r="I52" s="154">
        <f>'RY#1 Therms by Block'!I52/'RY#1 Therms by Block'!I$56</f>
        <v>8.9563046900176718E-2</v>
      </c>
      <c r="J52" s="154">
        <f>'RY#1 Therms by Block'!J52/'RY#1 Therms by Block'!J$56</f>
        <v>8.1017020660087244E-2</v>
      </c>
      <c r="K52" s="154">
        <f>'RY#1 Therms by Block'!K52/'RY#1 Therms by Block'!K$56</f>
        <v>0.11926545256932575</v>
      </c>
      <c r="L52" s="154">
        <f>'RY#1 Therms by Block'!L52/'RY#1 Therms by Block'!L$56</f>
        <v>0.12569326971339995</v>
      </c>
      <c r="M52" s="154">
        <f>'RY#1 Therms by Block'!M52/'RY#1 Therms by Block'!M$56</f>
        <v>6.2288010542121193E-2</v>
      </c>
      <c r="N52" s="154">
        <f>'RY#1 Therms by Block'!N52/'RY#1 Therms by Block'!N$56</f>
        <v>8.9963133036111295E-2</v>
      </c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>
      <c r="A53" s="30" t="s">
        <v>63</v>
      </c>
      <c r="B53" s="154">
        <f>'RY#1 Therms by Block'!B53/'RY#1 Therms by Block'!B$56</f>
        <v>0.13351943474478437</v>
      </c>
      <c r="C53" s="154">
        <f>'RY#1 Therms by Block'!C53/'RY#1 Therms by Block'!C$56</f>
        <v>0.13966787336715847</v>
      </c>
      <c r="D53" s="154">
        <f>'RY#1 Therms by Block'!D53/'RY#1 Therms by Block'!D$56</f>
        <v>0.13280595314069985</v>
      </c>
      <c r="E53" s="154">
        <f>'RY#1 Therms by Block'!E53/'RY#1 Therms by Block'!E$56</f>
        <v>0.13274358543830836</v>
      </c>
      <c r="F53" s="154">
        <f>'RY#1 Therms by Block'!F53/'RY#1 Therms by Block'!F$56</f>
        <v>0.13182143630557988</v>
      </c>
      <c r="G53" s="154">
        <f>'RY#1 Therms by Block'!G53/'RY#1 Therms by Block'!G$56</f>
        <v>0.13186581165421321</v>
      </c>
      <c r="H53" s="154">
        <f>'RY#1 Therms by Block'!H53/'RY#1 Therms by Block'!H$56</f>
        <v>0.12847145812370611</v>
      </c>
      <c r="I53" s="154">
        <f>'RY#1 Therms by Block'!I53/'RY#1 Therms by Block'!I$56</f>
        <v>0.12792877354223639</v>
      </c>
      <c r="J53" s="154">
        <f>'RY#1 Therms by Block'!J53/'RY#1 Therms by Block'!J$56</f>
        <v>0.13056287770141597</v>
      </c>
      <c r="K53" s="154">
        <f>'RY#1 Therms by Block'!K53/'RY#1 Therms by Block'!K$56</f>
        <v>0.12330079093802805</v>
      </c>
      <c r="L53" s="154">
        <f>'RY#1 Therms by Block'!L53/'RY#1 Therms by Block'!L$56</f>
        <v>0.12826572770461539</v>
      </c>
      <c r="M53" s="154">
        <f>'RY#1 Therms by Block'!M53/'RY#1 Therms by Block'!M$56</f>
        <v>0.13984496691712556</v>
      </c>
      <c r="N53" s="154">
        <f>'RY#1 Therms by Block'!N53/'RY#1 Therms by Block'!N$56</f>
        <v>0.1323173600543163</v>
      </c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>
      <c r="A54" s="30" t="s">
        <v>64</v>
      </c>
      <c r="B54" s="154">
        <f>'RY#1 Therms by Block'!B54/'RY#1 Therms by Block'!B$56</f>
        <v>0.28134909657069795</v>
      </c>
      <c r="C54" s="154">
        <f>'RY#1 Therms by Block'!C54/'RY#1 Therms by Block'!C$56</f>
        <v>0.300517174782375</v>
      </c>
      <c r="D54" s="154">
        <f>'RY#1 Therms by Block'!D54/'RY#1 Therms by Block'!D$56</f>
        <v>0.28103960308918635</v>
      </c>
      <c r="E54" s="154">
        <f>'RY#1 Therms by Block'!E54/'RY#1 Therms by Block'!E$56</f>
        <v>0.2882638747745927</v>
      </c>
      <c r="F54" s="154">
        <f>'RY#1 Therms by Block'!F54/'RY#1 Therms by Block'!F$56</f>
        <v>0.30178803268774496</v>
      </c>
      <c r="G54" s="154">
        <f>'RY#1 Therms by Block'!G54/'RY#1 Therms by Block'!G$56</f>
        <v>0.30423983133746468</v>
      </c>
      <c r="H54" s="154">
        <f>'RY#1 Therms by Block'!H54/'RY#1 Therms by Block'!H$56</f>
        <v>0.30106625827470196</v>
      </c>
      <c r="I54" s="154">
        <f>'RY#1 Therms by Block'!I54/'RY#1 Therms by Block'!I$56</f>
        <v>0.29952101375817064</v>
      </c>
      <c r="J54" s="154">
        <f>'RY#1 Therms by Block'!J54/'RY#1 Therms by Block'!J$56</f>
        <v>0.30577937189620419</v>
      </c>
      <c r="K54" s="154">
        <f>'RY#1 Therms by Block'!K54/'RY#1 Therms by Block'!K$56</f>
        <v>0.27443567042267097</v>
      </c>
      <c r="L54" s="154">
        <f>'RY#1 Therms by Block'!L54/'RY#1 Therms by Block'!L$56</f>
        <v>0.2646130677576356</v>
      </c>
      <c r="M54" s="154">
        <f>'RY#1 Therms by Block'!M54/'RY#1 Therms by Block'!M$56</f>
        <v>0.31691043773807909</v>
      </c>
      <c r="N54" s="154">
        <f>'RY#1 Therms by Block'!N54/'RY#1 Therms by Block'!N$56</f>
        <v>0.29590527426795066</v>
      </c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>
      <c r="A55" s="30" t="s">
        <v>82</v>
      </c>
      <c r="B55" s="154">
        <f>'RY#1 Therms by Block'!B55/'RY#1 Therms by Block'!B$56</f>
        <v>0.37670339871423081</v>
      </c>
      <c r="C55" s="154">
        <f>'RY#1 Therms by Block'!C55/'RY#1 Therms by Block'!C$56</f>
        <v>0.40078954984041248</v>
      </c>
      <c r="D55" s="154">
        <f>'RY#1 Therms by Block'!D55/'RY#1 Therms by Block'!D$56</f>
        <v>0.37598566931205107</v>
      </c>
      <c r="E55" s="154">
        <f>'RY#1 Therms by Block'!E55/'RY#1 Therms by Block'!E$56</f>
        <v>0.38378952313529574</v>
      </c>
      <c r="F55" s="154">
        <f>'RY#1 Therms by Block'!F55/'RY#1 Therms by Block'!F$56</f>
        <v>0.3979675018333409</v>
      </c>
      <c r="G55" s="154">
        <f>'RY#1 Therms by Block'!G55/'RY#1 Therms by Block'!G$56</f>
        <v>0.40065109019275114</v>
      </c>
      <c r="H55" s="154">
        <f>'RY#1 Therms by Block'!H55/'RY#1 Therms by Block'!H$56</f>
        <v>0.39539101213074401</v>
      </c>
      <c r="I55" s="154">
        <f>'RY#1 Therms by Block'!I55/'RY#1 Therms by Block'!I$56</f>
        <v>0.39342411889923956</v>
      </c>
      <c r="J55" s="154">
        <f>'RY#1 Therms by Block'!J55/'RY#1 Therms by Block'!J$56</f>
        <v>0.40162370908220535</v>
      </c>
      <c r="K55" s="154">
        <f>'RY#1 Therms by Block'!K55/'RY#1 Therms by Block'!K$56</f>
        <v>0.36373263350064949</v>
      </c>
      <c r="L55" s="154">
        <f>'RY#1 Therms by Block'!L55/'RY#1 Therms by Block'!L$56</f>
        <v>0.35573466511094909</v>
      </c>
      <c r="M55" s="154">
        <f>'RY#1 Therms by Block'!M55/'RY#1 Therms by Block'!M$56</f>
        <v>0.41866857426055282</v>
      </c>
      <c r="N55" s="154">
        <f>'RY#1 Therms by Block'!N55/'RY#1 Therms by Block'!N$56</f>
        <v>0.39185109960551046</v>
      </c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>
      <c r="A56" s="30" t="s">
        <v>6</v>
      </c>
      <c r="B56" s="158">
        <f>SUM(B50:B55)</f>
        <v>1</v>
      </c>
      <c r="C56" s="158">
        <f t="shared" ref="C56:N56" si="8">SUM(C50:C55)</f>
        <v>1</v>
      </c>
      <c r="D56" s="158">
        <f t="shared" si="8"/>
        <v>1</v>
      </c>
      <c r="E56" s="158">
        <f t="shared" si="8"/>
        <v>0.99999999999999978</v>
      </c>
      <c r="F56" s="158">
        <f t="shared" si="8"/>
        <v>1</v>
      </c>
      <c r="G56" s="158">
        <f t="shared" si="8"/>
        <v>1</v>
      </c>
      <c r="H56" s="158">
        <f t="shared" si="8"/>
        <v>1</v>
      </c>
      <c r="I56" s="158">
        <f t="shared" si="8"/>
        <v>1</v>
      </c>
      <c r="J56" s="158">
        <f t="shared" si="8"/>
        <v>1</v>
      </c>
      <c r="K56" s="158">
        <f t="shared" si="8"/>
        <v>1</v>
      </c>
      <c r="L56" s="158">
        <f t="shared" si="8"/>
        <v>1</v>
      </c>
      <c r="M56" s="158">
        <f t="shared" si="8"/>
        <v>0.99999999999999989</v>
      </c>
      <c r="N56" s="158">
        <f t="shared" si="8"/>
        <v>1</v>
      </c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8" spans="1:42">
      <c r="A58" s="31" t="s">
        <v>355</v>
      </c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</row>
    <row r="59" spans="1:42">
      <c r="A59" s="30" t="s">
        <v>56</v>
      </c>
      <c r="B59" s="154">
        <f>'RY#1 Therms by Block'!B59/'RY#1 Therms by Block'!B$65</f>
        <v>1.1236308558022051E-2</v>
      </c>
      <c r="C59" s="154">
        <f>'RY#1 Therms by Block'!C59/'RY#1 Therms by Block'!C$65</f>
        <v>1.2440193768458138E-2</v>
      </c>
      <c r="D59" s="154">
        <f>'RY#1 Therms by Block'!D59/'RY#1 Therms by Block'!D$65</f>
        <v>1.1236308558022051E-2</v>
      </c>
      <c r="E59" s="154">
        <f>'RY#1 Therms by Block'!E59/'RY#1 Therms by Block'!E$65</f>
        <v>1.1610847132051093E-2</v>
      </c>
      <c r="F59" s="154">
        <f>'RY#1 Therms by Block'!F59/'RY#1 Therms by Block'!F$65</f>
        <v>1.1236308558022051E-2</v>
      </c>
      <c r="G59" s="154">
        <f>'RY#1 Therms by Block'!G59/'RY#1 Therms by Block'!G$65</f>
        <v>5.2949622246804967E-3</v>
      </c>
      <c r="H59" s="154">
        <f>'RY#1 Therms by Block'!H59/'RY#1 Therms by Block'!H$65</f>
        <v>5.124157306710125E-3</v>
      </c>
      <c r="I59" s="154">
        <f>'RY#1 Therms by Block'!I59/'RY#1 Therms by Block'!I$65</f>
        <v>5.124157306710125E-3</v>
      </c>
      <c r="J59" s="154">
        <f>'RY#1 Therms by Block'!J59/'RY#1 Therms by Block'!J$65</f>
        <v>5.2949622246804967E-3</v>
      </c>
      <c r="K59" s="154">
        <f>'RY#1 Therms by Block'!K59/'RY#1 Therms by Block'!K$65</f>
        <v>5.124157306710125E-3</v>
      </c>
      <c r="L59" s="154">
        <f>'RY#1 Therms by Block'!L59/'RY#1 Therms by Block'!L$65</f>
        <v>1.1610847132051093E-2</v>
      </c>
      <c r="M59" s="154">
        <f>'RY#1 Therms by Block'!M59/'RY#1 Therms by Block'!M$65</f>
        <v>1.1236308558022051E-2</v>
      </c>
      <c r="N59" s="154">
        <f>'RY#1 Therms by Block'!N59/'RY#1 Therms by Block'!N$65</f>
        <v>7.6345311267977537E-3</v>
      </c>
    </row>
    <row r="60" spans="1:42">
      <c r="A60" s="30" t="s">
        <v>57</v>
      </c>
      <c r="B60" s="154">
        <f>'RY#1 Therms by Block'!B60/'RY#1 Therms by Block'!B$65</f>
        <v>1.1236308558022051E-2</v>
      </c>
      <c r="C60" s="154">
        <f>'RY#1 Therms by Block'!C60/'RY#1 Therms by Block'!C$65</f>
        <v>1.2440193768458138E-2</v>
      </c>
      <c r="D60" s="154">
        <f>'RY#1 Therms by Block'!D60/'RY#1 Therms by Block'!D$65</f>
        <v>1.1236308558022051E-2</v>
      </c>
      <c r="E60" s="154">
        <f>'RY#1 Therms by Block'!E60/'RY#1 Therms by Block'!E$65</f>
        <v>1.1610847132051093E-2</v>
      </c>
      <c r="F60" s="154">
        <f>'RY#1 Therms by Block'!F60/'RY#1 Therms by Block'!F$65</f>
        <v>1.1236308558022051E-2</v>
      </c>
      <c r="G60" s="154">
        <f>'RY#1 Therms by Block'!G60/'RY#1 Therms by Block'!G$65</f>
        <v>5.2949622246804967E-3</v>
      </c>
      <c r="H60" s="154">
        <f>'RY#1 Therms by Block'!H60/'RY#1 Therms by Block'!H$65</f>
        <v>5.124157306710125E-3</v>
      </c>
      <c r="I60" s="154">
        <f>'RY#1 Therms by Block'!I60/'RY#1 Therms by Block'!I$65</f>
        <v>5.124157306710125E-3</v>
      </c>
      <c r="J60" s="154">
        <f>'RY#1 Therms by Block'!J60/'RY#1 Therms by Block'!J$65</f>
        <v>5.2949622246804967E-3</v>
      </c>
      <c r="K60" s="154">
        <f>'RY#1 Therms by Block'!K60/'RY#1 Therms by Block'!K$65</f>
        <v>5.124157306710125E-3</v>
      </c>
      <c r="L60" s="154">
        <f>'RY#1 Therms by Block'!L60/'RY#1 Therms by Block'!L$65</f>
        <v>1.1610847132051093E-2</v>
      </c>
      <c r="M60" s="154">
        <f>'RY#1 Therms by Block'!M60/'RY#1 Therms by Block'!M$65</f>
        <v>1.1236308558022051E-2</v>
      </c>
      <c r="N60" s="154">
        <f>'RY#1 Therms by Block'!N60/'RY#1 Therms by Block'!N$65</f>
        <v>7.6345311267977537E-3</v>
      </c>
    </row>
    <row r="61" spans="1:42">
      <c r="A61" s="30" t="s">
        <v>62</v>
      </c>
      <c r="B61" s="154">
        <f>'RY#1 Therms by Block'!B61/'RY#1 Therms by Block'!B$65</f>
        <v>2.2472617116044102E-2</v>
      </c>
      <c r="C61" s="154">
        <f>'RY#1 Therms by Block'!C61/'RY#1 Therms by Block'!C$65</f>
        <v>2.4880387536916276E-2</v>
      </c>
      <c r="D61" s="154">
        <f>'RY#1 Therms by Block'!D61/'RY#1 Therms by Block'!D$65</f>
        <v>2.2472617116044102E-2</v>
      </c>
      <c r="E61" s="154">
        <f>'RY#1 Therms by Block'!E61/'RY#1 Therms by Block'!E$65</f>
        <v>2.3221694264102186E-2</v>
      </c>
      <c r="F61" s="154">
        <f>'RY#1 Therms by Block'!F61/'RY#1 Therms by Block'!F$65</f>
        <v>2.2472617116044102E-2</v>
      </c>
      <c r="G61" s="154">
        <f>'RY#1 Therms by Block'!G61/'RY#1 Therms by Block'!G$65</f>
        <v>1.0589924449360993E-2</v>
      </c>
      <c r="H61" s="154">
        <f>'RY#1 Therms by Block'!H61/'RY#1 Therms by Block'!H$65</f>
        <v>1.024831461342025E-2</v>
      </c>
      <c r="I61" s="154">
        <f>'RY#1 Therms by Block'!I61/'RY#1 Therms by Block'!I$65</f>
        <v>1.024831461342025E-2</v>
      </c>
      <c r="J61" s="154">
        <f>'RY#1 Therms by Block'!J61/'RY#1 Therms by Block'!J$65</f>
        <v>1.0589924449360993E-2</v>
      </c>
      <c r="K61" s="154">
        <f>'RY#1 Therms by Block'!K61/'RY#1 Therms by Block'!K$65</f>
        <v>1.024831461342025E-2</v>
      </c>
      <c r="L61" s="154">
        <f>'RY#1 Therms by Block'!L61/'RY#1 Therms by Block'!L$65</f>
        <v>2.3221694264102186E-2</v>
      </c>
      <c r="M61" s="154">
        <f>'RY#1 Therms by Block'!M61/'RY#1 Therms by Block'!M$65</f>
        <v>2.2472617116044102E-2</v>
      </c>
      <c r="N61" s="154">
        <f>'RY#1 Therms by Block'!N61/'RY#1 Therms by Block'!N$65</f>
        <v>1.5269062253595507E-2</v>
      </c>
    </row>
    <row r="62" spans="1:42">
      <c r="A62" s="30" t="s">
        <v>63</v>
      </c>
      <c r="B62" s="154">
        <f>'RY#1 Therms by Block'!B62/'RY#1 Therms by Block'!B$65</f>
        <v>4.4945234232088203E-2</v>
      </c>
      <c r="C62" s="154">
        <f>'RY#1 Therms by Block'!C62/'RY#1 Therms by Block'!C$65</f>
        <v>4.9760775073832551E-2</v>
      </c>
      <c r="D62" s="154">
        <f>'RY#1 Therms by Block'!D62/'RY#1 Therms by Block'!D$65</f>
        <v>4.4945234232088203E-2</v>
      </c>
      <c r="E62" s="154">
        <f>'RY#1 Therms by Block'!E62/'RY#1 Therms by Block'!E$65</f>
        <v>4.6443388528204371E-2</v>
      </c>
      <c r="F62" s="154">
        <f>'RY#1 Therms by Block'!F62/'RY#1 Therms by Block'!F$65</f>
        <v>4.4945234232088203E-2</v>
      </c>
      <c r="G62" s="154">
        <f>'RY#1 Therms by Block'!G62/'RY#1 Therms by Block'!G$65</f>
        <v>2.1179848898721987E-2</v>
      </c>
      <c r="H62" s="154">
        <f>'RY#1 Therms by Block'!H62/'RY#1 Therms by Block'!H$65</f>
        <v>2.04966292268405E-2</v>
      </c>
      <c r="I62" s="154">
        <f>'RY#1 Therms by Block'!I62/'RY#1 Therms by Block'!I$65</f>
        <v>2.04966292268405E-2</v>
      </c>
      <c r="J62" s="154">
        <f>'RY#1 Therms by Block'!J62/'RY#1 Therms by Block'!J$65</f>
        <v>2.1179848898721987E-2</v>
      </c>
      <c r="K62" s="154">
        <f>'RY#1 Therms by Block'!K62/'RY#1 Therms by Block'!K$65</f>
        <v>2.04966292268405E-2</v>
      </c>
      <c r="L62" s="154">
        <f>'RY#1 Therms by Block'!L62/'RY#1 Therms by Block'!L$65</f>
        <v>4.6443388528204371E-2</v>
      </c>
      <c r="M62" s="154">
        <f>'RY#1 Therms by Block'!M62/'RY#1 Therms by Block'!M$65</f>
        <v>4.4945234232088203E-2</v>
      </c>
      <c r="N62" s="154">
        <f>'RY#1 Therms by Block'!N62/'RY#1 Therms by Block'!N$65</f>
        <v>3.0538124507191015E-2</v>
      </c>
    </row>
    <row r="63" spans="1:42">
      <c r="A63" s="30" t="s">
        <v>64</v>
      </c>
      <c r="B63" s="154">
        <f>'RY#1 Therms by Block'!B63/'RY#1 Therms by Block'!B$65</f>
        <v>0.1348357026962646</v>
      </c>
      <c r="C63" s="154">
        <f>'RY#1 Therms by Block'!C63/'RY#1 Therms by Block'!C$65</f>
        <v>0.14928232522149765</v>
      </c>
      <c r="D63" s="154">
        <f>'RY#1 Therms by Block'!D63/'RY#1 Therms by Block'!D$65</f>
        <v>0.1348357026962646</v>
      </c>
      <c r="E63" s="154">
        <f>'RY#1 Therms by Block'!E63/'RY#1 Therms by Block'!E$65</f>
        <v>0.13933016558461311</v>
      </c>
      <c r="F63" s="154">
        <f>'RY#1 Therms by Block'!F63/'RY#1 Therms by Block'!F$65</f>
        <v>0.1348357026962646</v>
      </c>
      <c r="G63" s="154">
        <f>'RY#1 Therms by Block'!G63/'RY#1 Therms by Block'!G$65</f>
        <v>6.3539546696165961E-2</v>
      </c>
      <c r="H63" s="154">
        <f>'RY#1 Therms by Block'!H63/'RY#1 Therms by Block'!H$65</f>
        <v>6.14898876805215E-2</v>
      </c>
      <c r="I63" s="154">
        <f>'RY#1 Therms by Block'!I63/'RY#1 Therms by Block'!I$65</f>
        <v>6.14898876805215E-2</v>
      </c>
      <c r="J63" s="154">
        <f>'RY#1 Therms by Block'!J63/'RY#1 Therms by Block'!J$65</f>
        <v>6.3539546696165961E-2</v>
      </c>
      <c r="K63" s="154">
        <f>'RY#1 Therms by Block'!K63/'RY#1 Therms by Block'!K$65</f>
        <v>6.14898876805215E-2</v>
      </c>
      <c r="L63" s="154">
        <f>'RY#1 Therms by Block'!L63/'RY#1 Therms by Block'!L$65</f>
        <v>0.13933016558461311</v>
      </c>
      <c r="M63" s="154">
        <f>'RY#1 Therms by Block'!M63/'RY#1 Therms by Block'!M$65</f>
        <v>0.1348357026962646</v>
      </c>
      <c r="N63" s="154">
        <f>'RY#1 Therms by Block'!N63/'RY#1 Therms by Block'!N$65</f>
        <v>9.1614373521573048E-2</v>
      </c>
    </row>
    <row r="64" spans="1:42">
      <c r="A64" s="30" t="s">
        <v>82</v>
      </c>
      <c r="B64" s="154">
        <f>'RY#1 Therms by Block'!B64/'RY#1 Therms by Block'!B$65</f>
        <v>0.77527382883955898</v>
      </c>
      <c r="C64" s="154">
        <f>'RY#1 Therms by Block'!C64/'RY#1 Therms by Block'!C$65</f>
        <v>0.75119612463083729</v>
      </c>
      <c r="D64" s="154">
        <f>'RY#1 Therms by Block'!D64/'RY#1 Therms by Block'!D$65</f>
        <v>0.77527382883955898</v>
      </c>
      <c r="E64" s="154">
        <f>'RY#1 Therms by Block'!E64/'RY#1 Therms by Block'!E$65</f>
        <v>0.76778305735897812</v>
      </c>
      <c r="F64" s="154">
        <f>'RY#1 Therms by Block'!F64/'RY#1 Therms by Block'!F$65</f>
        <v>0.77527382883955898</v>
      </c>
      <c r="G64" s="154">
        <f>'RY#1 Therms by Block'!G64/'RY#1 Therms by Block'!G$65</f>
        <v>0.89410075550639012</v>
      </c>
      <c r="H64" s="154">
        <f>'RY#1 Therms by Block'!H64/'RY#1 Therms by Block'!H$65</f>
        <v>0.89751685386579749</v>
      </c>
      <c r="I64" s="154">
        <f>'RY#1 Therms by Block'!I64/'RY#1 Therms by Block'!I$65</f>
        <v>0.89751685386579749</v>
      </c>
      <c r="J64" s="154">
        <f>'RY#1 Therms by Block'!J64/'RY#1 Therms by Block'!J$65</f>
        <v>0.89410075550639012</v>
      </c>
      <c r="K64" s="154">
        <f>'RY#1 Therms by Block'!K64/'RY#1 Therms by Block'!K$65</f>
        <v>0.89751685386579749</v>
      </c>
      <c r="L64" s="154">
        <f>'RY#1 Therms by Block'!L64/'RY#1 Therms by Block'!L$65</f>
        <v>0.76778305735897812</v>
      </c>
      <c r="M64" s="154">
        <f>'RY#1 Therms by Block'!M64/'RY#1 Therms by Block'!M$65</f>
        <v>0.77527382883955898</v>
      </c>
      <c r="N64" s="154">
        <f>'RY#1 Therms by Block'!N64/'RY#1 Therms by Block'!N$65</f>
        <v>0.84730937746404489</v>
      </c>
    </row>
    <row r="65" spans="1:14">
      <c r="A65" s="30" t="s">
        <v>6</v>
      </c>
      <c r="B65" s="158">
        <f>SUM(B59:B64)</f>
        <v>1</v>
      </c>
      <c r="C65" s="158">
        <f t="shared" ref="C65:N65" si="9">SUM(C59:C64)</f>
        <v>1</v>
      </c>
      <c r="D65" s="158">
        <f t="shared" si="9"/>
        <v>1</v>
      </c>
      <c r="E65" s="158">
        <f t="shared" si="9"/>
        <v>1</v>
      </c>
      <c r="F65" s="158">
        <f t="shared" si="9"/>
        <v>1</v>
      </c>
      <c r="G65" s="158">
        <f t="shared" si="9"/>
        <v>1</v>
      </c>
      <c r="H65" s="158">
        <f t="shared" si="9"/>
        <v>1</v>
      </c>
      <c r="I65" s="158">
        <f t="shared" si="9"/>
        <v>1</v>
      </c>
      <c r="J65" s="158">
        <f t="shared" si="9"/>
        <v>1</v>
      </c>
      <c r="K65" s="158">
        <f t="shared" si="9"/>
        <v>1</v>
      </c>
      <c r="L65" s="158">
        <f t="shared" si="9"/>
        <v>1</v>
      </c>
      <c r="M65" s="158">
        <f t="shared" si="9"/>
        <v>1</v>
      </c>
      <c r="N65" s="158">
        <f t="shared" si="9"/>
        <v>1</v>
      </c>
    </row>
    <row r="67" spans="1:14">
      <c r="A67" s="30"/>
      <c r="B67" s="149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</row>
    <row r="74" spans="1:14">
      <c r="A74" s="30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</row>
    <row r="80" spans="1:14">
      <c r="A80" s="30"/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</sheetData>
  <printOptions horizontalCentered="1"/>
  <pageMargins left="0.5" right="0.5" top="1" bottom="1" header="0.5" footer="0.5"/>
  <pageSetup scale="55" orientation="landscape" horizontalDpi="300" verticalDpi="300" r:id="rId1"/>
  <headerFooter alignWithMargins="0">
    <oddHeader xml:space="preserve">&amp;C
</oddHeader>
    <oddFooter>&amp;L&amp;F 
&amp;A&amp;C&amp;P&amp;R&amp;D</oddFooter>
  </headerFooter>
  <rowBreaks count="1" manualBreakCount="1">
    <brk id="29" max="13" man="1"/>
  </rowBreaks>
  <customProperties>
    <customPr name="_pios_id" r:id="rId2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AP89"/>
  <sheetViews>
    <sheetView zoomScale="90" zoomScaleNormal="90" workbookViewId="0">
      <pane ySplit="5" topLeftCell="A30" activePane="bottomLeft" state="frozen"/>
      <selection activeCell="M40" sqref="M40"/>
      <selection pane="bottomLeft" activeCell="M40" sqref="M40"/>
    </sheetView>
  </sheetViews>
  <sheetFormatPr defaultColWidth="9.140625" defaultRowHeight="12.75"/>
  <cols>
    <col min="1" max="1" width="32.7109375" style="62" bestFit="1" customWidth="1"/>
    <col min="2" max="13" width="12.140625" style="62" customWidth="1"/>
    <col min="14" max="14" width="13.28515625" style="62" bestFit="1" customWidth="1"/>
    <col min="15" max="16384" width="9.140625" style="62"/>
  </cols>
  <sheetData>
    <row r="1" spans="1:42">
      <c r="A1" s="62" t="s">
        <v>0</v>
      </c>
    </row>
    <row r="2" spans="1:42">
      <c r="A2" s="62" t="s">
        <v>208</v>
      </c>
    </row>
    <row r="3" spans="1:42">
      <c r="A3" s="62" t="s">
        <v>210</v>
      </c>
    </row>
    <row r="5" spans="1:42">
      <c r="A5" s="51" t="s">
        <v>76</v>
      </c>
      <c r="B5" s="150">
        <v>45658</v>
      </c>
      <c r="C5" s="150">
        <f>EDATE(B5,1)</f>
        <v>45689</v>
      </c>
      <c r="D5" s="150">
        <f t="shared" ref="D5:M5" si="0">EDATE(C5,1)</f>
        <v>45717</v>
      </c>
      <c r="E5" s="150">
        <f t="shared" si="0"/>
        <v>45748</v>
      </c>
      <c r="F5" s="150">
        <f t="shared" si="0"/>
        <v>45778</v>
      </c>
      <c r="G5" s="150">
        <f t="shared" si="0"/>
        <v>45809</v>
      </c>
      <c r="H5" s="150">
        <f t="shared" si="0"/>
        <v>45839</v>
      </c>
      <c r="I5" s="150">
        <f t="shared" si="0"/>
        <v>45870</v>
      </c>
      <c r="J5" s="150">
        <f t="shared" si="0"/>
        <v>45901</v>
      </c>
      <c r="K5" s="150">
        <f t="shared" si="0"/>
        <v>45931</v>
      </c>
      <c r="L5" s="150">
        <f t="shared" si="0"/>
        <v>45962</v>
      </c>
      <c r="M5" s="150">
        <f t="shared" si="0"/>
        <v>45992</v>
      </c>
      <c r="N5" s="63" t="s">
        <v>6</v>
      </c>
    </row>
    <row r="6" spans="1:42">
      <c r="A6" s="31" t="s">
        <v>84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42">
      <c r="A7" s="30" t="s">
        <v>83</v>
      </c>
      <c r="B7" s="55">
        <v>1282418.9532222147</v>
      </c>
      <c r="C7" s="55">
        <v>1212185.6939876515</v>
      </c>
      <c r="D7" s="55">
        <v>1117852.5804111555</v>
      </c>
      <c r="E7" s="55">
        <v>851529.504416132</v>
      </c>
      <c r="F7" s="55">
        <v>678621.5731209364</v>
      </c>
      <c r="G7" s="55">
        <v>567329.74141353485</v>
      </c>
      <c r="H7" s="55">
        <v>457715.71647016535</v>
      </c>
      <c r="I7" s="55">
        <v>496819.17290862859</v>
      </c>
      <c r="J7" s="55">
        <v>616353.61981709523</v>
      </c>
      <c r="K7" s="55">
        <v>1041460.2781542543</v>
      </c>
      <c r="L7" s="55">
        <v>1345481.1690611076</v>
      </c>
      <c r="M7" s="55">
        <v>1472347.6821168808</v>
      </c>
      <c r="N7" s="149">
        <f>SUM(B7:M7)</f>
        <v>11140115.685099756</v>
      </c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>
      <c r="A8" s="30" t="s">
        <v>78</v>
      </c>
      <c r="B8" s="55">
        <v>3113956.2651768234</v>
      </c>
      <c r="C8" s="55">
        <v>2947390.6134131257</v>
      </c>
      <c r="D8" s="55">
        <v>2723454.0269935778</v>
      </c>
      <c r="E8" s="55">
        <v>2087301.856837204</v>
      </c>
      <c r="F8" s="55">
        <v>1666282.4256924987</v>
      </c>
      <c r="G8" s="55">
        <v>1400563.4921605082</v>
      </c>
      <c r="H8" s="55">
        <v>1134560.7250790179</v>
      </c>
      <c r="I8" s="55">
        <v>1234543.8215208109</v>
      </c>
      <c r="J8" s="55">
        <v>1534311.338757542</v>
      </c>
      <c r="K8" s="55">
        <v>2536466.8318401994</v>
      </c>
      <c r="L8" s="55">
        <v>3276297.6821251684</v>
      </c>
      <c r="M8" s="55">
        <v>3579368.7566265143</v>
      </c>
      <c r="N8" s="149">
        <f t="shared" ref="N8:N9" si="1">SUM(B8:M8)</f>
        <v>27234497.836222991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>
      <c r="A9" s="30" t="s">
        <v>79</v>
      </c>
      <c r="B9" s="55">
        <v>2406605.7816009615</v>
      </c>
      <c r="C9" s="55">
        <v>2297435.6925992225</v>
      </c>
      <c r="D9" s="55">
        <v>2149577.3925952665</v>
      </c>
      <c r="E9" s="55">
        <v>1709760.6387466639</v>
      </c>
      <c r="F9" s="55">
        <v>1378638.0011865648</v>
      </c>
      <c r="G9" s="55">
        <v>1195518.7664259567</v>
      </c>
      <c r="H9" s="55">
        <v>990731.55845081643</v>
      </c>
      <c r="I9" s="55">
        <v>1092772.0055705602</v>
      </c>
      <c r="J9" s="55">
        <v>1371278.0414253627</v>
      </c>
      <c r="K9" s="55">
        <v>1997720.8900055459</v>
      </c>
      <c r="L9" s="55">
        <v>2577422.1488137236</v>
      </c>
      <c r="M9" s="55">
        <v>2787114.5612566043</v>
      </c>
      <c r="N9" s="149">
        <f t="shared" si="1"/>
        <v>21954575.47867725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>
      <c r="A10" s="30" t="s">
        <v>6</v>
      </c>
      <c r="B10" s="151">
        <f>SUM(B7:B9)</f>
        <v>6802981</v>
      </c>
      <c r="C10" s="151">
        <f t="shared" ref="C10:N10" si="2">SUM(C7:C9)</f>
        <v>6457012</v>
      </c>
      <c r="D10" s="151">
        <f t="shared" si="2"/>
        <v>5990884</v>
      </c>
      <c r="E10" s="151">
        <f t="shared" si="2"/>
        <v>4648592</v>
      </c>
      <c r="F10" s="151">
        <f t="shared" si="2"/>
        <v>3723542</v>
      </c>
      <c r="G10" s="151">
        <f t="shared" si="2"/>
        <v>3163412</v>
      </c>
      <c r="H10" s="151">
        <f t="shared" si="2"/>
        <v>2583008</v>
      </c>
      <c r="I10" s="151">
        <f t="shared" si="2"/>
        <v>2824135</v>
      </c>
      <c r="J10" s="151">
        <f t="shared" si="2"/>
        <v>3521943</v>
      </c>
      <c r="K10" s="151">
        <f t="shared" si="2"/>
        <v>5575648</v>
      </c>
      <c r="L10" s="151">
        <f t="shared" si="2"/>
        <v>7199200.9999999991</v>
      </c>
      <c r="M10" s="151">
        <f t="shared" si="2"/>
        <v>7838830.9999999991</v>
      </c>
      <c r="N10" s="151">
        <f t="shared" si="2"/>
        <v>60329189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>
      <c r="A11" s="30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>
      <c r="A12" s="31" t="s">
        <v>35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>
      <c r="A13" s="30" t="s">
        <v>77</v>
      </c>
      <c r="B13" s="55">
        <v>85058.867823948109</v>
      </c>
      <c r="C13" s="55">
        <v>100306.42148128526</v>
      </c>
      <c r="D13" s="55">
        <v>89124.471357791437</v>
      </c>
      <c r="E13" s="55">
        <v>94797.426022970511</v>
      </c>
      <c r="F13" s="55">
        <v>89726.308577478718</v>
      </c>
      <c r="G13" s="55">
        <v>93371.872995612488</v>
      </c>
      <c r="H13" s="55">
        <v>82649.104059743462</v>
      </c>
      <c r="I13" s="55">
        <v>84005.334896731729</v>
      </c>
      <c r="J13" s="55">
        <v>86255.882252682291</v>
      </c>
      <c r="K13" s="55">
        <v>74868.531031786813</v>
      </c>
      <c r="L13" s="55">
        <v>90909.505411462393</v>
      </c>
      <c r="M13" s="55">
        <v>90873.599279289847</v>
      </c>
      <c r="N13" s="149">
        <f>SUM(B13:M13)</f>
        <v>1061947.3251907832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>
      <c r="A14" s="30" t="s">
        <v>78</v>
      </c>
      <c r="B14" s="55">
        <v>336130.31360704423</v>
      </c>
      <c r="C14" s="55">
        <v>396106.81442197511</v>
      </c>
      <c r="D14" s="55">
        <v>351319.83967569983</v>
      </c>
      <c r="E14" s="55">
        <v>374390.04862553207</v>
      </c>
      <c r="F14" s="55">
        <v>356217.86016231577</v>
      </c>
      <c r="G14" s="55">
        <v>369027.70482962223</v>
      </c>
      <c r="H14" s="55">
        <v>327086.95792891621</v>
      </c>
      <c r="I14" s="55">
        <v>331799.49603295914</v>
      </c>
      <c r="J14" s="55">
        <v>340848.34126150957</v>
      </c>
      <c r="K14" s="55">
        <v>295134.6191416512</v>
      </c>
      <c r="L14" s="55">
        <v>358933.66909116029</v>
      </c>
      <c r="M14" s="55">
        <v>358514.86839572573</v>
      </c>
      <c r="N14" s="149">
        <f t="shared" ref="N14:N15" si="3">SUM(B14:M14)</f>
        <v>4195510.5331741106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>
      <c r="A15" s="30" t="s">
        <v>79</v>
      </c>
      <c r="B15" s="55">
        <v>1323609.8185690076</v>
      </c>
      <c r="C15" s="55">
        <v>1554149.7640967397</v>
      </c>
      <c r="D15" s="55">
        <v>1365642.6889665085</v>
      </c>
      <c r="E15" s="55">
        <v>1469715.5253514973</v>
      </c>
      <c r="F15" s="55">
        <v>1436033.8312602055</v>
      </c>
      <c r="G15" s="55">
        <v>1454097.4221747653</v>
      </c>
      <c r="H15" s="55">
        <v>1297721.9380113403</v>
      </c>
      <c r="I15" s="55">
        <v>1303158.169070309</v>
      </c>
      <c r="J15" s="55">
        <v>1341939.776485808</v>
      </c>
      <c r="K15" s="55">
        <v>1147449.849826562</v>
      </c>
      <c r="L15" s="55">
        <v>1406978.8254973772</v>
      </c>
      <c r="M15" s="55">
        <v>1399713.5323249844</v>
      </c>
      <c r="N15" s="149">
        <f t="shared" si="3"/>
        <v>16500211.141635105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>
      <c r="A16" s="30" t="s">
        <v>6</v>
      </c>
      <c r="B16" s="152">
        <f>SUM(B13:B15)</f>
        <v>1744799</v>
      </c>
      <c r="C16" s="152">
        <f t="shared" ref="C16:N16" si="4">SUM(C13:C15)</f>
        <v>2050563</v>
      </c>
      <c r="D16" s="152">
        <f t="shared" si="4"/>
        <v>1806086.9999999998</v>
      </c>
      <c r="E16" s="152">
        <f t="shared" si="4"/>
        <v>1938903</v>
      </c>
      <c r="F16" s="152">
        <f t="shared" si="4"/>
        <v>1881978</v>
      </c>
      <c r="G16" s="152">
        <f t="shared" si="4"/>
        <v>1916497</v>
      </c>
      <c r="H16" s="152">
        <f t="shared" si="4"/>
        <v>1707458</v>
      </c>
      <c r="I16" s="152">
        <f t="shared" si="4"/>
        <v>1718963</v>
      </c>
      <c r="J16" s="152">
        <f t="shared" si="4"/>
        <v>1769043.9999999998</v>
      </c>
      <c r="K16" s="152">
        <f t="shared" si="4"/>
        <v>1517453</v>
      </c>
      <c r="L16" s="152">
        <f t="shared" si="4"/>
        <v>1856822</v>
      </c>
      <c r="M16" s="152">
        <f t="shared" si="4"/>
        <v>1849102</v>
      </c>
      <c r="N16" s="152">
        <f t="shared" si="4"/>
        <v>21757669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>
      <c r="A18" s="62" t="s">
        <v>85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>
      <c r="A19" s="30" t="s">
        <v>56</v>
      </c>
      <c r="B19" s="55">
        <v>629300.98415700649</v>
      </c>
      <c r="C19" s="55">
        <v>620901.63698149391</v>
      </c>
      <c r="D19" s="55">
        <v>605685.23005841137</v>
      </c>
      <c r="E19" s="55">
        <v>524225.91143796686</v>
      </c>
      <c r="F19" s="55">
        <v>528597.728963951</v>
      </c>
      <c r="G19" s="55">
        <v>482329.3752423728</v>
      </c>
      <c r="H19" s="55">
        <v>487342.03469019616</v>
      </c>
      <c r="I19" s="55">
        <v>530534.7162159048</v>
      </c>
      <c r="J19" s="55">
        <v>467424.78654302162</v>
      </c>
      <c r="K19" s="55">
        <v>574771.81071642949</v>
      </c>
      <c r="L19" s="55">
        <v>605826.18868895934</v>
      </c>
      <c r="M19" s="55">
        <v>717132.88428615546</v>
      </c>
      <c r="N19" s="149">
        <f>SUM(B19:M19)</f>
        <v>6774073.2879818697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>
      <c r="A20" s="30" t="s">
        <v>57</v>
      </c>
      <c r="B20" s="55">
        <v>365375.73036424449</v>
      </c>
      <c r="C20" s="55">
        <v>360687.97326505161</v>
      </c>
      <c r="D20" s="55">
        <v>351112.26592426607</v>
      </c>
      <c r="E20" s="55">
        <v>303093.35693630885</v>
      </c>
      <c r="F20" s="55">
        <v>306214.17209832295</v>
      </c>
      <c r="G20" s="55">
        <v>277643.31497061311</v>
      </c>
      <c r="H20" s="55">
        <v>280423.42301264324</v>
      </c>
      <c r="I20" s="55">
        <v>305831.80068819848</v>
      </c>
      <c r="J20" s="55">
        <v>270306.2852658052</v>
      </c>
      <c r="K20" s="55">
        <v>333679.09333045315</v>
      </c>
      <c r="L20" s="55">
        <v>351650.10947669426</v>
      </c>
      <c r="M20" s="55">
        <v>416797.71073484328</v>
      </c>
      <c r="N20" s="149">
        <f t="shared" ref="N20:N21" si="5">SUM(B20:M20)</f>
        <v>3922815.2360674446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>
      <c r="A21" s="30" t="s">
        <v>80</v>
      </c>
      <c r="B21" s="55">
        <v>545068.28547874908</v>
      </c>
      <c r="C21" s="55">
        <v>535876.38975345448</v>
      </c>
      <c r="D21" s="55">
        <v>530213.50401732267</v>
      </c>
      <c r="E21" s="55">
        <v>466993.73162572435</v>
      </c>
      <c r="F21" s="55">
        <v>464871.09893772611</v>
      </c>
      <c r="G21" s="55">
        <v>442114.30978701415</v>
      </c>
      <c r="H21" s="55">
        <v>447777.5422971606</v>
      </c>
      <c r="I21" s="55">
        <v>481836.48309589678</v>
      </c>
      <c r="J21" s="55">
        <v>415847.92819117324</v>
      </c>
      <c r="K21" s="55">
        <v>498210.09595311742</v>
      </c>
      <c r="L21" s="55">
        <v>525709.70183434652</v>
      </c>
      <c r="M21" s="55">
        <v>616819.4049790015</v>
      </c>
      <c r="N21" s="149">
        <f t="shared" si="5"/>
        <v>5971338.4759506872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>
      <c r="A22" s="30" t="s">
        <v>6</v>
      </c>
      <c r="B22" s="152">
        <f>SUM(B19:B21)</f>
        <v>1539745</v>
      </c>
      <c r="C22" s="152">
        <f t="shared" ref="C22:N22" si="6">SUM(C19:C21)</f>
        <v>1517466</v>
      </c>
      <c r="D22" s="152">
        <f t="shared" si="6"/>
        <v>1487011</v>
      </c>
      <c r="E22" s="152">
        <f t="shared" si="6"/>
        <v>1294313</v>
      </c>
      <c r="F22" s="152">
        <f t="shared" si="6"/>
        <v>1299683</v>
      </c>
      <c r="G22" s="152">
        <f t="shared" si="6"/>
        <v>1202087</v>
      </c>
      <c r="H22" s="152">
        <f t="shared" si="6"/>
        <v>1215543</v>
      </c>
      <c r="I22" s="152">
        <f t="shared" si="6"/>
        <v>1318203</v>
      </c>
      <c r="J22" s="152">
        <f t="shared" si="6"/>
        <v>1153579</v>
      </c>
      <c r="K22" s="152">
        <f t="shared" si="6"/>
        <v>1406661</v>
      </c>
      <c r="L22" s="152">
        <f t="shared" si="6"/>
        <v>1483186</v>
      </c>
      <c r="M22" s="152">
        <f t="shared" si="6"/>
        <v>1750750.0000000002</v>
      </c>
      <c r="N22" s="152">
        <f t="shared" si="6"/>
        <v>16668227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>
      <c r="A24" s="31" t="s">
        <v>37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>
      <c r="A25" s="30" t="s">
        <v>56</v>
      </c>
      <c r="B25" s="55">
        <v>1818810.233653937</v>
      </c>
      <c r="C25" s="55">
        <v>2184312.2525789449</v>
      </c>
      <c r="D25" s="55">
        <v>1875342.6801498323</v>
      </c>
      <c r="E25" s="55">
        <v>2101497.5758010871</v>
      </c>
      <c r="F25" s="55">
        <v>2197182.4006888065</v>
      </c>
      <c r="G25" s="55">
        <v>2012460.5139700409</v>
      </c>
      <c r="H25" s="55">
        <v>1843523.906451104</v>
      </c>
      <c r="I25" s="55">
        <v>1806046.9160219366</v>
      </c>
      <c r="J25" s="55">
        <v>2007708.7972498103</v>
      </c>
      <c r="K25" s="55">
        <v>1629562.4572905987</v>
      </c>
      <c r="L25" s="55">
        <v>2033760.6774839945</v>
      </c>
      <c r="M25" s="55">
        <v>2042954.9880581005</v>
      </c>
      <c r="N25" s="149">
        <f>SUM(B25:M25)</f>
        <v>23553163.399398193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>
      <c r="A26" s="30" t="s">
        <v>57</v>
      </c>
      <c r="B26" s="55">
        <v>1222904.2094815436</v>
      </c>
      <c r="C26" s="55">
        <v>1469940.6498394615</v>
      </c>
      <c r="D26" s="55">
        <v>1261286.3990563231</v>
      </c>
      <c r="E26" s="55">
        <v>1414389.8172579748</v>
      </c>
      <c r="F26" s="55">
        <v>1480477.4723343463</v>
      </c>
      <c r="G26" s="55">
        <v>1354849.0455251336</v>
      </c>
      <c r="H26" s="55">
        <v>1241741.8038116265</v>
      </c>
      <c r="I26" s="55">
        <v>1216207.0511982888</v>
      </c>
      <c r="J26" s="55">
        <v>1352764.5274570403</v>
      </c>
      <c r="K26" s="55">
        <v>1097047.8678335866</v>
      </c>
      <c r="L26" s="55">
        <v>1369519.9744145386</v>
      </c>
      <c r="M26" s="55">
        <v>1374921.7939385483</v>
      </c>
      <c r="N26" s="149">
        <f t="shared" ref="N26:N27" si="7">SUM(B26:M26)</f>
        <v>15856050.612148412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>
      <c r="A27" s="30" t="s">
        <v>80</v>
      </c>
      <c r="B27" s="55">
        <v>1775158.5568645189</v>
      </c>
      <c r="C27" s="55">
        <v>2154523.0975815933</v>
      </c>
      <c r="D27" s="55">
        <v>1836878.9207938442</v>
      </c>
      <c r="E27" s="55">
        <v>2075999.6069409372</v>
      </c>
      <c r="F27" s="55">
        <v>2200241.1269768463</v>
      </c>
      <c r="G27" s="55">
        <v>1994814.440504825</v>
      </c>
      <c r="H27" s="55">
        <v>1838379.2897372693</v>
      </c>
      <c r="I27" s="55">
        <v>1795877.0327797739</v>
      </c>
      <c r="J27" s="55">
        <v>2009724.675293149</v>
      </c>
      <c r="K27" s="55">
        <v>1614874.6748758142</v>
      </c>
      <c r="L27" s="55">
        <v>2021755.3481014662</v>
      </c>
      <c r="M27" s="55">
        <v>2016995.2180033508</v>
      </c>
      <c r="N27" s="149">
        <f t="shared" si="7"/>
        <v>23335221.988453388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>
      <c r="A28" s="30" t="s">
        <v>6</v>
      </c>
      <c r="B28" s="152">
        <f>SUM(B25:B27)</f>
        <v>4816872.9999999991</v>
      </c>
      <c r="C28" s="152">
        <f t="shared" ref="C28:N28" si="8">SUM(C25:C27)</f>
        <v>5808776</v>
      </c>
      <c r="D28" s="152">
        <f t="shared" si="8"/>
        <v>4973508</v>
      </c>
      <c r="E28" s="152">
        <f t="shared" si="8"/>
        <v>5591886.9999999991</v>
      </c>
      <c r="F28" s="152">
        <f t="shared" si="8"/>
        <v>5877900.9999999991</v>
      </c>
      <c r="G28" s="152">
        <f t="shared" si="8"/>
        <v>5362123.9999999991</v>
      </c>
      <c r="H28" s="152">
        <f t="shared" si="8"/>
        <v>4923645</v>
      </c>
      <c r="I28" s="152">
        <f t="shared" si="8"/>
        <v>4818130.9999999991</v>
      </c>
      <c r="J28" s="152">
        <f t="shared" si="8"/>
        <v>5370198</v>
      </c>
      <c r="K28" s="152">
        <f t="shared" si="8"/>
        <v>4341485</v>
      </c>
      <c r="L28" s="152">
        <f t="shared" si="8"/>
        <v>5425035.9999999991</v>
      </c>
      <c r="M28" s="152">
        <f t="shared" si="8"/>
        <v>5434872</v>
      </c>
      <c r="N28" s="152">
        <f t="shared" si="8"/>
        <v>62744435.999999993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>
      <c r="A30" s="31" t="s">
        <v>86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>
      <c r="A31" s="30" t="s">
        <v>59</v>
      </c>
      <c r="B31" s="55">
        <v>120511.76252402169</v>
      </c>
      <c r="C31" s="55">
        <v>117626.18462339521</v>
      </c>
      <c r="D31" s="55">
        <v>114032.20084965449</v>
      </c>
      <c r="E31" s="55">
        <v>81102.500257705178</v>
      </c>
      <c r="F31" s="55">
        <v>67364.566383870479</v>
      </c>
      <c r="G31" s="55">
        <v>38352.018242475962</v>
      </c>
      <c r="H31" s="55">
        <v>16817.101245505753</v>
      </c>
      <c r="I31" s="55">
        <v>2477.4969682378396</v>
      </c>
      <c r="J31" s="55">
        <v>7749.0502943053398</v>
      </c>
      <c r="K31" s="55">
        <v>47291.957429117851</v>
      </c>
      <c r="L31" s="55">
        <v>87124.153328699773</v>
      </c>
      <c r="M31" s="55">
        <v>137187.38534851203</v>
      </c>
      <c r="N31" s="149">
        <f>SUM(B31:M31)</f>
        <v>837636.37749550142</v>
      </c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>
      <c r="A32" s="30" t="s">
        <v>81</v>
      </c>
      <c r="B32" s="55">
        <v>551840.23747597833</v>
      </c>
      <c r="C32" s="55">
        <v>538998.81537660479</v>
      </c>
      <c r="D32" s="55">
        <v>522825.79915034556</v>
      </c>
      <c r="E32" s="55">
        <v>372111.49974229484</v>
      </c>
      <c r="F32" s="55">
        <v>309194.43361612957</v>
      </c>
      <c r="G32" s="55">
        <v>177631.98175752404</v>
      </c>
      <c r="H32" s="55">
        <v>79042.89875449425</v>
      </c>
      <c r="I32" s="55">
        <v>13386.50303176216</v>
      </c>
      <c r="J32" s="55">
        <v>36909.949705694657</v>
      </c>
      <c r="K32" s="55">
        <v>217895.04257088213</v>
      </c>
      <c r="L32" s="55">
        <v>399876.84667130024</v>
      </c>
      <c r="M32" s="55">
        <v>627168.61465148802</v>
      </c>
      <c r="N32" s="149">
        <f>SUM(B32:M32)</f>
        <v>3846882.6225044988</v>
      </c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>
      <c r="A33" s="30" t="s">
        <v>6</v>
      </c>
      <c r="B33" s="151">
        <f>SUM(B31:B32)</f>
        <v>672352</v>
      </c>
      <c r="C33" s="151">
        <f t="shared" ref="C33:N33" si="9">SUM(C31:C32)</f>
        <v>656625</v>
      </c>
      <c r="D33" s="151">
        <f t="shared" si="9"/>
        <v>636858</v>
      </c>
      <c r="E33" s="151">
        <f t="shared" si="9"/>
        <v>453214</v>
      </c>
      <c r="F33" s="151">
        <f t="shared" si="9"/>
        <v>376559.00000000006</v>
      </c>
      <c r="G33" s="151">
        <f t="shared" si="9"/>
        <v>215984</v>
      </c>
      <c r="H33" s="151">
        <f t="shared" si="9"/>
        <v>95860</v>
      </c>
      <c r="I33" s="151">
        <f t="shared" si="9"/>
        <v>15864</v>
      </c>
      <c r="J33" s="151">
        <f t="shared" si="9"/>
        <v>44659</v>
      </c>
      <c r="K33" s="151">
        <f t="shared" si="9"/>
        <v>265187</v>
      </c>
      <c r="L33" s="151">
        <f t="shared" si="9"/>
        <v>487001</v>
      </c>
      <c r="M33" s="151">
        <f t="shared" si="9"/>
        <v>764356</v>
      </c>
      <c r="N33" s="151">
        <f t="shared" si="9"/>
        <v>4684519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>
      <c r="A35" s="31" t="s">
        <v>39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>
      <c r="A36" s="30" t="s">
        <v>59</v>
      </c>
      <c r="B36" s="55">
        <v>4398.8644736000133</v>
      </c>
      <c r="C36" s="55">
        <v>5595.3329309162691</v>
      </c>
      <c r="D36" s="55">
        <v>4666.9893153239173</v>
      </c>
      <c r="E36" s="55">
        <v>4916.3409315945464</v>
      </c>
      <c r="F36" s="55">
        <v>4705.5092648945983</v>
      </c>
      <c r="G36" s="55">
        <v>4173.1568887878784</v>
      </c>
      <c r="H36" s="55">
        <v>3501.8849554947815</v>
      </c>
      <c r="I36" s="55">
        <v>2939.1921731661068</v>
      </c>
      <c r="J36" s="55">
        <v>3894.7504671698985</v>
      </c>
      <c r="K36" s="55">
        <v>3474.6760795118894</v>
      </c>
      <c r="L36" s="55">
        <v>4883.4549666912117</v>
      </c>
      <c r="M36" s="55">
        <v>4887.0964406335806</v>
      </c>
      <c r="N36" s="149">
        <f>SUM(B36:M36)</f>
        <v>52037.248887784692</v>
      </c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>
      <c r="A37" s="30" t="s">
        <v>81</v>
      </c>
      <c r="B37" s="55">
        <v>88804.135526399987</v>
      </c>
      <c r="C37" s="55">
        <v>111434.66706908372</v>
      </c>
      <c r="D37" s="55">
        <v>95181.01068467609</v>
      </c>
      <c r="E37" s="55">
        <v>104416.65906840545</v>
      </c>
      <c r="F37" s="55">
        <v>99619.490735105399</v>
      </c>
      <c r="G37" s="55">
        <v>98172.843111212118</v>
      </c>
      <c r="H37" s="55">
        <v>85003.115044505219</v>
      </c>
      <c r="I37" s="55">
        <v>78677.807826833887</v>
      </c>
      <c r="J37" s="55">
        <v>91231.249532830101</v>
      </c>
      <c r="K37" s="55">
        <v>77299.32392048811</v>
      </c>
      <c r="L37" s="55">
        <v>98465.545033308779</v>
      </c>
      <c r="M37" s="55">
        <v>96183.903559366416</v>
      </c>
      <c r="N37" s="149">
        <f>SUM(B37:M37)</f>
        <v>1124489.7511122155</v>
      </c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>
      <c r="A38" s="30" t="s">
        <v>6</v>
      </c>
      <c r="B38" s="152">
        <f>SUM(B36:B37)</f>
        <v>93203</v>
      </c>
      <c r="C38" s="152">
        <f t="shared" ref="C38:M38" si="10">SUM(C36:C37)</f>
        <v>117029.99999999999</v>
      </c>
      <c r="D38" s="152">
        <f t="shared" si="10"/>
        <v>99848</v>
      </c>
      <c r="E38" s="152">
        <f t="shared" si="10"/>
        <v>109333</v>
      </c>
      <c r="F38" s="152">
        <f t="shared" si="10"/>
        <v>104325</v>
      </c>
      <c r="G38" s="152">
        <f t="shared" si="10"/>
        <v>102346</v>
      </c>
      <c r="H38" s="152">
        <f t="shared" si="10"/>
        <v>88505</v>
      </c>
      <c r="I38" s="152">
        <f t="shared" si="10"/>
        <v>81617</v>
      </c>
      <c r="J38" s="152">
        <f t="shared" si="10"/>
        <v>95126</v>
      </c>
      <c r="K38" s="152">
        <f t="shared" si="10"/>
        <v>80774</v>
      </c>
      <c r="L38" s="152">
        <f t="shared" si="10"/>
        <v>103348.99999999999</v>
      </c>
      <c r="M38" s="152">
        <f t="shared" si="10"/>
        <v>101071</v>
      </c>
      <c r="N38" s="152">
        <f>SUM(N36:N37)</f>
        <v>1176527.0000000002</v>
      </c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>
      <c r="A40" s="62" t="s">
        <v>87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>
      <c r="A41" s="30" t="s">
        <v>56</v>
      </c>
      <c r="B41" s="55">
        <v>100000</v>
      </c>
      <c r="C41" s="55">
        <v>100000</v>
      </c>
      <c r="D41" s="55">
        <v>100000</v>
      </c>
      <c r="E41" s="55">
        <v>100000</v>
      </c>
      <c r="F41" s="55">
        <v>100000</v>
      </c>
      <c r="G41" s="55">
        <v>100000</v>
      </c>
      <c r="H41" s="55">
        <v>100000</v>
      </c>
      <c r="I41" s="55">
        <v>100000</v>
      </c>
      <c r="J41" s="55">
        <v>100000</v>
      </c>
      <c r="K41" s="55">
        <v>100000</v>
      </c>
      <c r="L41" s="55">
        <v>100000</v>
      </c>
      <c r="M41" s="55">
        <v>100000</v>
      </c>
      <c r="N41" s="149">
        <f>SUM(B41:M41)</f>
        <v>1200000</v>
      </c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s="50" customFormat="1">
      <c r="A42" s="30" t="s">
        <v>57</v>
      </c>
      <c r="B42" s="55">
        <v>100000</v>
      </c>
      <c r="C42" s="55">
        <v>100000</v>
      </c>
      <c r="D42" s="55">
        <v>100000</v>
      </c>
      <c r="E42" s="55">
        <v>100000</v>
      </c>
      <c r="F42" s="55">
        <v>100000</v>
      </c>
      <c r="G42" s="55">
        <v>100000</v>
      </c>
      <c r="H42" s="55">
        <v>100000</v>
      </c>
      <c r="I42" s="55">
        <v>100000</v>
      </c>
      <c r="J42" s="55">
        <v>100000</v>
      </c>
      <c r="K42" s="55">
        <v>100000</v>
      </c>
      <c r="L42" s="55">
        <v>100000</v>
      </c>
      <c r="M42" s="55">
        <v>100000</v>
      </c>
      <c r="N42" s="149">
        <f t="shared" ref="N42:N46" si="11">SUM(B42:M42)</f>
        <v>1200000</v>
      </c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>
      <c r="A43" s="30" t="s">
        <v>62</v>
      </c>
      <c r="B43" s="55">
        <v>200000</v>
      </c>
      <c r="C43" s="55">
        <v>200000</v>
      </c>
      <c r="D43" s="55">
        <v>200000</v>
      </c>
      <c r="E43" s="55">
        <v>200000</v>
      </c>
      <c r="F43" s="55">
        <v>200000</v>
      </c>
      <c r="G43" s="55">
        <v>200000</v>
      </c>
      <c r="H43" s="55">
        <v>200000</v>
      </c>
      <c r="I43" s="55">
        <v>200000</v>
      </c>
      <c r="J43" s="55">
        <v>200000</v>
      </c>
      <c r="K43" s="55">
        <v>200000</v>
      </c>
      <c r="L43" s="55">
        <v>200000</v>
      </c>
      <c r="M43" s="55">
        <v>200000</v>
      </c>
      <c r="N43" s="149">
        <f t="shared" si="11"/>
        <v>2400000</v>
      </c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>
      <c r="A44" s="30" t="s">
        <v>63</v>
      </c>
      <c r="B44" s="55">
        <v>279070.73661064607</v>
      </c>
      <c r="C44" s="55">
        <v>273328.81967008457</v>
      </c>
      <c r="D44" s="55">
        <v>261894.96020932539</v>
      </c>
      <c r="E44" s="55">
        <v>196961.73567271864</v>
      </c>
      <c r="F44" s="55">
        <v>219146.47084926552</v>
      </c>
      <c r="G44" s="55">
        <v>189785.16212122032</v>
      </c>
      <c r="H44" s="55">
        <v>213544.40002330224</v>
      </c>
      <c r="I44" s="55">
        <v>240669.40485408148</v>
      </c>
      <c r="J44" s="55">
        <v>218255.56883685463</v>
      </c>
      <c r="K44" s="55">
        <v>330559.81378914445</v>
      </c>
      <c r="L44" s="55">
        <v>314491.90653391281</v>
      </c>
      <c r="M44" s="55">
        <v>389837.70258261007</v>
      </c>
      <c r="N44" s="149">
        <f t="shared" si="11"/>
        <v>3127546.681753166</v>
      </c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>
      <c r="A45" s="30" t="s">
        <v>64</v>
      </c>
      <c r="B45" s="55">
        <v>352282.2863081696</v>
      </c>
      <c r="C45" s="55">
        <v>345034.03214802541</v>
      </c>
      <c r="D45" s="55">
        <v>330600.60856129427</v>
      </c>
      <c r="E45" s="55">
        <v>248632.77103402221</v>
      </c>
      <c r="F45" s="55">
        <v>276637.46018220379</v>
      </c>
      <c r="G45" s="55">
        <v>239573.49176567013</v>
      </c>
      <c r="H45" s="55">
        <v>269565.73943283682</v>
      </c>
      <c r="I45" s="55">
        <v>303806.73092467827</v>
      </c>
      <c r="J45" s="55">
        <v>275512.8385123706</v>
      </c>
      <c r="K45" s="55">
        <v>417279.03246878891</v>
      </c>
      <c r="L45" s="55">
        <v>396995.8627864084</v>
      </c>
      <c r="M45" s="55">
        <v>492107.91078582441</v>
      </c>
      <c r="N45" s="149">
        <f t="shared" si="11"/>
        <v>3948028.7649102928</v>
      </c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>
      <c r="A46" s="30" t="s">
        <v>82</v>
      </c>
      <c r="B46" s="55">
        <v>725624.97708118428</v>
      </c>
      <c r="C46" s="55">
        <v>710695.1481818899</v>
      </c>
      <c r="D46" s="55">
        <v>680965.43122938031</v>
      </c>
      <c r="E46" s="55">
        <v>512129.49329325906</v>
      </c>
      <c r="F46" s="55">
        <v>569813.06896853063</v>
      </c>
      <c r="G46" s="55">
        <v>493469.3461131095</v>
      </c>
      <c r="H46" s="55">
        <v>555246.86054386094</v>
      </c>
      <c r="I46" s="55">
        <v>625775.86422124016</v>
      </c>
      <c r="J46" s="55">
        <v>567496.59265077475</v>
      </c>
      <c r="K46" s="55">
        <v>859504.15374206658</v>
      </c>
      <c r="L46" s="55">
        <v>817725.23067967873</v>
      </c>
      <c r="M46" s="55">
        <v>1013635.3866315654</v>
      </c>
      <c r="N46" s="149">
        <f t="shared" si="11"/>
        <v>8132081.5533365402</v>
      </c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>
      <c r="A47" s="30" t="s">
        <v>6</v>
      </c>
      <c r="B47" s="151">
        <f>SUM(B41:B46)</f>
        <v>1756978</v>
      </c>
      <c r="C47" s="151">
        <f t="shared" ref="C47:N47" si="12">SUM(C41:C46)</f>
        <v>1729058</v>
      </c>
      <c r="D47" s="151">
        <f t="shared" si="12"/>
        <v>1673461</v>
      </c>
      <c r="E47" s="151">
        <f t="shared" si="12"/>
        <v>1357724</v>
      </c>
      <c r="F47" s="151">
        <f t="shared" si="12"/>
        <v>1465597</v>
      </c>
      <c r="G47" s="151">
        <f t="shared" si="12"/>
        <v>1322828</v>
      </c>
      <c r="H47" s="151">
        <f t="shared" si="12"/>
        <v>1438357</v>
      </c>
      <c r="I47" s="151">
        <f t="shared" si="12"/>
        <v>1570252</v>
      </c>
      <c r="J47" s="151">
        <f t="shared" si="12"/>
        <v>1461265</v>
      </c>
      <c r="K47" s="151">
        <f t="shared" si="12"/>
        <v>2007343</v>
      </c>
      <c r="L47" s="151">
        <f t="shared" si="12"/>
        <v>1929213</v>
      </c>
      <c r="M47" s="151">
        <f t="shared" si="12"/>
        <v>2295581</v>
      </c>
      <c r="N47" s="151">
        <f t="shared" si="12"/>
        <v>20007657</v>
      </c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>
      <c r="A49" s="62" t="s">
        <v>41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>
      <c r="A50" s="30" t="s">
        <v>56</v>
      </c>
      <c r="B50" s="55">
        <v>250000</v>
      </c>
      <c r="C50" s="55">
        <v>250000</v>
      </c>
      <c r="D50" s="55">
        <v>250000</v>
      </c>
      <c r="E50" s="55">
        <v>250000</v>
      </c>
      <c r="F50" s="55">
        <v>250000</v>
      </c>
      <c r="G50" s="55">
        <v>250000</v>
      </c>
      <c r="H50" s="55">
        <v>250000</v>
      </c>
      <c r="I50" s="55">
        <v>250000</v>
      </c>
      <c r="J50" s="55">
        <v>250000</v>
      </c>
      <c r="K50" s="55">
        <v>250000</v>
      </c>
      <c r="L50" s="55">
        <v>250000</v>
      </c>
      <c r="M50" s="55">
        <v>250000</v>
      </c>
      <c r="N50" s="149">
        <f>SUM(B50:M50)</f>
        <v>3000000</v>
      </c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>
      <c r="A51" s="30" t="s">
        <v>57</v>
      </c>
      <c r="B51" s="55">
        <v>250000</v>
      </c>
      <c r="C51" s="55">
        <v>250000</v>
      </c>
      <c r="D51" s="55">
        <v>250000</v>
      </c>
      <c r="E51" s="55">
        <v>250000</v>
      </c>
      <c r="F51" s="55">
        <v>250000</v>
      </c>
      <c r="G51" s="55">
        <v>250000</v>
      </c>
      <c r="H51" s="55">
        <v>250000</v>
      </c>
      <c r="I51" s="55">
        <v>250000</v>
      </c>
      <c r="J51" s="55">
        <v>250000</v>
      </c>
      <c r="K51" s="55">
        <v>250000</v>
      </c>
      <c r="L51" s="55">
        <v>250000</v>
      </c>
      <c r="M51" s="55">
        <v>250000</v>
      </c>
      <c r="N51" s="149">
        <f t="shared" ref="N51:N55" si="13">SUM(B51:M51)</f>
        <v>3000000</v>
      </c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>
      <c r="A52" s="30" t="s">
        <v>62</v>
      </c>
      <c r="B52" s="55">
        <v>500000</v>
      </c>
      <c r="C52" s="55">
        <v>500000</v>
      </c>
      <c r="D52" s="55">
        <v>500000</v>
      </c>
      <c r="E52" s="55">
        <v>500000</v>
      </c>
      <c r="F52" s="55">
        <v>500000</v>
      </c>
      <c r="G52" s="55">
        <v>500000</v>
      </c>
      <c r="H52" s="55">
        <v>500000</v>
      </c>
      <c r="I52" s="55">
        <v>500000</v>
      </c>
      <c r="J52" s="55">
        <v>500000</v>
      </c>
      <c r="K52" s="55">
        <v>500000</v>
      </c>
      <c r="L52" s="55">
        <v>500000</v>
      </c>
      <c r="M52" s="55">
        <v>500000</v>
      </c>
      <c r="N52" s="149">
        <f t="shared" si="13"/>
        <v>6000000</v>
      </c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>
      <c r="A53" s="30" t="s">
        <v>63</v>
      </c>
      <c r="B53" s="55">
        <v>640601.9820834049</v>
      </c>
      <c r="C53" s="55">
        <v>878273.98391565308</v>
      </c>
      <c r="D53" s="55">
        <v>631901.44912416593</v>
      </c>
      <c r="E53" s="55">
        <v>680028.35056126292</v>
      </c>
      <c r="F53" s="55">
        <v>782680.59274669888</v>
      </c>
      <c r="G53" s="55">
        <v>807787.14017768716</v>
      </c>
      <c r="H53" s="55">
        <v>733823.75671555311</v>
      </c>
      <c r="I53" s="55">
        <v>714182.79061464104</v>
      </c>
      <c r="J53" s="55">
        <v>805774.37085228018</v>
      </c>
      <c r="K53" s="55">
        <v>516917.46554332937</v>
      </c>
      <c r="L53" s="55">
        <v>510233.07770209596</v>
      </c>
      <c r="M53" s="55">
        <v>1122567.2942512573</v>
      </c>
      <c r="N53" s="149">
        <f t="shared" si="13"/>
        <v>8824772.2542880289</v>
      </c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>
      <c r="A54" s="30" t="s">
        <v>64</v>
      </c>
      <c r="B54" s="55">
        <v>1349861.8329613979</v>
      </c>
      <c r="C54" s="55">
        <v>1889743.2170199791</v>
      </c>
      <c r="D54" s="55">
        <v>1337209.1254462982</v>
      </c>
      <c r="E54" s="55">
        <v>1476738.8318019116</v>
      </c>
      <c r="F54" s="55">
        <v>1791845.4154933679</v>
      </c>
      <c r="G54" s="55">
        <v>1863720.551985699</v>
      </c>
      <c r="H54" s="55">
        <v>1719678.2530069994</v>
      </c>
      <c r="I54" s="55">
        <v>1672123.850877943</v>
      </c>
      <c r="J54" s="55">
        <v>1887130.4412632228</v>
      </c>
      <c r="K54" s="55">
        <v>1150524.5840707687</v>
      </c>
      <c r="L54" s="55">
        <v>1052614.3060841453</v>
      </c>
      <c r="M54" s="55">
        <v>2543912.0223929281</v>
      </c>
      <c r="N54" s="149">
        <f t="shared" si="13"/>
        <v>19735102.43240466</v>
      </c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>
      <c r="A55" s="30" t="s">
        <v>82</v>
      </c>
      <c r="B55" s="55">
        <v>1807354.4449551969</v>
      </c>
      <c r="C55" s="55">
        <v>2520286.3490643678</v>
      </c>
      <c r="D55" s="55">
        <v>1788970.175429536</v>
      </c>
      <c r="E55" s="55">
        <v>1966104.4676368262</v>
      </c>
      <c r="F55" s="55">
        <v>2362904.3117599338</v>
      </c>
      <c r="G55" s="55">
        <v>2454319.2378366138</v>
      </c>
      <c r="H55" s="55">
        <v>2258457.4202774474</v>
      </c>
      <c r="I55" s="55">
        <v>2196352.9185074167</v>
      </c>
      <c r="J55" s="55">
        <v>2478637.8578844969</v>
      </c>
      <c r="K55" s="55">
        <v>1524886.8203859022</v>
      </c>
      <c r="L55" s="55">
        <v>1415090.3462137592</v>
      </c>
      <c r="M55" s="55">
        <v>3360747.6833558152</v>
      </c>
      <c r="N55" s="149">
        <f t="shared" si="13"/>
        <v>26134112.03330731</v>
      </c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>
      <c r="A56" s="30" t="s">
        <v>6</v>
      </c>
      <c r="B56" s="152">
        <f>SUM(B50:B55)</f>
        <v>4797818.26</v>
      </c>
      <c r="C56" s="152">
        <f t="shared" ref="C56:N56" si="14">SUM(C50:C55)</f>
        <v>6288303.5499999998</v>
      </c>
      <c r="D56" s="152">
        <f t="shared" si="14"/>
        <v>4758080.75</v>
      </c>
      <c r="E56" s="152">
        <f t="shared" si="14"/>
        <v>5122871.6500000013</v>
      </c>
      <c r="F56" s="152">
        <f t="shared" si="14"/>
        <v>5937430.3200000003</v>
      </c>
      <c r="G56" s="152">
        <f t="shared" si="14"/>
        <v>6125826.9299999997</v>
      </c>
      <c r="H56" s="152">
        <f t="shared" si="14"/>
        <v>5711959.4299999997</v>
      </c>
      <c r="I56" s="152">
        <f t="shared" si="14"/>
        <v>5582659.5600000005</v>
      </c>
      <c r="J56" s="152">
        <f t="shared" si="14"/>
        <v>6171542.6699999999</v>
      </c>
      <c r="K56" s="152">
        <f t="shared" si="14"/>
        <v>4192328.87</v>
      </c>
      <c r="L56" s="152">
        <f t="shared" si="14"/>
        <v>3977937.7300000004</v>
      </c>
      <c r="M56" s="152">
        <f t="shared" si="14"/>
        <v>8027227.0000000019</v>
      </c>
      <c r="N56" s="152">
        <f t="shared" si="14"/>
        <v>66693986.719999999</v>
      </c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8" spans="1:42">
      <c r="A58" s="62" t="s">
        <v>355</v>
      </c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</row>
    <row r="59" spans="1:42">
      <c r="A59" s="30" t="s">
        <v>56</v>
      </c>
      <c r="B59" s="55">
        <v>25000</v>
      </c>
      <c r="C59" s="55">
        <v>25000</v>
      </c>
      <c r="D59" s="55">
        <v>25000</v>
      </c>
      <c r="E59" s="55">
        <v>25000</v>
      </c>
      <c r="F59" s="55">
        <v>25000</v>
      </c>
      <c r="G59" s="55">
        <v>25000</v>
      </c>
      <c r="H59" s="55">
        <v>25000</v>
      </c>
      <c r="I59" s="55">
        <v>25000</v>
      </c>
      <c r="J59" s="55">
        <v>25000</v>
      </c>
      <c r="K59" s="55">
        <v>25000</v>
      </c>
      <c r="L59" s="55">
        <v>25000</v>
      </c>
      <c r="M59" s="55">
        <v>25000</v>
      </c>
      <c r="N59" s="149">
        <f>SUM(B59:M59)</f>
        <v>300000</v>
      </c>
    </row>
    <row r="60" spans="1:42">
      <c r="A60" s="30" t="s">
        <v>57</v>
      </c>
      <c r="B60" s="55">
        <v>25000</v>
      </c>
      <c r="C60" s="55">
        <v>25000</v>
      </c>
      <c r="D60" s="55">
        <v>25000</v>
      </c>
      <c r="E60" s="55">
        <v>25000</v>
      </c>
      <c r="F60" s="55">
        <v>25000</v>
      </c>
      <c r="G60" s="55">
        <v>25000</v>
      </c>
      <c r="H60" s="55">
        <v>25000</v>
      </c>
      <c r="I60" s="55">
        <v>25000</v>
      </c>
      <c r="J60" s="55">
        <v>25000</v>
      </c>
      <c r="K60" s="55">
        <v>25000</v>
      </c>
      <c r="L60" s="55">
        <v>25000</v>
      </c>
      <c r="M60" s="55">
        <v>25000</v>
      </c>
      <c r="N60" s="149">
        <f t="shared" ref="N60:N64" si="15">SUM(B60:M60)</f>
        <v>300000</v>
      </c>
    </row>
    <row r="61" spans="1:42">
      <c r="A61" s="30" t="s">
        <v>62</v>
      </c>
      <c r="B61" s="55">
        <v>50000</v>
      </c>
      <c r="C61" s="55">
        <v>50000</v>
      </c>
      <c r="D61" s="55">
        <v>50000</v>
      </c>
      <c r="E61" s="55">
        <v>50000</v>
      </c>
      <c r="F61" s="55">
        <v>50000</v>
      </c>
      <c r="G61" s="55">
        <v>50000</v>
      </c>
      <c r="H61" s="55">
        <v>50000</v>
      </c>
      <c r="I61" s="55">
        <v>50000</v>
      </c>
      <c r="J61" s="55">
        <v>50000</v>
      </c>
      <c r="K61" s="55">
        <v>50000</v>
      </c>
      <c r="L61" s="55">
        <v>50000</v>
      </c>
      <c r="M61" s="55">
        <v>50000</v>
      </c>
      <c r="N61" s="149">
        <f t="shared" si="15"/>
        <v>600000</v>
      </c>
    </row>
    <row r="62" spans="1:42">
      <c r="A62" s="30" t="s">
        <v>63</v>
      </c>
      <c r="B62" s="55">
        <v>100000</v>
      </c>
      <c r="C62" s="55">
        <v>100000</v>
      </c>
      <c r="D62" s="55">
        <v>100000</v>
      </c>
      <c r="E62" s="55">
        <v>100000</v>
      </c>
      <c r="F62" s="55">
        <v>100000</v>
      </c>
      <c r="G62" s="55">
        <v>100000</v>
      </c>
      <c r="H62" s="55">
        <v>100000</v>
      </c>
      <c r="I62" s="55">
        <v>100000</v>
      </c>
      <c r="J62" s="55">
        <v>100000</v>
      </c>
      <c r="K62" s="55">
        <v>100000</v>
      </c>
      <c r="L62" s="55">
        <v>100000</v>
      </c>
      <c r="M62" s="55">
        <v>100000</v>
      </c>
      <c r="N62" s="149">
        <f t="shared" si="15"/>
        <v>1200000</v>
      </c>
    </row>
    <row r="63" spans="1:42">
      <c r="A63" s="30" t="s">
        <v>64</v>
      </c>
      <c r="B63" s="55">
        <v>300000</v>
      </c>
      <c r="C63" s="55">
        <v>300000</v>
      </c>
      <c r="D63" s="55">
        <v>300000</v>
      </c>
      <c r="E63" s="55">
        <v>300000</v>
      </c>
      <c r="F63" s="55">
        <v>300000</v>
      </c>
      <c r="G63" s="55">
        <v>300000</v>
      </c>
      <c r="H63" s="55">
        <v>300000</v>
      </c>
      <c r="I63" s="55">
        <v>300000</v>
      </c>
      <c r="J63" s="55">
        <v>300000</v>
      </c>
      <c r="K63" s="55">
        <v>300000</v>
      </c>
      <c r="L63" s="55">
        <v>300000</v>
      </c>
      <c r="M63" s="55">
        <v>300000</v>
      </c>
      <c r="N63" s="149">
        <f t="shared" si="15"/>
        <v>3600000</v>
      </c>
    </row>
    <row r="64" spans="1:42">
      <c r="A64" s="30" t="s">
        <v>82</v>
      </c>
      <c r="B64" s="55">
        <v>1724930</v>
      </c>
      <c r="C64" s="55">
        <v>1509615</v>
      </c>
      <c r="D64" s="55">
        <v>1724930</v>
      </c>
      <c r="E64" s="55">
        <v>1653159</v>
      </c>
      <c r="F64" s="55">
        <v>1724930</v>
      </c>
      <c r="G64" s="55">
        <v>4221469</v>
      </c>
      <c r="H64" s="55">
        <v>4378851</v>
      </c>
      <c r="I64" s="55">
        <v>4378851</v>
      </c>
      <c r="J64" s="55">
        <v>4221469</v>
      </c>
      <c r="K64" s="55">
        <v>4378851</v>
      </c>
      <c r="L64" s="55">
        <v>1653159</v>
      </c>
      <c r="M64" s="55">
        <v>1724930</v>
      </c>
      <c r="N64" s="149">
        <f t="shared" si="15"/>
        <v>33295144</v>
      </c>
    </row>
    <row r="65" spans="1:14">
      <c r="A65" s="30" t="s">
        <v>6</v>
      </c>
      <c r="B65" s="152">
        <f>SUM(B59:B64)</f>
        <v>2224930</v>
      </c>
      <c r="C65" s="152">
        <f t="shared" ref="C65:N65" si="16">SUM(C59:C64)</f>
        <v>2009615</v>
      </c>
      <c r="D65" s="152">
        <f t="shared" si="16"/>
        <v>2224930</v>
      </c>
      <c r="E65" s="152">
        <f t="shared" si="16"/>
        <v>2153159</v>
      </c>
      <c r="F65" s="152">
        <f t="shared" si="16"/>
        <v>2224930</v>
      </c>
      <c r="G65" s="152">
        <f t="shared" si="16"/>
        <v>4721469</v>
      </c>
      <c r="H65" s="152">
        <f t="shared" si="16"/>
        <v>4878851</v>
      </c>
      <c r="I65" s="152">
        <f t="shared" si="16"/>
        <v>4878851</v>
      </c>
      <c r="J65" s="152">
        <f t="shared" si="16"/>
        <v>4721469</v>
      </c>
      <c r="K65" s="152">
        <f t="shared" si="16"/>
        <v>4878851</v>
      </c>
      <c r="L65" s="152">
        <f t="shared" si="16"/>
        <v>2153159</v>
      </c>
      <c r="M65" s="152">
        <f t="shared" si="16"/>
        <v>2224930</v>
      </c>
      <c r="N65" s="152">
        <f t="shared" si="16"/>
        <v>39295144</v>
      </c>
    </row>
    <row r="67" spans="1:14">
      <c r="A67" s="62" t="s">
        <v>209</v>
      </c>
      <c r="B67" s="50">
        <f>SUM(B10,B16,B22,B28,B33,B38,B47,B56,B65)</f>
        <v>24449679.259999998</v>
      </c>
      <c r="C67" s="50">
        <f t="shared" ref="C67:N67" si="17">SUM(C10,C16,C22,C28,C33,C38,C47,C56,C65)</f>
        <v>26634448.550000001</v>
      </c>
      <c r="D67" s="50">
        <f t="shared" si="17"/>
        <v>23650667.75</v>
      </c>
      <c r="E67" s="50">
        <f t="shared" si="17"/>
        <v>22669996.650000002</v>
      </c>
      <c r="F67" s="50">
        <f t="shared" si="17"/>
        <v>22891945.32</v>
      </c>
      <c r="G67" s="50">
        <f t="shared" si="17"/>
        <v>24132573.93</v>
      </c>
      <c r="H67" s="50">
        <f t="shared" si="17"/>
        <v>22643186.43</v>
      </c>
      <c r="I67" s="50">
        <f t="shared" si="17"/>
        <v>22808675.560000002</v>
      </c>
      <c r="J67" s="50">
        <f t="shared" si="17"/>
        <v>24308825.670000002</v>
      </c>
      <c r="K67" s="50">
        <f t="shared" si="17"/>
        <v>24265730.870000001</v>
      </c>
      <c r="L67" s="50">
        <f t="shared" si="17"/>
        <v>24614904.73</v>
      </c>
      <c r="M67" s="50">
        <f t="shared" si="17"/>
        <v>30286720</v>
      </c>
      <c r="N67" s="50">
        <f t="shared" si="17"/>
        <v>293357354.72000003</v>
      </c>
    </row>
    <row r="68" spans="1:14">
      <c r="A68" s="62" t="s">
        <v>42</v>
      </c>
      <c r="B68" s="153">
        <f>B67-SUM('Rate Year Therms'!D13:D16,'Rate Year Therms'!D18:D22)</f>
        <v>0</v>
      </c>
      <c r="C68" s="153">
        <f>C67-SUM('Rate Year Therms'!E13:E16,'Rate Year Therms'!E18:E22)</f>
        <v>0</v>
      </c>
      <c r="D68" s="153">
        <f>D67-SUM('Rate Year Therms'!F13:F16,'Rate Year Therms'!F18:F22)</f>
        <v>0</v>
      </c>
      <c r="E68" s="153">
        <f>E67-SUM('Rate Year Therms'!G13:G16,'Rate Year Therms'!G18:G22)</f>
        <v>0</v>
      </c>
      <c r="F68" s="153">
        <f>F67-SUM('Rate Year Therms'!H13:H16,'Rate Year Therms'!H18:H22)</f>
        <v>0</v>
      </c>
      <c r="G68" s="153">
        <f>G67-SUM('Rate Year Therms'!I13:I16,'Rate Year Therms'!I18:I22)</f>
        <v>0</v>
      </c>
      <c r="H68" s="153">
        <f>H67-SUM('Rate Year Therms'!J13:J16,'Rate Year Therms'!J18:J22)</f>
        <v>0</v>
      </c>
      <c r="I68" s="153">
        <f>I67-SUM('Rate Year Therms'!K13:K16,'Rate Year Therms'!K18:K22)</f>
        <v>0</v>
      </c>
      <c r="J68" s="153">
        <f>J67-SUM('Rate Year Therms'!L13:L16,'Rate Year Therms'!L18:L22)</f>
        <v>0</v>
      </c>
      <c r="K68" s="153">
        <f>K67-SUM('Rate Year Therms'!M13:M16,'Rate Year Therms'!M18:M22)</f>
        <v>0</v>
      </c>
      <c r="L68" s="153">
        <f>L67-SUM('Rate Year Therms'!N13:N16,'Rate Year Therms'!N18:N22)</f>
        <v>0</v>
      </c>
      <c r="M68" s="153">
        <f>M67-SUM('Rate Year Therms'!O13:O16,'Rate Year Therms'!O18:O22)</f>
        <v>0</v>
      </c>
      <c r="N68" s="153">
        <f>N67-SUM('Rate Year Therms'!P13:P16,'Rate Year Therms'!P18:P22)</f>
        <v>0</v>
      </c>
    </row>
    <row r="69" spans="1:14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</row>
    <row r="76" spans="1:14">
      <c r="A76" s="30"/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</row>
    <row r="83" spans="1:14">
      <c r="A83" s="30"/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9" spans="1:14">
      <c r="A89" s="30"/>
      <c r="B89" s="149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</row>
  </sheetData>
  <printOptions horizontalCentered="1"/>
  <pageMargins left="0.5" right="0.5" top="1" bottom="1" header="0.5" footer="0.5"/>
  <pageSetup scale="53" orientation="landscape" horizontalDpi="300" verticalDpi="300" r:id="rId1"/>
  <headerFooter alignWithMargins="0">
    <oddHeader xml:space="preserve">&amp;C
</oddHeader>
    <oddFooter>&amp;L&amp;F 
&amp;A&amp;C&amp;P&amp;R&amp;D</oddFooter>
  </headerFooter>
  <rowBreaks count="1" manualBreakCount="1">
    <brk id="29" max="1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N48"/>
  <sheetViews>
    <sheetView zoomScale="90" zoomScaleNormal="90" workbookViewId="0">
      <selection activeCell="I46" sqref="I46"/>
    </sheetView>
  </sheetViews>
  <sheetFormatPr defaultRowHeight="12.75"/>
  <cols>
    <col min="1" max="1" width="40.85546875" style="189" customWidth="1"/>
    <col min="2" max="13" width="11.85546875" style="189" customWidth="1"/>
    <col min="14" max="14" width="13.5703125" style="189" customWidth="1"/>
    <col min="15" max="16384" width="9.140625" style="189"/>
  </cols>
  <sheetData>
    <row r="1" spans="1:14">
      <c r="A1" s="189" t="s">
        <v>0</v>
      </c>
    </row>
    <row r="2" spans="1:14">
      <c r="A2" s="189" t="s">
        <v>208</v>
      </c>
    </row>
    <row r="3" spans="1:14">
      <c r="A3" s="189" t="s">
        <v>212</v>
      </c>
    </row>
    <row r="5" spans="1:14">
      <c r="A5" s="190" t="s">
        <v>213</v>
      </c>
    </row>
    <row r="6" spans="1:14">
      <c r="A6" s="191" t="s">
        <v>21</v>
      </c>
      <c r="B6" s="192">
        <v>45658</v>
      </c>
      <c r="C6" s="192">
        <f>EDATE(B6,1)</f>
        <v>45689</v>
      </c>
      <c r="D6" s="192">
        <f t="shared" ref="D6:M6" si="0">EDATE(C6,1)</f>
        <v>45717</v>
      </c>
      <c r="E6" s="192">
        <f t="shared" si="0"/>
        <v>45748</v>
      </c>
      <c r="F6" s="192">
        <f t="shared" si="0"/>
        <v>45778</v>
      </c>
      <c r="G6" s="192">
        <f t="shared" si="0"/>
        <v>45809</v>
      </c>
      <c r="H6" s="192">
        <f t="shared" si="0"/>
        <v>45839</v>
      </c>
      <c r="I6" s="192">
        <f t="shared" si="0"/>
        <v>45870</v>
      </c>
      <c r="J6" s="192">
        <f t="shared" si="0"/>
        <v>45901</v>
      </c>
      <c r="K6" s="192">
        <f t="shared" si="0"/>
        <v>45931</v>
      </c>
      <c r="L6" s="192">
        <f t="shared" si="0"/>
        <v>45962</v>
      </c>
      <c r="M6" s="192">
        <f t="shared" si="0"/>
        <v>45992</v>
      </c>
      <c r="N6" s="193" t="s">
        <v>6</v>
      </c>
    </row>
    <row r="7" spans="1:14">
      <c r="A7" s="194" t="s">
        <v>89</v>
      </c>
      <c r="B7" s="195">
        <v>0</v>
      </c>
      <c r="C7" s="195">
        <v>0</v>
      </c>
      <c r="D7" s="195">
        <v>0</v>
      </c>
      <c r="E7" s="195">
        <v>0</v>
      </c>
      <c r="F7" s="195">
        <v>0</v>
      </c>
      <c r="G7" s="195">
        <v>0</v>
      </c>
      <c r="H7" s="195">
        <v>0</v>
      </c>
      <c r="I7" s="195">
        <v>0</v>
      </c>
      <c r="J7" s="195">
        <v>0</v>
      </c>
      <c r="K7" s="195">
        <v>0</v>
      </c>
      <c r="L7" s="195">
        <v>0</v>
      </c>
      <c r="M7" s="195">
        <v>0</v>
      </c>
      <c r="N7" s="149">
        <f>SUM(B7:M7)</f>
        <v>0</v>
      </c>
    </row>
    <row r="8" spans="1:14">
      <c r="A8" s="194" t="s">
        <v>90</v>
      </c>
      <c r="B8" s="195">
        <v>0</v>
      </c>
      <c r="C8" s="195">
        <v>0</v>
      </c>
      <c r="D8" s="195">
        <v>0</v>
      </c>
      <c r="E8" s="195">
        <v>0</v>
      </c>
      <c r="F8" s="195">
        <v>0</v>
      </c>
      <c r="G8" s="195">
        <v>0</v>
      </c>
      <c r="H8" s="195">
        <v>0</v>
      </c>
      <c r="I8" s="195">
        <v>0</v>
      </c>
      <c r="J8" s="195">
        <v>0</v>
      </c>
      <c r="K8" s="195">
        <v>0</v>
      </c>
      <c r="L8" s="195">
        <v>0</v>
      </c>
      <c r="M8" s="195">
        <v>0</v>
      </c>
      <c r="N8" s="149">
        <f t="shared" ref="N8:N20" si="1">SUM(B8:M8)</f>
        <v>0</v>
      </c>
    </row>
    <row r="9" spans="1:14">
      <c r="A9" s="194" t="s">
        <v>91</v>
      </c>
      <c r="B9" s="195">
        <v>0</v>
      </c>
      <c r="C9" s="195">
        <v>0</v>
      </c>
      <c r="D9" s="195">
        <v>0</v>
      </c>
      <c r="E9" s="195">
        <v>0</v>
      </c>
      <c r="F9" s="195">
        <v>0</v>
      </c>
      <c r="G9" s="195">
        <v>0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0</v>
      </c>
      <c r="N9" s="149">
        <f t="shared" si="1"/>
        <v>0</v>
      </c>
    </row>
    <row r="10" spans="1:14">
      <c r="A10" s="194" t="s">
        <v>92</v>
      </c>
      <c r="B10" s="195">
        <v>0</v>
      </c>
      <c r="C10" s="195">
        <v>0</v>
      </c>
      <c r="D10" s="195">
        <v>0</v>
      </c>
      <c r="E10" s="195">
        <v>0</v>
      </c>
      <c r="F10" s="195">
        <v>0</v>
      </c>
      <c r="G10" s="195">
        <v>0</v>
      </c>
      <c r="H10" s="195">
        <v>0</v>
      </c>
      <c r="I10" s="195">
        <v>0</v>
      </c>
      <c r="J10" s="195">
        <v>0</v>
      </c>
      <c r="K10" s="195">
        <v>0</v>
      </c>
      <c r="L10" s="195">
        <v>0</v>
      </c>
      <c r="M10" s="195">
        <v>0</v>
      </c>
      <c r="N10" s="149">
        <f t="shared" si="1"/>
        <v>0</v>
      </c>
    </row>
    <row r="11" spans="1:14">
      <c r="A11" s="194" t="s">
        <v>95</v>
      </c>
      <c r="B11" s="195">
        <v>0</v>
      </c>
      <c r="C11" s="195">
        <v>0</v>
      </c>
      <c r="D11" s="195">
        <v>0</v>
      </c>
      <c r="E11" s="195">
        <v>0</v>
      </c>
      <c r="F11" s="195">
        <v>0</v>
      </c>
      <c r="G11" s="195">
        <v>0</v>
      </c>
      <c r="H11" s="195">
        <v>0</v>
      </c>
      <c r="I11" s="195">
        <v>0</v>
      </c>
      <c r="J11" s="195">
        <v>0</v>
      </c>
      <c r="K11" s="195">
        <v>0</v>
      </c>
      <c r="L11" s="195">
        <v>0</v>
      </c>
      <c r="M11" s="195">
        <v>0</v>
      </c>
      <c r="N11" s="149">
        <f>SUM(B11:M11)</f>
        <v>0</v>
      </c>
    </row>
    <row r="12" spans="1:14">
      <c r="A12" s="194" t="s">
        <v>93</v>
      </c>
      <c r="B12" s="55">
        <v>412853</v>
      </c>
      <c r="C12" s="55">
        <v>412853</v>
      </c>
      <c r="D12" s="55">
        <v>412853</v>
      </c>
      <c r="E12" s="55">
        <v>412853</v>
      </c>
      <c r="F12" s="55">
        <v>412853</v>
      </c>
      <c r="G12" s="55">
        <v>412853</v>
      </c>
      <c r="H12" s="55">
        <v>412853</v>
      </c>
      <c r="I12" s="55">
        <v>412853</v>
      </c>
      <c r="J12" s="55">
        <v>412853</v>
      </c>
      <c r="K12" s="55">
        <v>412853</v>
      </c>
      <c r="L12" s="55">
        <v>412853</v>
      </c>
      <c r="M12" s="55">
        <v>412853</v>
      </c>
      <c r="N12" s="149">
        <f>SUM(B12:M12)</f>
        <v>4954236</v>
      </c>
    </row>
    <row r="13" spans="1:14">
      <c r="A13" s="194" t="s">
        <v>94</v>
      </c>
      <c r="B13" s="55">
        <v>88335</v>
      </c>
      <c r="C13" s="55">
        <v>88335</v>
      </c>
      <c r="D13" s="55">
        <v>88335</v>
      </c>
      <c r="E13" s="55">
        <v>88335</v>
      </c>
      <c r="F13" s="55">
        <v>88335</v>
      </c>
      <c r="G13" s="55">
        <v>88335</v>
      </c>
      <c r="H13" s="55">
        <v>88335</v>
      </c>
      <c r="I13" s="55">
        <v>88335</v>
      </c>
      <c r="J13" s="55">
        <v>88335</v>
      </c>
      <c r="K13" s="55">
        <v>88335</v>
      </c>
      <c r="L13" s="55">
        <v>88335</v>
      </c>
      <c r="M13" s="55">
        <v>88335</v>
      </c>
      <c r="N13" s="149">
        <f>SUM(B13:M13)</f>
        <v>1060020</v>
      </c>
    </row>
    <row r="14" spans="1:14">
      <c r="A14" s="194" t="s">
        <v>96</v>
      </c>
      <c r="B14" s="55">
        <v>11003</v>
      </c>
      <c r="C14" s="55">
        <v>11003</v>
      </c>
      <c r="D14" s="55">
        <v>11003</v>
      </c>
      <c r="E14" s="55">
        <v>11003</v>
      </c>
      <c r="F14" s="55">
        <v>11003</v>
      </c>
      <c r="G14" s="55">
        <v>11003</v>
      </c>
      <c r="H14" s="55">
        <v>11003</v>
      </c>
      <c r="I14" s="55">
        <v>11003</v>
      </c>
      <c r="J14" s="55">
        <v>11003</v>
      </c>
      <c r="K14" s="55">
        <v>11003</v>
      </c>
      <c r="L14" s="55">
        <v>11003</v>
      </c>
      <c r="M14" s="55">
        <v>11003</v>
      </c>
      <c r="N14" s="149">
        <f t="shared" si="1"/>
        <v>132036</v>
      </c>
    </row>
    <row r="15" spans="1:14">
      <c r="A15" s="194" t="s">
        <v>97</v>
      </c>
      <c r="B15" s="55">
        <v>52049</v>
      </c>
      <c r="C15" s="55">
        <v>52049</v>
      </c>
      <c r="D15" s="55">
        <v>52049</v>
      </c>
      <c r="E15" s="55">
        <v>52049</v>
      </c>
      <c r="F15" s="55">
        <v>52049</v>
      </c>
      <c r="G15" s="55">
        <v>52049</v>
      </c>
      <c r="H15" s="55">
        <v>52049</v>
      </c>
      <c r="I15" s="55">
        <v>52049</v>
      </c>
      <c r="J15" s="55">
        <v>52049</v>
      </c>
      <c r="K15" s="55">
        <v>52049</v>
      </c>
      <c r="L15" s="55">
        <v>52049</v>
      </c>
      <c r="M15" s="55">
        <v>52049</v>
      </c>
      <c r="N15" s="149">
        <f t="shared" si="1"/>
        <v>624588</v>
      </c>
    </row>
    <row r="16" spans="1:14">
      <c r="A16" s="194" t="s">
        <v>98</v>
      </c>
      <c r="B16" s="55">
        <v>2846</v>
      </c>
      <c r="C16" s="55">
        <v>2846</v>
      </c>
      <c r="D16" s="55">
        <v>2846</v>
      </c>
      <c r="E16" s="55">
        <v>2846</v>
      </c>
      <c r="F16" s="55">
        <v>2846</v>
      </c>
      <c r="G16" s="55">
        <v>2846</v>
      </c>
      <c r="H16" s="55">
        <v>2846</v>
      </c>
      <c r="I16" s="55">
        <v>2846</v>
      </c>
      <c r="J16" s="55">
        <v>2846</v>
      </c>
      <c r="K16" s="55">
        <v>2846</v>
      </c>
      <c r="L16" s="55">
        <v>2846</v>
      </c>
      <c r="M16" s="55">
        <v>2846</v>
      </c>
      <c r="N16" s="149">
        <f t="shared" si="1"/>
        <v>34152</v>
      </c>
    </row>
    <row r="17" spans="1:14">
      <c r="A17" s="194" t="s">
        <v>99</v>
      </c>
      <c r="B17" s="55">
        <v>750</v>
      </c>
      <c r="C17" s="55">
        <v>750</v>
      </c>
      <c r="D17" s="55">
        <v>750</v>
      </c>
      <c r="E17" s="55">
        <v>750</v>
      </c>
      <c r="F17" s="55">
        <v>750</v>
      </c>
      <c r="G17" s="55">
        <v>750</v>
      </c>
      <c r="H17" s="55">
        <v>750</v>
      </c>
      <c r="I17" s="55">
        <v>750</v>
      </c>
      <c r="J17" s="55">
        <v>750</v>
      </c>
      <c r="K17" s="55">
        <v>750</v>
      </c>
      <c r="L17" s="55">
        <v>750</v>
      </c>
      <c r="M17" s="55">
        <v>750</v>
      </c>
      <c r="N17" s="149">
        <f t="shared" si="1"/>
        <v>9000</v>
      </c>
    </row>
    <row r="18" spans="1:14">
      <c r="A18" s="194" t="s">
        <v>100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149">
        <f t="shared" si="1"/>
        <v>0</v>
      </c>
    </row>
    <row r="19" spans="1:14">
      <c r="A19" s="194" t="s">
        <v>101</v>
      </c>
      <c r="B19" s="55">
        <v>21614</v>
      </c>
      <c r="C19" s="55">
        <v>21614</v>
      </c>
      <c r="D19" s="55">
        <v>21614</v>
      </c>
      <c r="E19" s="55">
        <v>21614</v>
      </c>
      <c r="F19" s="55">
        <v>21614</v>
      </c>
      <c r="G19" s="55">
        <v>21614</v>
      </c>
      <c r="H19" s="55">
        <v>21614</v>
      </c>
      <c r="I19" s="55">
        <v>21614</v>
      </c>
      <c r="J19" s="55">
        <v>21614</v>
      </c>
      <c r="K19" s="55">
        <v>21614</v>
      </c>
      <c r="L19" s="55">
        <v>21614</v>
      </c>
      <c r="M19" s="55">
        <v>21614</v>
      </c>
      <c r="N19" s="149">
        <f t="shared" si="1"/>
        <v>259368</v>
      </c>
    </row>
    <row r="20" spans="1:14">
      <c r="A20" s="194" t="s">
        <v>356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149">
        <f t="shared" si="1"/>
        <v>0</v>
      </c>
    </row>
    <row r="21" spans="1:14">
      <c r="A21" s="194" t="s">
        <v>6</v>
      </c>
      <c r="B21" s="151">
        <f>SUM(B7:B20)</f>
        <v>589450</v>
      </c>
      <c r="C21" s="151">
        <f t="shared" ref="C21:N21" si="2">SUM(C7:C20)</f>
        <v>589450</v>
      </c>
      <c r="D21" s="151">
        <f t="shared" si="2"/>
        <v>589450</v>
      </c>
      <c r="E21" s="151">
        <f t="shared" si="2"/>
        <v>589450</v>
      </c>
      <c r="F21" s="151">
        <f t="shared" si="2"/>
        <v>589450</v>
      </c>
      <c r="G21" s="151">
        <f t="shared" si="2"/>
        <v>589450</v>
      </c>
      <c r="H21" s="151">
        <f t="shared" si="2"/>
        <v>589450</v>
      </c>
      <c r="I21" s="151">
        <f t="shared" si="2"/>
        <v>589450</v>
      </c>
      <c r="J21" s="151">
        <f t="shared" si="2"/>
        <v>589450</v>
      </c>
      <c r="K21" s="151">
        <f t="shared" si="2"/>
        <v>589450</v>
      </c>
      <c r="L21" s="151">
        <f t="shared" si="2"/>
        <v>589450</v>
      </c>
      <c r="M21" s="151">
        <f t="shared" si="2"/>
        <v>589450</v>
      </c>
      <c r="N21" s="151">
        <f t="shared" si="2"/>
        <v>7073400</v>
      </c>
    </row>
    <row r="24" spans="1:14">
      <c r="A24" s="171" t="s">
        <v>214</v>
      </c>
    </row>
    <row r="25" spans="1:14">
      <c r="A25" s="191" t="s">
        <v>21</v>
      </c>
      <c r="B25" s="192">
        <f t="shared" ref="B25:M25" si="3">+B6</f>
        <v>45658</v>
      </c>
      <c r="C25" s="192">
        <f t="shared" si="3"/>
        <v>45689</v>
      </c>
      <c r="D25" s="192">
        <f t="shared" si="3"/>
        <v>45717</v>
      </c>
      <c r="E25" s="192">
        <f t="shared" si="3"/>
        <v>45748</v>
      </c>
      <c r="F25" s="192">
        <f t="shared" si="3"/>
        <v>45778</v>
      </c>
      <c r="G25" s="192">
        <f t="shared" si="3"/>
        <v>45809</v>
      </c>
      <c r="H25" s="192">
        <f t="shared" si="3"/>
        <v>45839</v>
      </c>
      <c r="I25" s="192">
        <f t="shared" si="3"/>
        <v>45870</v>
      </c>
      <c r="J25" s="192">
        <f t="shared" si="3"/>
        <v>45901</v>
      </c>
      <c r="K25" s="192">
        <f t="shared" si="3"/>
        <v>45931</v>
      </c>
      <c r="L25" s="192">
        <f t="shared" si="3"/>
        <v>45962</v>
      </c>
      <c r="M25" s="192">
        <f t="shared" si="3"/>
        <v>45992</v>
      </c>
      <c r="N25" s="193" t="s">
        <v>88</v>
      </c>
    </row>
    <row r="26" spans="1:14">
      <c r="A26" s="194" t="s">
        <v>89</v>
      </c>
      <c r="B26" s="195">
        <v>0</v>
      </c>
      <c r="C26" s="195">
        <v>0</v>
      </c>
      <c r="D26" s="195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195">
        <v>0</v>
      </c>
      <c r="L26" s="195">
        <v>0</v>
      </c>
      <c r="M26" s="195">
        <v>0</v>
      </c>
      <c r="N26" s="149">
        <f>SUM(B26:M26)</f>
        <v>0</v>
      </c>
    </row>
    <row r="27" spans="1:14">
      <c r="A27" s="194" t="s">
        <v>90</v>
      </c>
      <c r="B27" s="55">
        <v>824842</v>
      </c>
      <c r="C27" s="55">
        <v>824842</v>
      </c>
      <c r="D27" s="55">
        <v>824842</v>
      </c>
      <c r="E27" s="55">
        <v>824842</v>
      </c>
      <c r="F27" s="55">
        <v>824842</v>
      </c>
      <c r="G27" s="55">
        <v>824842</v>
      </c>
      <c r="H27" s="55">
        <v>824842</v>
      </c>
      <c r="I27" s="55">
        <v>824842</v>
      </c>
      <c r="J27" s="55">
        <v>824842</v>
      </c>
      <c r="K27" s="55">
        <v>824842</v>
      </c>
      <c r="L27" s="55">
        <v>824842</v>
      </c>
      <c r="M27" s="55">
        <v>824842</v>
      </c>
      <c r="N27" s="149">
        <f>SUM(B27:M27)</f>
        <v>9898104</v>
      </c>
    </row>
    <row r="28" spans="1:14">
      <c r="A28" s="194" t="s">
        <v>91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149">
        <f t="shared" ref="N28:N39" si="4">SUM(B28:M28)</f>
        <v>0</v>
      </c>
    </row>
    <row r="29" spans="1:14">
      <c r="A29" s="194" t="s">
        <v>92</v>
      </c>
      <c r="B29" s="55">
        <v>59298</v>
      </c>
      <c r="C29" s="55">
        <v>59324</v>
      </c>
      <c r="D29" s="55">
        <v>59343</v>
      </c>
      <c r="E29" s="55">
        <v>59358</v>
      </c>
      <c r="F29" s="55">
        <v>59377</v>
      </c>
      <c r="G29" s="55">
        <v>59393</v>
      </c>
      <c r="H29" s="55">
        <v>59414</v>
      </c>
      <c r="I29" s="55">
        <v>59434</v>
      </c>
      <c r="J29" s="55">
        <v>59449</v>
      </c>
      <c r="K29" s="55">
        <v>59466</v>
      </c>
      <c r="L29" s="55">
        <v>59484</v>
      </c>
      <c r="M29" s="55">
        <v>59514</v>
      </c>
      <c r="N29" s="149">
        <f t="shared" si="4"/>
        <v>712854</v>
      </c>
    </row>
    <row r="30" spans="1:14">
      <c r="A30" s="194" t="s">
        <v>95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149">
        <f>SUM(B30:M30)</f>
        <v>0</v>
      </c>
    </row>
    <row r="31" spans="1:14">
      <c r="A31" s="194" t="s">
        <v>93</v>
      </c>
      <c r="B31" s="55">
        <v>1264</v>
      </c>
      <c r="C31" s="55">
        <v>1261</v>
      </c>
      <c r="D31" s="55">
        <v>1261</v>
      </c>
      <c r="E31" s="55">
        <v>1260</v>
      </c>
      <c r="F31" s="55">
        <v>1258</v>
      </c>
      <c r="G31" s="55">
        <v>1254</v>
      </c>
      <c r="H31" s="55">
        <v>1251</v>
      </c>
      <c r="I31" s="55">
        <v>1249</v>
      </c>
      <c r="J31" s="55">
        <v>1252</v>
      </c>
      <c r="K31" s="55">
        <v>1254</v>
      </c>
      <c r="L31" s="55">
        <v>1254</v>
      </c>
      <c r="M31" s="55">
        <v>1250</v>
      </c>
      <c r="N31" s="149">
        <f>SUM(B31:M31)</f>
        <v>15068</v>
      </c>
    </row>
    <row r="32" spans="1:14">
      <c r="A32" s="194" t="s">
        <v>94</v>
      </c>
      <c r="B32" s="55">
        <v>94</v>
      </c>
      <c r="C32" s="55">
        <v>94</v>
      </c>
      <c r="D32" s="55">
        <v>94</v>
      </c>
      <c r="E32" s="55">
        <v>94</v>
      </c>
      <c r="F32" s="55">
        <v>94</v>
      </c>
      <c r="G32" s="55">
        <v>94</v>
      </c>
      <c r="H32" s="55">
        <v>94</v>
      </c>
      <c r="I32" s="55">
        <v>94</v>
      </c>
      <c r="J32" s="55">
        <v>94</v>
      </c>
      <c r="K32" s="55">
        <v>94</v>
      </c>
      <c r="L32" s="55">
        <v>94</v>
      </c>
      <c r="M32" s="55">
        <v>94</v>
      </c>
      <c r="N32" s="149">
        <f>SUM(B32:M32)</f>
        <v>1128</v>
      </c>
    </row>
    <row r="33" spans="1:14">
      <c r="A33" s="194" t="s">
        <v>96</v>
      </c>
      <c r="B33" s="55">
        <v>34</v>
      </c>
      <c r="C33" s="55">
        <v>34</v>
      </c>
      <c r="D33" s="55">
        <v>34</v>
      </c>
      <c r="E33" s="55">
        <v>34</v>
      </c>
      <c r="F33" s="55">
        <v>34</v>
      </c>
      <c r="G33" s="55">
        <v>34</v>
      </c>
      <c r="H33" s="55">
        <v>34</v>
      </c>
      <c r="I33" s="55">
        <v>34</v>
      </c>
      <c r="J33" s="55">
        <v>34</v>
      </c>
      <c r="K33" s="55">
        <v>34</v>
      </c>
      <c r="L33" s="55">
        <v>34</v>
      </c>
      <c r="M33" s="55">
        <v>34</v>
      </c>
      <c r="N33" s="149">
        <f t="shared" si="4"/>
        <v>408</v>
      </c>
    </row>
    <row r="34" spans="1:14">
      <c r="A34" s="194" t="s">
        <v>97</v>
      </c>
      <c r="B34" s="55">
        <v>70</v>
      </c>
      <c r="C34" s="55">
        <v>70</v>
      </c>
      <c r="D34" s="55">
        <v>70</v>
      </c>
      <c r="E34" s="55">
        <v>70</v>
      </c>
      <c r="F34" s="55">
        <v>70</v>
      </c>
      <c r="G34" s="55">
        <v>70</v>
      </c>
      <c r="H34" s="55">
        <v>70</v>
      </c>
      <c r="I34" s="55">
        <v>70</v>
      </c>
      <c r="J34" s="55">
        <v>70</v>
      </c>
      <c r="K34" s="55">
        <v>70</v>
      </c>
      <c r="L34" s="55">
        <v>70</v>
      </c>
      <c r="M34" s="55">
        <v>70</v>
      </c>
      <c r="N34" s="149">
        <f t="shared" si="4"/>
        <v>840</v>
      </c>
    </row>
    <row r="35" spans="1:14">
      <c r="A35" s="194" t="s">
        <v>98</v>
      </c>
      <c r="B35" s="55">
        <v>94</v>
      </c>
      <c r="C35" s="55">
        <v>93</v>
      </c>
      <c r="D35" s="55">
        <v>93</v>
      </c>
      <c r="E35" s="55">
        <v>93</v>
      </c>
      <c r="F35" s="55">
        <v>92</v>
      </c>
      <c r="G35" s="55">
        <v>92</v>
      </c>
      <c r="H35" s="55">
        <v>92</v>
      </c>
      <c r="I35" s="55">
        <v>91</v>
      </c>
      <c r="J35" s="55">
        <v>91</v>
      </c>
      <c r="K35" s="55">
        <v>91</v>
      </c>
      <c r="L35" s="55">
        <v>90</v>
      </c>
      <c r="M35" s="55">
        <v>90</v>
      </c>
      <c r="N35" s="149">
        <f t="shared" si="4"/>
        <v>1102</v>
      </c>
    </row>
    <row r="36" spans="1:14">
      <c r="A36" s="194" t="s">
        <v>99</v>
      </c>
      <c r="B36" s="55">
        <v>6</v>
      </c>
      <c r="C36" s="55">
        <v>6</v>
      </c>
      <c r="D36" s="55">
        <v>6</v>
      </c>
      <c r="E36" s="55">
        <v>6</v>
      </c>
      <c r="F36" s="55">
        <v>6</v>
      </c>
      <c r="G36" s="55">
        <v>6</v>
      </c>
      <c r="H36" s="55">
        <v>6</v>
      </c>
      <c r="I36" s="55">
        <v>6</v>
      </c>
      <c r="J36" s="55">
        <v>6</v>
      </c>
      <c r="K36" s="55">
        <v>6</v>
      </c>
      <c r="L36" s="55">
        <v>6</v>
      </c>
      <c r="M36" s="55">
        <v>6</v>
      </c>
      <c r="N36" s="149">
        <f t="shared" si="4"/>
        <v>72</v>
      </c>
    </row>
    <row r="37" spans="1:14">
      <c r="A37" s="194" t="s">
        <v>100</v>
      </c>
      <c r="B37" s="55">
        <v>4</v>
      </c>
      <c r="C37" s="55">
        <v>4</v>
      </c>
      <c r="D37" s="55">
        <v>4</v>
      </c>
      <c r="E37" s="55">
        <v>4</v>
      </c>
      <c r="F37" s="55">
        <v>4</v>
      </c>
      <c r="G37" s="55">
        <v>4</v>
      </c>
      <c r="H37" s="55">
        <v>4</v>
      </c>
      <c r="I37" s="55">
        <v>4</v>
      </c>
      <c r="J37" s="55">
        <v>4</v>
      </c>
      <c r="K37" s="55">
        <v>4</v>
      </c>
      <c r="L37" s="55">
        <v>4</v>
      </c>
      <c r="M37" s="55">
        <v>4</v>
      </c>
      <c r="N37" s="149">
        <f t="shared" si="4"/>
        <v>48</v>
      </c>
    </row>
    <row r="38" spans="1:14">
      <c r="A38" s="194" t="s">
        <v>101</v>
      </c>
      <c r="B38" s="55">
        <v>9</v>
      </c>
      <c r="C38" s="55">
        <v>9</v>
      </c>
      <c r="D38" s="55">
        <v>9</v>
      </c>
      <c r="E38" s="55">
        <v>9</v>
      </c>
      <c r="F38" s="55">
        <v>9</v>
      </c>
      <c r="G38" s="55">
        <v>9</v>
      </c>
      <c r="H38" s="55">
        <v>9</v>
      </c>
      <c r="I38" s="55">
        <v>9</v>
      </c>
      <c r="J38" s="55">
        <v>9</v>
      </c>
      <c r="K38" s="55">
        <v>9</v>
      </c>
      <c r="L38" s="55">
        <v>9</v>
      </c>
      <c r="M38" s="55">
        <v>9</v>
      </c>
      <c r="N38" s="149">
        <f t="shared" si="4"/>
        <v>108</v>
      </c>
    </row>
    <row r="39" spans="1:14">
      <c r="A39" s="194" t="s">
        <v>356</v>
      </c>
      <c r="B39" s="55">
        <v>1</v>
      </c>
      <c r="C39" s="55">
        <v>1</v>
      </c>
      <c r="D39" s="55">
        <v>1</v>
      </c>
      <c r="E39" s="55">
        <v>1</v>
      </c>
      <c r="F39" s="55">
        <v>1</v>
      </c>
      <c r="G39" s="55">
        <v>1</v>
      </c>
      <c r="H39" s="55">
        <v>1</v>
      </c>
      <c r="I39" s="55">
        <v>1</v>
      </c>
      <c r="J39" s="55">
        <v>1</v>
      </c>
      <c r="K39" s="55">
        <v>1</v>
      </c>
      <c r="L39" s="55">
        <v>1</v>
      </c>
      <c r="M39" s="55">
        <v>1</v>
      </c>
      <c r="N39" s="149">
        <f t="shared" si="4"/>
        <v>12</v>
      </c>
    </row>
    <row r="40" spans="1:14">
      <c r="A40" s="194" t="s">
        <v>6</v>
      </c>
      <c r="B40" s="151">
        <f>SUM(B26:B39)</f>
        <v>885716</v>
      </c>
      <c r="C40" s="151">
        <f t="shared" ref="C40:N40" si="5">SUM(C26:C39)</f>
        <v>885738</v>
      </c>
      <c r="D40" s="151">
        <f t="shared" si="5"/>
        <v>885757</v>
      </c>
      <c r="E40" s="151">
        <f t="shared" si="5"/>
        <v>885771</v>
      </c>
      <c r="F40" s="151">
        <f t="shared" si="5"/>
        <v>885787</v>
      </c>
      <c r="G40" s="151">
        <f t="shared" si="5"/>
        <v>885799</v>
      </c>
      <c r="H40" s="151">
        <f t="shared" si="5"/>
        <v>885817</v>
      </c>
      <c r="I40" s="151">
        <f t="shared" si="5"/>
        <v>885834</v>
      </c>
      <c r="J40" s="151">
        <f t="shared" si="5"/>
        <v>885852</v>
      </c>
      <c r="K40" s="151">
        <f t="shared" si="5"/>
        <v>885871</v>
      </c>
      <c r="L40" s="151">
        <f t="shared" si="5"/>
        <v>885888</v>
      </c>
      <c r="M40" s="151">
        <f t="shared" si="5"/>
        <v>885914</v>
      </c>
      <c r="N40" s="151">
        <f t="shared" si="5"/>
        <v>10629744</v>
      </c>
    </row>
    <row r="48" spans="1:14">
      <c r="C48" s="196"/>
      <c r="D48" s="149"/>
    </row>
  </sheetData>
  <pageMargins left="0.7" right="0.7" top="0.75" bottom="0.75" header="0.3" footer="0.3"/>
  <pageSetup scale="62" orientation="landscape" r:id="rId1"/>
  <headerFooter>
    <oddFooter>&amp;L&amp;F
&amp;A&amp;C&amp;P&amp;R&amp;D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40"/>
  <sheetViews>
    <sheetView zoomScale="90" zoomScaleNormal="90" workbookViewId="0">
      <pane xSplit="3" ySplit="9" topLeftCell="D10" activePane="bottomRight" state="frozenSplit"/>
      <selection activeCell="C32" sqref="C32"/>
      <selection pane="topRight" activeCell="C32" sqref="C32"/>
      <selection pane="bottomLeft" activeCell="C32" sqref="C32"/>
      <selection pane="bottomRight" activeCell="I27" sqref="I27"/>
    </sheetView>
  </sheetViews>
  <sheetFormatPr defaultRowHeight="15"/>
  <cols>
    <col min="1" max="1" width="4.7109375" bestFit="1" customWidth="1"/>
    <col min="2" max="2" width="37.5703125" customWidth="1"/>
    <col min="3" max="3" width="9.140625" bestFit="1" customWidth="1"/>
    <col min="4" max="4" width="16.140625" bestFit="1" customWidth="1"/>
    <col min="5" max="5" width="2.28515625" customWidth="1"/>
    <col min="6" max="6" width="16" bestFit="1" customWidth="1"/>
    <col min="7" max="7" width="10" bestFit="1" customWidth="1"/>
    <col min="8" max="8" width="2.28515625" customWidth="1"/>
    <col min="9" max="9" width="16" bestFit="1" customWidth="1"/>
    <col min="10" max="10" width="15.7109375" bestFit="1" customWidth="1"/>
    <col min="11" max="11" width="2.28515625" customWidth="1"/>
    <col min="12" max="12" width="16" bestFit="1" customWidth="1"/>
    <col min="13" max="13" width="9.7109375" customWidth="1"/>
    <col min="14" max="14" width="2.28515625" customWidth="1"/>
    <col min="15" max="15" width="16" bestFit="1" customWidth="1"/>
    <col min="16" max="16" width="9.5703125" bestFit="1" customWidth="1"/>
    <col min="17" max="17" width="2.28515625" customWidth="1"/>
    <col min="18" max="18" width="16.140625" bestFit="1" customWidth="1"/>
    <col min="19" max="19" width="16" bestFit="1" customWidth="1"/>
    <col min="20" max="20" width="9.5703125" bestFit="1" customWidth="1"/>
  </cols>
  <sheetData>
    <row r="1" spans="1:21">
      <c r="A1" s="143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1">
      <c r="A2" s="143"/>
      <c r="B2" s="40" t="str">
        <f>'Table of Contents'!A2</f>
        <v>2024 Gas General Rate Case Filing (Dockets UE-240004 &amp; UG-240005)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>
      <c r="B3" s="143" t="s">
        <v>180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</row>
    <row r="4" spans="1:21">
      <c r="B4" s="143" t="s">
        <v>374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</row>
    <row r="5" spans="1:21">
      <c r="B5" s="3"/>
      <c r="C5" s="3"/>
      <c r="D5" s="3"/>
      <c r="E5" s="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</row>
    <row r="6" spans="1:21">
      <c r="D6" s="60" t="s">
        <v>205</v>
      </c>
      <c r="E6" s="60"/>
      <c r="H6" s="3"/>
      <c r="R6" s="3" t="str">
        <f>D6</f>
        <v>12ME Dec. 2025</v>
      </c>
      <c r="U6" s="3"/>
    </row>
    <row r="7" spans="1:21">
      <c r="B7" s="3"/>
      <c r="C7" s="3"/>
      <c r="D7" s="3" t="s">
        <v>128</v>
      </c>
      <c r="E7" s="3"/>
      <c r="F7" s="176"/>
      <c r="G7" s="3"/>
      <c r="H7" s="3"/>
      <c r="I7" s="3" t="s">
        <v>342</v>
      </c>
      <c r="J7" s="3" t="str">
        <f>I7</f>
        <v>Sch. 141DCARB</v>
      </c>
      <c r="K7" s="3"/>
      <c r="L7" s="3" t="s">
        <v>179</v>
      </c>
      <c r="M7" s="3" t="str">
        <f>L7</f>
        <v>Sch. 141N</v>
      </c>
      <c r="N7" s="3"/>
      <c r="O7" s="3" t="s">
        <v>177</v>
      </c>
      <c r="P7" s="3" t="str">
        <f>O7</f>
        <v>Sch. 141R</v>
      </c>
      <c r="Q7" s="3"/>
      <c r="R7" s="3" t="s">
        <v>128</v>
      </c>
    </row>
    <row r="8" spans="1:21">
      <c r="A8" s="3" t="s">
        <v>391</v>
      </c>
      <c r="B8" s="3"/>
      <c r="C8" s="3" t="s">
        <v>17</v>
      </c>
      <c r="D8" s="3" t="s">
        <v>170</v>
      </c>
      <c r="E8" s="3"/>
      <c r="F8" s="3" t="s">
        <v>176</v>
      </c>
      <c r="G8" s="3" t="str">
        <f>F8</f>
        <v>Base Rate</v>
      </c>
      <c r="H8" s="3"/>
      <c r="I8" s="3" t="s">
        <v>343</v>
      </c>
      <c r="J8" s="3" t="str">
        <f>I8</f>
        <v>Decarbonization</v>
      </c>
      <c r="K8" s="3"/>
      <c r="L8" s="3" t="s">
        <v>178</v>
      </c>
      <c r="M8" s="3" t="str">
        <f>L8</f>
        <v>Rate Plan</v>
      </c>
      <c r="N8" s="3"/>
      <c r="O8" s="3" t="s">
        <v>178</v>
      </c>
      <c r="P8" s="3" t="str">
        <f>O8</f>
        <v>Rate Plan</v>
      </c>
      <c r="Q8" s="3"/>
      <c r="R8" s="3" t="s">
        <v>171</v>
      </c>
      <c r="S8" s="3" t="s">
        <v>6</v>
      </c>
      <c r="T8" s="3" t="s">
        <v>6</v>
      </c>
    </row>
    <row r="9" spans="1:21">
      <c r="A9" s="207" t="s">
        <v>392</v>
      </c>
      <c r="B9" s="73" t="s">
        <v>4</v>
      </c>
      <c r="C9" s="73" t="s">
        <v>21</v>
      </c>
      <c r="D9" s="73" t="s">
        <v>151</v>
      </c>
      <c r="E9" s="3"/>
      <c r="F9" s="73" t="s">
        <v>115</v>
      </c>
      <c r="G9" s="73" t="s">
        <v>172</v>
      </c>
      <c r="H9" s="3"/>
      <c r="I9" s="73" t="s">
        <v>115</v>
      </c>
      <c r="J9" s="73" t="s">
        <v>154</v>
      </c>
      <c r="K9" s="3"/>
      <c r="L9" s="207" t="s">
        <v>115</v>
      </c>
      <c r="M9" s="207" t="s">
        <v>154</v>
      </c>
      <c r="N9" s="3"/>
      <c r="O9" s="73" t="s">
        <v>115</v>
      </c>
      <c r="P9" s="73" t="s">
        <v>154</v>
      </c>
      <c r="Q9" s="3"/>
      <c r="R9" s="73" t="s">
        <v>124</v>
      </c>
      <c r="S9" s="73" t="s">
        <v>115</v>
      </c>
      <c r="T9" s="73" t="s">
        <v>154</v>
      </c>
    </row>
    <row r="10" spans="1:21">
      <c r="B10" s="3" t="s">
        <v>25</v>
      </c>
      <c r="C10" s="3" t="s">
        <v>26</v>
      </c>
      <c r="D10" s="3" t="s">
        <v>27</v>
      </c>
      <c r="E10" s="3"/>
      <c r="F10" s="67" t="s">
        <v>28</v>
      </c>
      <c r="G10" s="4" t="s">
        <v>155</v>
      </c>
      <c r="H10" s="3"/>
      <c r="I10" s="67" t="s">
        <v>125</v>
      </c>
      <c r="J10" s="4" t="s">
        <v>173</v>
      </c>
      <c r="K10" s="4"/>
      <c r="L10" s="4" t="s">
        <v>71</v>
      </c>
      <c r="M10" s="4" t="s">
        <v>174</v>
      </c>
      <c r="N10" s="4"/>
      <c r="O10" s="67" t="s">
        <v>29</v>
      </c>
      <c r="P10" s="4" t="s">
        <v>265</v>
      </c>
      <c r="Q10" s="4"/>
      <c r="R10" s="4" t="s">
        <v>351</v>
      </c>
      <c r="S10" s="67" t="s">
        <v>352</v>
      </c>
      <c r="T10" s="4" t="s">
        <v>353</v>
      </c>
    </row>
    <row r="11" spans="1:21">
      <c r="A11" s="3">
        <v>1</v>
      </c>
      <c r="B11" t="s">
        <v>7</v>
      </c>
      <c r="C11" s="3" t="s">
        <v>30</v>
      </c>
      <c r="D11" s="111">
        <f>'Revenue by Sch_RY#1'!S11</f>
        <v>676976334.52480066</v>
      </c>
      <c r="E11" s="111"/>
      <c r="F11" s="113">
        <v>154689523.53081274</v>
      </c>
      <c r="G11" s="56">
        <f>F11/$D11</f>
        <v>0.2285006367902005</v>
      </c>
      <c r="H11" s="6"/>
      <c r="I11" s="113">
        <f>'Sch. 141DCARB'!H9</f>
        <v>3284614.2286101701</v>
      </c>
      <c r="J11" s="56">
        <f>I11/$D11</f>
        <v>4.8518892922834369E-3</v>
      </c>
      <c r="K11" s="35"/>
      <c r="L11" s="113">
        <f>'Sch. 141N'!H9</f>
        <v>2591806.0415999996</v>
      </c>
      <c r="M11" s="56">
        <f>L11/$D11</f>
        <v>3.8285031683113441E-3</v>
      </c>
      <c r="N11" s="35"/>
      <c r="O11" s="113">
        <f>'Sch. 141R'!H9</f>
        <v>-39244263.146559998</v>
      </c>
      <c r="P11" s="56">
        <f t="shared" ref="P11:P25" si="0">O11/$D11</f>
        <v>-5.7969918806847605E-2</v>
      </c>
      <c r="Q11" s="56"/>
      <c r="R11" s="8">
        <f>D11+F11+I11+L11+O11</f>
        <v>798298015.17926359</v>
      </c>
      <c r="S11" s="135">
        <f t="shared" ref="S11:S24" si="1">R11-D11</f>
        <v>121321680.65446293</v>
      </c>
      <c r="T11" s="56">
        <f>S11/$D11</f>
        <v>0.17921111044394769</v>
      </c>
    </row>
    <row r="12" spans="1:21">
      <c r="A12" s="3">
        <f>A11+1</f>
        <v>2</v>
      </c>
      <c r="B12" t="s">
        <v>31</v>
      </c>
      <c r="C12" s="3">
        <v>16</v>
      </c>
      <c r="D12" s="111">
        <f>'Revenue by Sch_RY#1'!S12</f>
        <v>8536.1400989473677</v>
      </c>
      <c r="E12" s="111"/>
      <c r="F12" s="113">
        <v>1868.7571027318572</v>
      </c>
      <c r="G12" s="56">
        <f t="shared" ref="G12:G23" si="2">F12/$D12</f>
        <v>0.21892296530633354</v>
      </c>
      <c r="H12" s="6"/>
      <c r="I12" s="113">
        <f>'Sch. 141DCARB'!H10</f>
        <v>42.557186655842855</v>
      </c>
      <c r="J12" s="56">
        <f t="shared" ref="J12:J23" si="3">I12/$D12</f>
        <v>4.98553048128753E-3</v>
      </c>
      <c r="K12" s="35"/>
      <c r="L12" s="113">
        <f>'Sch. 141N'!H10</f>
        <v>33.580799999999996</v>
      </c>
      <c r="M12" s="56">
        <f t="shared" ref="M12:M23" si="4">L12/$D12</f>
        <v>3.9339560516516133E-3</v>
      </c>
      <c r="N12" s="35"/>
      <c r="O12" s="113">
        <f>'Sch. 141R'!H10</f>
        <v>-508.46927999999997</v>
      </c>
      <c r="P12" s="56">
        <f t="shared" si="0"/>
        <v>-5.9566651215424843E-2</v>
      </c>
      <c r="Q12" s="56"/>
      <c r="R12" s="8">
        <f t="shared" ref="R12:R24" si="5">D12+F12+I12+L12+O12</f>
        <v>9972.5659083350674</v>
      </c>
      <c r="S12" s="135">
        <f t="shared" si="1"/>
        <v>1436.4258093876997</v>
      </c>
      <c r="T12" s="56">
        <f t="shared" ref="T12:T15" si="6">S12/$D12</f>
        <v>0.16827580062384781</v>
      </c>
    </row>
    <row r="13" spans="1:21">
      <c r="A13" s="3">
        <f t="shared" ref="A13:A37" si="7">A12+1</f>
        <v>3</v>
      </c>
      <c r="B13" t="s">
        <v>8</v>
      </c>
      <c r="C13" s="3">
        <v>31</v>
      </c>
      <c r="D13" s="111">
        <f>'Revenue by Sch_RY#1'!S13</f>
        <v>256088279.94663376</v>
      </c>
      <c r="E13" s="111"/>
      <c r="F13" s="113">
        <v>72810642.06635198</v>
      </c>
      <c r="G13" s="56">
        <f t="shared" si="2"/>
        <v>0.28431852516454481</v>
      </c>
      <c r="H13" s="6"/>
      <c r="I13" s="113">
        <f>'Sch. 141DCARB'!H11</f>
        <v>596895.33856718009</v>
      </c>
      <c r="J13" s="56">
        <f t="shared" si="3"/>
        <v>2.3308186485206084E-3</v>
      </c>
      <c r="K13" s="35"/>
      <c r="L13" s="113">
        <f>'Sch. 141N'!H11</f>
        <v>1005519.108</v>
      </c>
      <c r="M13" s="56">
        <f t="shared" si="4"/>
        <v>3.9264550029760835E-3</v>
      </c>
      <c r="N13" s="35"/>
      <c r="O13" s="113">
        <f>'Sch. 141R'!H11</f>
        <v>-15233614.486199999</v>
      </c>
      <c r="P13" s="56">
        <f t="shared" si="0"/>
        <v>-5.9485793295087665E-2</v>
      </c>
      <c r="Q13" s="56"/>
      <c r="R13" s="8">
        <f t="shared" si="5"/>
        <v>315267721.97335291</v>
      </c>
      <c r="S13" s="135">
        <f t="shared" si="1"/>
        <v>59179442.026719153</v>
      </c>
      <c r="T13" s="56">
        <f>S13/$D13</f>
        <v>0.2310900055209538</v>
      </c>
    </row>
    <row r="14" spans="1:21">
      <c r="A14" s="3">
        <f t="shared" si="7"/>
        <v>4</v>
      </c>
      <c r="B14" t="s">
        <v>9</v>
      </c>
      <c r="C14" s="3">
        <v>41</v>
      </c>
      <c r="D14" s="111">
        <f>'Revenue by Sch_RY#1'!S14</f>
        <v>47306430.192141697</v>
      </c>
      <c r="E14" s="111"/>
      <c r="F14" s="113">
        <v>8967511.4706259705</v>
      </c>
      <c r="G14" s="56">
        <f t="shared" si="2"/>
        <v>0.18956221034229737</v>
      </c>
      <c r="H14" s="6"/>
      <c r="I14" s="113">
        <f>'Sch. 141DCARB'!H12</f>
        <v>64279.415246690172</v>
      </c>
      <c r="J14" s="56">
        <f t="shared" si="3"/>
        <v>1.3587881179283729E-3</v>
      </c>
      <c r="K14" s="35"/>
      <c r="L14" s="113">
        <f>'Sch. 141N'!H12</f>
        <v>126691.29689999999</v>
      </c>
      <c r="M14" s="56">
        <f t="shared" si="4"/>
        <v>2.6780988627851548E-3</v>
      </c>
      <c r="N14" s="35"/>
      <c r="O14" s="113">
        <f>'Sch. 141R'!H12</f>
        <v>-1922691.25343</v>
      </c>
      <c r="P14" s="56">
        <f t="shared" si="0"/>
        <v>-4.0643338455696613E-2</v>
      </c>
      <c r="Q14" s="56"/>
      <c r="R14" s="8">
        <f t="shared" si="5"/>
        <v>54542221.121484347</v>
      </c>
      <c r="S14" s="135">
        <f t="shared" si="1"/>
        <v>7235790.9293426499</v>
      </c>
      <c r="T14" s="56">
        <f t="shared" si="6"/>
        <v>0.15295575886731405</v>
      </c>
    </row>
    <row r="15" spans="1:21">
      <c r="A15" s="3">
        <f t="shared" si="7"/>
        <v>5</v>
      </c>
      <c r="B15" t="s">
        <v>10</v>
      </c>
      <c r="C15" s="3">
        <v>85</v>
      </c>
      <c r="D15" s="111">
        <f>'Revenue by Sch_RY#1'!S15</f>
        <v>9610440.9893782139</v>
      </c>
      <c r="E15" s="111"/>
      <c r="F15" s="113">
        <v>1200288.5473732185</v>
      </c>
      <c r="G15" s="56">
        <f t="shared" si="2"/>
        <v>0.12489422168033894</v>
      </c>
      <c r="H15" s="6"/>
      <c r="I15" s="113">
        <f>'Sch. 141DCARB'!H13</f>
        <v>7088.7318277995937</v>
      </c>
      <c r="J15" s="56">
        <f t="shared" si="3"/>
        <v>7.3760734139404231E-4</v>
      </c>
      <c r="K15" s="35"/>
      <c r="L15" s="113">
        <f>'Sch. 141N'!H13</f>
        <v>21335.330560000002</v>
      </c>
      <c r="M15" s="56">
        <f t="shared" si="4"/>
        <v>2.220015770720671E-3</v>
      </c>
      <c r="N15" s="35"/>
      <c r="O15" s="113">
        <f>'Sch. 141R'!H13</f>
        <v>-323196.92152999999</v>
      </c>
      <c r="P15" s="56">
        <f t="shared" si="0"/>
        <v>-3.3629770151776407E-2</v>
      </c>
      <c r="Q15" s="56"/>
      <c r="R15" s="8">
        <f t="shared" si="5"/>
        <v>10515956.677609231</v>
      </c>
      <c r="S15" s="135">
        <f t="shared" si="1"/>
        <v>905515.68823101744</v>
      </c>
      <c r="T15" s="56">
        <f t="shared" si="6"/>
        <v>9.4222074640677167E-2</v>
      </c>
    </row>
    <row r="16" spans="1:21">
      <c r="A16" s="3">
        <f t="shared" si="7"/>
        <v>6</v>
      </c>
      <c r="B16" t="s">
        <v>11</v>
      </c>
      <c r="C16" s="3">
        <v>86</v>
      </c>
      <c r="D16" s="111">
        <f>'Revenue by Sch_RY#1'!S16</f>
        <v>3089979.8990179696</v>
      </c>
      <c r="E16" s="111"/>
      <c r="F16" s="113">
        <v>343973.92191251472</v>
      </c>
      <c r="G16" s="56">
        <f t="shared" si="2"/>
        <v>0.11131914548111899</v>
      </c>
      <c r="H16" s="6"/>
      <c r="I16" s="113">
        <f>'Sch. 141DCARB'!H14</f>
        <v>4543.1926524968039</v>
      </c>
      <c r="J16" s="56">
        <f t="shared" si="3"/>
        <v>1.4702984488477358E-3</v>
      </c>
      <c r="K16" s="35"/>
      <c r="L16" s="113">
        <f>'Sch. 141N'!H14</f>
        <v>4965.5901400000002</v>
      </c>
      <c r="M16" s="56">
        <f t="shared" si="4"/>
        <v>1.606997554119404E-3</v>
      </c>
      <c r="N16" s="35"/>
      <c r="O16" s="113">
        <f>'Sch. 141R'!H14</f>
        <v>-75186.529949999996</v>
      </c>
      <c r="P16" s="56">
        <f t="shared" si="0"/>
        <v>-2.4332368626053237E-2</v>
      </c>
      <c r="Q16" s="56"/>
      <c r="R16" s="8">
        <f t="shared" si="5"/>
        <v>3368276.0737729813</v>
      </c>
      <c r="S16" s="135">
        <f t="shared" si="1"/>
        <v>278296.17475501169</v>
      </c>
      <c r="T16" s="56">
        <f>S16/$D16</f>
        <v>9.0064072858032945E-2</v>
      </c>
    </row>
    <row r="17" spans="1:20">
      <c r="A17" s="3">
        <f t="shared" si="7"/>
        <v>7</v>
      </c>
      <c r="B17" t="s">
        <v>12</v>
      </c>
      <c r="C17" s="3">
        <v>87</v>
      </c>
      <c r="D17" s="111">
        <f>'Revenue by Sch_RY#1'!S17</f>
        <v>8403818.3557554744</v>
      </c>
      <c r="E17" s="111"/>
      <c r="F17" s="113">
        <v>938749.18342037476</v>
      </c>
      <c r="G17" s="56">
        <f t="shared" si="2"/>
        <v>0.1117050778206622</v>
      </c>
      <c r="H17" s="6"/>
      <c r="I17" s="113">
        <f>'Sch. 141DCARB'!H15</f>
        <v>4405.8702559990497</v>
      </c>
      <c r="J17" s="56">
        <f t="shared" si="3"/>
        <v>5.2427004838599667E-4</v>
      </c>
      <c r="K17" s="35"/>
      <c r="L17" s="113">
        <f>'Sch. 141N'!H23</f>
        <v>11814.968816914317</v>
      </c>
      <c r="M17" s="56">
        <f t="shared" si="4"/>
        <v>1.4059048300136888E-3</v>
      </c>
      <c r="N17" s="35"/>
      <c r="O17" s="113">
        <f>'Sch. 141R'!H23</f>
        <v>-178654.90877159903</v>
      </c>
      <c r="P17" s="56">
        <f t="shared" si="0"/>
        <v>-2.1258777999317975E-2</v>
      </c>
      <c r="Q17" s="56"/>
      <c r="R17" s="8">
        <f t="shared" si="5"/>
        <v>9180133.4694771636</v>
      </c>
      <c r="S17" s="135">
        <f t="shared" si="1"/>
        <v>776315.11372168921</v>
      </c>
      <c r="T17" s="56">
        <f t="shared" ref="T17" si="8">S17/$D17</f>
        <v>9.237647469974393E-2</v>
      </c>
    </row>
    <row r="18" spans="1:20">
      <c r="A18" s="3">
        <f t="shared" si="7"/>
        <v>8</v>
      </c>
      <c r="B18" t="s">
        <v>32</v>
      </c>
      <c r="C18" s="3" t="s">
        <v>33</v>
      </c>
      <c r="D18" s="111">
        <f>'Revenue by Sch_RY#1'!S18</f>
        <v>0</v>
      </c>
      <c r="E18" s="111"/>
      <c r="F18" s="113">
        <v>0</v>
      </c>
      <c r="G18" s="56">
        <f>G13</f>
        <v>0.28431852516454481</v>
      </c>
      <c r="H18" s="6"/>
      <c r="I18" s="113">
        <f>'Sch. 141DCARB'!H16</f>
        <v>0</v>
      </c>
      <c r="J18" s="56">
        <f>J13</f>
        <v>2.3308186485206084E-3</v>
      </c>
      <c r="K18" s="35"/>
      <c r="L18" s="113">
        <f>'Sch. 141N'!H25</f>
        <v>0</v>
      </c>
      <c r="M18" s="56">
        <f>M13</f>
        <v>3.9264550029760835E-3</v>
      </c>
      <c r="N18" s="35"/>
      <c r="O18" s="113">
        <f>'Sch. 141R'!H25</f>
        <v>0</v>
      </c>
      <c r="P18" s="56">
        <f>P13</f>
        <v>-5.9485793295087665E-2</v>
      </c>
      <c r="Q18" s="56"/>
      <c r="R18" s="8">
        <f t="shared" si="5"/>
        <v>0</v>
      </c>
      <c r="S18" s="135">
        <f t="shared" si="1"/>
        <v>0</v>
      </c>
      <c r="T18" s="56">
        <f>T13</f>
        <v>0.2310900055209538</v>
      </c>
    </row>
    <row r="19" spans="1:20">
      <c r="A19" s="3">
        <f t="shared" si="7"/>
        <v>9</v>
      </c>
      <c r="B19" t="s">
        <v>34</v>
      </c>
      <c r="C19" s="3" t="s">
        <v>35</v>
      </c>
      <c r="D19" s="111">
        <f>'Revenue by Sch_RY#1'!S19</f>
        <v>7337281.8090214133</v>
      </c>
      <c r="E19" s="111"/>
      <c r="F19" s="113">
        <v>2516582.127071498</v>
      </c>
      <c r="G19" s="56">
        <f t="shared" si="2"/>
        <v>0.34298561682301515</v>
      </c>
      <c r="H19" s="6"/>
      <c r="I19" s="113">
        <f>'Sch. 141DCARB'!H17</f>
        <v>23182.31462470079</v>
      </c>
      <c r="J19" s="56">
        <f t="shared" si="3"/>
        <v>3.1595235440183616E-3</v>
      </c>
      <c r="K19" s="35"/>
      <c r="L19" s="113">
        <f>'Sch. 141N'!H26</f>
        <v>45691.104899999998</v>
      </c>
      <c r="M19" s="56">
        <f t="shared" si="4"/>
        <v>6.2272522835120471E-3</v>
      </c>
      <c r="N19" s="35"/>
      <c r="O19" s="113">
        <f>'Sch. 141R'!H26</f>
        <v>-693416.91103000008</v>
      </c>
      <c r="P19" s="56">
        <f t="shared" si="0"/>
        <v>-9.4505966797870933E-2</v>
      </c>
      <c r="Q19" s="56"/>
      <c r="R19" s="8">
        <f t="shared" si="5"/>
        <v>9229320.4445876125</v>
      </c>
      <c r="S19" s="135">
        <f t="shared" si="1"/>
        <v>1892038.6355661992</v>
      </c>
      <c r="T19" s="56">
        <f>S19/$D19</f>
        <v>0.25786642585267472</v>
      </c>
    </row>
    <row r="20" spans="1:20">
      <c r="A20" s="3">
        <f t="shared" si="7"/>
        <v>10</v>
      </c>
      <c r="B20" t="s">
        <v>36</v>
      </c>
      <c r="C20" s="3" t="s">
        <v>37</v>
      </c>
      <c r="D20" s="111">
        <f>'Revenue by Sch_RY#1'!S20</f>
        <v>14839515.244593719</v>
      </c>
      <c r="E20" s="111"/>
      <c r="F20" s="113">
        <v>3974041.8085170519</v>
      </c>
      <c r="G20" s="56">
        <f t="shared" si="2"/>
        <v>0.26780132255094119</v>
      </c>
      <c r="H20" s="6"/>
      <c r="I20" s="113">
        <f>'Sch. 141DCARB'!H18</f>
        <v>26684.210653630682</v>
      </c>
      <c r="J20" s="56">
        <f t="shared" si="3"/>
        <v>1.7981861411107873E-3</v>
      </c>
      <c r="K20" s="35"/>
      <c r="L20" s="113">
        <f>'Sch. 141N'!H27</f>
        <v>80312.87808000001</v>
      </c>
      <c r="M20" s="56">
        <f t="shared" si="4"/>
        <v>5.4120957966776791E-3</v>
      </c>
      <c r="N20" s="35"/>
      <c r="O20" s="113">
        <f>'Sch. 141R'!H27</f>
        <v>-1216614.6140400001</v>
      </c>
      <c r="P20" s="56">
        <f t="shared" si="0"/>
        <v>-8.1984794919984533E-2</v>
      </c>
      <c r="Q20" s="56"/>
      <c r="R20" s="8">
        <f t="shared" si="5"/>
        <v>17703939.527804401</v>
      </c>
      <c r="S20" s="135">
        <f t="shared" si="1"/>
        <v>2864424.2832106818</v>
      </c>
      <c r="T20" s="56">
        <f t="shared" ref="T20:T25" si="9">S20/$D20</f>
        <v>0.1930268095687451</v>
      </c>
    </row>
    <row r="21" spans="1:20">
      <c r="A21" s="3">
        <f t="shared" si="7"/>
        <v>11</v>
      </c>
      <c r="B21" t="s">
        <v>38</v>
      </c>
      <c r="C21" s="3" t="s">
        <v>39</v>
      </c>
      <c r="D21" s="111">
        <f>'Revenue by Sch_RY#1'!S21</f>
        <v>342857.32781433722</v>
      </c>
      <c r="E21" s="111"/>
      <c r="F21" s="113">
        <v>65695.815679177264</v>
      </c>
      <c r="G21" s="56">
        <f t="shared" si="2"/>
        <v>0.19161269236384124</v>
      </c>
      <c r="H21" s="6"/>
      <c r="I21" s="113">
        <f>'Sch. 141DCARB'!H19</f>
        <v>1141.0325845330347</v>
      </c>
      <c r="J21" s="56">
        <f t="shared" si="3"/>
        <v>3.3280099095648386E-3</v>
      </c>
      <c r="K21" s="35"/>
      <c r="L21" s="113">
        <f>'Sch. 141N'!H28</f>
        <v>1247.11862</v>
      </c>
      <c r="M21" s="56">
        <f t="shared" si="4"/>
        <v>3.6374273460922932E-3</v>
      </c>
      <c r="N21" s="35"/>
      <c r="O21" s="113">
        <f>'Sch. 141R'!H28</f>
        <v>-18883.258349999996</v>
      </c>
      <c r="P21" s="56">
        <f t="shared" si="0"/>
        <v>-5.5076140476208769E-2</v>
      </c>
      <c r="Q21" s="56"/>
      <c r="R21" s="8">
        <f t="shared" si="5"/>
        <v>392058.03634804755</v>
      </c>
      <c r="S21" s="135">
        <f t="shared" si="1"/>
        <v>49200.708533710334</v>
      </c>
      <c r="T21" s="56">
        <f t="shared" si="9"/>
        <v>0.14350198914328968</v>
      </c>
    </row>
    <row r="22" spans="1:20">
      <c r="A22" s="3">
        <f t="shared" si="7"/>
        <v>12</v>
      </c>
      <c r="B22" t="s">
        <v>40</v>
      </c>
      <c r="C22" s="3" t="s">
        <v>41</v>
      </c>
      <c r="D22" s="111">
        <f>'Revenue by Sch_RY#1'!S22</f>
        <v>5475457.5546779409</v>
      </c>
      <c r="E22" s="111"/>
      <c r="F22" s="113">
        <v>2647526.596652986</v>
      </c>
      <c r="G22" s="56">
        <f t="shared" si="2"/>
        <v>0.48352609260774554</v>
      </c>
      <c r="H22" s="6"/>
      <c r="I22" s="113">
        <f>'Sch. 141DCARB'!H20</f>
        <v>14686.629840947575</v>
      </c>
      <c r="J22" s="56">
        <f t="shared" si="3"/>
        <v>2.682265307380585E-3</v>
      </c>
      <c r="K22" s="35"/>
      <c r="L22" s="113">
        <f>'Sch. 141N'!H37</f>
        <v>35125.389203981991</v>
      </c>
      <c r="M22" s="56">
        <f t="shared" si="4"/>
        <v>6.415060084608403E-3</v>
      </c>
      <c r="N22" s="35"/>
      <c r="O22" s="113">
        <f>'Sch. 141R'!H37</f>
        <v>-531583.40722613886</v>
      </c>
      <c r="P22" s="56">
        <f t="shared" si="0"/>
        <v>-9.708474623677471E-2</v>
      </c>
      <c r="Q22" s="56"/>
      <c r="R22" s="8">
        <f t="shared" si="5"/>
        <v>7641212.7631497188</v>
      </c>
      <c r="S22" s="135">
        <f t="shared" si="1"/>
        <v>2165755.2084717778</v>
      </c>
      <c r="T22" s="56">
        <f t="shared" si="9"/>
        <v>0.39553867176296004</v>
      </c>
    </row>
    <row r="23" spans="1:20">
      <c r="A23" s="3">
        <f t="shared" si="7"/>
        <v>13</v>
      </c>
      <c r="B23" t="s">
        <v>396</v>
      </c>
      <c r="C23" s="3" t="s">
        <v>355</v>
      </c>
      <c r="D23" s="111">
        <f>'Revenue by Sch_RY#1'!S23</f>
        <v>1461359.8547999999</v>
      </c>
      <c r="E23" s="111"/>
      <c r="F23" s="113">
        <v>-664691.14552000002</v>
      </c>
      <c r="G23" s="56">
        <f t="shared" si="2"/>
        <v>-0.45484426257964294</v>
      </c>
      <c r="H23" s="6"/>
      <c r="I23" s="113">
        <f>'Sch. 141DCARB'!H21</f>
        <v>1825.6245223798917</v>
      </c>
      <c r="J23" s="56">
        <f t="shared" si="3"/>
        <v>1.2492641811552602E-3</v>
      </c>
      <c r="K23" s="35"/>
      <c r="L23" s="113">
        <f>'Sch. 141N'!H46</f>
        <v>6611.6600799999997</v>
      </c>
      <c r="M23" s="56">
        <f t="shared" si="4"/>
        <v>4.524320315960003E-3</v>
      </c>
      <c r="N23" s="35"/>
      <c r="O23" s="113">
        <f>'Sch. 141R'!H46</f>
        <v>-102219.51272</v>
      </c>
      <c r="P23" s="56">
        <f t="shared" si="0"/>
        <v>-6.9948214592215993E-2</v>
      </c>
      <c r="Q23" s="56"/>
      <c r="R23" s="8">
        <f t="shared" ref="R23" si="10">D23+F23+I23+L23+O23</f>
        <v>702886.48116237973</v>
      </c>
      <c r="S23" s="135">
        <f t="shared" ref="S23" si="11">R23-D23</f>
        <v>-758473.37363762013</v>
      </c>
      <c r="T23" s="56">
        <f t="shared" ref="T23" si="12">S23/$D23</f>
        <v>-0.51901889267474366</v>
      </c>
    </row>
    <row r="24" spans="1:20">
      <c r="A24" s="3">
        <f t="shared" si="7"/>
        <v>14</v>
      </c>
      <c r="B24" t="s">
        <v>13</v>
      </c>
      <c r="D24" s="111">
        <f>'Revenue by Sch_RY#1'!S24</f>
        <v>2998102.4627110506</v>
      </c>
      <c r="E24" s="111"/>
      <c r="F24" s="113">
        <v>123241.32000000053</v>
      </c>
      <c r="G24" s="56">
        <f>F24/$D24</f>
        <v>4.1106440334450371E-2</v>
      </c>
      <c r="H24" s="6"/>
      <c r="I24" s="113">
        <f>'Sch. 141DCARB'!H22</f>
        <v>5726.5965922074647</v>
      </c>
      <c r="J24" s="56">
        <f>I24/$D24</f>
        <v>1.9100736760774874E-3</v>
      </c>
      <c r="K24" s="35"/>
      <c r="L24" s="113"/>
      <c r="M24" s="56">
        <f>L24/$D24</f>
        <v>0</v>
      </c>
      <c r="N24" s="35"/>
      <c r="O24" s="113"/>
      <c r="P24" s="56">
        <f t="shared" si="0"/>
        <v>0</v>
      </c>
      <c r="Q24" s="56"/>
      <c r="R24" s="8">
        <f t="shared" si="5"/>
        <v>3127070.3793032588</v>
      </c>
      <c r="S24" s="135">
        <f t="shared" si="1"/>
        <v>128967.9165922082</v>
      </c>
      <c r="T24" s="56">
        <f t="shared" si="9"/>
        <v>4.3016514010527931E-2</v>
      </c>
    </row>
    <row r="25" spans="1:20">
      <c r="A25" s="3">
        <f t="shared" si="7"/>
        <v>15</v>
      </c>
      <c r="B25" t="s">
        <v>6</v>
      </c>
      <c r="D25" s="11">
        <f>SUM(D11:D24)</f>
        <v>1033938394.3014451</v>
      </c>
      <c r="E25" s="8"/>
      <c r="F25" s="72">
        <f>SUM(F11:F24)</f>
        <v>247614954.00000018</v>
      </c>
      <c r="G25" s="57">
        <f t="shared" ref="G25" si="13">F25/$D25</f>
        <v>0.23948714484802075</v>
      </c>
      <c r="H25" s="6"/>
      <c r="I25" s="72">
        <f>SUM(I11:I24)</f>
        <v>4035115.7431653915</v>
      </c>
      <c r="J25" s="57">
        <f t="shared" ref="J25" si="14">I25/$D25</f>
        <v>3.9026655412014344E-3</v>
      </c>
      <c r="K25" s="8"/>
      <c r="L25" s="72">
        <f>SUM(L11:L24)</f>
        <v>3931154.0677008959</v>
      </c>
      <c r="M25" s="57">
        <f>L25/$D25</f>
        <v>3.8021163440369993E-3</v>
      </c>
      <c r="N25" s="8"/>
      <c r="O25" s="72">
        <f>SUM(O11:O24)</f>
        <v>-59540833.419087738</v>
      </c>
      <c r="P25" s="57">
        <f t="shared" si="0"/>
        <v>-5.7586442042627722E-2</v>
      </c>
      <c r="Q25" s="56"/>
      <c r="R25" s="11">
        <f>SUM(R11:R24)</f>
        <v>1229978784.693224</v>
      </c>
      <c r="S25" s="72">
        <f>SUM(S11:S24)</f>
        <v>196040390.39177883</v>
      </c>
      <c r="T25" s="57">
        <f t="shared" si="9"/>
        <v>0.18960548469063154</v>
      </c>
    </row>
    <row r="26" spans="1:20" s="13" customFormat="1">
      <c r="A26" s="3"/>
      <c r="B26" s="12"/>
      <c r="C26" s="136"/>
      <c r="D26" s="136"/>
      <c r="E26" s="136"/>
      <c r="F26" s="16"/>
      <c r="G26" s="137"/>
      <c r="H26" s="138"/>
      <c r="I26" s="16"/>
      <c r="J26" s="137"/>
      <c r="K26" s="138"/>
      <c r="L26" s="178"/>
      <c r="M26" s="56"/>
      <c r="N26" s="138"/>
      <c r="O26" s="16"/>
      <c r="P26" s="137"/>
      <c r="Q26" s="137"/>
      <c r="R26" s="137"/>
      <c r="S26" s="16"/>
      <c r="T26" s="137"/>
    </row>
    <row r="27" spans="1:20">
      <c r="A27" s="3"/>
      <c r="F27" s="38"/>
      <c r="G27" s="8"/>
      <c r="I27" s="38"/>
      <c r="J27" s="8"/>
      <c r="K27" s="8"/>
      <c r="L27" s="177"/>
      <c r="M27" s="177"/>
      <c r="N27" s="8"/>
      <c r="O27" s="38"/>
      <c r="P27" s="8"/>
      <c r="Q27" s="8"/>
      <c r="R27" s="8"/>
      <c r="S27" s="38"/>
      <c r="T27" s="8"/>
    </row>
    <row r="28" spans="1:20" s="13" customFormat="1">
      <c r="A28" s="3">
        <f>A25+1</f>
        <v>16</v>
      </c>
      <c r="B28" s="95" t="s">
        <v>150</v>
      </c>
      <c r="D28" s="15"/>
      <c r="E28" s="15"/>
      <c r="F28" s="16"/>
      <c r="G28" s="118"/>
      <c r="I28" s="16"/>
      <c r="J28" s="118"/>
      <c r="L28" s="179"/>
      <c r="M28" s="179"/>
      <c r="O28" s="16"/>
      <c r="P28" s="118"/>
      <c r="Q28" s="118"/>
      <c r="R28" s="118"/>
      <c r="S28" s="16"/>
      <c r="T28" s="118"/>
    </row>
    <row r="29" spans="1:20" s="13" customFormat="1">
      <c r="A29" s="3">
        <f t="shared" si="7"/>
        <v>17</v>
      </c>
      <c r="B29" s="12" t="s">
        <v>7</v>
      </c>
      <c r="C29" s="202" t="s">
        <v>365</v>
      </c>
      <c r="D29" s="16">
        <f>D11+D12</f>
        <v>676984870.66489959</v>
      </c>
      <c r="E29" s="16"/>
      <c r="F29" s="16">
        <f>F11+F12</f>
        <v>154691392.28791547</v>
      </c>
      <c r="G29" s="56">
        <f t="shared" ref="G29:G37" si="15">F29/$D29</f>
        <v>0.22850051602480506</v>
      </c>
      <c r="I29" s="16">
        <f>I11+I12</f>
        <v>3284656.7857968258</v>
      </c>
      <c r="J29" s="56">
        <f t="shared" ref="J29:J37" si="16">I29/$D29</f>
        <v>4.851890977372663E-3</v>
      </c>
      <c r="K29" s="16"/>
      <c r="L29" s="16">
        <f>L11+L12</f>
        <v>2591839.6223999998</v>
      </c>
      <c r="M29" s="56">
        <f t="shared" ref="M29:M37" si="17">L29/$D29</f>
        <v>3.8285044979726483E-3</v>
      </c>
      <c r="N29" s="16"/>
      <c r="O29" s="16">
        <f>O11+O12</f>
        <v>-39244771.615839995</v>
      </c>
      <c r="P29" s="56">
        <f t="shared" ref="P29:P37" si="18">O29/$D29</f>
        <v>-5.796993894013585E-2</v>
      </c>
      <c r="Q29" s="56"/>
      <c r="R29" s="16">
        <f>R11+R12</f>
        <v>798307987.7451719</v>
      </c>
      <c r="S29" s="16">
        <f>S11+S12</f>
        <v>121323117.08027232</v>
      </c>
      <c r="T29" s="56">
        <f t="shared" ref="T29:T37" si="19">S29/$D29</f>
        <v>0.17921097256001456</v>
      </c>
    </row>
    <row r="30" spans="1:20" s="13" customFormat="1">
      <c r="A30" s="3">
        <f t="shared" si="7"/>
        <v>18</v>
      </c>
      <c r="B30" s="12" t="s">
        <v>48</v>
      </c>
      <c r="C30" s="202" t="s">
        <v>366</v>
      </c>
      <c r="D30" s="16">
        <f>D13+D18</f>
        <v>256088279.94663376</v>
      </c>
      <c r="E30" s="16"/>
      <c r="F30" s="16">
        <f>F13+F18</f>
        <v>72810642.06635198</v>
      </c>
      <c r="G30" s="56">
        <f t="shared" si="15"/>
        <v>0.28431852516454481</v>
      </c>
      <c r="I30" s="16">
        <f>I13+I18</f>
        <v>596895.33856718009</v>
      </c>
      <c r="J30" s="56">
        <f t="shared" si="16"/>
        <v>2.3308186485206084E-3</v>
      </c>
      <c r="K30" s="16"/>
      <c r="L30" s="16">
        <f>L13+L18</f>
        <v>1005519.108</v>
      </c>
      <c r="M30" s="56">
        <f t="shared" si="17"/>
        <v>3.9264550029760835E-3</v>
      </c>
      <c r="N30" s="16"/>
      <c r="O30" s="16">
        <f>O13+O18</f>
        <v>-15233614.486199999</v>
      </c>
      <c r="P30" s="56">
        <f t="shared" si="18"/>
        <v>-5.9485793295087665E-2</v>
      </c>
      <c r="Q30" s="56"/>
      <c r="R30" s="16">
        <f t="shared" ref="R30:S34" si="20">R13+R18</f>
        <v>315267721.97335291</v>
      </c>
      <c r="S30" s="16">
        <f t="shared" si="20"/>
        <v>59179442.026719153</v>
      </c>
      <c r="T30" s="56">
        <f t="shared" si="19"/>
        <v>0.2310900055209538</v>
      </c>
    </row>
    <row r="31" spans="1:20" s="13" customFormat="1">
      <c r="A31" s="3">
        <f t="shared" si="7"/>
        <v>19</v>
      </c>
      <c r="B31" s="12" t="s">
        <v>49</v>
      </c>
      <c r="C31" s="202" t="s">
        <v>367</v>
      </c>
      <c r="D31" s="16">
        <f>D14+D19</f>
        <v>54643712.00116311</v>
      </c>
      <c r="E31" s="16"/>
      <c r="F31" s="16">
        <f>F14+F19</f>
        <v>11484093.597697468</v>
      </c>
      <c r="G31" s="56">
        <f t="shared" si="15"/>
        <v>0.21016313089149261</v>
      </c>
      <c r="I31" s="16">
        <f>I14+I19</f>
        <v>87461.729871390969</v>
      </c>
      <c r="J31" s="56">
        <f t="shared" si="16"/>
        <v>1.6005817809289623E-3</v>
      </c>
      <c r="K31" s="16"/>
      <c r="L31" s="16">
        <f>L14+L19</f>
        <v>172382.40179999999</v>
      </c>
      <c r="M31" s="56">
        <f t="shared" si="17"/>
        <v>3.1546612681863703E-3</v>
      </c>
      <c r="N31" s="16"/>
      <c r="O31" s="16">
        <f>O14+O19</f>
        <v>-2616108.1644600001</v>
      </c>
      <c r="P31" s="56">
        <f t="shared" si="18"/>
        <v>-4.7875740293856967E-2</v>
      </c>
      <c r="Q31" s="56"/>
      <c r="R31" s="16">
        <f t="shared" si="20"/>
        <v>63771541.566071957</v>
      </c>
      <c r="S31" s="16">
        <f t="shared" si="20"/>
        <v>9127829.5649088491</v>
      </c>
      <c r="T31" s="56">
        <f t="shared" si="19"/>
        <v>0.16704263364675079</v>
      </c>
    </row>
    <row r="32" spans="1:20" s="13" customFormat="1">
      <c r="A32" s="3">
        <f t="shared" si="7"/>
        <v>20</v>
      </c>
      <c r="B32" s="12" t="s">
        <v>10</v>
      </c>
      <c r="C32" s="202" t="s">
        <v>368</v>
      </c>
      <c r="D32" s="16">
        <f>D15+D20</f>
        <v>24449956.233971931</v>
      </c>
      <c r="E32" s="16"/>
      <c r="F32" s="16">
        <f>F15+F20</f>
        <v>5174330.3558902703</v>
      </c>
      <c r="G32" s="56">
        <f t="shared" si="15"/>
        <v>0.21162943223189945</v>
      </c>
      <c r="I32" s="16">
        <f>I15+I20</f>
        <v>33772.942481430277</v>
      </c>
      <c r="J32" s="56">
        <f t="shared" si="16"/>
        <v>1.3813089135310821E-3</v>
      </c>
      <c r="K32" s="16"/>
      <c r="L32" s="16">
        <f>L15+L20</f>
        <v>101648.20864000001</v>
      </c>
      <c r="M32" s="56">
        <f t="shared" si="17"/>
        <v>4.1573983882541741E-3</v>
      </c>
      <c r="N32" s="16"/>
      <c r="O32" s="16">
        <f>O15+O20</f>
        <v>-1539811.5355700001</v>
      </c>
      <c r="P32" s="56">
        <f t="shared" si="18"/>
        <v>-6.2978089647069094E-2</v>
      </c>
      <c r="Q32" s="56"/>
      <c r="R32" s="16">
        <f t="shared" si="20"/>
        <v>28219896.205413632</v>
      </c>
      <c r="S32" s="16">
        <f t="shared" si="20"/>
        <v>3769939.9714416992</v>
      </c>
      <c r="T32" s="56">
        <f t="shared" si="19"/>
        <v>0.15419004988661555</v>
      </c>
    </row>
    <row r="33" spans="1:20" s="13" customFormat="1">
      <c r="A33" s="3">
        <f t="shared" si="7"/>
        <v>21</v>
      </c>
      <c r="B33" s="12" t="s">
        <v>371</v>
      </c>
      <c r="C33" s="202" t="s">
        <v>369</v>
      </c>
      <c r="D33" s="16">
        <f>D16+D21</f>
        <v>3432837.2268323069</v>
      </c>
      <c r="E33" s="16"/>
      <c r="F33" s="16">
        <f>F16+F21</f>
        <v>409669.73759169201</v>
      </c>
      <c r="G33" s="56">
        <f t="shared" si="15"/>
        <v>0.11933852685748221</v>
      </c>
      <c r="I33" s="16">
        <f>I16+I21</f>
        <v>5684.2252370298384</v>
      </c>
      <c r="J33" s="56">
        <f t="shared" si="16"/>
        <v>1.6558388474116577E-3</v>
      </c>
      <c r="K33" s="16"/>
      <c r="L33" s="16">
        <f>L16+L21</f>
        <v>6212.7087600000004</v>
      </c>
      <c r="M33" s="56">
        <f t="shared" si="17"/>
        <v>1.8097883323564556E-3</v>
      </c>
      <c r="N33" s="16"/>
      <c r="O33" s="16">
        <f>O16+O21</f>
        <v>-94069.788299999986</v>
      </c>
      <c r="P33" s="56">
        <f t="shared" si="18"/>
        <v>-2.7402927107850101E-2</v>
      </c>
      <c r="Q33" s="56"/>
      <c r="R33" s="16">
        <f t="shared" si="20"/>
        <v>3760334.110121029</v>
      </c>
      <c r="S33" s="16">
        <f t="shared" si="20"/>
        <v>327496.88328872202</v>
      </c>
      <c r="T33" s="56">
        <f t="shared" si="19"/>
        <v>9.5401226929400271E-2</v>
      </c>
    </row>
    <row r="34" spans="1:20" s="13" customFormat="1">
      <c r="A34" s="3">
        <f t="shared" si="7"/>
        <v>22</v>
      </c>
      <c r="B34" s="12" t="s">
        <v>372</v>
      </c>
      <c r="C34" s="202" t="s">
        <v>370</v>
      </c>
      <c r="D34" s="16">
        <f>D17+D22</f>
        <v>13879275.910433415</v>
      </c>
      <c r="E34" s="16"/>
      <c r="F34" s="16">
        <f>F17+F22</f>
        <v>3586275.7800733605</v>
      </c>
      <c r="G34" s="56">
        <f t="shared" si="15"/>
        <v>0.25839069726810915</v>
      </c>
      <c r="I34" s="16">
        <f>I17+I22</f>
        <v>19092.500096946624</v>
      </c>
      <c r="J34" s="56">
        <f t="shared" si="16"/>
        <v>1.3756121155134823E-3</v>
      </c>
      <c r="K34" s="16"/>
      <c r="L34" s="16">
        <f>L17+L22</f>
        <v>46940.35802089631</v>
      </c>
      <c r="M34" s="56">
        <f t="shared" si="17"/>
        <v>3.3820466084696836E-3</v>
      </c>
      <c r="N34" s="16"/>
      <c r="O34" s="16">
        <f>O17+O22</f>
        <v>-710238.31599773793</v>
      </c>
      <c r="P34" s="56">
        <f t="shared" si="18"/>
        <v>-5.1172577055250641E-2</v>
      </c>
      <c r="Q34" s="56"/>
      <c r="R34" s="16">
        <f t="shared" si="20"/>
        <v>16821346.232626881</v>
      </c>
      <c r="S34" s="16">
        <f t="shared" si="20"/>
        <v>2942070.3221934671</v>
      </c>
      <c r="T34" s="56">
        <f t="shared" si="19"/>
        <v>0.21197577893684177</v>
      </c>
    </row>
    <row r="35" spans="1:20" s="13" customFormat="1">
      <c r="A35" s="3">
        <f t="shared" si="7"/>
        <v>23</v>
      </c>
      <c r="B35" s="12" t="s">
        <v>397</v>
      </c>
      <c r="C35" s="202" t="s">
        <v>355</v>
      </c>
      <c r="D35" s="16">
        <f>D23</f>
        <v>1461359.8547999999</v>
      </c>
      <c r="E35" s="16"/>
      <c r="F35" s="16">
        <f>F23</f>
        <v>-664691.14552000002</v>
      </c>
      <c r="G35" s="56">
        <f t="shared" si="15"/>
        <v>-0.45484426257964294</v>
      </c>
      <c r="I35" s="16">
        <f>I23</f>
        <v>1825.6245223798917</v>
      </c>
      <c r="J35" s="56">
        <f t="shared" si="16"/>
        <v>1.2492641811552602E-3</v>
      </c>
      <c r="K35" s="16"/>
      <c r="L35" s="16">
        <f>L23</f>
        <v>6611.6600799999997</v>
      </c>
      <c r="M35" s="56">
        <f t="shared" si="17"/>
        <v>4.524320315960003E-3</v>
      </c>
      <c r="N35" s="16"/>
      <c r="O35" s="16">
        <f>O23</f>
        <v>-102219.51272</v>
      </c>
      <c r="P35" s="56">
        <f t="shared" si="18"/>
        <v>-6.9948214592215993E-2</v>
      </c>
      <c r="Q35" s="56"/>
      <c r="R35" s="16">
        <f>R23</f>
        <v>702886.48116237973</v>
      </c>
      <c r="S35" s="16">
        <f>S23</f>
        <v>-758473.37363762013</v>
      </c>
      <c r="T35" s="56">
        <f t="shared" si="19"/>
        <v>-0.51901889267474366</v>
      </c>
    </row>
    <row r="36" spans="1:20" s="13" customFormat="1">
      <c r="A36" s="3">
        <f t="shared" si="7"/>
        <v>24</v>
      </c>
      <c r="B36" s="12" t="s">
        <v>13</v>
      </c>
      <c r="C36" s="202"/>
      <c r="D36" s="16">
        <f>D24</f>
        <v>2998102.4627110506</v>
      </c>
      <c r="E36" s="16"/>
      <c r="F36" s="16">
        <f>F24</f>
        <v>123241.32000000053</v>
      </c>
      <c r="G36" s="56">
        <f t="shared" si="15"/>
        <v>4.1106440334450371E-2</v>
      </c>
      <c r="I36" s="16">
        <f>I24</f>
        <v>5726.5965922074647</v>
      </c>
      <c r="J36" s="56">
        <f t="shared" si="16"/>
        <v>1.9100736760774874E-3</v>
      </c>
      <c r="K36" s="16"/>
      <c r="L36" s="16">
        <f>L24</f>
        <v>0</v>
      </c>
      <c r="M36" s="56">
        <f t="shared" si="17"/>
        <v>0</v>
      </c>
      <c r="N36" s="16"/>
      <c r="O36" s="16">
        <f>O24</f>
        <v>0</v>
      </c>
      <c r="P36" s="56">
        <f t="shared" si="18"/>
        <v>0</v>
      </c>
      <c r="Q36" s="56"/>
      <c r="R36" s="16">
        <f>R24</f>
        <v>3127070.3793032588</v>
      </c>
      <c r="S36" s="16">
        <f>S24</f>
        <v>128967.9165922082</v>
      </c>
      <c r="T36" s="56">
        <f t="shared" si="19"/>
        <v>4.3016514010527931E-2</v>
      </c>
    </row>
    <row r="37" spans="1:20" s="13" customFormat="1">
      <c r="A37" s="3">
        <f t="shared" si="7"/>
        <v>25</v>
      </c>
      <c r="B37" s="12" t="s">
        <v>6</v>
      </c>
      <c r="C37" s="12"/>
      <c r="D37" s="121">
        <f>SUM(D29:D36)</f>
        <v>1033938394.3014452</v>
      </c>
      <c r="E37" s="140"/>
      <c r="F37" s="121">
        <f>SUM(F29:F36)</f>
        <v>247614954.00000024</v>
      </c>
      <c r="G37" s="57">
        <f t="shared" si="15"/>
        <v>0.23948714484802078</v>
      </c>
      <c r="I37" s="121">
        <f>SUM(I29:I36)</f>
        <v>4035115.743165391</v>
      </c>
      <c r="J37" s="57">
        <f t="shared" si="16"/>
        <v>3.9026655412014335E-3</v>
      </c>
      <c r="K37" s="16"/>
      <c r="L37" s="121">
        <f>SUM(L29:L36)</f>
        <v>3931154.0677008955</v>
      </c>
      <c r="M37" s="57">
        <f t="shared" si="17"/>
        <v>3.8021163440369985E-3</v>
      </c>
      <c r="N37" s="16"/>
      <c r="O37" s="121">
        <f>SUM(O29:O36)</f>
        <v>-59540833.419087738</v>
      </c>
      <c r="P37" s="57">
        <f t="shared" si="18"/>
        <v>-5.7586442042627715E-2</v>
      </c>
      <c r="Q37" s="56"/>
      <c r="R37" s="121">
        <f>SUM(R29:R36)</f>
        <v>1229978784.693224</v>
      </c>
      <c r="S37" s="121">
        <f>SUM(S29:S36)</f>
        <v>196040390.3917788</v>
      </c>
      <c r="T37" s="57">
        <f t="shared" si="19"/>
        <v>0.18960548469063151</v>
      </c>
    </row>
    <row r="38" spans="1:20" s="13" customFormat="1">
      <c r="B38" s="12"/>
      <c r="C38" s="12"/>
      <c r="D38" s="12"/>
      <c r="E38" s="12"/>
      <c r="F38" s="16"/>
      <c r="G38" s="141"/>
      <c r="I38" s="16"/>
      <c r="J38" s="141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1:20">
      <c r="B39" s="12" t="s">
        <v>395</v>
      </c>
      <c r="F39" s="14"/>
      <c r="G39" s="14"/>
      <c r="J39" s="38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>
      <c r="B40" s="12" t="s">
        <v>398</v>
      </c>
      <c r="I40" s="8"/>
    </row>
  </sheetData>
  <printOptions horizontalCentered="1"/>
  <pageMargins left="0.45" right="0.45" top="0.75" bottom="0.75" header="0.3" footer="0.3"/>
  <pageSetup scale="56" orientation="landscape" blackAndWhite="1" r:id="rId1"/>
  <headerFooter>
    <oddFooter>&amp;R&amp;A
 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5"/>
  <sheetViews>
    <sheetView zoomScale="90" zoomScaleNormal="90" workbookViewId="0">
      <pane xSplit="3" ySplit="9" topLeftCell="D10" activePane="bottomRight" state="frozenSplit"/>
      <selection activeCell="C32" sqref="C32"/>
      <selection pane="topRight" activeCell="C32" sqref="C32"/>
      <selection pane="bottomLeft" activeCell="C32" sqref="C32"/>
      <selection pane="bottomRight" activeCell="C42" sqref="C42"/>
    </sheetView>
  </sheetViews>
  <sheetFormatPr defaultRowHeight="15"/>
  <cols>
    <col min="1" max="1" width="4.7109375" bestFit="1" customWidth="1"/>
    <col min="2" max="2" width="37.5703125" customWidth="1"/>
    <col min="3" max="3" width="9.140625" bestFit="1" customWidth="1"/>
    <col min="4" max="4" width="16.140625" bestFit="1" customWidth="1"/>
    <col min="5" max="5" width="15.28515625" bestFit="1" customWidth="1"/>
    <col min="6" max="6" width="16.140625" customWidth="1"/>
    <col min="7" max="7" width="2.28515625" customWidth="1"/>
    <col min="8" max="8" width="16" bestFit="1" customWidth="1"/>
    <col min="9" max="9" width="10" bestFit="1" customWidth="1"/>
    <col min="10" max="10" width="2.28515625" customWidth="1"/>
    <col min="11" max="11" width="16.140625" bestFit="1" customWidth="1"/>
    <col min="12" max="12" width="16" bestFit="1" customWidth="1"/>
    <col min="13" max="13" width="9.5703125" bestFit="1" customWidth="1"/>
    <col min="14" max="14" width="7.85546875" customWidth="1"/>
    <col min="15" max="15" width="9.28515625" customWidth="1"/>
  </cols>
  <sheetData>
    <row r="1" spans="1:14">
      <c r="A1" s="143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>
      <c r="B2" s="40" t="str">
        <f>'Table of Contents'!A2</f>
        <v>2024 Gas General Rate Case Filing (Dockets UE-240004 &amp; UG-240005)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>
      <c r="B3" s="143" t="s">
        <v>181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4">
      <c r="B4" s="143" t="s">
        <v>375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4">
      <c r="D6" s="60" t="s">
        <v>205</v>
      </c>
      <c r="E6" s="60" t="s">
        <v>302</v>
      </c>
      <c r="F6" s="60" t="s">
        <v>302</v>
      </c>
      <c r="G6" s="60"/>
      <c r="K6" s="3" t="str">
        <f>F6</f>
        <v>12ME Dec. 2026</v>
      </c>
    </row>
    <row r="7" spans="1:14">
      <c r="B7" s="3"/>
      <c r="C7" s="3"/>
      <c r="D7" s="3" t="s">
        <v>128</v>
      </c>
      <c r="E7" s="3" t="s">
        <v>357</v>
      </c>
      <c r="F7" s="3" t="s">
        <v>128</v>
      </c>
      <c r="G7" s="3"/>
      <c r="H7" s="3"/>
      <c r="I7" s="3"/>
      <c r="J7" s="3"/>
      <c r="K7" s="3" t="s">
        <v>128</v>
      </c>
      <c r="L7" s="3"/>
      <c r="M7" s="3"/>
      <c r="N7" s="3"/>
    </row>
    <row r="8" spans="1:14">
      <c r="A8" s="3" t="s">
        <v>391</v>
      </c>
      <c r="B8" s="3"/>
      <c r="C8" s="3" t="s">
        <v>17</v>
      </c>
      <c r="D8" s="3" t="s">
        <v>170</v>
      </c>
      <c r="E8" s="3" t="s">
        <v>358</v>
      </c>
      <c r="F8" s="3" t="s">
        <v>170</v>
      </c>
      <c r="G8" s="3"/>
      <c r="H8" s="3" t="s">
        <v>176</v>
      </c>
      <c r="I8" s="3" t="str">
        <f>H8</f>
        <v>Base Rate</v>
      </c>
      <c r="J8" s="3"/>
      <c r="K8" s="3" t="s">
        <v>171</v>
      </c>
      <c r="L8" s="3" t="s">
        <v>6</v>
      </c>
      <c r="M8" s="3" t="s">
        <v>6</v>
      </c>
      <c r="N8" s="3"/>
    </row>
    <row r="9" spans="1:14">
      <c r="A9" s="207" t="s">
        <v>392</v>
      </c>
      <c r="B9" s="73" t="s">
        <v>4</v>
      </c>
      <c r="C9" s="73" t="s">
        <v>21</v>
      </c>
      <c r="D9" s="73" t="s">
        <v>207</v>
      </c>
      <c r="E9" s="73" t="s">
        <v>359</v>
      </c>
      <c r="F9" s="73" t="s">
        <v>207</v>
      </c>
      <c r="G9" s="3"/>
      <c r="H9" s="73" t="s">
        <v>115</v>
      </c>
      <c r="I9" s="73" t="s">
        <v>172</v>
      </c>
      <c r="J9" s="3"/>
      <c r="K9" s="73" t="s">
        <v>124</v>
      </c>
      <c r="L9" s="73" t="s">
        <v>115</v>
      </c>
      <c r="M9" s="73" t="s">
        <v>154</v>
      </c>
      <c r="N9" s="73"/>
    </row>
    <row r="10" spans="1:14">
      <c r="B10" s="3" t="s">
        <v>25</v>
      </c>
      <c r="C10" s="3" t="s">
        <v>26</v>
      </c>
      <c r="D10" s="3" t="s">
        <v>27</v>
      </c>
      <c r="E10" s="3" t="s">
        <v>28</v>
      </c>
      <c r="F10" s="3" t="s">
        <v>360</v>
      </c>
      <c r="G10" s="3"/>
      <c r="H10" s="67" t="s">
        <v>125</v>
      </c>
      <c r="I10" s="4" t="s">
        <v>361</v>
      </c>
      <c r="J10" s="4"/>
      <c r="K10" s="3" t="s">
        <v>362</v>
      </c>
      <c r="L10" s="67" t="s">
        <v>363</v>
      </c>
      <c r="M10" s="4" t="s">
        <v>364</v>
      </c>
      <c r="N10" s="3"/>
    </row>
    <row r="11" spans="1:14">
      <c r="A11" s="3">
        <v>1</v>
      </c>
      <c r="B11" t="s">
        <v>7</v>
      </c>
      <c r="C11" s="3" t="s">
        <v>30</v>
      </c>
      <c r="D11" s="111">
        <f>'Rate Impacts_RY#1'!R11</f>
        <v>798298015.17926359</v>
      </c>
      <c r="E11" s="111">
        <v>-2571314.2811999321</v>
      </c>
      <c r="F11" s="203">
        <f>SUM(D11:E11)</f>
        <v>795726700.89806366</v>
      </c>
      <c r="G11" s="111"/>
      <c r="H11" s="113">
        <v>15531445.977900863</v>
      </c>
      <c r="I11" s="56">
        <f>H11/$F11</f>
        <v>1.9518568322983189E-2</v>
      </c>
      <c r="J11" s="56"/>
      <c r="K11" s="8">
        <f>SUM(F11,H11)</f>
        <v>811258146.87596452</v>
      </c>
      <c r="L11" s="135">
        <f>K11-F11</f>
        <v>15531445.977900863</v>
      </c>
      <c r="M11" s="56">
        <f>L11/$F11</f>
        <v>1.9518568322983189E-2</v>
      </c>
      <c r="N11" s="56"/>
    </row>
    <row r="12" spans="1:14">
      <c r="A12" s="3">
        <f>A11+1</f>
        <v>2</v>
      </c>
      <c r="B12" t="s">
        <v>31</v>
      </c>
      <c r="C12" s="3">
        <v>16</v>
      </c>
      <c r="D12" s="111">
        <f>'Rate Impacts_RY#1'!R12</f>
        <v>9972.5659083350674</v>
      </c>
      <c r="E12" s="111">
        <v>0</v>
      </c>
      <c r="F12" s="203">
        <f t="shared" ref="F12:F24" si="0">SUM(D12:E12)</f>
        <v>9972.5659083350674</v>
      </c>
      <c r="G12" s="111"/>
      <c r="H12" s="113">
        <v>286.47900549246515</v>
      </c>
      <c r="I12" s="56">
        <f t="shared" ref="I12:I24" si="1">H12/$F12</f>
        <v>2.8726709667872549E-2</v>
      </c>
      <c r="J12" s="56"/>
      <c r="K12" s="8">
        <f t="shared" ref="K12:K24" si="2">SUM(F12,H12)</f>
        <v>10259.044913827533</v>
      </c>
      <c r="L12" s="135">
        <f t="shared" ref="L12:L24" si="3">K12-F12</f>
        <v>286.47900549246515</v>
      </c>
      <c r="M12" s="56">
        <f t="shared" ref="M12:M24" si="4">L12/$F12</f>
        <v>2.8726709667872549E-2</v>
      </c>
      <c r="N12" s="56"/>
    </row>
    <row r="13" spans="1:14">
      <c r="A13" s="3">
        <f t="shared" ref="A13:A37" si="5">A12+1</f>
        <v>3</v>
      </c>
      <c r="B13" t="s">
        <v>8</v>
      </c>
      <c r="C13" s="3">
        <v>31</v>
      </c>
      <c r="D13" s="111">
        <f>'Rate Impacts_RY#1'!R13</f>
        <v>315267721.97335291</v>
      </c>
      <c r="E13" s="111">
        <v>59463.543439999223</v>
      </c>
      <c r="F13" s="203">
        <f t="shared" si="0"/>
        <v>315327185.51679289</v>
      </c>
      <c r="G13" s="111"/>
      <c r="H13" s="113">
        <v>7909449.1809999198</v>
      </c>
      <c r="I13" s="56">
        <f t="shared" si="1"/>
        <v>2.5083308843279858E-2</v>
      </c>
      <c r="J13" s="56"/>
      <c r="K13" s="8">
        <f t="shared" si="2"/>
        <v>323236634.69779283</v>
      </c>
      <c r="L13" s="135">
        <f t="shared" si="3"/>
        <v>7909449.1809999347</v>
      </c>
      <c r="M13" s="56">
        <f t="shared" si="4"/>
        <v>2.5083308843279906E-2</v>
      </c>
      <c r="N13" s="56"/>
    </row>
    <row r="14" spans="1:14">
      <c r="A14" s="3">
        <f t="shared" si="5"/>
        <v>4</v>
      </c>
      <c r="B14" t="s">
        <v>9</v>
      </c>
      <c r="C14" s="3">
        <v>41</v>
      </c>
      <c r="D14" s="111">
        <f>'Rate Impacts_RY#1'!R14</f>
        <v>54542221.121484347</v>
      </c>
      <c r="E14" s="111">
        <v>-105842.01122829318</v>
      </c>
      <c r="F14" s="203">
        <f t="shared" si="0"/>
        <v>54436379.110256054</v>
      </c>
      <c r="G14" s="111"/>
      <c r="H14" s="113">
        <v>1178570.3188426681</v>
      </c>
      <c r="I14" s="56">
        <f t="shared" si="1"/>
        <v>2.1650417204560547E-2</v>
      </c>
      <c r="J14" s="56"/>
      <c r="K14" s="8">
        <f t="shared" si="2"/>
        <v>55614949.429098725</v>
      </c>
      <c r="L14" s="135">
        <f t="shared" si="3"/>
        <v>1178570.3188426718</v>
      </c>
      <c r="M14" s="56">
        <f t="shared" si="4"/>
        <v>2.1650417204560617E-2</v>
      </c>
      <c r="N14" s="56"/>
    </row>
    <row r="15" spans="1:14">
      <c r="A15" s="3">
        <f t="shared" si="5"/>
        <v>5</v>
      </c>
      <c r="B15" t="s">
        <v>10</v>
      </c>
      <c r="C15" s="3">
        <v>85</v>
      </c>
      <c r="D15" s="111">
        <f>'Rate Impacts_RY#1'!R15</f>
        <v>10515956.677609231</v>
      </c>
      <c r="E15" s="111">
        <v>-38759.600286857923</v>
      </c>
      <c r="F15" s="203">
        <f t="shared" si="0"/>
        <v>10477197.077322373</v>
      </c>
      <c r="G15" s="111"/>
      <c r="H15" s="113">
        <v>145360.04052035208</v>
      </c>
      <c r="I15" s="56">
        <f t="shared" si="1"/>
        <v>1.387394352206853E-2</v>
      </c>
      <c r="J15" s="56"/>
      <c r="K15" s="8">
        <f t="shared" si="2"/>
        <v>10622557.117842725</v>
      </c>
      <c r="L15" s="135">
        <f t="shared" si="3"/>
        <v>145360.04052035138</v>
      </c>
      <c r="M15" s="56">
        <f t="shared" si="4"/>
        <v>1.3873943522068465E-2</v>
      </c>
      <c r="N15" s="56"/>
    </row>
    <row r="16" spans="1:14">
      <c r="A16" s="3">
        <f t="shared" si="5"/>
        <v>6</v>
      </c>
      <c r="B16" t="s">
        <v>11</v>
      </c>
      <c r="C16" s="3">
        <v>86</v>
      </c>
      <c r="D16" s="111">
        <f>'Rate Impacts_RY#1'!R16</f>
        <v>3368276.0737729813</v>
      </c>
      <c r="E16" s="111">
        <v>-30132.427689953591</v>
      </c>
      <c r="F16" s="203">
        <f t="shared" si="0"/>
        <v>3338143.6460830276</v>
      </c>
      <c r="G16" s="111"/>
      <c r="H16" s="113">
        <v>36462.208510724246</v>
      </c>
      <c r="I16" s="56">
        <f t="shared" si="1"/>
        <v>1.0922899783988907E-2</v>
      </c>
      <c r="J16" s="56"/>
      <c r="K16" s="8">
        <f t="shared" si="2"/>
        <v>3374605.854593752</v>
      </c>
      <c r="L16" s="135">
        <f t="shared" si="3"/>
        <v>36462.208510724362</v>
      </c>
      <c r="M16" s="56">
        <f t="shared" si="4"/>
        <v>1.0922899783988943E-2</v>
      </c>
      <c r="N16" s="56"/>
    </row>
    <row r="17" spans="1:15">
      <c r="A17" s="3">
        <f t="shared" si="5"/>
        <v>7</v>
      </c>
      <c r="B17" t="s">
        <v>12</v>
      </c>
      <c r="C17" s="3">
        <v>87</v>
      </c>
      <c r="D17" s="111">
        <f>'Rate Impacts_RY#1'!R17</f>
        <v>9180133.4694771636</v>
      </c>
      <c r="E17" s="111">
        <v>-24508.376212760573</v>
      </c>
      <c r="F17" s="203">
        <f t="shared" si="0"/>
        <v>9155625.0932644028</v>
      </c>
      <c r="G17" s="111"/>
      <c r="H17" s="113">
        <v>67279.873444108525</v>
      </c>
      <c r="I17" s="56">
        <f t="shared" si="1"/>
        <v>7.3484740537928849E-3</v>
      </c>
      <c r="J17" s="56"/>
      <c r="K17" s="8">
        <f t="shared" si="2"/>
        <v>9222904.9667085111</v>
      </c>
      <c r="L17" s="135">
        <f t="shared" si="3"/>
        <v>67279.873444108292</v>
      </c>
      <c r="M17" s="56">
        <f t="shared" si="4"/>
        <v>7.3484740537928597E-3</v>
      </c>
      <c r="N17" s="56"/>
    </row>
    <row r="18" spans="1:15">
      <c r="A18" s="3">
        <f t="shared" si="5"/>
        <v>8</v>
      </c>
      <c r="B18" t="s">
        <v>32</v>
      </c>
      <c r="C18" s="3" t="s">
        <v>33</v>
      </c>
      <c r="D18" s="111">
        <f>'Rate Impacts_RY#1'!R18</f>
        <v>0</v>
      </c>
      <c r="E18" s="111">
        <v>0</v>
      </c>
      <c r="F18" s="203">
        <f t="shared" si="0"/>
        <v>0</v>
      </c>
      <c r="G18" s="111"/>
      <c r="H18" s="113">
        <v>0</v>
      </c>
      <c r="I18" s="56">
        <f>I13</f>
        <v>2.5083308843279858E-2</v>
      </c>
      <c r="J18" s="56"/>
      <c r="K18" s="8">
        <f t="shared" si="2"/>
        <v>0</v>
      </c>
      <c r="L18" s="135">
        <f t="shared" si="3"/>
        <v>0</v>
      </c>
      <c r="M18" s="56">
        <f>M13</f>
        <v>2.5083308843279906E-2</v>
      </c>
      <c r="N18" s="56"/>
    </row>
    <row r="19" spans="1:15">
      <c r="A19" s="3">
        <f t="shared" si="5"/>
        <v>9</v>
      </c>
      <c r="B19" t="s">
        <v>34</v>
      </c>
      <c r="C19" s="3" t="s">
        <v>35</v>
      </c>
      <c r="D19" s="111">
        <f>'Rate Impacts_RY#1'!R19</f>
        <v>9229320.4445876125</v>
      </c>
      <c r="E19" s="111">
        <v>44026.3744990509</v>
      </c>
      <c r="F19" s="203">
        <f t="shared" si="0"/>
        <v>9273346.8190866634</v>
      </c>
      <c r="G19" s="111"/>
      <c r="H19" s="113">
        <v>27916.948788992129</v>
      </c>
      <c r="I19" s="56">
        <f t="shared" si="1"/>
        <v>3.0104502003022986E-3</v>
      </c>
      <c r="J19" s="56"/>
      <c r="K19" s="8">
        <f t="shared" si="2"/>
        <v>9301263.7678756565</v>
      </c>
      <c r="L19" s="135">
        <f t="shared" si="3"/>
        <v>27916.948788993061</v>
      </c>
      <c r="M19" s="56">
        <f t="shared" si="4"/>
        <v>3.0104502003023988E-3</v>
      </c>
      <c r="N19" s="56"/>
    </row>
    <row r="20" spans="1:15">
      <c r="A20" s="3">
        <f t="shared" si="5"/>
        <v>10</v>
      </c>
      <c r="B20" t="s">
        <v>36</v>
      </c>
      <c r="C20" s="3" t="s">
        <v>37</v>
      </c>
      <c r="D20" s="111">
        <f>'Rate Impacts_RY#1'!R20</f>
        <v>17703939.527804401</v>
      </c>
      <c r="E20" s="111">
        <v>-67720.88503338024</v>
      </c>
      <c r="F20" s="203">
        <f t="shared" si="0"/>
        <v>17636218.642771021</v>
      </c>
      <c r="G20" s="111"/>
      <c r="H20" s="113">
        <v>345500.23498651199</v>
      </c>
      <c r="I20" s="56">
        <f t="shared" si="1"/>
        <v>1.9590380567669503E-2</v>
      </c>
      <c r="J20" s="56"/>
      <c r="K20" s="8">
        <f t="shared" si="2"/>
        <v>17981718.877757534</v>
      </c>
      <c r="L20" s="135">
        <f t="shared" si="3"/>
        <v>345500.23498651385</v>
      </c>
      <c r="M20" s="56">
        <f t="shared" si="4"/>
        <v>1.9590380567669607E-2</v>
      </c>
      <c r="N20" s="56"/>
    </row>
    <row r="21" spans="1:15">
      <c r="A21" s="3">
        <f t="shared" si="5"/>
        <v>11</v>
      </c>
      <c r="B21" t="s">
        <v>38</v>
      </c>
      <c r="C21" s="3" t="s">
        <v>39</v>
      </c>
      <c r="D21" s="111">
        <f>'Rate Impacts_RY#1'!R21</f>
        <v>392058.03634804755</v>
      </c>
      <c r="E21" s="111">
        <v>-2588.9872277684044</v>
      </c>
      <c r="F21" s="203">
        <f t="shared" si="0"/>
        <v>389469.04912027915</v>
      </c>
      <c r="G21" s="111"/>
      <c r="H21" s="113">
        <v>-4806.8167194201378</v>
      </c>
      <c r="I21" s="56">
        <f t="shared" si="1"/>
        <v>-1.2341973592709433E-2</v>
      </c>
      <c r="J21" s="56"/>
      <c r="K21" s="8">
        <f t="shared" si="2"/>
        <v>384662.23240085901</v>
      </c>
      <c r="L21" s="135">
        <f t="shared" si="3"/>
        <v>-4806.8167194201378</v>
      </c>
      <c r="M21" s="56">
        <f t="shared" si="4"/>
        <v>-1.2341973592709433E-2</v>
      </c>
      <c r="N21" s="56"/>
    </row>
    <row r="22" spans="1:15">
      <c r="A22" s="3">
        <f t="shared" si="5"/>
        <v>12</v>
      </c>
      <c r="B22" t="s">
        <v>40</v>
      </c>
      <c r="C22" s="3" t="s">
        <v>41</v>
      </c>
      <c r="D22" s="111">
        <f>'Rate Impacts_RY#1'!R22</f>
        <v>7641212.7631497188</v>
      </c>
      <c r="E22" s="111">
        <v>-34722.647148343269</v>
      </c>
      <c r="F22" s="203">
        <f t="shared" si="0"/>
        <v>7606490.116001375</v>
      </c>
      <c r="G22" s="111"/>
      <c r="H22" s="113">
        <v>274682.59633955127</v>
      </c>
      <c r="I22" s="56">
        <f t="shared" si="1"/>
        <v>3.6111608922190785E-2</v>
      </c>
      <c r="J22" s="56"/>
      <c r="K22" s="8">
        <f t="shared" si="2"/>
        <v>7881172.7123409268</v>
      </c>
      <c r="L22" s="135">
        <f t="shared" si="3"/>
        <v>274682.59633955173</v>
      </c>
      <c r="M22" s="56">
        <f t="shared" si="4"/>
        <v>3.6111608922190848E-2</v>
      </c>
      <c r="N22" s="56"/>
    </row>
    <row r="23" spans="1:15">
      <c r="A23" s="3">
        <f t="shared" si="5"/>
        <v>13</v>
      </c>
      <c r="B23" t="s">
        <v>396</v>
      </c>
      <c r="C23" s="3" t="s">
        <v>355</v>
      </c>
      <c r="D23" s="111">
        <f>'Rate Impacts_RY#1'!R23</f>
        <v>702886.48116237973</v>
      </c>
      <c r="E23" s="111">
        <v>307904.76261999994</v>
      </c>
      <c r="F23" s="203">
        <f t="shared" si="0"/>
        <v>1010791.2437823797</v>
      </c>
      <c r="G23" s="111"/>
      <c r="H23" s="113">
        <v>-307904.76261999994</v>
      </c>
      <c r="I23" s="56">
        <f t="shared" si="1"/>
        <v>-0.30461756026676751</v>
      </c>
      <c r="J23" s="56"/>
      <c r="K23" s="8">
        <f t="shared" si="2"/>
        <v>702886.48116237973</v>
      </c>
      <c r="L23" s="135">
        <f t="shared" si="3"/>
        <v>-307904.76261999994</v>
      </c>
      <c r="M23" s="56">
        <f t="shared" si="4"/>
        <v>-0.30461756026676751</v>
      </c>
      <c r="N23" s="56"/>
    </row>
    <row r="24" spans="1:15">
      <c r="A24" s="3">
        <f t="shared" si="5"/>
        <v>14</v>
      </c>
      <c r="B24" t="s">
        <v>13</v>
      </c>
      <c r="C24" s="3"/>
      <c r="D24" s="111">
        <f>'Rate Impacts_RY#1'!R24</f>
        <v>3127070.3793032588</v>
      </c>
      <c r="E24" s="111">
        <v>-9166.8450893862173</v>
      </c>
      <c r="F24" s="203">
        <f t="shared" si="0"/>
        <v>3117903.5342138726</v>
      </c>
      <c r="G24" s="111"/>
      <c r="H24" s="113">
        <v>146043.71999999997</v>
      </c>
      <c r="I24" s="56">
        <f t="shared" si="1"/>
        <v>4.684035872098348E-2</v>
      </c>
      <c r="J24" s="56"/>
      <c r="K24" s="8">
        <f t="shared" si="2"/>
        <v>3263947.2542138724</v>
      </c>
      <c r="L24" s="135">
        <f t="shared" si="3"/>
        <v>146043.71999999974</v>
      </c>
      <c r="M24" s="56">
        <f t="shared" si="4"/>
        <v>4.6840358720983404E-2</v>
      </c>
      <c r="N24" s="56"/>
    </row>
    <row r="25" spans="1:15">
      <c r="A25" s="3">
        <f t="shared" si="5"/>
        <v>15</v>
      </c>
      <c r="B25" t="s">
        <v>6</v>
      </c>
      <c r="D25" s="11">
        <f>SUM(D11:D24)</f>
        <v>1229978784.693224</v>
      </c>
      <c r="E25" s="11">
        <f>SUM(E11:E24)</f>
        <v>-2473361.3805576265</v>
      </c>
      <c r="F25" s="11">
        <f>SUM(F11:F24)</f>
        <v>1227505423.3126659</v>
      </c>
      <c r="G25" s="8"/>
      <c r="H25" s="72">
        <f>SUM(H11:H24)</f>
        <v>25350285.999999762</v>
      </c>
      <c r="I25" s="57">
        <f>H25/$F25</f>
        <v>2.0651872911149349E-2</v>
      </c>
      <c r="J25" s="56"/>
      <c r="K25" s="72">
        <f>SUM(K11:K24)</f>
        <v>1252855709.3126659</v>
      </c>
      <c r="L25" s="72">
        <f>SUM(L11:L24)</f>
        <v>25350285.999999788</v>
      </c>
      <c r="M25" s="57">
        <f>L25/$F25</f>
        <v>2.0651872911149373E-2</v>
      </c>
      <c r="N25" s="56"/>
      <c r="O25" s="8"/>
    </row>
    <row r="26" spans="1:15" s="13" customFormat="1">
      <c r="A26" s="3"/>
      <c r="B26" s="12"/>
      <c r="C26" s="136"/>
      <c r="D26" s="136"/>
      <c r="E26" s="136"/>
      <c r="F26" s="136"/>
      <c r="G26" s="136"/>
      <c r="H26" s="16"/>
      <c r="I26" s="137"/>
      <c r="J26" s="137"/>
      <c r="K26" s="138"/>
      <c r="L26" s="16"/>
      <c r="M26" s="137"/>
      <c r="N26" s="139"/>
    </row>
    <row r="27" spans="1:15">
      <c r="A27" s="3"/>
      <c r="H27" s="38"/>
      <c r="I27" s="8"/>
      <c r="J27" s="8"/>
      <c r="L27" s="38"/>
      <c r="M27" s="8"/>
      <c r="N27" s="56"/>
    </row>
    <row r="28" spans="1:15" s="13" customFormat="1">
      <c r="A28" s="3">
        <f>A25+1</f>
        <v>16</v>
      </c>
      <c r="B28" s="95" t="s">
        <v>150</v>
      </c>
      <c r="C28" s="15"/>
      <c r="D28" s="15"/>
      <c r="E28" s="15"/>
      <c r="F28" s="15"/>
      <c r="G28" s="15"/>
      <c r="H28" s="16"/>
      <c r="I28" s="118"/>
      <c r="J28" s="118"/>
      <c r="L28" s="16"/>
      <c r="M28" s="118"/>
      <c r="N28" s="139"/>
    </row>
    <row r="29" spans="1:15" s="13" customFormat="1">
      <c r="A29" s="3">
        <f t="shared" si="5"/>
        <v>17</v>
      </c>
      <c r="B29" s="12" t="s">
        <v>7</v>
      </c>
      <c r="C29" s="202" t="s">
        <v>365</v>
      </c>
      <c r="D29" s="16">
        <f>D11+D12</f>
        <v>798307987.7451719</v>
      </c>
      <c r="E29" s="16">
        <f>E11+E12</f>
        <v>-2571314.2811999321</v>
      </c>
      <c r="F29" s="16">
        <f>F11+F12</f>
        <v>795736673.46397197</v>
      </c>
      <c r="G29" s="16"/>
      <c r="H29" s="16">
        <f>H11+H12</f>
        <v>15531732.456906356</v>
      </c>
      <c r="I29" s="56">
        <f>H29/$F29</f>
        <v>1.9518683723968863E-2</v>
      </c>
      <c r="J29" s="56"/>
      <c r="K29" s="16">
        <f>K11+K12</f>
        <v>811268405.92087829</v>
      </c>
      <c r="L29" s="16">
        <f>L11+L12</f>
        <v>15531732.456906356</v>
      </c>
      <c r="M29" s="56">
        <f>L29/$F29</f>
        <v>1.9518683723968863E-2</v>
      </c>
      <c r="N29" s="56"/>
      <c r="O29" s="17"/>
    </row>
    <row r="30" spans="1:15" s="13" customFormat="1">
      <c r="A30" s="3">
        <f t="shared" si="5"/>
        <v>18</v>
      </c>
      <c r="B30" s="12" t="s">
        <v>48</v>
      </c>
      <c r="C30" s="202" t="s">
        <v>366</v>
      </c>
      <c r="D30" s="16">
        <f t="shared" ref="D30:F34" si="6">D13+D18</f>
        <v>315267721.97335291</v>
      </c>
      <c r="E30" s="16">
        <f t="shared" si="6"/>
        <v>59463.543439999223</v>
      </c>
      <c r="F30" s="16">
        <f t="shared" si="6"/>
        <v>315327185.51679289</v>
      </c>
      <c r="G30" s="16"/>
      <c r="H30" s="16">
        <f>H13+H18</f>
        <v>7909449.1809999198</v>
      </c>
      <c r="I30" s="56">
        <f t="shared" ref="I30:I36" si="7">H30/$F30</f>
        <v>2.5083308843279858E-2</v>
      </c>
      <c r="J30" s="56"/>
      <c r="K30" s="16">
        <f t="shared" ref="K30:L34" si="8">K13+K18</f>
        <v>323236634.69779283</v>
      </c>
      <c r="L30" s="16">
        <f t="shared" si="8"/>
        <v>7909449.1809999347</v>
      </c>
      <c r="M30" s="56">
        <f t="shared" ref="M30:M36" si="9">L30/$F30</f>
        <v>2.5083308843279906E-2</v>
      </c>
      <c r="N30" s="56"/>
    </row>
    <row r="31" spans="1:15" s="13" customFormat="1">
      <c r="A31" s="3">
        <f t="shared" si="5"/>
        <v>19</v>
      </c>
      <c r="B31" s="12" t="s">
        <v>49</v>
      </c>
      <c r="C31" s="202" t="s">
        <v>367</v>
      </c>
      <c r="D31" s="16">
        <f t="shared" si="6"/>
        <v>63771541.566071957</v>
      </c>
      <c r="E31" s="16">
        <f t="shared" si="6"/>
        <v>-61815.63672924228</v>
      </c>
      <c r="F31" s="16">
        <f t="shared" si="6"/>
        <v>63709725.929342717</v>
      </c>
      <c r="G31" s="16"/>
      <c r="H31" s="16">
        <f>H14+H19</f>
        <v>1206487.2676316602</v>
      </c>
      <c r="I31" s="56">
        <f t="shared" si="7"/>
        <v>1.8937254085345072E-2</v>
      </c>
      <c r="J31" s="56"/>
      <c r="K31" s="16">
        <f t="shared" si="8"/>
        <v>64916213.196974382</v>
      </c>
      <c r="L31" s="16">
        <f t="shared" si="8"/>
        <v>1206487.2676316649</v>
      </c>
      <c r="M31" s="56">
        <f t="shared" si="9"/>
        <v>1.8937254085345145E-2</v>
      </c>
      <c r="N31" s="56"/>
    </row>
    <row r="32" spans="1:15" s="13" customFormat="1">
      <c r="A32" s="3">
        <f t="shared" si="5"/>
        <v>20</v>
      </c>
      <c r="B32" s="12" t="s">
        <v>10</v>
      </c>
      <c r="C32" s="202" t="s">
        <v>368</v>
      </c>
      <c r="D32" s="16">
        <f t="shared" si="6"/>
        <v>28219896.205413632</v>
      </c>
      <c r="E32" s="16">
        <f t="shared" si="6"/>
        <v>-106480.48532023816</v>
      </c>
      <c r="F32" s="16">
        <f t="shared" si="6"/>
        <v>28113415.720093392</v>
      </c>
      <c r="G32" s="16"/>
      <c r="H32" s="16">
        <f>H15+H20</f>
        <v>490860.27550686407</v>
      </c>
      <c r="I32" s="56">
        <f t="shared" si="7"/>
        <v>1.7460001317308214E-2</v>
      </c>
      <c r="J32" s="56"/>
      <c r="K32" s="16">
        <f t="shared" si="8"/>
        <v>28604275.995600261</v>
      </c>
      <c r="L32" s="16">
        <f t="shared" si="8"/>
        <v>490860.27550686523</v>
      </c>
      <c r="M32" s="56">
        <f t="shared" si="9"/>
        <v>1.7460001317308255E-2</v>
      </c>
      <c r="N32" s="56"/>
    </row>
    <row r="33" spans="1:14" s="13" customFormat="1">
      <c r="A33" s="3">
        <f t="shared" si="5"/>
        <v>21</v>
      </c>
      <c r="B33" s="12" t="s">
        <v>371</v>
      </c>
      <c r="C33" s="202" t="s">
        <v>369</v>
      </c>
      <c r="D33" s="16">
        <f t="shared" si="6"/>
        <v>3760334.110121029</v>
      </c>
      <c r="E33" s="16">
        <f t="shared" si="6"/>
        <v>-32721.414917721995</v>
      </c>
      <c r="F33" s="16">
        <f t="shared" si="6"/>
        <v>3727612.6952033066</v>
      </c>
      <c r="G33" s="16"/>
      <c r="H33" s="16">
        <f>H16+H21</f>
        <v>31655.391791304108</v>
      </c>
      <c r="I33" s="56">
        <f t="shared" si="7"/>
        <v>8.4921354174048915E-3</v>
      </c>
      <c r="J33" s="56"/>
      <c r="K33" s="16">
        <f t="shared" si="8"/>
        <v>3759268.0869946107</v>
      </c>
      <c r="L33" s="16">
        <f t="shared" si="8"/>
        <v>31655.391791304224</v>
      </c>
      <c r="M33" s="56">
        <f t="shared" si="9"/>
        <v>8.4921354174049227E-3</v>
      </c>
      <c r="N33" s="56"/>
    </row>
    <row r="34" spans="1:14" s="13" customFormat="1">
      <c r="A34" s="3">
        <f t="shared" si="5"/>
        <v>22</v>
      </c>
      <c r="B34" s="12" t="s">
        <v>372</v>
      </c>
      <c r="C34" s="202" t="s">
        <v>370</v>
      </c>
      <c r="D34" s="16">
        <f t="shared" si="6"/>
        <v>16821346.232626881</v>
      </c>
      <c r="E34" s="16">
        <f t="shared" si="6"/>
        <v>-59231.023361103842</v>
      </c>
      <c r="F34" s="16">
        <f t="shared" si="6"/>
        <v>16762115.209265778</v>
      </c>
      <c r="G34" s="16"/>
      <c r="H34" s="16">
        <f>H17+H22</f>
        <v>341962.46978365979</v>
      </c>
      <c r="I34" s="56">
        <f t="shared" si="7"/>
        <v>2.0400913936841899E-2</v>
      </c>
      <c r="J34" s="56"/>
      <c r="K34" s="16">
        <f t="shared" si="8"/>
        <v>17104077.67904944</v>
      </c>
      <c r="L34" s="16">
        <f t="shared" si="8"/>
        <v>341962.46978366002</v>
      </c>
      <c r="M34" s="56">
        <f t="shared" si="9"/>
        <v>2.0400913936841913E-2</v>
      </c>
      <c r="N34" s="56"/>
    </row>
    <row r="35" spans="1:14" s="13" customFormat="1">
      <c r="A35" s="3">
        <f t="shared" si="5"/>
        <v>23</v>
      </c>
      <c r="B35" s="12" t="s">
        <v>397</v>
      </c>
      <c r="C35" s="202" t="s">
        <v>355</v>
      </c>
      <c r="D35" s="16">
        <f t="shared" ref="D35:F36" si="10">D23</f>
        <v>702886.48116237973</v>
      </c>
      <c r="E35" s="16">
        <f t="shared" si="10"/>
        <v>307904.76261999994</v>
      </c>
      <c r="F35" s="16">
        <f t="shared" si="10"/>
        <v>1010791.2437823797</v>
      </c>
      <c r="G35" s="16"/>
      <c r="H35" s="16">
        <f>H23</f>
        <v>-307904.76261999994</v>
      </c>
      <c r="I35" s="56">
        <f t="shared" si="7"/>
        <v>-0.30461756026676751</v>
      </c>
      <c r="J35" s="56"/>
      <c r="K35" s="16">
        <f>K23</f>
        <v>702886.48116237973</v>
      </c>
      <c r="L35" s="16">
        <f>L23</f>
        <v>-307904.76261999994</v>
      </c>
      <c r="M35" s="56">
        <f t="shared" si="9"/>
        <v>-0.30461756026676751</v>
      </c>
      <c r="N35" s="56"/>
    </row>
    <row r="36" spans="1:14" s="13" customFormat="1">
      <c r="A36" s="3">
        <f t="shared" si="5"/>
        <v>24</v>
      </c>
      <c r="B36" s="12" t="s">
        <v>13</v>
      </c>
      <c r="C36" s="202"/>
      <c r="D36" s="16">
        <f t="shared" si="10"/>
        <v>3127070.3793032588</v>
      </c>
      <c r="E36" s="16">
        <f t="shared" si="10"/>
        <v>-9166.8450893862173</v>
      </c>
      <c r="F36" s="16">
        <f t="shared" si="10"/>
        <v>3117903.5342138726</v>
      </c>
      <c r="G36" s="16"/>
      <c r="H36" s="16">
        <f>H24</f>
        <v>146043.71999999997</v>
      </c>
      <c r="I36" s="56">
        <f t="shared" si="7"/>
        <v>4.684035872098348E-2</v>
      </c>
      <c r="J36" s="56"/>
      <c r="K36" s="16">
        <f>K24</f>
        <v>3263947.2542138724</v>
      </c>
      <c r="L36" s="16">
        <f>L24</f>
        <v>146043.71999999974</v>
      </c>
      <c r="M36" s="56">
        <f t="shared" si="9"/>
        <v>4.6840358720983404E-2</v>
      </c>
      <c r="N36" s="56"/>
    </row>
    <row r="37" spans="1:14" s="13" customFormat="1">
      <c r="A37" s="3">
        <f t="shared" si="5"/>
        <v>25</v>
      </c>
      <c r="B37" s="12" t="s">
        <v>6</v>
      </c>
      <c r="C37" s="12"/>
      <c r="D37" s="121">
        <f>SUM(D29:D36)</f>
        <v>1229978784.693224</v>
      </c>
      <c r="E37" s="121">
        <f>SUM(E29:E36)</f>
        <v>-2473361.3805576256</v>
      </c>
      <c r="F37" s="121">
        <f>SUM(F29:F36)</f>
        <v>1227505423.3126662</v>
      </c>
      <c r="G37" s="140"/>
      <c r="H37" s="121">
        <f>SUM(H29:H36)</f>
        <v>25350285.999999765</v>
      </c>
      <c r="I37" s="57">
        <f>H37/$F37</f>
        <v>2.0651872911149349E-2</v>
      </c>
      <c r="J37" s="56"/>
      <c r="K37" s="121">
        <f>SUM(K29:K36)</f>
        <v>1252855709.3126659</v>
      </c>
      <c r="L37" s="121">
        <f>SUM(L29:L36)</f>
        <v>25350285.999999784</v>
      </c>
      <c r="M37" s="57">
        <f>L37/$F37</f>
        <v>2.0651872911149366E-2</v>
      </c>
      <c r="N37" s="56"/>
    </row>
    <row r="38" spans="1:14" s="13" customFormat="1">
      <c r="B38" s="12"/>
      <c r="C38" s="12"/>
      <c r="D38" s="12"/>
      <c r="E38" s="12"/>
      <c r="F38" s="12"/>
      <c r="G38" s="12"/>
      <c r="H38" s="16"/>
      <c r="I38" s="141"/>
      <c r="J38" s="141"/>
      <c r="L38" s="16"/>
      <c r="M38" s="141"/>
      <c r="N38" s="56"/>
    </row>
    <row r="39" spans="1:14">
      <c r="B39" s="12" t="s">
        <v>394</v>
      </c>
      <c r="H39" s="14"/>
      <c r="I39" s="14"/>
      <c r="J39" s="38"/>
      <c r="L39" s="14"/>
    </row>
    <row r="40" spans="1:14">
      <c r="B40" s="12" t="s">
        <v>398</v>
      </c>
    </row>
    <row r="41" spans="1:14">
      <c r="H41" s="8"/>
    </row>
    <row r="42" spans="1:14">
      <c r="H42" s="8"/>
    </row>
    <row r="43" spans="1:14">
      <c r="H43" s="8"/>
    </row>
    <row r="44" spans="1:14">
      <c r="H44" s="8"/>
    </row>
    <row r="45" spans="1:14">
      <c r="H45" s="8"/>
    </row>
  </sheetData>
  <printOptions horizontalCentered="1"/>
  <pageMargins left="0.45" right="0.45" top="0.75" bottom="0.75" header="0.3" footer="0.3"/>
  <pageSetup scale="75" orientation="landscape" blackAndWhite="1" r:id="rId1"/>
  <headerFooter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"/>
  <sheetViews>
    <sheetView workbookViewId="0">
      <selection activeCell="O26" sqref="O26"/>
    </sheetView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4"/>
  <sheetViews>
    <sheetView zoomScale="90" zoomScaleNormal="90" zoomScaleSheetLayoutView="75" workbookViewId="0">
      <selection activeCell="M38" sqref="M38"/>
    </sheetView>
  </sheetViews>
  <sheetFormatPr defaultColWidth="9.42578125" defaultRowHeight="15"/>
  <cols>
    <col min="1" max="1" width="4.7109375" style="41" bestFit="1" customWidth="1"/>
    <col min="2" max="2" width="11.28515625" style="41" customWidth="1"/>
    <col min="3" max="3" width="2.5703125" style="41" customWidth="1"/>
    <col min="4" max="4" width="11.28515625" style="41" customWidth="1"/>
    <col min="5" max="5" width="2.5703125" style="41" customWidth="1"/>
    <col min="6" max="8" width="11.28515625" style="41" customWidth="1"/>
    <col min="9" max="9" width="2.5703125" style="41" customWidth="1"/>
    <col min="10" max="11" width="12" style="41" customWidth="1"/>
    <col min="12" max="12" width="2.5703125" style="41" customWidth="1"/>
    <col min="13" max="14" width="12" style="41" customWidth="1"/>
    <col min="15" max="16384" width="9.42578125" style="41"/>
  </cols>
  <sheetData>
    <row r="1" spans="1:18" ht="15" customHeight="1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8" ht="15" customHeight="1">
      <c r="A2" s="40"/>
      <c r="B2" s="40" t="str">
        <f>'Table of Contents'!A2</f>
        <v>2024 Gas General Rate Case Filing (Dockets UE-240004 &amp; UG-240005)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8" ht="15" customHeight="1">
      <c r="A3" s="40"/>
      <c r="B3" s="40" t="s">
        <v>259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8" ht="1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8" ht="15" customHeight="1">
      <c r="A5" s="40"/>
      <c r="F5" s="125" t="s">
        <v>258</v>
      </c>
      <c r="G5" s="125"/>
      <c r="H5" s="125"/>
      <c r="J5" s="125" t="s">
        <v>254</v>
      </c>
      <c r="K5" s="125"/>
      <c r="M5" s="125" t="s">
        <v>255</v>
      </c>
      <c r="N5" s="125"/>
    </row>
    <row r="6" spans="1:18" ht="15" customHeight="1">
      <c r="G6" s="46" t="s">
        <v>253</v>
      </c>
      <c r="H6" s="46" t="s">
        <v>253</v>
      </c>
      <c r="I6" s="46"/>
      <c r="J6" s="46" t="s">
        <v>253</v>
      </c>
      <c r="K6" s="46" t="s">
        <v>253</v>
      </c>
      <c r="L6" s="46"/>
      <c r="M6" s="46" t="s">
        <v>253</v>
      </c>
      <c r="N6" s="46" t="s">
        <v>253</v>
      </c>
    </row>
    <row r="7" spans="1:18" ht="15" customHeight="1">
      <c r="F7" s="168"/>
      <c r="G7" s="46" t="s">
        <v>376</v>
      </c>
      <c r="H7" s="46" t="s">
        <v>377</v>
      </c>
      <c r="I7" s="46"/>
      <c r="J7" s="46" t="str">
        <f>G7</f>
        <v>Jan. 2025</v>
      </c>
      <c r="K7" s="46" t="str">
        <f>H7</f>
        <v>Jan. 2026</v>
      </c>
      <c r="L7" s="46"/>
      <c r="M7" s="46" t="str">
        <f>G7</f>
        <v>Jan. 2025</v>
      </c>
      <c r="N7" s="46" t="str">
        <f>H7</f>
        <v>Jan. 2026</v>
      </c>
    </row>
    <row r="8" spans="1:18" ht="15" customHeight="1">
      <c r="A8" s="46" t="s">
        <v>391</v>
      </c>
      <c r="D8" s="46" t="s">
        <v>198</v>
      </c>
      <c r="F8" s="46" t="s">
        <v>5</v>
      </c>
      <c r="G8" s="46" t="s">
        <v>1</v>
      </c>
      <c r="H8" s="46" t="s">
        <v>1</v>
      </c>
      <c r="I8" s="46"/>
      <c r="J8" s="46" t="s">
        <v>1</v>
      </c>
      <c r="K8" s="46" t="s">
        <v>1</v>
      </c>
      <c r="L8" s="46"/>
      <c r="M8" s="46" t="s">
        <v>1</v>
      </c>
      <c r="N8" s="46" t="s">
        <v>1</v>
      </c>
    </row>
    <row r="9" spans="1:18" ht="15" customHeight="1">
      <c r="A9" s="206" t="s">
        <v>392</v>
      </c>
      <c r="B9" s="65" t="s">
        <v>114</v>
      </c>
      <c r="D9" s="145" t="s">
        <v>200</v>
      </c>
      <c r="F9" s="146" t="s">
        <v>203</v>
      </c>
      <c r="G9" s="146" t="s">
        <v>256</v>
      </c>
      <c r="H9" s="146" t="s">
        <v>257</v>
      </c>
      <c r="I9" s="46"/>
      <c r="J9" s="146" t="s">
        <v>256</v>
      </c>
      <c r="K9" s="146" t="s">
        <v>257</v>
      </c>
      <c r="L9" s="46"/>
      <c r="M9" s="146" t="s">
        <v>256</v>
      </c>
      <c r="N9" s="146" t="s">
        <v>257</v>
      </c>
    </row>
    <row r="10" spans="1:18" ht="15" customHeight="1">
      <c r="A10" s="46"/>
      <c r="B10" s="46" t="s">
        <v>25</v>
      </c>
      <c r="D10" s="40" t="s">
        <v>26</v>
      </c>
      <c r="F10" s="46" t="s">
        <v>27</v>
      </c>
      <c r="G10" s="46" t="s">
        <v>28</v>
      </c>
      <c r="H10" s="46" t="s">
        <v>197</v>
      </c>
      <c r="I10" s="46"/>
      <c r="J10" s="46" t="s">
        <v>125</v>
      </c>
      <c r="K10" s="46" t="s">
        <v>126</v>
      </c>
      <c r="L10" s="46"/>
      <c r="M10" s="46" t="s">
        <v>71</v>
      </c>
      <c r="N10" s="46" t="s">
        <v>122</v>
      </c>
    </row>
    <row r="11" spans="1:18" ht="15" customHeight="1">
      <c r="A11" s="46">
        <v>1</v>
      </c>
      <c r="B11" s="167">
        <v>0</v>
      </c>
      <c r="D11" s="197">
        <f>'Res Billing Data'!B7</f>
        <v>2.5427186263748069E-2</v>
      </c>
      <c r="F11" s="147">
        <f>ROUND((($B11*'Typical Res Bill_RY#1 '!$D$36+'Typical Res Bill_RY#1 '!$D$13+'Typical Res Bill_RY#1 '!$D$15)),2)</f>
        <v>-5.97</v>
      </c>
      <c r="G11" s="147">
        <f>ROUND((($B11*'Typical Res Bill_RY#1 '!$S$36+'Typical Res Bill_RY#1 '!$S$13+'Typical Res Bill_RY#1 '!$S$15)),2)</f>
        <v>-3.61</v>
      </c>
      <c r="H11" s="147">
        <f>ROUND((($B11*'Typical Res Bill_RY#2'!$G$36+'Typical Res Bill_RY#2'!$G$13+'Typical Res Bill_RY#2'!$G$15)),2)</f>
        <v>-0.8</v>
      </c>
      <c r="I11" s="147"/>
      <c r="J11" s="147">
        <f t="shared" ref="J11:J36" si="0">G11-F11</f>
        <v>2.36</v>
      </c>
      <c r="K11" s="147">
        <f t="shared" ref="K11:K36" si="1">H11-G11</f>
        <v>2.8099999999999996</v>
      </c>
      <c r="L11" s="147"/>
      <c r="M11" s="61">
        <f t="shared" ref="M11:M36" si="2">J11/F11</f>
        <v>-0.39530988274706869</v>
      </c>
      <c r="N11" s="61">
        <f t="shared" ref="N11:N36" si="3">K11/G11</f>
        <v>-0.77839335180055391</v>
      </c>
      <c r="Q11" s="197"/>
      <c r="R11" s="61"/>
    </row>
    <row r="12" spans="1:18" ht="15" customHeight="1">
      <c r="A12" s="46">
        <f>A11+1</f>
        <v>2</v>
      </c>
      <c r="B12" s="167">
        <v>10</v>
      </c>
      <c r="D12" s="197">
        <f>'Res Billing Data'!B8</f>
        <v>0.11228182886769425</v>
      </c>
      <c r="F12" s="147">
        <f>ROUND((($B12*'Typical Res Bill_RY#1 '!$D$36+'Typical Res Bill_RY#1 '!$D$13+'Typical Res Bill_RY#1 '!$D$15)),2)</f>
        <v>7.57</v>
      </c>
      <c r="G12" s="147">
        <f>ROUND((($B12*'Typical Res Bill_RY#1 '!$S$36+'Typical Res Bill_RY#1 '!$S$13+'Typical Res Bill_RY#1 '!$S$15)),2)</f>
        <v>11.75</v>
      </c>
      <c r="H12" s="147">
        <f>ROUND((($B12*'Typical Res Bill_RY#2'!$G$36+'Typical Res Bill_RY#2'!$G$13+'Typical Res Bill_RY#2'!$G$15)),2)</f>
        <v>14.35</v>
      </c>
      <c r="I12" s="147"/>
      <c r="J12" s="147">
        <f t="shared" si="0"/>
        <v>4.18</v>
      </c>
      <c r="K12" s="147">
        <f t="shared" si="1"/>
        <v>2.5999999999999996</v>
      </c>
      <c r="L12" s="147"/>
      <c r="M12" s="61">
        <f t="shared" si="2"/>
        <v>0.55217965653896961</v>
      </c>
      <c r="N12" s="61">
        <f t="shared" si="3"/>
        <v>0.22127659574468081</v>
      </c>
      <c r="Q12" s="197"/>
      <c r="R12" s="61"/>
    </row>
    <row r="13" spans="1:18" ht="15" customHeight="1">
      <c r="A13" s="46">
        <f t="shared" ref="A13:A37" si="4">A12+1</f>
        <v>3</v>
      </c>
      <c r="B13" s="167">
        <v>20</v>
      </c>
      <c r="D13" s="197">
        <f>'Res Billing Data'!B9</f>
        <v>0.15766480034291525</v>
      </c>
      <c r="F13" s="147">
        <f>ROUND((($B13*'Typical Res Bill_RY#1 '!$D$36+'Typical Res Bill_RY#1 '!$D$13+'Typical Res Bill_RY#1 '!$D$15)),2)</f>
        <v>21.12</v>
      </c>
      <c r="G13" s="147">
        <f>ROUND((($B13*'Typical Res Bill_RY#1 '!$S$36+'Typical Res Bill_RY#1 '!$S$13+'Typical Res Bill_RY#1 '!$S$15)),2)</f>
        <v>27.11</v>
      </c>
      <c r="H13" s="147">
        <f>ROUND((($B13*'Typical Res Bill_RY#2'!$G$36+'Typical Res Bill_RY#2'!$G$13+'Typical Res Bill_RY#2'!$G$15)),2)</f>
        <v>29.51</v>
      </c>
      <c r="I13" s="147"/>
      <c r="J13" s="147">
        <f t="shared" si="0"/>
        <v>5.9899999999999984</v>
      </c>
      <c r="K13" s="147">
        <f t="shared" si="1"/>
        <v>2.4000000000000021</v>
      </c>
      <c r="L13" s="147"/>
      <c r="M13" s="61">
        <f t="shared" si="2"/>
        <v>0.28361742424242414</v>
      </c>
      <c r="N13" s="61">
        <f t="shared" si="3"/>
        <v>8.8528218369605394E-2</v>
      </c>
      <c r="Q13" s="197"/>
      <c r="R13" s="61"/>
    </row>
    <row r="14" spans="1:18" ht="15" customHeight="1">
      <c r="A14" s="46">
        <f t="shared" si="4"/>
        <v>4</v>
      </c>
      <c r="B14" s="167">
        <v>30</v>
      </c>
      <c r="D14" s="197">
        <f>'Res Billing Data'!B10</f>
        <v>0.1148644349212942</v>
      </c>
      <c r="F14" s="147">
        <f>ROUND((($B14*'Typical Res Bill_RY#1 '!$D$36+'Typical Res Bill_RY#1 '!$D$13+'Typical Res Bill_RY#1 '!$D$15)),2)</f>
        <v>34.659999999999997</v>
      </c>
      <c r="G14" s="147">
        <f>ROUND((($B14*'Typical Res Bill_RY#1 '!$S$36+'Typical Res Bill_RY#1 '!$S$13+'Typical Res Bill_RY#1 '!$S$15)),2)</f>
        <v>42.47</v>
      </c>
      <c r="H14" s="147">
        <f>ROUND((($B14*'Typical Res Bill_RY#2'!$G$36+'Typical Res Bill_RY#2'!$G$13+'Typical Res Bill_RY#2'!$G$15)),2)</f>
        <v>44.66</v>
      </c>
      <c r="I14" s="147"/>
      <c r="J14" s="147">
        <f t="shared" si="0"/>
        <v>7.8100000000000023</v>
      </c>
      <c r="K14" s="147">
        <f t="shared" si="1"/>
        <v>2.1899999999999977</v>
      </c>
      <c r="L14" s="147"/>
      <c r="M14" s="61">
        <f t="shared" si="2"/>
        <v>0.22533179457588007</v>
      </c>
      <c r="N14" s="61">
        <f t="shared" si="3"/>
        <v>5.1565811160819347E-2</v>
      </c>
      <c r="Q14" s="197"/>
      <c r="R14" s="61"/>
    </row>
    <row r="15" spans="1:18" ht="15" customHeight="1">
      <c r="A15" s="46">
        <f t="shared" si="4"/>
        <v>5</v>
      </c>
      <c r="B15" s="167">
        <v>40</v>
      </c>
      <c r="D15" s="197">
        <f>'Res Billing Data'!B11</f>
        <v>7.3780794086144158E-2</v>
      </c>
      <c r="F15" s="147">
        <f>ROUND((($B15*'Typical Res Bill_RY#1 '!$D$36+'Typical Res Bill_RY#1 '!$D$13+'Typical Res Bill_RY#1 '!$D$15)),2)</f>
        <v>48.21</v>
      </c>
      <c r="G15" s="147">
        <f>ROUND((($B15*'Typical Res Bill_RY#1 '!$S$36+'Typical Res Bill_RY#1 '!$S$13+'Typical Res Bill_RY#1 '!$S$15)),2)</f>
        <v>57.82</v>
      </c>
      <c r="H15" s="147">
        <f>ROUND((($B15*'Typical Res Bill_RY#2'!$G$36+'Typical Res Bill_RY#2'!$G$13+'Typical Res Bill_RY#2'!$G$15)),2)</f>
        <v>59.82</v>
      </c>
      <c r="I15" s="147"/>
      <c r="J15" s="147">
        <f t="shared" si="0"/>
        <v>9.61</v>
      </c>
      <c r="K15" s="147">
        <f t="shared" si="1"/>
        <v>2</v>
      </c>
      <c r="L15" s="147"/>
      <c r="M15" s="61">
        <f t="shared" si="2"/>
        <v>0.19933623729516697</v>
      </c>
      <c r="N15" s="61">
        <f t="shared" si="3"/>
        <v>3.4590107229332409E-2</v>
      </c>
      <c r="Q15" s="197"/>
      <c r="R15" s="61"/>
    </row>
    <row r="16" spans="1:18" ht="15" customHeight="1">
      <c r="A16" s="46">
        <f t="shared" si="4"/>
        <v>6</v>
      </c>
      <c r="B16" s="167">
        <v>50</v>
      </c>
      <c r="D16" s="197">
        <f>'Res Billing Data'!B12</f>
        <v>5.4592783025285904E-2</v>
      </c>
      <c r="F16" s="147">
        <f>ROUND((($B16*'Typical Res Bill_RY#1 '!$D$36+'Typical Res Bill_RY#1 '!$D$13+'Typical Res Bill_RY#1 '!$D$15)),2)</f>
        <v>61.75</v>
      </c>
      <c r="G16" s="147">
        <f>ROUND((($B16*'Typical Res Bill_RY#1 '!$S$36+'Typical Res Bill_RY#1 '!$S$13+'Typical Res Bill_RY#1 '!$S$15)),2)</f>
        <v>73.180000000000007</v>
      </c>
      <c r="H16" s="147">
        <f>ROUND((($B16*'Typical Res Bill_RY#2'!$G$36+'Typical Res Bill_RY#2'!$G$13+'Typical Res Bill_RY#2'!$G$15)),2)</f>
        <v>74.97</v>
      </c>
      <c r="I16" s="147"/>
      <c r="J16" s="147">
        <f t="shared" si="0"/>
        <v>11.430000000000007</v>
      </c>
      <c r="K16" s="147">
        <f t="shared" si="1"/>
        <v>1.789999999999992</v>
      </c>
      <c r="L16" s="147"/>
      <c r="M16" s="61">
        <f t="shared" si="2"/>
        <v>0.18510121457489889</v>
      </c>
      <c r="N16" s="61">
        <f t="shared" si="3"/>
        <v>2.4460235036895216E-2</v>
      </c>
      <c r="Q16" s="197"/>
      <c r="R16" s="61"/>
    </row>
    <row r="17" spans="1:18" ht="15" customHeight="1">
      <c r="A17" s="46">
        <f t="shared" si="4"/>
        <v>7</v>
      </c>
      <c r="B17" s="167">
        <v>60</v>
      </c>
      <c r="C17" s="41" t="s">
        <v>201</v>
      </c>
      <c r="D17" s="197">
        <f>'Res Billing Data'!B13</f>
        <v>4.7258365976096187E-2</v>
      </c>
      <c r="F17" s="147">
        <f>ROUND((($B17*'Typical Res Bill_RY#1 '!$D$36+'Typical Res Bill_RY#1 '!$D$13+'Typical Res Bill_RY#1 '!$D$15)),2)</f>
        <v>75.3</v>
      </c>
      <c r="G17" s="147">
        <f>ROUND((($B17*'Typical Res Bill_RY#1 '!$S$36+'Typical Res Bill_RY#1 '!$S$13+'Typical Res Bill_RY#1 '!$S$15)),2)</f>
        <v>88.54</v>
      </c>
      <c r="H17" s="147">
        <f>ROUND((($B17*'Typical Res Bill_RY#2'!$G$36+'Typical Res Bill_RY#2'!$G$13+'Typical Res Bill_RY#2'!$G$15)),2)</f>
        <v>90.13</v>
      </c>
      <c r="I17" s="147"/>
      <c r="J17" s="147">
        <f t="shared" si="0"/>
        <v>13.240000000000009</v>
      </c>
      <c r="K17" s="147">
        <f t="shared" si="1"/>
        <v>1.5899999999999892</v>
      </c>
      <c r="L17" s="147"/>
      <c r="M17" s="61">
        <f t="shared" si="2"/>
        <v>0.17583001328021261</v>
      </c>
      <c r="N17" s="61">
        <f t="shared" si="3"/>
        <v>1.7957985091483952E-2</v>
      </c>
      <c r="Q17" s="197"/>
      <c r="R17" s="61"/>
    </row>
    <row r="18" spans="1:18" ht="15" customHeight="1">
      <c r="A18" s="46">
        <f t="shared" si="4"/>
        <v>8</v>
      </c>
      <c r="B18" s="167">
        <v>70</v>
      </c>
      <c r="D18" s="197">
        <f>'Res Billing Data'!B14</f>
        <v>4.4361386842571002E-2</v>
      </c>
      <c r="F18" s="147">
        <f>ROUND((($B18*'Typical Res Bill_RY#1 '!$D$36+'Typical Res Bill_RY#1 '!$D$13+'Typical Res Bill_RY#1 '!$D$15)),2)</f>
        <v>88.84</v>
      </c>
      <c r="G18" s="147">
        <f>ROUND((($B18*'Typical Res Bill_RY#1 '!$S$36+'Typical Res Bill_RY#1 '!$S$13+'Typical Res Bill_RY#1 '!$S$15)),2)</f>
        <v>103.9</v>
      </c>
      <c r="H18" s="147">
        <f>ROUND((($B18*'Typical Res Bill_RY#2'!$G$36+'Typical Res Bill_RY#2'!$G$13+'Typical Res Bill_RY#2'!$G$15)),2)</f>
        <v>105.28</v>
      </c>
      <c r="I18" s="147"/>
      <c r="J18" s="147">
        <f t="shared" si="0"/>
        <v>15.060000000000002</v>
      </c>
      <c r="K18" s="147">
        <f t="shared" si="1"/>
        <v>1.3799999999999955</v>
      </c>
      <c r="L18" s="147"/>
      <c r="M18" s="61">
        <f t="shared" si="2"/>
        <v>0.16951823502926611</v>
      </c>
      <c r="N18" s="61">
        <f t="shared" si="3"/>
        <v>1.3282001924927771E-2</v>
      </c>
      <c r="Q18" s="197"/>
      <c r="R18" s="61"/>
    </row>
    <row r="19" spans="1:18" ht="15" customHeight="1">
      <c r="A19" s="46">
        <f t="shared" si="4"/>
        <v>9</v>
      </c>
      <c r="B19" s="167">
        <v>80</v>
      </c>
      <c r="D19" s="197">
        <f>'Res Billing Data'!B15</f>
        <v>4.3847627777362889E-2</v>
      </c>
      <c r="F19" s="147">
        <f>ROUND((($B19*'Typical Res Bill_RY#1 '!$D$36+'Typical Res Bill_RY#1 '!$D$13+'Typical Res Bill_RY#1 '!$D$15)),2)</f>
        <v>102.39</v>
      </c>
      <c r="G19" s="147">
        <f>ROUND((($B19*'Typical Res Bill_RY#1 '!$S$36+'Typical Res Bill_RY#1 '!$S$13+'Typical Res Bill_RY#1 '!$S$15)),2)</f>
        <v>119.26</v>
      </c>
      <c r="H19" s="147">
        <f>ROUND((($B19*'Typical Res Bill_RY#2'!$G$36+'Typical Res Bill_RY#2'!$G$13+'Typical Res Bill_RY#2'!$G$15)),2)</f>
        <v>120.44</v>
      </c>
      <c r="I19" s="147"/>
      <c r="J19" s="147">
        <f t="shared" si="0"/>
        <v>16.870000000000005</v>
      </c>
      <c r="K19" s="147">
        <f t="shared" si="1"/>
        <v>1.1799999999999926</v>
      </c>
      <c r="L19" s="147"/>
      <c r="M19" s="61">
        <f t="shared" si="2"/>
        <v>0.16476218380701244</v>
      </c>
      <c r="N19" s="61">
        <f t="shared" si="3"/>
        <v>9.8943484823075002E-3</v>
      </c>
      <c r="Q19" s="197"/>
      <c r="R19" s="61"/>
    </row>
    <row r="20" spans="1:18" ht="15" customHeight="1">
      <c r="A20" s="46">
        <f t="shared" si="4"/>
        <v>10</v>
      </c>
      <c r="B20" s="167">
        <v>90</v>
      </c>
      <c r="D20" s="197">
        <f>'Res Billing Data'!B16</f>
        <v>4.3623996292586911E-2</v>
      </c>
      <c r="F20" s="147">
        <f>ROUND((($B20*'Typical Res Bill_RY#1 '!$D$36+'Typical Res Bill_RY#1 '!$D$13+'Typical Res Bill_RY#1 '!$D$15)),2)</f>
        <v>115.93</v>
      </c>
      <c r="G20" s="147">
        <f>ROUND((($B20*'Typical Res Bill_RY#1 '!$S$36+'Typical Res Bill_RY#1 '!$S$13+'Typical Res Bill_RY#1 '!$S$15)),2)</f>
        <v>134.62</v>
      </c>
      <c r="H20" s="147">
        <f>ROUND((($B20*'Typical Res Bill_RY#2'!$G$36+'Typical Res Bill_RY#2'!$G$13+'Typical Res Bill_RY#2'!$G$15)),2)</f>
        <v>135.59</v>
      </c>
      <c r="I20" s="147"/>
      <c r="J20" s="147">
        <f t="shared" si="0"/>
        <v>18.689999999999998</v>
      </c>
      <c r="K20" s="147">
        <f t="shared" si="1"/>
        <v>0.96999999999999886</v>
      </c>
      <c r="L20" s="147"/>
      <c r="M20" s="61">
        <f t="shared" si="2"/>
        <v>0.16121797636504784</v>
      </c>
      <c r="N20" s="61">
        <f t="shared" si="3"/>
        <v>7.2054672411231528E-3</v>
      </c>
      <c r="Q20" s="197"/>
      <c r="R20" s="61"/>
    </row>
    <row r="21" spans="1:18" ht="15" customHeight="1">
      <c r="A21" s="46">
        <f t="shared" si="4"/>
        <v>11</v>
      </c>
      <c r="B21" s="167">
        <v>100</v>
      </c>
      <c r="D21" s="197">
        <f>'Res Billing Data'!B17</f>
        <v>4.2713102083783032E-2</v>
      </c>
      <c r="F21" s="147">
        <f>ROUND((($B21*'Typical Res Bill_RY#1 '!$D$36+'Typical Res Bill_RY#1 '!$D$13+'Typical Res Bill_RY#1 '!$D$15)),2)</f>
        <v>129.47999999999999</v>
      </c>
      <c r="G21" s="147">
        <f>ROUND((($B21*'Typical Res Bill_RY#1 '!$S$36+'Typical Res Bill_RY#1 '!$S$13+'Typical Res Bill_RY#1 '!$S$15)),2)</f>
        <v>149.97999999999999</v>
      </c>
      <c r="H21" s="147">
        <f>ROUND((($B21*'Typical Res Bill_RY#2'!$G$36+'Typical Res Bill_RY#2'!$G$13+'Typical Res Bill_RY#2'!$G$15)),2)</f>
        <v>150.75</v>
      </c>
      <c r="I21" s="147"/>
      <c r="J21" s="147">
        <f t="shared" si="0"/>
        <v>20.5</v>
      </c>
      <c r="K21" s="147">
        <f t="shared" si="1"/>
        <v>0.77000000000001023</v>
      </c>
      <c r="L21" s="147"/>
      <c r="M21" s="61">
        <f t="shared" si="2"/>
        <v>0.15832561013283905</v>
      </c>
      <c r="N21" s="61">
        <f t="shared" si="3"/>
        <v>5.1340178690492755E-3</v>
      </c>
      <c r="Q21" s="197"/>
      <c r="R21" s="61"/>
    </row>
    <row r="22" spans="1:18" ht="15" customHeight="1">
      <c r="A22" s="46">
        <f t="shared" si="4"/>
        <v>12</v>
      </c>
      <c r="B22" s="167">
        <v>110</v>
      </c>
      <c r="D22" s="197">
        <f>'Res Billing Data'!B18</f>
        <v>4.0310649298568493E-2</v>
      </c>
      <c r="F22" s="147">
        <f>ROUND((($B22*'Typical Res Bill_RY#1 '!$D$36+'Typical Res Bill_RY#1 '!$D$13+'Typical Res Bill_RY#1 '!$D$15)),2)</f>
        <v>143.02000000000001</v>
      </c>
      <c r="G22" s="147">
        <f>ROUND((($B22*'Typical Res Bill_RY#1 '!$S$36+'Typical Res Bill_RY#1 '!$S$13+'Typical Res Bill_RY#1 '!$S$15)),2)</f>
        <v>165.34</v>
      </c>
      <c r="H22" s="147">
        <f>ROUND((($B22*'Typical Res Bill_RY#2'!$G$36+'Typical Res Bill_RY#2'!$G$13+'Typical Res Bill_RY#2'!$G$15)),2)</f>
        <v>165.9</v>
      </c>
      <c r="I22" s="147"/>
      <c r="J22" s="147">
        <f t="shared" si="0"/>
        <v>22.319999999999993</v>
      </c>
      <c r="K22" s="147">
        <f t="shared" si="1"/>
        <v>0.56000000000000227</v>
      </c>
      <c r="L22" s="147"/>
      <c r="M22" s="61">
        <f t="shared" si="2"/>
        <v>0.15606208921829109</v>
      </c>
      <c r="N22" s="61">
        <f t="shared" si="3"/>
        <v>3.3869602032176259E-3</v>
      </c>
      <c r="Q22" s="197"/>
      <c r="R22" s="61"/>
    </row>
    <row r="23" spans="1:18" ht="15" customHeight="1">
      <c r="A23" s="46">
        <f t="shared" si="4"/>
        <v>13</v>
      </c>
      <c r="B23" s="167">
        <v>120</v>
      </c>
      <c r="D23" s="197">
        <f>'Res Billing Data'!B19</f>
        <v>3.6439042006095136E-2</v>
      </c>
      <c r="F23" s="147">
        <f>ROUND((($B23*'Typical Res Bill_RY#1 '!$D$36+'Typical Res Bill_RY#1 '!$D$13+'Typical Res Bill_RY#1 '!$D$15)),2)</f>
        <v>156.57</v>
      </c>
      <c r="G23" s="147">
        <f>ROUND((($B23*'Typical Res Bill_RY#1 '!$S$36+'Typical Res Bill_RY#1 '!$S$13+'Typical Res Bill_RY#1 '!$S$15)),2)</f>
        <v>180.69</v>
      </c>
      <c r="H23" s="147">
        <f>ROUND((($B23*'Typical Res Bill_RY#2'!$G$36+'Typical Res Bill_RY#2'!$G$13+'Typical Res Bill_RY#2'!$G$15)),2)</f>
        <v>181.06</v>
      </c>
      <c r="I23" s="147"/>
      <c r="J23" s="147">
        <f t="shared" si="0"/>
        <v>24.120000000000005</v>
      </c>
      <c r="K23" s="147">
        <f t="shared" si="1"/>
        <v>0.37000000000000455</v>
      </c>
      <c r="L23" s="147"/>
      <c r="M23" s="61">
        <f t="shared" si="2"/>
        <v>0.154052500479019</v>
      </c>
      <c r="N23" s="61">
        <f t="shared" si="3"/>
        <v>2.0477060158282392E-3</v>
      </c>
      <c r="Q23" s="197"/>
      <c r="R23" s="61"/>
    </row>
    <row r="24" spans="1:18" ht="15" customHeight="1">
      <c r="A24" s="46">
        <f t="shared" si="4"/>
        <v>14</v>
      </c>
      <c r="B24" s="167">
        <v>130</v>
      </c>
      <c r="D24" s="197">
        <f>'Res Billing Data'!B20</f>
        <v>3.1758637587071523E-2</v>
      </c>
      <c r="F24" s="147">
        <f>ROUND((($B24*'Typical Res Bill_RY#1 '!$D$36+'Typical Res Bill_RY#1 '!$D$13+'Typical Res Bill_RY#1 '!$D$15)),2)</f>
        <v>170.11</v>
      </c>
      <c r="G24" s="147">
        <f>ROUND((($B24*'Typical Res Bill_RY#1 '!$S$36+'Typical Res Bill_RY#1 '!$S$13+'Typical Res Bill_RY#1 '!$S$15)),2)</f>
        <v>196.05</v>
      </c>
      <c r="H24" s="147">
        <f>ROUND((($B24*'Typical Res Bill_RY#2'!$G$36+'Typical Res Bill_RY#2'!$G$13+'Typical Res Bill_RY#2'!$G$15)),2)</f>
        <v>196.21</v>
      </c>
      <c r="I24" s="147"/>
      <c r="J24" s="147">
        <f t="shared" si="0"/>
        <v>25.939999999999998</v>
      </c>
      <c r="K24" s="147">
        <f t="shared" si="1"/>
        <v>0.15999999999999659</v>
      </c>
      <c r="L24" s="147"/>
      <c r="M24" s="61">
        <f t="shared" si="2"/>
        <v>0.15248956557521601</v>
      </c>
      <c r="N24" s="61">
        <f t="shared" si="3"/>
        <v>8.161183371588706E-4</v>
      </c>
      <c r="Q24" s="197"/>
      <c r="R24" s="61"/>
    </row>
    <row r="25" spans="1:18" ht="15" customHeight="1">
      <c r="A25" s="46">
        <f t="shared" si="4"/>
        <v>15</v>
      </c>
      <c r="B25" s="167">
        <v>140</v>
      </c>
      <c r="D25" s="197">
        <f>'Res Billing Data'!B21</f>
        <v>2.6634755360864081E-2</v>
      </c>
      <c r="F25" s="147">
        <f>ROUND((($B25*'Typical Res Bill_RY#1 '!$D$36+'Typical Res Bill_RY#1 '!$D$13+'Typical Res Bill_RY#1 '!$D$15)),2)</f>
        <v>183.66</v>
      </c>
      <c r="G25" s="147">
        <f>ROUND((($B25*'Typical Res Bill_RY#1 '!$S$36+'Typical Res Bill_RY#1 '!$S$13+'Typical Res Bill_RY#1 '!$S$15)),2)</f>
        <v>211.41</v>
      </c>
      <c r="H25" s="147">
        <f>ROUND((($B25*'Typical Res Bill_RY#2'!$G$36+'Typical Res Bill_RY#2'!$G$13+'Typical Res Bill_RY#2'!$G$15)),2)</f>
        <v>211.37</v>
      </c>
      <c r="I25" s="147"/>
      <c r="J25" s="147">
        <f t="shared" si="0"/>
        <v>27.75</v>
      </c>
      <c r="K25" s="147">
        <f t="shared" si="1"/>
        <v>-3.9999999999992042E-2</v>
      </c>
      <c r="L25" s="147"/>
      <c r="M25" s="61">
        <f t="shared" si="2"/>
        <v>0.15109441359032996</v>
      </c>
      <c r="N25" s="61">
        <f t="shared" si="3"/>
        <v>-1.8920580861828696E-4</v>
      </c>
      <c r="Q25" s="197"/>
      <c r="R25" s="61"/>
    </row>
    <row r="26" spans="1:18" ht="15" customHeight="1">
      <c r="A26" s="46">
        <f t="shared" si="4"/>
        <v>16</v>
      </c>
      <c r="B26" s="167">
        <v>150</v>
      </c>
      <c r="D26" s="197">
        <f>'Res Billing Data'!B22</f>
        <v>2.1733481602576366E-2</v>
      </c>
      <c r="F26" s="147">
        <f>ROUND((($B26*'Typical Res Bill_RY#1 '!$D$36+'Typical Res Bill_RY#1 '!$D$13+'Typical Res Bill_RY#1 '!$D$15)),2)</f>
        <v>197.2</v>
      </c>
      <c r="G26" s="147">
        <f>ROUND((($B26*'Typical Res Bill_RY#1 '!$S$36+'Typical Res Bill_RY#1 '!$S$13+'Typical Res Bill_RY#1 '!$S$15)),2)</f>
        <v>226.77</v>
      </c>
      <c r="H26" s="147">
        <f>ROUND((($B26*'Typical Res Bill_RY#2'!$G$36+'Typical Res Bill_RY#2'!$G$13+'Typical Res Bill_RY#2'!$G$15)),2)</f>
        <v>226.52</v>
      </c>
      <c r="I26" s="147"/>
      <c r="J26" s="147">
        <f t="shared" si="0"/>
        <v>29.570000000000022</v>
      </c>
      <c r="K26" s="147">
        <f t="shared" si="1"/>
        <v>-0.25</v>
      </c>
      <c r="L26" s="147"/>
      <c r="M26" s="61">
        <f t="shared" si="2"/>
        <v>0.14994929006085206</v>
      </c>
      <c r="N26" s="61">
        <f t="shared" si="3"/>
        <v>-1.1024385941703046E-3</v>
      </c>
      <c r="Q26" s="197"/>
      <c r="R26" s="61"/>
    </row>
    <row r="27" spans="1:18" ht="15" customHeight="1">
      <c r="A27" s="46">
        <f t="shared" si="4"/>
        <v>17</v>
      </c>
      <c r="B27" s="167">
        <v>160</v>
      </c>
      <c r="D27" s="197">
        <f>'Res Billing Data'!B23</f>
        <v>1.7373690666301109E-2</v>
      </c>
      <c r="F27" s="147">
        <f>ROUND((($B27*'Typical Res Bill_RY#1 '!$D$36+'Typical Res Bill_RY#1 '!$D$13+'Typical Res Bill_RY#1 '!$D$15)),2)</f>
        <v>210.75</v>
      </c>
      <c r="G27" s="147">
        <f>ROUND((($B27*'Typical Res Bill_RY#1 '!$S$36+'Typical Res Bill_RY#1 '!$S$13+'Typical Res Bill_RY#1 '!$S$15)),2)</f>
        <v>242.13</v>
      </c>
      <c r="H27" s="147">
        <f>ROUND((($B27*'Typical Res Bill_RY#2'!$G$36+'Typical Res Bill_RY#2'!$G$13+'Typical Res Bill_RY#2'!$G$15)),2)</f>
        <v>241.68</v>
      </c>
      <c r="I27" s="147"/>
      <c r="J27" s="147">
        <f t="shared" si="0"/>
        <v>31.379999999999995</v>
      </c>
      <c r="K27" s="147">
        <f t="shared" si="1"/>
        <v>-0.44999999999998863</v>
      </c>
      <c r="L27" s="147"/>
      <c r="M27" s="61">
        <f t="shared" si="2"/>
        <v>0.1488967971530249</v>
      </c>
      <c r="N27" s="61">
        <f t="shared" si="3"/>
        <v>-1.8585057613678133E-3</v>
      </c>
      <c r="Q27" s="197"/>
      <c r="R27" s="61"/>
    </row>
    <row r="28" spans="1:18" ht="15" customHeight="1">
      <c r="A28" s="46">
        <f t="shared" si="4"/>
        <v>18</v>
      </c>
      <c r="B28" s="167">
        <v>170</v>
      </c>
      <c r="D28" s="197">
        <f>'Res Billing Data'!B24</f>
        <v>1.3749653453039946E-2</v>
      </c>
      <c r="F28" s="147">
        <f>ROUND((($B28*'Typical Res Bill_RY#1 '!$D$36+'Typical Res Bill_RY#1 '!$D$13+'Typical Res Bill_RY#1 '!$D$15)),2)</f>
        <v>224.29</v>
      </c>
      <c r="G28" s="147">
        <f>ROUND((($B28*'Typical Res Bill_RY#1 '!$S$36+'Typical Res Bill_RY#1 '!$S$13+'Typical Res Bill_RY#1 '!$S$15)),2)</f>
        <v>257.49</v>
      </c>
      <c r="H28" s="147">
        <f>ROUND((($B28*'Typical Res Bill_RY#2'!$G$36+'Typical Res Bill_RY#2'!$G$13+'Typical Res Bill_RY#2'!$G$15)),2)</f>
        <v>256.83</v>
      </c>
      <c r="I28" s="147"/>
      <c r="J28" s="147">
        <f t="shared" si="0"/>
        <v>33.200000000000017</v>
      </c>
      <c r="K28" s="147">
        <f t="shared" si="1"/>
        <v>-0.66000000000002501</v>
      </c>
      <c r="L28" s="147"/>
      <c r="M28" s="61">
        <f t="shared" si="2"/>
        <v>0.14802264924874056</v>
      </c>
      <c r="N28" s="61">
        <f t="shared" si="3"/>
        <v>-2.5632063381103151E-3</v>
      </c>
      <c r="Q28" s="197"/>
      <c r="R28" s="61"/>
    </row>
    <row r="29" spans="1:18" ht="15" customHeight="1">
      <c r="A29" s="46">
        <f t="shared" si="4"/>
        <v>19</v>
      </c>
      <c r="B29" s="167">
        <v>180</v>
      </c>
      <c r="D29" s="197">
        <f>'Res Billing Data'!B25</f>
        <v>1.0770321462586739E-2</v>
      </c>
      <c r="F29" s="147">
        <f>ROUND((($B29*'Typical Res Bill_RY#1 '!$D$36+'Typical Res Bill_RY#1 '!$D$13+'Typical Res Bill_RY#1 '!$D$15)),2)</f>
        <v>237.84</v>
      </c>
      <c r="G29" s="147">
        <f>ROUND((($B29*'Typical Res Bill_RY#1 '!$S$36+'Typical Res Bill_RY#1 '!$S$13+'Typical Res Bill_RY#1 '!$S$15)),2)</f>
        <v>272.85000000000002</v>
      </c>
      <c r="H29" s="147">
        <f>ROUND((($B29*'Typical Res Bill_RY#2'!$G$36+'Typical Res Bill_RY#2'!$G$13+'Typical Res Bill_RY#2'!$G$15)),2)</f>
        <v>271.99</v>
      </c>
      <c r="I29" s="147"/>
      <c r="J29" s="147">
        <f t="shared" si="0"/>
        <v>35.010000000000019</v>
      </c>
      <c r="K29" s="147">
        <f t="shared" si="1"/>
        <v>-0.86000000000001364</v>
      </c>
      <c r="L29" s="147"/>
      <c r="M29" s="61">
        <f t="shared" si="2"/>
        <v>0.14719979818365295</v>
      </c>
      <c r="N29" s="61">
        <f t="shared" si="3"/>
        <v>-3.1519149715961647E-3</v>
      </c>
      <c r="Q29" s="197"/>
      <c r="R29" s="61"/>
    </row>
    <row r="30" spans="1:18" ht="15" customHeight="1">
      <c r="A30" s="46">
        <f t="shared" si="4"/>
        <v>20</v>
      </c>
      <c r="B30" s="167">
        <v>190</v>
      </c>
      <c r="D30" s="197">
        <f>'Res Billing Data'!B26</f>
        <v>8.3398380155109818E-3</v>
      </c>
      <c r="F30" s="147">
        <f>ROUND((($B30*'Typical Res Bill_RY#1 '!$D$36+'Typical Res Bill_RY#1 '!$D$13+'Typical Res Bill_RY#1 '!$D$15)),2)</f>
        <v>251.38</v>
      </c>
      <c r="G30" s="147">
        <f>ROUND((($B30*'Typical Res Bill_RY#1 '!$S$36+'Typical Res Bill_RY#1 '!$S$13+'Typical Res Bill_RY#1 '!$S$15)),2)</f>
        <v>288.20999999999998</v>
      </c>
      <c r="H30" s="147">
        <f>ROUND((($B30*'Typical Res Bill_RY#2'!$G$36+'Typical Res Bill_RY#2'!$G$13+'Typical Res Bill_RY#2'!$G$15)),2)</f>
        <v>287.14</v>
      </c>
      <c r="I30" s="147"/>
      <c r="J30" s="147">
        <f t="shared" si="0"/>
        <v>36.829999999999984</v>
      </c>
      <c r="K30" s="147">
        <f t="shared" si="1"/>
        <v>-1.0699999999999932</v>
      </c>
      <c r="L30" s="147"/>
      <c r="M30" s="61">
        <f t="shared" si="2"/>
        <v>0.14651125785663133</v>
      </c>
      <c r="N30" s="61">
        <f t="shared" si="3"/>
        <v>-3.712570694979332E-3</v>
      </c>
      <c r="Q30" s="197"/>
      <c r="R30" s="61"/>
    </row>
    <row r="31" spans="1:18" ht="15" customHeight="1">
      <c r="A31" s="46">
        <f t="shared" si="4"/>
        <v>21</v>
      </c>
      <c r="B31" s="167">
        <v>200</v>
      </c>
      <c r="D31" s="197">
        <f>'Res Billing Data'!B27</f>
        <v>6.4781519405095241E-3</v>
      </c>
      <c r="F31" s="147">
        <f>ROUND((($B31*'Typical Res Bill_RY#1 '!$D$36+'Typical Res Bill_RY#1 '!$D$13+'Typical Res Bill_RY#1 '!$D$15)),2)</f>
        <v>264.93</v>
      </c>
      <c r="G31" s="147">
        <f>ROUND((($B31*'Typical Res Bill_RY#1 '!$S$36+'Typical Res Bill_RY#1 '!$S$13+'Typical Res Bill_RY#1 '!$S$15)),2)</f>
        <v>303.56</v>
      </c>
      <c r="H31" s="147">
        <f>ROUND((($B31*'Typical Res Bill_RY#2'!$G$36+'Typical Res Bill_RY#2'!$G$13+'Typical Res Bill_RY#2'!$G$15)),2)</f>
        <v>302.3</v>
      </c>
      <c r="I31" s="147"/>
      <c r="J31" s="147">
        <f t="shared" si="0"/>
        <v>38.629999999999995</v>
      </c>
      <c r="K31" s="147">
        <f t="shared" si="1"/>
        <v>-1.2599999999999909</v>
      </c>
      <c r="L31" s="147"/>
      <c r="M31" s="61">
        <f t="shared" si="2"/>
        <v>0.14581210130977992</v>
      </c>
      <c r="N31" s="61">
        <f t="shared" si="3"/>
        <v>-4.1507444986163882E-3</v>
      </c>
      <c r="Q31" s="197"/>
      <c r="R31" s="61"/>
    </row>
    <row r="32" spans="1:18" ht="15" customHeight="1">
      <c r="A32" s="46">
        <f t="shared" si="4"/>
        <v>22</v>
      </c>
      <c r="B32" s="167">
        <v>210</v>
      </c>
      <c r="C32" s="41" t="s">
        <v>199</v>
      </c>
      <c r="D32" s="197">
        <f>'Res Billing Data'!B28</f>
        <v>5.0087928298794583E-3</v>
      </c>
      <c r="F32" s="147">
        <f>ROUND((($B32*'Typical Res Bill_RY#1 '!$D$36+'Typical Res Bill_RY#1 '!$D$13+'Typical Res Bill_RY#1 '!$D$15)),2)</f>
        <v>278.47000000000003</v>
      </c>
      <c r="G32" s="147">
        <f>ROUND((($B32*'Typical Res Bill_RY#1 '!$S$36+'Typical Res Bill_RY#1 '!$S$13+'Typical Res Bill_RY#1 '!$S$15)),2)</f>
        <v>318.92</v>
      </c>
      <c r="H32" s="147">
        <f>ROUND((($B32*'Typical Res Bill_RY#2'!$G$36+'Typical Res Bill_RY#2'!$G$13+'Typical Res Bill_RY#2'!$G$15)),2)</f>
        <v>317.45</v>
      </c>
      <c r="I32" s="147"/>
      <c r="J32" s="147">
        <f t="shared" si="0"/>
        <v>40.449999999999989</v>
      </c>
      <c r="K32" s="147">
        <f t="shared" si="1"/>
        <v>-1.4700000000000273</v>
      </c>
      <c r="L32" s="147"/>
      <c r="M32" s="61">
        <f t="shared" si="2"/>
        <v>0.14525801702158217</v>
      </c>
      <c r="N32" s="61">
        <f t="shared" si="3"/>
        <v>-4.6093064091309015E-3</v>
      </c>
      <c r="Q32" s="197"/>
      <c r="R32" s="61"/>
    </row>
    <row r="33" spans="1:18" ht="15" customHeight="1">
      <c r="A33" s="46">
        <f t="shared" si="4"/>
        <v>23</v>
      </c>
      <c r="B33" s="167">
        <v>220</v>
      </c>
      <c r="D33" s="197">
        <f>'Res Billing Data'!B29</f>
        <v>3.9169269392051774E-3</v>
      </c>
      <c r="F33" s="147">
        <f>ROUND((($B33*'Typical Res Bill_RY#1 '!$D$36+'Typical Res Bill_RY#1 '!$D$13+'Typical Res Bill_RY#1 '!$D$15)),2)</f>
        <v>292.02</v>
      </c>
      <c r="G33" s="147">
        <f>ROUND((($B33*'Typical Res Bill_RY#1 '!$S$36+'Typical Res Bill_RY#1 '!$S$13+'Typical Res Bill_RY#1 '!$S$15)),2)</f>
        <v>334.28</v>
      </c>
      <c r="H33" s="147">
        <f>ROUND((($B33*'Typical Res Bill_RY#2'!$G$36+'Typical Res Bill_RY#2'!$G$13+'Typical Res Bill_RY#2'!$G$15)),2)</f>
        <v>332.61</v>
      </c>
      <c r="I33" s="147"/>
      <c r="J33" s="147">
        <f t="shared" si="0"/>
        <v>42.259999999999991</v>
      </c>
      <c r="K33" s="147">
        <f t="shared" si="1"/>
        <v>-1.6699999999999591</v>
      </c>
      <c r="L33" s="147"/>
      <c r="M33" s="61">
        <f t="shared" si="2"/>
        <v>0.1447161153345661</v>
      </c>
      <c r="N33" s="61">
        <f t="shared" si="3"/>
        <v>-4.9958118942202917E-3</v>
      </c>
      <c r="Q33" s="197"/>
      <c r="R33" s="61"/>
    </row>
    <row r="34" spans="1:18" ht="15" customHeight="1">
      <c r="A34" s="46">
        <f t="shared" si="4"/>
        <v>24</v>
      </c>
      <c r="B34" s="167">
        <v>230</v>
      </c>
      <c r="D34" s="197">
        <f>'Res Billing Data'!B30</f>
        <v>3.0362117276606366E-3</v>
      </c>
      <c r="F34" s="147">
        <f>ROUND((($B34*'Typical Res Bill_RY#1 '!$D$36+'Typical Res Bill_RY#1 '!$D$13+'Typical Res Bill_RY#1 '!$D$15)),2)</f>
        <v>305.56</v>
      </c>
      <c r="G34" s="147">
        <f>ROUND((($B34*'Typical Res Bill_RY#1 '!$S$36+'Typical Res Bill_RY#1 '!$S$13+'Typical Res Bill_RY#1 '!$S$15)),2)</f>
        <v>349.64</v>
      </c>
      <c r="H34" s="147">
        <f>ROUND((($B34*'Typical Res Bill_RY#2'!$G$36+'Typical Res Bill_RY#2'!$G$13+'Typical Res Bill_RY#2'!$G$15)),2)</f>
        <v>347.76</v>
      </c>
      <c r="I34" s="147"/>
      <c r="J34" s="147">
        <f t="shared" si="0"/>
        <v>44.079999999999984</v>
      </c>
      <c r="K34" s="147">
        <f t="shared" si="1"/>
        <v>-1.8799999999999955</v>
      </c>
      <c r="L34" s="147"/>
      <c r="M34" s="61">
        <f t="shared" si="2"/>
        <v>0.14425971985862018</v>
      </c>
      <c r="N34" s="61">
        <f t="shared" si="3"/>
        <v>-5.3769591579910635E-3</v>
      </c>
      <c r="Q34" s="197"/>
      <c r="R34" s="61"/>
    </row>
    <row r="35" spans="1:18" ht="15" customHeight="1">
      <c r="A35" s="46">
        <f t="shared" si="4"/>
        <v>25</v>
      </c>
      <c r="B35" s="167">
        <v>240</v>
      </c>
      <c r="D35" s="197">
        <f>'Res Billing Data'!B31</f>
        <v>2.3876190407989351E-3</v>
      </c>
      <c r="F35" s="147">
        <f>ROUND((($B35*'Typical Res Bill_RY#1 '!$D$36+'Typical Res Bill_RY#1 '!$D$13+'Typical Res Bill_RY#1 '!$D$15)),2)</f>
        <v>319.11</v>
      </c>
      <c r="G35" s="147">
        <f>ROUND((($B35*'Typical Res Bill_RY#1 '!$S$36+'Typical Res Bill_RY#1 '!$S$13+'Typical Res Bill_RY#1 '!$S$15)),2)</f>
        <v>365</v>
      </c>
      <c r="H35" s="147">
        <f>ROUND((($B35*'Typical Res Bill_RY#2'!$G$36+'Typical Res Bill_RY#2'!$G$13+'Typical Res Bill_RY#2'!$G$15)),2)</f>
        <v>362.92</v>
      </c>
      <c r="I35" s="147"/>
      <c r="J35" s="147">
        <f t="shared" si="0"/>
        <v>45.889999999999986</v>
      </c>
      <c r="K35" s="147">
        <f t="shared" si="1"/>
        <v>-2.0799999999999841</v>
      </c>
      <c r="L35" s="147"/>
      <c r="M35" s="61">
        <f t="shared" si="2"/>
        <v>0.1438062110244116</v>
      </c>
      <c r="N35" s="61">
        <f t="shared" si="3"/>
        <v>-5.6986301369862579E-3</v>
      </c>
      <c r="Q35" s="197"/>
      <c r="R35" s="61"/>
    </row>
    <row r="36" spans="1:18" ht="15" customHeight="1">
      <c r="A36" s="46">
        <f t="shared" si="4"/>
        <v>26</v>
      </c>
      <c r="B36" s="167">
        <v>250</v>
      </c>
      <c r="D36" s="197">
        <f>'Res Billing Data'!B32</f>
        <v>1.9055734981345287E-3</v>
      </c>
      <c r="F36" s="147">
        <f>ROUND((($B36*'Typical Res Bill_RY#1 '!$D$36+'Typical Res Bill_RY#1 '!$D$13+'Typical Res Bill_RY#1 '!$D$15)),2)</f>
        <v>332.65</v>
      </c>
      <c r="G36" s="147">
        <f>ROUND((($B36*'Typical Res Bill_RY#1 '!$S$36+'Typical Res Bill_RY#1 '!$S$13+'Typical Res Bill_RY#1 '!$S$15)),2)</f>
        <v>380.36</v>
      </c>
      <c r="H36" s="147">
        <f>ROUND((($B36*'Typical Res Bill_RY#2'!$G$36+'Typical Res Bill_RY#2'!$G$13+'Typical Res Bill_RY#2'!$G$15)),2)</f>
        <v>378.07</v>
      </c>
      <c r="I36" s="147"/>
      <c r="J36" s="147">
        <f t="shared" si="0"/>
        <v>47.710000000000036</v>
      </c>
      <c r="K36" s="147">
        <f t="shared" si="1"/>
        <v>-2.2900000000000205</v>
      </c>
      <c r="L36" s="147"/>
      <c r="M36" s="61">
        <f t="shared" si="2"/>
        <v>0.14342401923944098</v>
      </c>
      <c r="N36" s="61">
        <f t="shared" si="3"/>
        <v>-6.0206120517405102E-3</v>
      </c>
      <c r="Q36" s="197"/>
      <c r="R36" s="61"/>
    </row>
    <row r="37" spans="1:18" ht="15" customHeight="1">
      <c r="A37" s="46">
        <f t="shared" si="4"/>
        <v>27</v>
      </c>
      <c r="B37" s="167" t="s">
        <v>204</v>
      </c>
      <c r="D37" s="197">
        <f>'Res Billing Data'!B33</f>
        <v>9.7403480917155078E-3</v>
      </c>
      <c r="F37" s="147"/>
      <c r="G37" s="147"/>
      <c r="H37" s="147"/>
      <c r="I37" s="147"/>
      <c r="J37" s="147"/>
      <c r="K37" s="147"/>
      <c r="L37" s="147"/>
      <c r="M37" s="147"/>
      <c r="N37" s="147"/>
      <c r="Q37" s="197"/>
      <c r="R37" s="61"/>
    </row>
    <row r="38" spans="1:18" ht="15" customHeight="1"/>
    <row r="39" spans="1:18" ht="15" customHeight="1">
      <c r="B39" s="168" t="s">
        <v>202</v>
      </c>
    </row>
    <row r="40" spans="1:18" ht="15" customHeight="1">
      <c r="B40" s="168" t="s">
        <v>304</v>
      </c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</row>
    <row r="41" spans="1:18" ht="15" customHeight="1">
      <c r="B41" s="168" t="s">
        <v>303</v>
      </c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</row>
    <row r="42" spans="1:18" ht="15" customHeight="1"/>
    <row r="43" spans="1:18" ht="15" customHeight="1"/>
    <row r="44" spans="1:18" ht="15" customHeight="1"/>
    <row r="45" spans="1:18" ht="15" customHeight="1"/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rintOptions horizontalCentered="1"/>
  <pageMargins left="0.7" right="0.7" top="0.75" bottom="0.71" header="0.3" footer="0.3"/>
  <pageSetup scale="84" orientation="landscape" blackAndWhite="1" r:id="rId1"/>
  <headerFooter alignWithMargins="0">
    <oddFooter>&amp;R&amp;A
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"/>
  <sheetViews>
    <sheetView workbookViewId="0">
      <selection activeCell="U27" sqref="U27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46"/>
  <sheetViews>
    <sheetView zoomScale="90" zoomScaleNormal="90" workbookViewId="0">
      <selection activeCell="V23" sqref="V23"/>
    </sheetView>
  </sheetViews>
  <sheetFormatPr defaultColWidth="9.140625" defaultRowHeight="15"/>
  <cols>
    <col min="1" max="1" width="4.7109375" style="41" customWidth="1"/>
    <col min="2" max="2" width="2.42578125" style="41" customWidth="1"/>
    <col min="3" max="3" width="33.5703125" style="41" customWidth="1"/>
    <col min="4" max="5" width="11.7109375" style="41" customWidth="1"/>
    <col min="6" max="6" width="2.5703125" style="41" customWidth="1"/>
    <col min="7" max="8" width="11.7109375" style="41" customWidth="1"/>
    <col min="9" max="9" width="2.5703125" style="41" customWidth="1"/>
    <col min="10" max="11" width="11.7109375" style="41" customWidth="1"/>
    <col min="12" max="12" width="2.5703125" style="41" customWidth="1"/>
    <col min="13" max="14" width="11.7109375" style="41" customWidth="1"/>
    <col min="15" max="15" width="2.5703125" style="41" customWidth="1"/>
    <col min="16" max="17" width="11.7109375" style="41" customWidth="1"/>
    <col min="18" max="18" width="2.5703125" style="41" customWidth="1"/>
    <col min="19" max="20" width="11.7109375" style="41" customWidth="1"/>
    <col min="21" max="16384" width="9.140625" style="41"/>
  </cols>
  <sheetData>
    <row r="1" spans="1:20">
      <c r="A1" s="40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>
      <c r="B2" s="40" t="str">
        <f>'Table of Contents'!A2</f>
        <v>2024 Gas General Rate Case Filing (Dockets UE-240004 &amp; UG-240005)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>
      <c r="B3" s="40" t="s">
        <v>260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>
      <c r="B4" s="143" t="s">
        <v>374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0">
      <c r="I5" s="19"/>
    </row>
    <row r="6" spans="1:20">
      <c r="A6" s="46" t="s">
        <v>391</v>
      </c>
      <c r="D6" s="125" t="s">
        <v>23</v>
      </c>
      <c r="E6" s="125"/>
      <c r="F6" s="19"/>
      <c r="G6" s="125" t="s">
        <v>184</v>
      </c>
      <c r="H6" s="125"/>
      <c r="I6" s="19"/>
      <c r="J6" s="125" t="s">
        <v>348</v>
      </c>
      <c r="K6" s="125"/>
      <c r="M6" s="125" t="s">
        <v>195</v>
      </c>
      <c r="N6" s="125"/>
      <c r="P6" s="125" t="s">
        <v>196</v>
      </c>
      <c r="Q6" s="125"/>
      <c r="S6" s="125" t="s">
        <v>175</v>
      </c>
      <c r="T6" s="125"/>
    </row>
    <row r="7" spans="1:20" ht="17.25">
      <c r="A7" s="206" t="s">
        <v>392</v>
      </c>
      <c r="D7" s="65" t="s">
        <v>159</v>
      </c>
      <c r="E7" s="65" t="s">
        <v>160</v>
      </c>
      <c r="F7" s="46"/>
      <c r="G7" s="65" t="s">
        <v>22</v>
      </c>
      <c r="H7" s="65" t="s">
        <v>160</v>
      </c>
      <c r="I7" s="19"/>
      <c r="J7" s="65" t="s">
        <v>22</v>
      </c>
      <c r="K7" s="65" t="s">
        <v>160</v>
      </c>
      <c r="L7" s="46"/>
      <c r="M7" s="65" t="s">
        <v>22</v>
      </c>
      <c r="N7" s="65" t="s">
        <v>160</v>
      </c>
      <c r="O7" s="46"/>
      <c r="P7" s="65" t="s">
        <v>22</v>
      </c>
      <c r="Q7" s="65" t="s">
        <v>160</v>
      </c>
      <c r="S7" s="65" t="s">
        <v>22</v>
      </c>
      <c r="T7" s="65" t="s">
        <v>160</v>
      </c>
    </row>
    <row r="8" spans="1:20">
      <c r="A8" s="46"/>
      <c r="C8" s="46" t="s">
        <v>25</v>
      </c>
      <c r="D8" s="46" t="s">
        <v>26</v>
      </c>
      <c r="E8" s="46" t="s">
        <v>27</v>
      </c>
      <c r="F8" s="46"/>
      <c r="G8" s="46" t="s">
        <v>28</v>
      </c>
      <c r="H8" s="46" t="s">
        <v>197</v>
      </c>
      <c r="I8" s="46"/>
      <c r="J8" s="46" t="s">
        <v>125</v>
      </c>
      <c r="K8" s="46" t="s">
        <v>126</v>
      </c>
      <c r="L8" s="46"/>
      <c r="M8" s="46" t="s">
        <v>71</v>
      </c>
      <c r="N8" s="46" t="s">
        <v>122</v>
      </c>
      <c r="O8" s="46"/>
      <c r="P8" s="46" t="s">
        <v>29</v>
      </c>
      <c r="Q8" s="46" t="s">
        <v>44</v>
      </c>
      <c r="R8" s="46"/>
      <c r="S8" s="46" t="s">
        <v>72</v>
      </c>
      <c r="T8" s="46" t="s">
        <v>123</v>
      </c>
    </row>
    <row r="9" spans="1:20">
      <c r="A9" s="46">
        <v>1</v>
      </c>
      <c r="B9" s="41" t="s">
        <v>161</v>
      </c>
      <c r="D9" s="126">
        <v>64</v>
      </c>
      <c r="E9" s="127"/>
      <c r="F9" s="126"/>
      <c r="G9" s="126">
        <v>64</v>
      </c>
      <c r="H9" s="127"/>
      <c r="I9" s="19"/>
      <c r="J9" s="126">
        <v>64</v>
      </c>
      <c r="K9" s="127"/>
      <c r="L9" s="127"/>
      <c r="M9" s="126">
        <v>64</v>
      </c>
      <c r="N9" s="127"/>
      <c r="O9" s="127"/>
      <c r="P9" s="126">
        <v>64</v>
      </c>
      <c r="Q9" s="127"/>
      <c r="S9" s="126">
        <v>64</v>
      </c>
      <c r="T9" s="127"/>
    </row>
    <row r="10" spans="1:20">
      <c r="A10" s="46">
        <f>A9+1</f>
        <v>2</v>
      </c>
      <c r="D10" s="126"/>
      <c r="E10" s="127"/>
      <c r="F10" s="126"/>
      <c r="G10" s="126"/>
      <c r="H10" s="127"/>
      <c r="I10" s="19"/>
      <c r="J10" s="126"/>
      <c r="K10" s="127"/>
      <c r="L10" s="127"/>
      <c r="M10" s="126"/>
      <c r="N10" s="127"/>
      <c r="O10" s="127"/>
      <c r="P10" s="126"/>
      <c r="Q10" s="127"/>
      <c r="S10" s="126"/>
      <c r="T10" s="127"/>
    </row>
    <row r="11" spans="1:20">
      <c r="A11" s="46">
        <f t="shared" ref="A11:A40" si="0">A10+1</f>
        <v>3</v>
      </c>
      <c r="B11" s="41" t="s">
        <v>162</v>
      </c>
      <c r="D11" s="126"/>
      <c r="E11" s="127"/>
      <c r="F11" s="126"/>
      <c r="G11" s="126"/>
      <c r="H11" s="127"/>
      <c r="I11" s="19"/>
      <c r="J11" s="126"/>
      <c r="K11" s="127"/>
      <c r="L11" s="127"/>
      <c r="M11" s="126"/>
      <c r="N11" s="127"/>
      <c r="O11" s="127"/>
      <c r="P11" s="126"/>
      <c r="Q11" s="127"/>
      <c r="S11" s="126"/>
      <c r="T11" s="127"/>
    </row>
    <row r="12" spans="1:20">
      <c r="A12" s="46">
        <f t="shared" si="0"/>
        <v>4</v>
      </c>
      <c r="C12" s="41" t="s">
        <v>194</v>
      </c>
      <c r="D12" s="71">
        <v>12.5</v>
      </c>
      <c r="E12" s="127">
        <f>D12</f>
        <v>12.5</v>
      </c>
      <c r="F12" s="128"/>
      <c r="G12" s="169">
        <v>14.86</v>
      </c>
      <c r="H12" s="127">
        <f>G12</f>
        <v>14.86</v>
      </c>
      <c r="J12" s="129">
        <f>$D$12</f>
        <v>12.5</v>
      </c>
      <c r="K12" s="127">
        <f>J12</f>
        <v>12.5</v>
      </c>
      <c r="L12" s="127"/>
      <c r="M12" s="129">
        <f>$D$12</f>
        <v>12.5</v>
      </c>
      <c r="N12" s="127">
        <f>M12</f>
        <v>12.5</v>
      </c>
      <c r="O12" s="127"/>
      <c r="P12" s="129">
        <f>$D$12</f>
        <v>12.5</v>
      </c>
      <c r="Q12" s="127">
        <f>P12</f>
        <v>12.5</v>
      </c>
      <c r="S12" s="169">
        <v>14.86</v>
      </c>
      <c r="T12" s="127">
        <f>S12</f>
        <v>14.86</v>
      </c>
    </row>
    <row r="13" spans="1:20">
      <c r="A13" s="46">
        <f t="shared" si="0"/>
        <v>5</v>
      </c>
      <c r="C13" s="41" t="s">
        <v>14</v>
      </c>
      <c r="D13" s="130">
        <f>SUM(D12:D12)</f>
        <v>12.5</v>
      </c>
      <c r="E13" s="130">
        <f>SUM(E12:E12)</f>
        <v>12.5</v>
      </c>
      <c r="F13" s="128"/>
      <c r="G13" s="130">
        <f>SUM(G12:G12)</f>
        <v>14.86</v>
      </c>
      <c r="H13" s="130">
        <f>SUM(H12:H12)</f>
        <v>14.86</v>
      </c>
      <c r="J13" s="130">
        <f>SUM(J12:J12)</f>
        <v>12.5</v>
      </c>
      <c r="K13" s="130">
        <f>SUM(K12:K12)</f>
        <v>12.5</v>
      </c>
      <c r="L13" s="129"/>
      <c r="M13" s="130">
        <f>SUM(M12:M12)</f>
        <v>12.5</v>
      </c>
      <c r="N13" s="130">
        <f>SUM(N12:N12)</f>
        <v>12.5</v>
      </c>
      <c r="O13" s="129"/>
      <c r="P13" s="130">
        <f>SUM(P12:P12)</f>
        <v>12.5</v>
      </c>
      <c r="Q13" s="130">
        <f>SUM(Q12:Q12)</f>
        <v>12.5</v>
      </c>
      <c r="S13" s="130">
        <f>SUM(S12:S12)</f>
        <v>14.86</v>
      </c>
      <c r="T13" s="130">
        <f>SUM(T12:T12)</f>
        <v>14.86</v>
      </c>
    </row>
    <row r="14" spans="1:20">
      <c r="A14" s="46">
        <f t="shared" si="0"/>
        <v>6</v>
      </c>
      <c r="D14" s="128"/>
      <c r="E14" s="127"/>
      <c r="F14" s="128"/>
      <c r="G14" s="129"/>
      <c r="H14" s="127"/>
      <c r="J14" s="129"/>
      <c r="K14" s="127"/>
      <c r="L14" s="127"/>
      <c r="M14" s="129"/>
      <c r="N14" s="127"/>
      <c r="O14" s="127"/>
      <c r="P14" s="129"/>
      <c r="Q14" s="127"/>
      <c r="S14" s="129"/>
      <c r="T14" s="127"/>
    </row>
    <row r="15" spans="1:20">
      <c r="A15" s="46">
        <f t="shared" si="0"/>
        <v>7</v>
      </c>
      <c r="C15" s="41" t="s">
        <v>347</v>
      </c>
      <c r="D15" s="169">
        <f>'Sch. 111 Credit'!$F$10</f>
        <v>-18.47</v>
      </c>
      <c r="E15" s="127">
        <f>D15</f>
        <v>-18.47</v>
      </c>
      <c r="F15" s="128"/>
      <c r="G15" s="129">
        <f>$D$15</f>
        <v>-18.47</v>
      </c>
      <c r="H15" s="127">
        <f>G15</f>
        <v>-18.47</v>
      </c>
      <c r="J15" s="129">
        <f>$D$15</f>
        <v>-18.47</v>
      </c>
      <c r="K15" s="127">
        <f>J15</f>
        <v>-18.47</v>
      </c>
      <c r="L15" s="127"/>
      <c r="M15" s="129">
        <f>$D$15</f>
        <v>-18.47</v>
      </c>
      <c r="N15" s="127">
        <f>M15</f>
        <v>-18.47</v>
      </c>
      <c r="O15" s="127"/>
      <c r="P15" s="129">
        <f>$D$15</f>
        <v>-18.47</v>
      </c>
      <c r="Q15" s="127">
        <f>P15</f>
        <v>-18.47</v>
      </c>
      <c r="S15" s="129">
        <f>$D$15</f>
        <v>-18.47</v>
      </c>
      <c r="T15" s="127">
        <f>S15</f>
        <v>-18.47</v>
      </c>
    </row>
    <row r="16" spans="1:20">
      <c r="A16" s="46">
        <f t="shared" si="0"/>
        <v>8</v>
      </c>
      <c r="D16" s="128"/>
      <c r="E16" s="127"/>
      <c r="F16" s="128"/>
      <c r="G16" s="129"/>
      <c r="H16" s="127"/>
      <c r="J16" s="129"/>
      <c r="K16" s="127"/>
      <c r="L16" s="127"/>
      <c r="M16" s="129"/>
      <c r="N16" s="127"/>
      <c r="O16" s="127"/>
      <c r="P16" s="129"/>
      <c r="Q16" s="127"/>
      <c r="S16" s="129"/>
      <c r="T16" s="127"/>
    </row>
    <row r="17" spans="1:20">
      <c r="A17" s="46">
        <f t="shared" si="0"/>
        <v>9</v>
      </c>
      <c r="B17" s="41" t="s">
        <v>163</v>
      </c>
      <c r="E17" s="127"/>
      <c r="H17" s="127"/>
      <c r="K17" s="127"/>
      <c r="L17" s="127"/>
      <c r="N17" s="127"/>
      <c r="O17" s="127"/>
      <c r="Q17" s="127"/>
      <c r="T17" s="127"/>
    </row>
    <row r="18" spans="1:20">
      <c r="A18" s="46">
        <f t="shared" si="0"/>
        <v>10</v>
      </c>
      <c r="C18" s="41" t="s">
        <v>185</v>
      </c>
      <c r="D18" s="91">
        <v>0.45612999999999998</v>
      </c>
      <c r="E18" s="127"/>
      <c r="F18" s="131"/>
      <c r="G18" s="86">
        <v>0.69932000000000005</v>
      </c>
      <c r="H18" s="127"/>
      <c r="J18" s="106">
        <f>$D$18</f>
        <v>0.45612999999999998</v>
      </c>
      <c r="K18" s="127"/>
      <c r="L18" s="127"/>
      <c r="M18" s="106">
        <f>$D$18</f>
        <v>0.45612999999999998</v>
      </c>
      <c r="N18" s="127"/>
      <c r="O18" s="127"/>
      <c r="P18" s="106">
        <f>$D$18</f>
        <v>0.45612999999999998</v>
      </c>
      <c r="Q18" s="127"/>
      <c r="S18" s="86">
        <v>0.69932000000000005</v>
      </c>
      <c r="T18" s="127"/>
    </row>
    <row r="19" spans="1:20">
      <c r="A19" s="46">
        <f t="shared" si="0"/>
        <v>11</v>
      </c>
      <c r="C19" s="41" t="s">
        <v>191</v>
      </c>
      <c r="D19" s="86">
        <f>'Sch. 120'!$D$9</f>
        <v>2.8750000000000001E-2</v>
      </c>
      <c r="E19" s="127"/>
      <c r="F19" s="131"/>
      <c r="G19" s="59">
        <f>$D$19</f>
        <v>2.8750000000000001E-2</v>
      </c>
      <c r="H19" s="127"/>
      <c r="J19" s="59">
        <f>$D$19</f>
        <v>2.8750000000000001E-2</v>
      </c>
      <c r="K19" s="127"/>
      <c r="L19" s="127"/>
      <c r="M19" s="59">
        <f>$D$19</f>
        <v>2.8750000000000001E-2</v>
      </c>
      <c r="N19" s="127"/>
      <c r="O19" s="127"/>
      <c r="P19" s="59">
        <f>$D$19</f>
        <v>2.8750000000000001E-2</v>
      </c>
      <c r="Q19" s="127"/>
      <c r="S19" s="59">
        <f>$D$19</f>
        <v>2.8750000000000001E-2</v>
      </c>
      <c r="T19" s="127"/>
    </row>
    <row r="20" spans="1:20">
      <c r="A20" s="46">
        <f t="shared" si="0"/>
        <v>12</v>
      </c>
      <c r="C20" s="41" t="s">
        <v>186</v>
      </c>
      <c r="D20" s="86">
        <f>'Sch. 129'!$E$9</f>
        <v>5.4999999999999997E-3</v>
      </c>
      <c r="E20" s="127"/>
      <c r="F20" s="131"/>
      <c r="G20" s="106">
        <f>$D$20</f>
        <v>5.4999999999999997E-3</v>
      </c>
      <c r="H20" s="127"/>
      <c r="J20" s="106">
        <f>$D$20</f>
        <v>5.4999999999999997E-3</v>
      </c>
      <c r="K20" s="127"/>
      <c r="L20" s="127"/>
      <c r="M20" s="106">
        <f>$D$20</f>
        <v>5.4999999999999997E-3</v>
      </c>
      <c r="N20" s="127"/>
      <c r="O20" s="127"/>
      <c r="P20" s="106">
        <f>$D$20</f>
        <v>5.4999999999999997E-3</v>
      </c>
      <c r="Q20" s="127"/>
      <c r="S20" s="106">
        <f>$D$20</f>
        <v>5.4999999999999997E-3</v>
      </c>
      <c r="T20" s="127"/>
    </row>
    <row r="21" spans="1:20">
      <c r="A21" s="46">
        <f t="shared" si="0"/>
        <v>13</v>
      </c>
      <c r="C21" s="41" t="s">
        <v>344</v>
      </c>
      <c r="D21" s="86">
        <f>'Sch. 129D'!$E$9</f>
        <v>1.5959999999999998E-2</v>
      </c>
      <c r="E21" s="127"/>
      <c r="F21" s="131"/>
      <c r="G21" s="106">
        <f>$D$21</f>
        <v>1.5959999999999998E-2</v>
      </c>
      <c r="H21" s="127"/>
      <c r="J21" s="106">
        <f>$D$21</f>
        <v>1.5959999999999998E-2</v>
      </c>
      <c r="K21" s="127"/>
      <c r="L21" s="127"/>
      <c r="M21" s="106">
        <f>$D$21</f>
        <v>1.5959999999999998E-2</v>
      </c>
      <c r="N21" s="127"/>
      <c r="O21" s="127"/>
      <c r="P21" s="106">
        <f>$D$21</f>
        <v>1.5959999999999998E-2</v>
      </c>
      <c r="Q21" s="127"/>
      <c r="S21" s="106">
        <f>$D$21</f>
        <v>1.5959999999999998E-2</v>
      </c>
      <c r="T21" s="127"/>
    </row>
    <row r="22" spans="1:20">
      <c r="A22" s="46">
        <f t="shared" si="0"/>
        <v>14</v>
      </c>
      <c r="C22" s="41" t="s">
        <v>187</v>
      </c>
      <c r="D22" s="86">
        <f>'Sch. 140'!$D$9</f>
        <v>2.2849999999999999E-2</v>
      </c>
      <c r="E22" s="127"/>
      <c r="F22" s="131"/>
      <c r="G22" s="59">
        <f>$D$22</f>
        <v>2.2849999999999999E-2</v>
      </c>
      <c r="H22" s="127"/>
      <c r="J22" s="59">
        <f>$D$22</f>
        <v>2.2849999999999999E-2</v>
      </c>
      <c r="K22" s="127"/>
      <c r="L22" s="127"/>
      <c r="M22" s="59">
        <f>$D$22</f>
        <v>2.2849999999999999E-2</v>
      </c>
      <c r="N22" s="127"/>
      <c r="O22" s="127"/>
      <c r="P22" s="59">
        <f>$D$22</f>
        <v>2.2849999999999999E-2</v>
      </c>
      <c r="Q22" s="127"/>
      <c r="S22" s="59">
        <f>$D$22</f>
        <v>2.2849999999999999E-2</v>
      </c>
      <c r="T22" s="127"/>
    </row>
    <row r="23" spans="1:20">
      <c r="A23" s="46">
        <f t="shared" si="0"/>
        <v>15</v>
      </c>
      <c r="C23" s="41" t="s">
        <v>300</v>
      </c>
      <c r="D23" s="86">
        <f>'Sch. 141D'!$D$9</f>
        <v>3.15E-3</v>
      </c>
      <c r="E23" s="181"/>
      <c r="F23" s="182"/>
      <c r="G23" s="59">
        <f>$D$23</f>
        <v>3.15E-3</v>
      </c>
      <c r="H23" s="181"/>
      <c r="I23" s="180"/>
      <c r="J23" s="59">
        <f>$D$23</f>
        <v>3.15E-3</v>
      </c>
      <c r="K23" s="181"/>
      <c r="L23" s="181"/>
      <c r="M23" s="59">
        <f>$D$23</f>
        <v>3.15E-3</v>
      </c>
      <c r="N23" s="181"/>
      <c r="O23" s="181"/>
      <c r="P23" s="59">
        <f>$D$23</f>
        <v>3.15E-3</v>
      </c>
      <c r="Q23" s="181"/>
      <c r="R23" s="180"/>
      <c r="S23" s="59">
        <f>$D$23</f>
        <v>3.15E-3</v>
      </c>
      <c r="T23" s="127"/>
    </row>
    <row r="24" spans="1:20">
      <c r="A24" s="46">
        <f t="shared" si="0"/>
        <v>16</v>
      </c>
      <c r="C24" s="41" t="s">
        <v>379</v>
      </c>
      <c r="D24" s="86">
        <f>'Sch. 141DCARB'!$D$9</f>
        <v>0</v>
      </c>
      <c r="E24" s="181"/>
      <c r="F24" s="182"/>
      <c r="G24" s="59">
        <f>$D$24</f>
        <v>0</v>
      </c>
      <c r="H24" s="181"/>
      <c r="I24" s="180"/>
      <c r="J24" s="86">
        <f>'Sch. 141DCARB'!$E$9</f>
        <v>6.0830741360552963E-3</v>
      </c>
      <c r="K24" s="181"/>
      <c r="L24" s="181"/>
      <c r="M24" s="59">
        <f>$D$24</f>
        <v>0</v>
      </c>
      <c r="N24" s="181"/>
      <c r="O24" s="181"/>
      <c r="P24" s="59">
        <f>$D$24</f>
        <v>0</v>
      </c>
      <c r="Q24" s="181"/>
      <c r="R24" s="180"/>
      <c r="S24" s="86">
        <f>'Sch. 141DCARB'!$E$9</f>
        <v>6.0830741360552963E-3</v>
      </c>
      <c r="T24" s="127"/>
    </row>
    <row r="25" spans="1:20">
      <c r="A25" s="46">
        <f t="shared" si="0"/>
        <v>17</v>
      </c>
      <c r="C25" s="41" t="s">
        <v>188</v>
      </c>
      <c r="D25" s="86">
        <f>'Sch. 141N'!$D$9</f>
        <v>-4.7999999999999996E-3</v>
      </c>
      <c r="E25" s="127"/>
      <c r="F25" s="131"/>
      <c r="G25" s="106">
        <f>$D$25</f>
        <v>-4.7999999999999996E-3</v>
      </c>
      <c r="H25" s="127"/>
      <c r="J25" s="106">
        <f>$D$25</f>
        <v>-4.7999999999999996E-3</v>
      </c>
      <c r="K25" s="127"/>
      <c r="L25" s="127"/>
      <c r="M25" s="86">
        <f>'Sch. 141N'!$E$9</f>
        <v>0</v>
      </c>
      <c r="N25" s="127"/>
      <c r="O25" s="127"/>
      <c r="P25" s="106">
        <f>$D$25</f>
        <v>-4.7999999999999996E-3</v>
      </c>
      <c r="Q25" s="127"/>
      <c r="S25" s="86">
        <f>'Sch. 141N'!$E$9</f>
        <v>0</v>
      </c>
      <c r="T25" s="127"/>
    </row>
    <row r="26" spans="1:20">
      <c r="A26" s="46">
        <f t="shared" si="0"/>
        <v>18</v>
      </c>
      <c r="C26" s="41" t="s">
        <v>189</v>
      </c>
      <c r="D26" s="86">
        <f>'Sch. 141R'!$D$9</f>
        <v>7.2679999999999995E-2</v>
      </c>
      <c r="E26" s="127"/>
      <c r="F26" s="131"/>
      <c r="G26" s="106">
        <f>$D$26</f>
        <v>7.2679999999999995E-2</v>
      </c>
      <c r="H26" s="127"/>
      <c r="J26" s="106">
        <f>$D$26</f>
        <v>7.2679999999999995E-2</v>
      </c>
      <c r="K26" s="127"/>
      <c r="L26" s="127"/>
      <c r="M26" s="106">
        <f>$D$26</f>
        <v>7.2679999999999995E-2</v>
      </c>
      <c r="N26" s="127"/>
      <c r="O26" s="127"/>
      <c r="P26" s="86">
        <f>'Sch. 141R'!$E$9</f>
        <v>0</v>
      </c>
      <c r="Q26" s="127"/>
      <c r="S26" s="86">
        <f>'Sch. 141R'!$E$9</f>
        <v>0</v>
      </c>
      <c r="T26" s="127"/>
    </row>
    <row r="27" spans="1:20">
      <c r="A27" s="46">
        <f t="shared" si="0"/>
        <v>19</v>
      </c>
      <c r="C27" s="41" t="s">
        <v>345</v>
      </c>
      <c r="D27" s="86">
        <f>'Sch. 141R (Supp.)'!$D$9</f>
        <v>-1.5E-3</v>
      </c>
      <c r="E27" s="127"/>
      <c r="F27" s="131"/>
      <c r="G27" s="59">
        <f>$D$27</f>
        <v>-1.5E-3</v>
      </c>
      <c r="H27" s="127"/>
      <c r="J27" s="59">
        <f>$D$27</f>
        <v>-1.5E-3</v>
      </c>
      <c r="K27" s="127"/>
      <c r="L27" s="127"/>
      <c r="M27" s="59">
        <f>$D$27</f>
        <v>-1.5E-3</v>
      </c>
      <c r="N27" s="127"/>
      <c r="O27" s="127"/>
      <c r="P27" s="59">
        <f>$D$27</f>
        <v>-1.5E-3</v>
      </c>
      <c r="Q27" s="127"/>
      <c r="S27" s="59">
        <f>$D$27</f>
        <v>-1.5E-3</v>
      </c>
      <c r="T27" s="127"/>
    </row>
    <row r="28" spans="1:20">
      <c r="A28" s="46">
        <f t="shared" si="0"/>
        <v>20</v>
      </c>
      <c r="C28" s="41" t="s">
        <v>190</v>
      </c>
      <c r="D28" s="86">
        <f>'Sch. 142'!$E$10</f>
        <v>4.64E-3</v>
      </c>
      <c r="E28" s="127"/>
      <c r="F28" s="131"/>
      <c r="G28" s="59">
        <f>$D$28</f>
        <v>4.64E-3</v>
      </c>
      <c r="H28" s="127"/>
      <c r="J28" s="59">
        <f>$D$28</f>
        <v>4.64E-3</v>
      </c>
      <c r="K28" s="127"/>
      <c r="L28" s="127"/>
      <c r="M28" s="59">
        <f>$D$28</f>
        <v>4.64E-3</v>
      </c>
      <c r="N28" s="127"/>
      <c r="O28" s="127"/>
      <c r="P28" s="59">
        <f>$D$28</f>
        <v>4.64E-3</v>
      </c>
      <c r="Q28" s="127"/>
      <c r="S28" s="59">
        <f>$D$28</f>
        <v>4.64E-3</v>
      </c>
      <c r="T28" s="127"/>
    </row>
    <row r="29" spans="1:20">
      <c r="A29" s="46">
        <f t="shared" si="0"/>
        <v>21</v>
      </c>
      <c r="C29" s="41" t="s">
        <v>14</v>
      </c>
      <c r="D29" s="132">
        <f>SUM(D18:D28)</f>
        <v>0.60336000000000001</v>
      </c>
      <c r="E29" s="127">
        <f>ROUND(D29*D$9,2)</f>
        <v>38.619999999999997</v>
      </c>
      <c r="F29" s="131"/>
      <c r="G29" s="132">
        <f>SUM(G18:G28)</f>
        <v>0.84655000000000002</v>
      </c>
      <c r="H29" s="127">
        <f>ROUND(G29*G$9,2)</f>
        <v>54.18</v>
      </c>
      <c r="J29" s="132">
        <f>SUM(J18:J28)</f>
        <v>0.60944307413605525</v>
      </c>
      <c r="K29" s="127">
        <f>ROUND(J29*J$9,2)</f>
        <v>39</v>
      </c>
      <c r="L29" s="127"/>
      <c r="M29" s="132">
        <f>SUM(M18:M28)</f>
        <v>0.60816000000000003</v>
      </c>
      <c r="N29" s="127">
        <f>ROUND(M29*M$9,2)</f>
        <v>38.92</v>
      </c>
      <c r="O29" s="127"/>
      <c r="P29" s="132">
        <f>SUM(P18:P28)</f>
        <v>0.53068000000000004</v>
      </c>
      <c r="Q29" s="127">
        <f>ROUND(P29*P$9,2)</f>
        <v>33.96</v>
      </c>
      <c r="S29" s="132">
        <f>SUM(S18:S28)</f>
        <v>0.78475307413605533</v>
      </c>
      <c r="T29" s="127">
        <f>ROUND(S29*S$9,2)</f>
        <v>50.22</v>
      </c>
    </row>
    <row r="30" spans="1:20">
      <c r="A30" s="46">
        <f t="shared" si="0"/>
        <v>22</v>
      </c>
      <c r="T30" s="127"/>
    </row>
    <row r="31" spans="1:20">
      <c r="A31" s="46">
        <f t="shared" si="0"/>
        <v>23</v>
      </c>
      <c r="C31" s="41" t="s">
        <v>346</v>
      </c>
      <c r="D31" s="86">
        <f>'Sch. 111 Charge'!$F$10</f>
        <v>0.39673999999999998</v>
      </c>
      <c r="E31" s="127">
        <f>ROUND(D31*D$9,2)</f>
        <v>25.39</v>
      </c>
      <c r="F31" s="131"/>
      <c r="G31" s="59">
        <f>$D$31</f>
        <v>0.39673999999999998</v>
      </c>
      <c r="H31" s="127">
        <f>ROUND(G31*G$9,2)</f>
        <v>25.39</v>
      </c>
      <c r="J31" s="59">
        <f>$D$31</f>
        <v>0.39673999999999998</v>
      </c>
      <c r="K31" s="127">
        <f>ROUND(J31*J$9,2)</f>
        <v>25.39</v>
      </c>
      <c r="L31" s="127"/>
      <c r="M31" s="59">
        <f>$D$31</f>
        <v>0.39673999999999998</v>
      </c>
      <c r="N31" s="127">
        <f>ROUND(M31*M$9,2)</f>
        <v>25.39</v>
      </c>
      <c r="O31" s="127"/>
      <c r="P31" s="59">
        <f>$D$31</f>
        <v>0.39673999999999998</v>
      </c>
      <c r="Q31" s="127">
        <f>ROUND(P31*P$9,2)</f>
        <v>25.39</v>
      </c>
      <c r="S31" s="59">
        <f>$D$31</f>
        <v>0.39673999999999998</v>
      </c>
      <c r="T31" s="127">
        <f>ROUND(S31*S$9,2)</f>
        <v>25.39</v>
      </c>
    </row>
    <row r="32" spans="1:20">
      <c r="A32" s="46">
        <f t="shared" si="0"/>
        <v>24</v>
      </c>
      <c r="D32" s="106"/>
      <c r="E32" s="127"/>
      <c r="F32" s="131"/>
      <c r="G32" s="106"/>
      <c r="H32" s="127"/>
      <c r="J32" s="106"/>
      <c r="K32" s="127"/>
      <c r="L32" s="127"/>
      <c r="M32" s="106"/>
      <c r="N32" s="127"/>
      <c r="O32" s="127"/>
      <c r="P32" s="106"/>
      <c r="Q32" s="127"/>
      <c r="S32" s="106"/>
      <c r="T32" s="127"/>
    </row>
    <row r="33" spans="1:20">
      <c r="A33" s="46">
        <f t="shared" si="0"/>
        <v>25</v>
      </c>
      <c r="C33" s="41" t="s">
        <v>192</v>
      </c>
      <c r="D33" s="86">
        <f>'Sch. 101'!$E$10</f>
        <v>0.55610999999999999</v>
      </c>
      <c r="E33" s="127"/>
      <c r="F33" s="131"/>
      <c r="G33" s="59">
        <f>$D$33</f>
        <v>0.55610999999999999</v>
      </c>
      <c r="H33" s="127"/>
      <c r="J33" s="106">
        <f>$D$33</f>
        <v>0.55610999999999999</v>
      </c>
      <c r="K33" s="127"/>
      <c r="L33" s="127"/>
      <c r="M33" s="106">
        <f>$D$33</f>
        <v>0.55610999999999999</v>
      </c>
      <c r="N33" s="127"/>
      <c r="O33" s="127"/>
      <c r="P33" s="59">
        <f>$D$33</f>
        <v>0.55610999999999999</v>
      </c>
      <c r="Q33" s="127"/>
      <c r="S33" s="59">
        <f>$D$33</f>
        <v>0.55610999999999999</v>
      </c>
      <c r="T33" s="127"/>
    </row>
    <row r="34" spans="1:20">
      <c r="A34" s="46">
        <f t="shared" si="0"/>
        <v>26</v>
      </c>
      <c r="C34" s="41" t="s">
        <v>193</v>
      </c>
      <c r="D34" s="86">
        <f>'Sch. 106'!$G$10</f>
        <v>-0.20172999999999999</v>
      </c>
      <c r="E34" s="127"/>
      <c r="F34" s="131"/>
      <c r="G34" s="59">
        <f>$D$34</f>
        <v>-0.20172999999999999</v>
      </c>
      <c r="H34" s="127"/>
      <c r="J34" s="59">
        <f>$D$34</f>
        <v>-0.20172999999999999</v>
      </c>
      <c r="K34" s="127"/>
      <c r="L34" s="127"/>
      <c r="M34" s="59">
        <f>$D$34</f>
        <v>-0.20172999999999999</v>
      </c>
      <c r="N34" s="127"/>
      <c r="O34" s="127"/>
      <c r="P34" s="59">
        <f>$D$34</f>
        <v>-0.20172999999999999</v>
      </c>
      <c r="Q34" s="127"/>
      <c r="S34" s="59">
        <f>$D$34</f>
        <v>-0.20172999999999999</v>
      </c>
      <c r="T34" s="127"/>
    </row>
    <row r="35" spans="1:20">
      <c r="A35" s="46">
        <f t="shared" si="0"/>
        <v>27</v>
      </c>
      <c r="C35" s="41" t="s">
        <v>14</v>
      </c>
      <c r="D35" s="132">
        <f>SUM(D33:D34)</f>
        <v>0.35438000000000003</v>
      </c>
      <c r="E35" s="127">
        <f>ROUND(D35*D$9,2)</f>
        <v>22.68</v>
      </c>
      <c r="F35" s="131"/>
      <c r="G35" s="132">
        <f>SUM(G33:G34)</f>
        <v>0.35438000000000003</v>
      </c>
      <c r="H35" s="127">
        <f>ROUND(G35*G$9,2)</f>
        <v>22.68</v>
      </c>
      <c r="J35" s="132">
        <f>SUM(J33:J34)</f>
        <v>0.35438000000000003</v>
      </c>
      <c r="K35" s="127">
        <f>ROUND(J35*J$9,2)</f>
        <v>22.68</v>
      </c>
      <c r="L35" s="127"/>
      <c r="M35" s="132">
        <f>SUM(M33:M34)</f>
        <v>0.35438000000000003</v>
      </c>
      <c r="N35" s="127">
        <f>ROUND(M35*M$9,2)</f>
        <v>22.68</v>
      </c>
      <c r="O35" s="127"/>
      <c r="P35" s="132">
        <f>SUM(P33:P34)</f>
        <v>0.35438000000000003</v>
      </c>
      <c r="Q35" s="127">
        <f>ROUND(P35*P$9,2)</f>
        <v>22.68</v>
      </c>
      <c r="S35" s="132">
        <f>SUM(S33:S34)</f>
        <v>0.35438000000000003</v>
      </c>
      <c r="T35" s="127">
        <f>ROUND(S35*S$9,2)</f>
        <v>22.68</v>
      </c>
    </row>
    <row r="36" spans="1:20">
      <c r="A36" s="46">
        <f t="shared" si="0"/>
        <v>28</v>
      </c>
      <c r="C36" s="41" t="s">
        <v>164</v>
      </c>
      <c r="D36" s="132">
        <f>D29+D31+D35</f>
        <v>1.3544800000000001</v>
      </c>
      <c r="E36" s="133">
        <f>SUM(E29,E31,E35)</f>
        <v>86.69</v>
      </c>
      <c r="F36" s="106"/>
      <c r="G36" s="132">
        <f>G29+G31+G35</f>
        <v>1.5976699999999999</v>
      </c>
      <c r="H36" s="133">
        <f>SUM(H29,H31,H35)</f>
        <v>102.25</v>
      </c>
      <c r="J36" s="132">
        <f>J29+J31+J35</f>
        <v>1.360563074136055</v>
      </c>
      <c r="K36" s="133">
        <f>SUM(K29,K31,K35)</f>
        <v>87.07</v>
      </c>
      <c r="L36" s="127"/>
      <c r="M36" s="132">
        <f>M29+M31+M35</f>
        <v>1.35928</v>
      </c>
      <c r="N36" s="133">
        <f>SUM(N29,N31,N35)</f>
        <v>86.990000000000009</v>
      </c>
      <c r="O36" s="127"/>
      <c r="P36" s="132">
        <f>P29+P31+P35</f>
        <v>1.2818000000000001</v>
      </c>
      <c r="Q36" s="133">
        <f>SUM(Q29,Q31,Q35)</f>
        <v>82.03</v>
      </c>
      <c r="S36" s="132">
        <f>S29+S31+S35</f>
        <v>1.5358730741360551</v>
      </c>
      <c r="T36" s="133">
        <f>SUM(T29,T31,T35)</f>
        <v>98.289999999999992</v>
      </c>
    </row>
    <row r="37" spans="1:20">
      <c r="A37" s="46">
        <f t="shared" si="0"/>
        <v>29</v>
      </c>
      <c r="E37" s="127"/>
      <c r="H37" s="127"/>
      <c r="K37" s="127"/>
      <c r="L37" s="127"/>
      <c r="N37" s="127"/>
      <c r="O37" s="127"/>
      <c r="Q37" s="127"/>
      <c r="T37" s="127"/>
    </row>
    <row r="38" spans="1:20">
      <c r="A38" s="46">
        <f t="shared" si="0"/>
        <v>30</v>
      </c>
      <c r="B38" s="41" t="s">
        <v>165</v>
      </c>
      <c r="D38" s="129"/>
      <c r="E38" s="127">
        <f>E13+E15+E36</f>
        <v>80.72</v>
      </c>
      <c r="F38" s="129"/>
      <c r="G38" s="129"/>
      <c r="H38" s="127">
        <f>H13+H15+H36</f>
        <v>98.64</v>
      </c>
      <c r="J38" s="129"/>
      <c r="K38" s="127">
        <f>K13+K15+K36</f>
        <v>81.099999999999994</v>
      </c>
      <c r="L38" s="127"/>
      <c r="M38" s="129"/>
      <c r="N38" s="127">
        <f>N13+N15+N36</f>
        <v>81.02000000000001</v>
      </c>
      <c r="O38" s="127"/>
      <c r="P38" s="129"/>
      <c r="Q38" s="127">
        <f>Q13+Q15+Q36</f>
        <v>76.06</v>
      </c>
      <c r="S38" s="129"/>
      <c r="T38" s="127">
        <f>T13+T15+T36</f>
        <v>94.679999999999993</v>
      </c>
    </row>
    <row r="39" spans="1:20">
      <c r="A39" s="46">
        <f t="shared" si="0"/>
        <v>31</v>
      </c>
      <c r="B39" s="41" t="s">
        <v>166</v>
      </c>
      <c r="D39" s="129"/>
      <c r="E39" s="127"/>
      <c r="F39" s="129"/>
      <c r="G39" s="129"/>
      <c r="H39" s="127">
        <f>H38-$E38</f>
        <v>17.920000000000002</v>
      </c>
      <c r="J39" s="129"/>
      <c r="K39" s="127">
        <f>K38-$E38</f>
        <v>0.37999999999999545</v>
      </c>
      <c r="L39" s="127"/>
      <c r="M39" s="129"/>
      <c r="N39" s="127">
        <f>N38-$E38</f>
        <v>0.30000000000001137</v>
      </c>
      <c r="O39" s="127"/>
      <c r="P39" s="129"/>
      <c r="Q39" s="127">
        <f>Q38-$E38</f>
        <v>-4.6599999999999966</v>
      </c>
      <c r="S39" s="129"/>
      <c r="T39" s="127">
        <f>T38-$E38</f>
        <v>13.959999999999994</v>
      </c>
    </row>
    <row r="40" spans="1:20">
      <c r="A40" s="46">
        <f t="shared" si="0"/>
        <v>32</v>
      </c>
      <c r="B40" s="41" t="s">
        <v>167</v>
      </c>
      <c r="D40" s="20"/>
      <c r="E40" s="20"/>
      <c r="F40" s="20"/>
      <c r="G40" s="20"/>
      <c r="H40" s="61">
        <f>H39/$E38</f>
        <v>0.22200198216055503</v>
      </c>
      <c r="J40" s="20"/>
      <c r="K40" s="61">
        <f>K39/$E38</f>
        <v>4.7076313181367126E-3</v>
      </c>
      <c r="L40" s="61"/>
      <c r="M40" s="20"/>
      <c r="N40" s="61">
        <f>N39/$E38</f>
        <v>3.7165510406344322E-3</v>
      </c>
      <c r="O40" s="61"/>
      <c r="P40" s="20"/>
      <c r="Q40" s="61">
        <f>Q39/$E38</f>
        <v>-5.7730426164519281E-2</v>
      </c>
      <c r="S40" s="20"/>
      <c r="T40" s="61">
        <f>T39/$E38</f>
        <v>0.1729435084241823</v>
      </c>
    </row>
    <row r="41" spans="1:20">
      <c r="E41" s="127"/>
    </row>
    <row r="42" spans="1:20" ht="17.25">
      <c r="B42" s="41" t="s">
        <v>349</v>
      </c>
    </row>
    <row r="46" spans="1:20" ht="14.25" customHeight="1"/>
  </sheetData>
  <printOptions horizontalCentered="1"/>
  <pageMargins left="0.45" right="0.45" top="1" bottom="1" header="0.5" footer="0.5"/>
  <pageSetup scale="66" orientation="landscape" blackAndWhite="1" r:id="rId1"/>
  <headerFooter alignWithMargins="0">
    <oddFooter>&amp;R&amp;A
 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979269-32D2-4B64-9A39-0754D37CEA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1926FF-2B56-4A93-A516-84D522403B7E}"/>
</file>

<file path=customXml/itemProps3.xml><?xml version="1.0" encoding="utf-8"?>
<ds:datastoreItem xmlns:ds="http://schemas.openxmlformats.org/officeDocument/2006/customXml" ds:itemID="{304F6667-C16D-43DD-AB4F-DE78E9C31014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BFCF9786-7FE0-473F-97CD-D00A167F47B6}"/>
</file>

<file path=customXml/itemProps5.xml><?xml version="1.0" encoding="utf-8"?>
<ds:datastoreItem xmlns:ds="http://schemas.openxmlformats.org/officeDocument/2006/customXml" ds:itemID="{67653556-E639-475C-9421-42EB203730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26</vt:i4>
      </vt:variant>
    </vt:vector>
  </HeadingPairs>
  <TitlesOfParts>
    <vt:vector size="64" baseType="lpstr">
      <vt:lpstr>Exhibit DED-17</vt:lpstr>
      <vt:lpstr>Table of Contents</vt:lpstr>
      <vt:lpstr>Overall Rate Impacts--&gt;</vt:lpstr>
      <vt:lpstr>Rate Impacts_RY#1</vt:lpstr>
      <vt:lpstr>Rate Impacts_RY#2</vt:lpstr>
      <vt:lpstr>Res. Bill Impacts--&gt;</vt:lpstr>
      <vt:lpstr>Res Bill Summary</vt:lpstr>
      <vt:lpstr>Typical Res Bill Impacts--&gt;</vt:lpstr>
      <vt:lpstr>Typical Res Bill_RY#1 </vt:lpstr>
      <vt:lpstr>Typical Res Bill_RY#2</vt:lpstr>
      <vt:lpstr>Avg Per Therm Impacts--&gt;</vt:lpstr>
      <vt:lpstr>Avg Per Therm_RY#1 </vt:lpstr>
      <vt:lpstr>Avg Per Therm_RY#2</vt:lpstr>
      <vt:lpstr>Work Papers--&gt;</vt:lpstr>
      <vt:lpstr>Revenue Calculations--&gt;</vt:lpstr>
      <vt:lpstr>Revenue by Sch_RY#1</vt:lpstr>
      <vt:lpstr>Revenue by Sch_RY#2</vt:lpstr>
      <vt:lpstr>Rider Revenue Calculation--&gt;</vt:lpstr>
      <vt:lpstr>Sch. 101</vt:lpstr>
      <vt:lpstr>Sch. 106</vt:lpstr>
      <vt:lpstr>Sch. 111 Charge</vt:lpstr>
      <vt:lpstr>Sch. 111 Credit</vt:lpstr>
      <vt:lpstr>Sch. 120</vt:lpstr>
      <vt:lpstr>Sch. 129</vt:lpstr>
      <vt:lpstr>Sch. 129D</vt:lpstr>
      <vt:lpstr>Sch. 140</vt:lpstr>
      <vt:lpstr>Sch. 141D</vt:lpstr>
      <vt:lpstr>Sch. 141DCARB</vt:lpstr>
      <vt:lpstr>Sch. 141N</vt:lpstr>
      <vt:lpstr>Sch. 141R</vt:lpstr>
      <vt:lpstr>Sch. 141R (Supp.)</vt:lpstr>
      <vt:lpstr>Sch. 142</vt:lpstr>
      <vt:lpstr>Data--&gt;</vt:lpstr>
      <vt:lpstr>Res Billing Data</vt:lpstr>
      <vt:lpstr>Rate Year Therms</vt:lpstr>
      <vt:lpstr>RY#1 Therms by Block%</vt:lpstr>
      <vt:lpstr>RY#1 Therms by Block</vt:lpstr>
      <vt:lpstr>RY#1 Bills &amp; Demand</vt:lpstr>
      <vt:lpstr>'Avg Per Therm_RY#1 '!Print_Area</vt:lpstr>
      <vt:lpstr>'Avg Per Therm_RY#2'!Print_Area</vt:lpstr>
      <vt:lpstr>'Rate Impacts_RY#1'!Print_Area</vt:lpstr>
      <vt:lpstr>'Rate Impacts_RY#2'!Print_Area</vt:lpstr>
      <vt:lpstr>'Rate Year Therms'!Print_Area</vt:lpstr>
      <vt:lpstr>'Res Bill Summary'!Print_Area</vt:lpstr>
      <vt:lpstr>'Revenue by Sch_RY#1'!Print_Area</vt:lpstr>
      <vt:lpstr>'Revenue by Sch_RY#2'!Print_Area</vt:lpstr>
      <vt:lpstr>'RY#1 Therms by Block'!Print_Area</vt:lpstr>
      <vt:lpstr>'RY#1 Therms by Block%'!Print_Area</vt:lpstr>
      <vt:lpstr>'Sch. 101'!Print_Area</vt:lpstr>
      <vt:lpstr>'Sch. 111 Charge'!Print_Area</vt:lpstr>
      <vt:lpstr>'Sch. 111 Credit'!Print_Area</vt:lpstr>
      <vt:lpstr>'Sch. 129'!Print_Area</vt:lpstr>
      <vt:lpstr>'Sch. 129D'!Print_Area</vt:lpstr>
      <vt:lpstr>'Sch. 140'!Print_Area</vt:lpstr>
      <vt:lpstr>'Sch. 141D'!Print_Area</vt:lpstr>
      <vt:lpstr>'Sch. 141DCARB'!Print_Area</vt:lpstr>
      <vt:lpstr>'Sch. 141N'!Print_Area</vt:lpstr>
      <vt:lpstr>'Sch. 141R'!Print_Area</vt:lpstr>
      <vt:lpstr>'Sch. 141R (Supp.)'!Print_Area</vt:lpstr>
      <vt:lpstr>'Typical Res Bill_RY#1 '!Print_Area</vt:lpstr>
      <vt:lpstr>'Typical Res Bill_RY#2'!Print_Area</vt:lpstr>
      <vt:lpstr>'RY#1 Therms by Block'!Print_Titles</vt:lpstr>
      <vt:lpstr>'RY#1 Therms by Block%'!Print_Titles</vt:lpstr>
      <vt:lpstr>'Sch. 142'!Print_Titles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KXu;Paul.Schmidt@pse.com</dc:creator>
  <cp:lastModifiedBy>Michael Deupree</cp:lastModifiedBy>
  <cp:lastPrinted>2024-02-07T23:19:20Z</cp:lastPrinted>
  <dcterms:created xsi:type="dcterms:W3CDTF">2015-03-25T23:20:22Z</dcterms:created>
  <dcterms:modified xsi:type="dcterms:W3CDTF">2024-08-09T15:46:13Z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