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metadata.xml" ContentType="application/vnd.openxmlformats-officedocument.spreadsheetml.sheetMetadata+xml"/>
  <Override PartName="/xl/externalLinks/externalLink2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customProperty1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ulli\Desktop\_PSE02- UE-220026 2022GRC\dir\exh\"/>
    </mc:Choice>
  </mc:AlternateContent>
  <xr:revisionPtr revIDLastSave="0" documentId="13_ncr:1_{8DADA29F-7CB1-462D-88AF-F71D23EC4334}" xr6:coauthVersionLast="47" xr6:coauthVersionMax="47" xr10:uidLastSave="{00000000-0000-0000-0000-000000000000}"/>
  <bookViews>
    <workbookView xWindow="-28920" yWindow="-120" windowWidth="29040" windowHeight="13665" xr2:uid="{42E0A967-5592-415A-9A59-97F92B51E17B}"/>
  </bookViews>
  <sheets>
    <sheet name="LEAD Elect." sheetId="18" r:id="rId1"/>
    <sheet name="LEAD Gas" sheetId="12" r:id="rId2"/>
    <sheet name="Exh. BGM-3 (1)" sheetId="2" r:id="rId3"/>
    <sheet name="Exh. BGM-3 (2)" sheetId="14" r:id="rId4"/>
    <sheet name="Exh. BGM-4 (1)" sheetId="5" r:id="rId5"/>
    <sheet name="Exh. BGM-4 (2)" sheetId="4" r:id="rId6"/>
    <sheet name="A1 (Elect. Adj.)" sheetId="8" r:id="rId7"/>
    <sheet name="A1 (Gas Adj.)" sheetId="9" r:id="rId8"/>
    <sheet name="A2 (Dir. Fees)" sheetId="17" r:id="rId9"/>
    <sheet name="11.32 (Gas Line Ext. Adj.)" sheetId="10" r:id="rId10"/>
    <sheet name="11.33 (Tacoma LNG)" sheetId="11" r:id="rId11"/>
    <sheet name="6.33 (EESD)" sheetId="15" r:id="rId12"/>
    <sheet name="6.33 (LWR BKR)" sheetId="16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 hidden="1">[1]Inputs!#REF!</definedName>
    <definedName name="__123Graph_B" hidden="1">[1]Inputs!#REF!</definedName>
    <definedName name="__123Graph_D" hidden="1">[1]Inputs!#REF!</definedName>
    <definedName name="__123Graph_E" hidden="1">[2]Input!$E$22:$E$37</definedName>
    <definedName name="__123Graph_F" hidden="1">[2]Input!$D$22:$D$37</definedName>
    <definedName name="__IntlFixup" hidden="1">TRUE</definedName>
    <definedName name="__Jun09">" BS!$AI$7:$AI$1643"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d1" hidden="1">{"annual",#N/A,FALSE,"Pro Forma";#N/A,#N/A,FALSE,"Golf Operations"}</definedName>
    <definedName name="_Dist_Values" hidden="1">#REF!</definedName>
    <definedName name="_Fill" hidden="1">#REF!</definedName>
    <definedName name="_xlnm._FilterDatabase" hidden="1">#REF!</definedName>
    <definedName name="_gr1" hidden="1">{"three",#N/A,FALSE,"Capital";"four",#N/A,FALSE,"Capital"}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hidden="1">[3]RENT!#REF!</definedName>
    <definedName name="_Key2" hidden="1">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2_Out" hidden="1">#REF!</definedName>
    <definedName name="_wr1" hidden="1">{"Output-3Column",#N/A,FALSE,"Output"}</definedName>
    <definedName name="_wrn1" hidden="1">{"Inflation-BaseYear",#N/A,FALSE,"Inputs"}</definedName>
    <definedName name="a" hidden="1">{"Print_Detail",#N/A,FALSE,"Redemption_Maturity Extract"}</definedName>
    <definedName name="Access_Button1" hidden="1">"Headcount_Workbook_Schedules_List"</definedName>
    <definedName name="AccessCode" hidden="1">""""</definedName>
    <definedName name="AccessDatabase" localSheetId="5">"I:\COMTREL\FINICLE\TradeSummary.mdb"</definedName>
    <definedName name="AccessDatabase" hidden="1">"C:\ncux\bud\rms_inv.mdb"</definedName>
    <definedName name="ACwvu.allocations." hidden="1">#REF!</definedName>
    <definedName name="ACwvu.annual._.hotel." hidden="1">[4]development!$C$5</definedName>
    <definedName name="ACwvu.bottom._.line." hidden="1">[4]development!#REF!</definedName>
    <definedName name="ACwvu.cash._.flow." hidden="1">#REF!</definedName>
    <definedName name="ACwvu.combo." hidden="1">[4]development!$B$89</definedName>
    <definedName name="ACwvu.full." hidden="1">#REF!</definedName>
    <definedName name="ACwvu.offsite." hidden="1">#REF!</definedName>
    <definedName name="ACwvu.onsite." hidden="1">#REF!</definedName>
    <definedName name="anscount" hidden="1">2</definedName>
    <definedName name="AS2DocOpenMode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urora_Prices">"Monthly Price Summary'!$C$4:$H$63"</definedName>
    <definedName name="b" hidden="1">{"One",#N/A,FALSE,"CClub";"Two",#N/A,FALSE,"CClub";"Three",#N/A,FALSE,"CClub";"Four",#N/A,FALSE,"CClub";"Five",#N/A,FALSE,"CClub"}</definedName>
    <definedName name="bi" hidden="1">{#N/A,#N/A,FALSE,"BidCo Assumptions";#N/A,#N/A,FALSE,"Credit Stats";#N/A,#N/A,FALSE,"Bidco Summary";#N/A,#N/A,FALSE,"BIDCO Consolidated"}</definedName>
    <definedName name="BNE_MESSAGES_HIDDEN" hidden="1">#REF!</definedName>
    <definedName name="Button_1">"TradeSummary_Ken_Finicle_List"</definedName>
    <definedName name="CASE" localSheetId="2">'[5]Named Ranges'!$C$4</definedName>
    <definedName name="CASE" localSheetId="4">'[5]Named Ranges'!$C$4</definedName>
    <definedName name="CASE">'[6]Named Ranges'!$C$4</definedName>
    <definedName name="CASE_E" localSheetId="2">'[7]Named Ranges E'!$C$4</definedName>
    <definedName name="CASE_E" localSheetId="4">'[7]Named Ranges E'!$C$4</definedName>
    <definedName name="CASE_E">'[8]Named Ranges E'!$C$4</definedName>
    <definedName name="CASE_GAS">'[9]Named Ranges G'!$C$4</definedName>
    <definedName name="CBWorkbookPriority">-2060790043</definedName>
    <definedName name="cd" hidden="1">{"annual",#N/A,FALSE,"Pro Forma";#N/A,#N/A,FALSE,"Golf Operations"}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>"533dd5ee-2992-4878-a6fe-10c93711618f"</definedName>
    <definedName name="combined1" hidden="1">{"YTD-Total",#N/A,TRUE,"Provision";"YTD-Utility",#N/A,TRUE,"Prov Utility";"YTD-NonUtility",#N/A,TRUE,"Prov NonUtility"}</definedName>
    <definedName name="Comp" localSheetId="2">'[5]Named Ranges'!$C$8</definedName>
    <definedName name="Comp" localSheetId="4">'[5]Named Ranges'!$C$8</definedName>
    <definedName name="Comp">'[6]Named Ranges'!$C$8</definedName>
    <definedName name="Comp_E" localSheetId="2">'[7]Named Ranges E'!$C$8</definedName>
    <definedName name="Comp_E" localSheetId="4">'[7]Named Ranges E'!$C$8</definedName>
    <definedName name="Comp_E">'[8]Named Ranges E'!$C$8</definedName>
    <definedName name="Comp_GAS">'[9]Named Ranges G'!$C$8</definedName>
    <definedName name="Company" localSheetId="3">'[10]Named Ranges E'!$B$2</definedName>
    <definedName name="Company" localSheetId="5">'[11]Named Ranges G'!$B$2</definedName>
    <definedName name="Company">[12]Title!$A$2</definedName>
    <definedName name="Cwvu.annual." hidden="1">#REF!,#REF!,#REF!,#REF!,#REF!,#REF!,#REF!,#REF!,#REF!,#REF!,#REF!,#REF!,#REF!,#REF!,#REF!,#REF!,#REF!,#REF!,#REF!,#REF!,#REF!,#REF!,#REF!,#REF!</definedName>
    <definedName name="Cwvu.annual._.hotel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</definedName>
    <definedName name="Cwvu.bottom._.line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$89:$IV$89,[4]development!#REF!,[4]development!#REF!,[4]development!#REF!,[4]development!#REF!,[4]development!#REF!,[4]development!#REF!</definedName>
    <definedName name="Cwvu.cash._.flow." hidden="1">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wvu.combo." hidden="1">[4]development!$A$16:$IV$16,[4]development!$A$21:$IV$21,[4]development!#REF!,[4]development!#REF!,[4]development!$A$36:$IV$36,[4]development!$A$46:$IV$46,[4]development!#REF!,[4]development!#REF!,[4]development!#REF!,[4]development!#REF!,[4]development!#REF!,[4]development!#REF!,[4]development!#REF!,[4]development!#REF!,[4]development!#REF!,[4]development!$A$85:$IV$85,[4]development!$A$89:$IV$89,[4]development!$A$91:$IV$91,[4]development!#REF!,[4]development!#REF!,[4]development!#REF!,[4]development!#REF!</definedName>
    <definedName name="Cwvu.GREY_ALL." hidden="1">#REF!</definedName>
    <definedName name="dd" hidden="1">{"Print_Detail",#N/A,FALSE,"Redemption_Maturity Extract"}</definedName>
    <definedName name="ddd" hidden="1">{"Full",#N/A,FALSE,"Sec MTN B Summary"}</definedName>
    <definedName name="dddd" hidden="1">{"RedPrem_InitRed View",#N/A,FALSE,"Sec MTN B Summary"}</definedName>
    <definedName name="dddddd" hidden="1">{"Pivot1",#N/A,FALSE,"Redemption_Maturity Extract"}</definedName>
    <definedName name="dddddddd" hidden="1">{"Pivot2",#N/A,FALSE,"Redemption_Maturity Extract"}</definedName>
    <definedName name="DOCKETNUMBER" localSheetId="2">'[5]Named Ranges'!$C$6</definedName>
    <definedName name="DOCKETNUMBER" localSheetId="4">'[5]Named Ranges'!$C$6</definedName>
    <definedName name="DOCKETNUMBER">'[6]Named Ranges'!$C$6</definedName>
    <definedName name="DOCKETNUMBER_E" localSheetId="2">'[7]Named Ranges E'!$C$6</definedName>
    <definedName name="DOCKETNUMBER_E" localSheetId="4">'[7]Named Ranges E'!$C$6</definedName>
    <definedName name="DOCKETNUMBER_E">'[8]Named Ranges E'!$C$6</definedName>
    <definedName name="DOCKETNUMBER_GAS">'[9]Named Ranges G'!$C$6</definedName>
    <definedName name="DUDE" hidden="1">#REF!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V__ALLOWSTOPEXPAND__" hidden="1">1</definedName>
    <definedName name="EV__EVCOM_OPTIONS__" hidden="1">8</definedName>
    <definedName name="EV__EXPOPTIONS__" hidden="1">0</definedName>
    <definedName name="EV__LASTREFTIME__" hidden="1">40535.431400463</definedName>
    <definedName name="EV__MAXEXPCOLS__" hidden="1">100</definedName>
    <definedName name="EV__MAXEXPROWS__" hidden="1">2000</definedName>
    <definedName name="EV__MEMORYCVW__" hidden="1">0</definedName>
    <definedName name="EV__WBEVMODE__" hidden="1">0</definedName>
    <definedName name="EV__WBREFOPTIONS__" hidden="1">55</definedName>
    <definedName name="EV__WBVERSION__" hidden="1">0</definedName>
    <definedName name="EV__WSINFO__" hidden="1">"kab"</definedName>
    <definedName name="fffff" hidden="1">{"ALL",#N/A,FALSE,"A"}</definedName>
    <definedName name="first_day">'[13]Historic Data'!$K$3</definedName>
    <definedName name="FIT" localSheetId="2">'[5]Named Ranges'!$C$3</definedName>
    <definedName name="FIT" localSheetId="3">'[10]Named Ranges E'!$B$10</definedName>
    <definedName name="FIT" localSheetId="4">'[5]Named Ranges'!$C$3</definedName>
    <definedName name="FIT" localSheetId="5">'[11]Named Ranges G'!$B$10</definedName>
    <definedName name="FIT">'[6]Named Ranges'!$C$3</definedName>
    <definedName name="FIT_E" localSheetId="2">'[7]Named Ranges E'!$C$3</definedName>
    <definedName name="FIT_E" localSheetId="4">'[7]Named Ranges E'!$C$3</definedName>
    <definedName name="FIT_E">'[8]Named Ranges E'!$C$3</definedName>
    <definedName name="FIT_GAS">'[9]Named Ranges G'!$C$3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fsdfsad" hidden="1">{"ALL",#N/A,FALSE,"A"}</definedName>
    <definedName name="gr" hidden="1">{"three",#N/A,FALSE,"Capital";"four",#N/A,FALSE,"Capital"}</definedName>
    <definedName name="help" hidden="1">{"ALL",#N/A,FALSE,"A"}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>1252</definedName>
    <definedName name="HTML_Control">{"'JAN99'!$A$1:$M$66"}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HTML1_1" hidden="1">"'[MONET71.xls]Market Hubs by Condition'!$A$1:$F$44"</definedName>
    <definedName name="HTML1_10" hidden="1">"Dave_LeVee"</definedName>
    <definedName name="HTML1_11" hidden="1">1</definedName>
    <definedName name="HTML1_12" hidden="1">"G:\MONET\WEB\FORECAST\hub71.htm"</definedName>
    <definedName name="HTML1_2" hidden="1">1</definedName>
    <definedName name="HTML1_3" hidden="1">"MONET71"</definedName>
    <definedName name="HTML1_4" hidden="1">"Market Hubs by Condition"</definedName>
    <definedName name="HTML1_5" hidden="1">""</definedName>
    <definedName name="HTML1_6" hidden="1">1</definedName>
    <definedName name="HTML1_7" hidden="1">1</definedName>
    <definedName name="HTML1_8" hidden="1">"4/10/96"</definedName>
    <definedName name="HTML1_9" hidden="1">"Resource Forecasting Department"</definedName>
    <definedName name="HTML2_1" hidden="1">"[MONET71.xls]FlatMarginalCost!$A$1:$E$132"</definedName>
    <definedName name="HTML2_10" hidden="1">"Dave_LeVee"</definedName>
    <definedName name="HTML2_11" hidden="1">1</definedName>
    <definedName name="HTML2_12" hidden="1">"G:\MONET\WEB\FORECAST\mc71.htm"</definedName>
    <definedName name="HTML2_2" hidden="1">1</definedName>
    <definedName name="HTML2_3" hidden="1">"MONET71"</definedName>
    <definedName name="HTML2_4" hidden="1">"FlatMarginalCost"</definedName>
    <definedName name="HTML2_5" hidden="1">""</definedName>
    <definedName name="HTML2_6" hidden="1">1</definedName>
    <definedName name="HTML2_7" hidden="1">1</definedName>
    <definedName name="HTML2_8" hidden="1">"4/10/96"</definedName>
    <definedName name="HTML2_9" hidden="1">"Resource Forecasting Department"</definedName>
    <definedName name="HTML3_1" hidden="1">"'[MONET84.XLS]Market Hubs by Condition'!$A$1:$F$36"</definedName>
    <definedName name="HTML3_10" hidden="1">"dave_levee@pgn.com"</definedName>
    <definedName name="HTML3_11" hidden="1">1</definedName>
    <definedName name="HTML3_12" hidden="1">"G:\MONET\WEB\FORECAST\Hub84.htm"</definedName>
    <definedName name="HTML3_2" hidden="1">1</definedName>
    <definedName name="HTML3_3" hidden="1">"MONET84"</definedName>
    <definedName name="HTML3_4" hidden="1">"Market Hubs by Condition"</definedName>
    <definedName name="HTML3_5" hidden="1">""</definedName>
    <definedName name="HTML3_6" hidden="1">1</definedName>
    <definedName name="HTML3_7" hidden="1">1</definedName>
    <definedName name="HTML3_8" hidden="1">"4/15/96"</definedName>
    <definedName name="HTML3_9" hidden="1">"Resource Forecasting Department"</definedName>
    <definedName name="HTML4_1" hidden="1">"[MONET84.XLS]ConditionMarginalCost!$A$1:$E$286"</definedName>
    <definedName name="HTML4_10" hidden="1">"dave_levee@pgn.com"</definedName>
    <definedName name="HTML4_11" hidden="1">1</definedName>
    <definedName name="HTML4_12" hidden="1">"G:\MONET\WEB\FORECAST\mc84.htm"</definedName>
    <definedName name="HTML4_2" hidden="1">1</definedName>
    <definedName name="HTML4_3" hidden="1">"MONET84"</definedName>
    <definedName name="HTML4_4" hidden="1">"ConditionMarginalCost"</definedName>
    <definedName name="HTML4_5" hidden="1">""</definedName>
    <definedName name="HTML4_6" hidden="1">1</definedName>
    <definedName name="HTML4_7" hidden="1">1</definedName>
    <definedName name="HTML4_8" hidden="1">"4/15/96"</definedName>
    <definedName name="HTML4_9" hidden="1">"Resource Forecasting Department"</definedName>
    <definedName name="HTML5_1" hidden="1">"[MONET84.XLS]ConditionMarginalCost!$A$1:$E$177"</definedName>
    <definedName name="HTML5_10" hidden="1">"dave_levee@pgn.com"</definedName>
    <definedName name="HTML5_11" hidden="1">1</definedName>
    <definedName name="HTML5_12" hidden="1">"G:\MONET\WEB\FORECAST\mc84.htm"</definedName>
    <definedName name="HTML5_2" hidden="1">1</definedName>
    <definedName name="HTML5_3" hidden="1">"MONET84"</definedName>
    <definedName name="HTML5_4" hidden="1">"ConditionMarginalCost"</definedName>
    <definedName name="HTML5_5" hidden="1">""</definedName>
    <definedName name="HTML5_6" hidden="1">1</definedName>
    <definedName name="HTML5_7" hidden="1">1</definedName>
    <definedName name="HTML5_8" hidden="1">"4/15/96"</definedName>
    <definedName name="HTML5_9" hidden="1">"Resource Forecasting Department"</definedName>
    <definedName name="HTMLCount" hidden="1">5</definedName>
    <definedName name="ID_Gas" localSheetId="2">'[14]DEBT CALC'!#REF!</definedName>
    <definedName name="ID_Gas" localSheetId="4">'[14]DEBT CALC'!#REF!</definedName>
    <definedName name="ID_Gas">'[15]DEBT CALC'!#REF!</definedName>
    <definedName name="inctaxrate">0.4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Q_ACCOUNT_CHANGE">"c1449"</definedName>
    <definedName name="IQ_ACCOUNTS_PAY">"c1343"</definedName>
    <definedName name="IQ_ACCR_INT_PAY">"c1"</definedName>
    <definedName name="IQ_ACCR_INT_PAY_CF">"c2"</definedName>
    <definedName name="IQ_ACCR_INT_RECEIV">"c3"</definedName>
    <definedName name="IQ_ACCR_INT_RECEIV_CF">"c4"</definedName>
    <definedName name="IQ_ACCRUED_EXP">"c1341"</definedName>
    <definedName name="IQ_ACCT_RECV_10YR_ANN_GROWTH">"c1924"</definedName>
    <definedName name="IQ_ACCT_RECV_1YR_ANN_GROWTH">"c1919"</definedName>
    <definedName name="IQ_ACCT_RECV_2YR_ANN_GROWTH">"c1920"</definedName>
    <definedName name="IQ_ACCT_RECV_3YR_ANN_GROWTH">"c1921"</definedName>
    <definedName name="IQ_ACCT_RECV_5YR_ANN_GROWTH">"c1922"</definedName>
    <definedName name="IQ_ACCT_RECV_7YR_ANN_GROWTH">"c1923"</definedName>
    <definedName name="IQ_ACCUM_DEP">"c1340"</definedName>
    <definedName name="IQ_ACCUMULATED_PENSION_OBLIGATION">"c2244"</definedName>
    <definedName name="IQ_ACCUMULATED_PENSION_OBLIGATION_DOMESTIC">"c2657"</definedName>
    <definedName name="IQ_ACCUMULATED_PENSION_OBLIGATION_FOREIGN">"c2665"</definedName>
    <definedName name="IQ_ACQ_COST_SUB">"c2125"</definedName>
    <definedName name="IQ_ACQ_COSTS_CAPITALIZED">"c5"</definedName>
    <definedName name="IQ_ACQUIRE_REAL_ESTATE_CF">"c6"</definedName>
    <definedName name="IQ_ACQUISITION_RE_ASSETS">"c1628"</definedName>
    <definedName name="IQ_AD">"c7"</definedName>
    <definedName name="IQ_ADD_PAID_IN">"c1344"</definedName>
    <definedName name="IQ_ADJ_AVG_BANK_ASSETS">"c2671"</definedName>
    <definedName name="IQ_ADMIN_RATIO">"c2784"</definedName>
    <definedName name="IQ_ADVERTISING">"c2246"</definedName>
    <definedName name="IQ_ADVERTISING_MARKETING">"c1566"</definedName>
    <definedName name="IQ_AE">"c8"</definedName>
    <definedName name="IQ_AE_BNK">"c9"</definedName>
    <definedName name="IQ_AE_BR">"c10"</definedName>
    <definedName name="IQ_AE_FIN">"c11"</definedName>
    <definedName name="IQ_AE_INS">"c12"</definedName>
    <definedName name="IQ_AE_REIT">"c13"</definedName>
    <definedName name="IQ_AE_UTI">"c14"</definedName>
    <definedName name="IQ_AH_EARNED">"c2744"</definedName>
    <definedName name="IQ_AH_POLICY_BENEFITS_EXP">"c2789"</definedName>
    <definedName name="IQ_AIR_AIRPLANES_NOT_IN_SERVICE">"c2842"</definedName>
    <definedName name="IQ_AIR_AIRPLANES_SUBLEASED">"c2841"</definedName>
    <definedName name="IQ_AIR_ASK">"c2813"</definedName>
    <definedName name="IQ_AIR_ASK_INCREASE">"c2826"</definedName>
    <definedName name="IQ_AIR_ASM">"c2812"</definedName>
    <definedName name="IQ_AIR_ASM_INCREASE">"c2825"</definedName>
    <definedName name="IQ_AIR_AVG_AGE">"c2843"</definedName>
    <definedName name="IQ_AIR_BREAK_EVEN_FACTOR">"c2822"</definedName>
    <definedName name="IQ_AIR_CAPITAL_LEASE">"c2833"</definedName>
    <definedName name="IQ_AIR_COMPLETION_FACTOR">"c2824"</definedName>
    <definedName name="IQ_AIR_ENPLANED_PSGRS">"c2809"</definedName>
    <definedName name="IQ_AIR_FUEL_CONSUMED">"c2806"</definedName>
    <definedName name="IQ_AIR_FUEL_CONSUMED_L">"c2807"</definedName>
    <definedName name="IQ_AIR_FUEL_COST">"c2803"</definedName>
    <definedName name="IQ_AIR_FUEL_COST_L">"c2804"</definedName>
    <definedName name="IQ_AIR_FUEL_EXP">"c2802"</definedName>
    <definedName name="IQ_AIR_FUEL_EXP_PERCENT">"c2805"</definedName>
    <definedName name="IQ_AIR_LEASED">"c2835"</definedName>
    <definedName name="IQ_AIR_LOAD_FACTOR">"c2823"</definedName>
    <definedName name="IQ_AIR_NEW_AIRPLANES">"c2839"</definedName>
    <definedName name="IQ_AIR_OPER_EXP_ASK">"c2821"</definedName>
    <definedName name="IQ_AIR_OPER_EXP_ASM">"c2820"</definedName>
    <definedName name="IQ_AIR_OPER_LEASE">"c2834"</definedName>
    <definedName name="IQ_AIR_OPER_REV_YIELD_ASK">"c2819"</definedName>
    <definedName name="IQ_AIR_OPER_REV_YIELD_ASM">"c2818"</definedName>
    <definedName name="IQ_AIR_OPTIONS">"c2837"</definedName>
    <definedName name="IQ_AIR_ORDERS">"c2836"</definedName>
    <definedName name="IQ_AIR_OWNED">"c2832"</definedName>
    <definedName name="IQ_AIR_PSGR_REV_YIELD_ASK">"c2817"</definedName>
    <definedName name="IQ_AIR_PSGR_REV_YIELD_ASM">"c2816"</definedName>
    <definedName name="IQ_AIR_PSGR_REV_YIELD_RPK">"c2815"</definedName>
    <definedName name="IQ_AIR_PSGR_REV_YIELD_RPM">"c2814"</definedName>
    <definedName name="IQ_AIR_PURCHASE_RIGHTS">"c2838"</definedName>
    <definedName name="IQ_AIR_RETIRED_AIRPLANES">"c2840"</definedName>
    <definedName name="IQ_AIR_REV_PSGRS_CARRIED">"c2808"</definedName>
    <definedName name="IQ_AIR_REV_SCHEDULED_SERVICE">"c2830"</definedName>
    <definedName name="IQ_AIR_RPK">"c2811"</definedName>
    <definedName name="IQ_AIR_RPM">"c2810"</definedName>
    <definedName name="IQ_AIR_STAGE_LENGTH">"c2828"</definedName>
    <definedName name="IQ_AIR_STAGE_LENGTH_KM">"c2829"</definedName>
    <definedName name="IQ_AIR_TOTAL">"c2831"</definedName>
    <definedName name="IQ_AIR_UTILIZATION">"c2827"</definedName>
    <definedName name="IQ_ALLOW_BORROW_CONST">"c15"</definedName>
    <definedName name="IQ_ALLOW_CONST">"c1342"</definedName>
    <definedName name="IQ_ALLOW_DOUBT_ACCT">"c2092"</definedName>
    <definedName name="IQ_ALLOW_EQUITY_CONST">"c16"</definedName>
    <definedName name="IQ_ALLOW_LL">"c17"</definedName>
    <definedName name="IQ_ALLOWANCE_10YR_ANN_GROWTH">"c18"</definedName>
    <definedName name="IQ_ALLOWANCE_1YR_ANN_GROWTH">"c19"</definedName>
    <definedName name="IQ_ALLOWANCE_2YR_ANN_GROWTH">"c20"</definedName>
    <definedName name="IQ_ALLOWANCE_3YR_ANN_GROWTH">"c21"</definedName>
    <definedName name="IQ_ALLOWANCE_5YR_ANN_GROWTH">"c22"</definedName>
    <definedName name="IQ_ALLOWANCE_7YR_ANN_GROWTH">"c23"</definedName>
    <definedName name="IQ_ALLOWANCE_CHARGE_OFFS">"c24"</definedName>
    <definedName name="IQ_ALLOWANCE_NON_PERF_LOANS">"c25"</definedName>
    <definedName name="IQ_ALLOWANCE_TOTAL_LOANS">"c26"</definedName>
    <definedName name="IQ_AMORTIZATION">"c1591"</definedName>
    <definedName name="IQ_ANNU_DISTRIBUTION_UNIT">"c3004"</definedName>
    <definedName name="IQ_ANNUALIZED_DIVIDEND">"c1579"</definedName>
    <definedName name="IQ_ANNUITY_LIAB">"c27"</definedName>
    <definedName name="IQ_ANNUITY_PAY">"c28"</definedName>
    <definedName name="IQ_ANNUITY_POLICY_EXP">"c29"</definedName>
    <definedName name="IQ_ANNUITY_REC">"c30"</definedName>
    <definedName name="IQ_ANNUITY_REV">"c31"</definedName>
    <definedName name="IQ_AP">"c32"</definedName>
    <definedName name="IQ_AP_BNK">"c33"</definedName>
    <definedName name="IQ_AP_BR">"c34"</definedName>
    <definedName name="IQ_AP_FIN">"c35"</definedName>
    <definedName name="IQ_AP_INS">"c36"</definedName>
    <definedName name="IQ_AP_REIT">"c37"</definedName>
    <definedName name="IQ_AP_UTI">"c38"</definedName>
    <definedName name="IQ_APIC">"c39"</definedName>
    <definedName name="IQ_AR">"c40"</definedName>
    <definedName name="IQ_AR_BR">"c41"</definedName>
    <definedName name="IQ_AR_LT">"c42"</definedName>
    <definedName name="IQ_AR_REIT">"c43"</definedName>
    <definedName name="IQ_AR_TURNS">"c44"</definedName>
    <definedName name="IQ_AR_UTI">"c45"</definedName>
    <definedName name="IQ_ARPU">"c2126"</definedName>
    <definedName name="IQ_ASSET_MGMT_FEE">"c46"</definedName>
    <definedName name="IQ_ASSET_TURNS">"c47"</definedName>
    <definedName name="IQ_ASSET_WRITEDOWN">"c48"</definedName>
    <definedName name="IQ_ASSET_WRITEDOWN_BNK">"c49"</definedName>
    <definedName name="IQ_ASSET_WRITEDOWN_BR">"c50"</definedName>
    <definedName name="IQ_ASSET_WRITEDOWN_CF">"c51"</definedName>
    <definedName name="IQ_ASSET_WRITEDOWN_CF_BNK">"c52"</definedName>
    <definedName name="IQ_ASSET_WRITEDOWN_CF_BR">"c53"</definedName>
    <definedName name="IQ_ASSET_WRITEDOWN_CF_FIN">"c54"</definedName>
    <definedName name="IQ_ASSET_WRITEDOWN_CF_INS">"c55"</definedName>
    <definedName name="IQ_ASSET_WRITEDOWN_CF_REIT">"c56"</definedName>
    <definedName name="IQ_ASSET_WRITEDOWN_CF_UTI">"c57"</definedName>
    <definedName name="IQ_ASSET_WRITEDOWN_FIN">"c58"</definedName>
    <definedName name="IQ_ASSET_WRITEDOWN_INS">"c59"</definedName>
    <definedName name="IQ_ASSET_WRITEDOWN_REIT">"c60"</definedName>
    <definedName name="IQ_ASSET_WRITEDOWN_UTI">"c61"</definedName>
    <definedName name="IQ_ASSETS_CAP_LEASE_DEPR">"c2068"</definedName>
    <definedName name="IQ_ASSETS_CAP_LEASE_GROSS">"c2069"</definedName>
    <definedName name="IQ_ASSETS_OPER_LEASE_DEPR">"c2070"</definedName>
    <definedName name="IQ_ASSETS_OPER_LEASE_GROSS">"c2071"</definedName>
    <definedName name="IQ_ASSUMED_AH_EARNED">"c2741"</definedName>
    <definedName name="IQ_ASSUMED_EARNED">"c2731"</definedName>
    <definedName name="IQ_ASSUMED_LIFE_EARNED">"c2736"</definedName>
    <definedName name="IQ_ASSUMED_LIFE_IN_FORCE">"c2766"</definedName>
    <definedName name="IQ_ASSUMED_PC_EARNED">"c2746"</definedName>
    <definedName name="IQ_ASSUMED_WRITTEN">"c2725"</definedName>
    <definedName name="IQ_AUDITOR_NAME">"c1539"</definedName>
    <definedName name="IQ_AUDITOR_OPINION">"c1540"</definedName>
    <definedName name="IQ_AUTO_WRITTEN">"c62"</definedName>
    <definedName name="IQ_AVG_BANK_ASSETS">"c2072"</definedName>
    <definedName name="IQ_AVG_BANK_LOANS">"c2073"</definedName>
    <definedName name="IQ_AVG_BROKER_REC">"c63"</definedName>
    <definedName name="IQ_AVG_BROKER_REC_NO">"c64"</definedName>
    <definedName name="IQ_AVG_DAILY_VOL">"c65"</definedName>
    <definedName name="IQ_AVG_INT_BEAR_LIAB">"c66"</definedName>
    <definedName name="IQ_AVG_INT_BEAR_LIAB_10YR_ANN_GROWTH">"c67"</definedName>
    <definedName name="IQ_AVG_INT_BEAR_LIAB_1YR_ANN_GROWTH">"c68"</definedName>
    <definedName name="IQ_AVG_INT_BEAR_LIAB_2YR_ANN_GROWTH">"c69"</definedName>
    <definedName name="IQ_AVG_INT_BEAR_LIAB_3YR_ANN_GROWTH">"c70"</definedName>
    <definedName name="IQ_AVG_INT_BEAR_LIAB_5YR_ANN_GROWTH">"c71"</definedName>
    <definedName name="IQ_AVG_INT_BEAR_LIAB_7YR_ANN_GROWTH">"c72"</definedName>
    <definedName name="IQ_AVG_INT_EARN_ASSETS">"c73"</definedName>
    <definedName name="IQ_AVG_INT_EARN_ASSETS_10YR_ANN_GROWTH">"c74"</definedName>
    <definedName name="IQ_AVG_INT_EARN_ASSETS_1YR_ANN_GROWTH">"c75"</definedName>
    <definedName name="IQ_AVG_INT_EARN_ASSETS_2YR_ANN_GROWTH">"c76"</definedName>
    <definedName name="IQ_AVG_INT_EARN_ASSETS_3YR_ANN_GROWTH">"c77"</definedName>
    <definedName name="IQ_AVG_INT_EARN_ASSETS_5YR_ANN_GROWTH">"c78"</definedName>
    <definedName name="IQ_AVG_INT_EARN_ASSETS_7YR_ANN_GROWTH">"c79"</definedName>
    <definedName name="IQ_AVG_MKTCAP">"c80"</definedName>
    <definedName name="IQ_AVG_PRICE">"c81"</definedName>
    <definedName name="IQ_AVG_SHAREOUTSTANDING">"c83"</definedName>
    <definedName name="IQ_AVG_TEV">"c84"</definedName>
    <definedName name="IQ_AVG_VOLUME">"c1346"</definedName>
    <definedName name="IQ_BANK_DEBT">"c2544"</definedName>
    <definedName name="IQ_BANK_DEBT_PCT">"c2545"</definedName>
    <definedName name="IQ_BASIC_EPS_EXCL">"c85"</definedName>
    <definedName name="IQ_BASIC_EPS_INCL">"c86"</definedName>
    <definedName name="IQ_BASIC_NORMAL_EPS">"c1592"</definedName>
    <definedName name="IQ_BASIC_WEIGHT">"c87"</definedName>
    <definedName name="IQ_BETA">"c2133"</definedName>
    <definedName name="IQ_BETA_1YR">"c1966"</definedName>
    <definedName name="IQ_BETA_1YR_RSQ">"c2132"</definedName>
    <definedName name="IQ_BETA_2YR">"c1965"</definedName>
    <definedName name="IQ_BETA_2YR_RSQ">"c2131"</definedName>
    <definedName name="IQ_BETA_5YR">"c88"</definedName>
    <definedName name="IQ_BETA_5YR_RSQ">"c2130"</definedName>
    <definedName name="IQ_BIG_INT_BEAR_CD">"c89"</definedName>
    <definedName name="IQ_BOARD_MEMBER">"c96"</definedName>
    <definedName name="IQ_BOARD_MEMBER_BACKGROUND">"c2101"</definedName>
    <definedName name="IQ_BOARD_MEMBER_TITLE">"c97"</definedName>
    <definedName name="IQ_BROK_COMISSION">"c98"</definedName>
    <definedName name="IQ_BUILDINGS">"c99"</definedName>
    <definedName name="IQ_BUSINESS_DESCRIPTION">"c322"</definedName>
    <definedName name="IQ_BV_OVER_SHARES">"c1349"</definedName>
    <definedName name="IQ_BV_SHARE">"c100"</definedName>
    <definedName name="IQ_CABLE_ARPU">"c2869"</definedName>
    <definedName name="IQ_CABLE_ARPU_ANALOG">"c2864"</definedName>
    <definedName name="IQ_CABLE_ARPU_BASIC">"c2866"</definedName>
    <definedName name="IQ_CABLE_ARPU_BBAND">"c2867"</definedName>
    <definedName name="IQ_CABLE_ARPU_DIG">"c2865"</definedName>
    <definedName name="IQ_CABLE_ARPU_PHONE">"c2868"</definedName>
    <definedName name="IQ_CABLE_BASIC_PENETRATION">"c2850"</definedName>
    <definedName name="IQ_CABLE_BBAND_PENETRATION">"c2852"</definedName>
    <definedName name="IQ_CABLE_BBAND_PENETRATION_THP">"c2851"</definedName>
    <definedName name="IQ_CABLE_CHURN">"c2874"</definedName>
    <definedName name="IQ_CABLE_CHURN_BASIC">"c2871"</definedName>
    <definedName name="IQ_CABLE_CHURN_BBAND">"c2872"</definedName>
    <definedName name="IQ_CABLE_CHURN_DIG">"c2870"</definedName>
    <definedName name="IQ_CABLE_CHURN_PHONE">"c2873"</definedName>
    <definedName name="IQ_CABLE_HOMES_PER_MILE">"c2849"</definedName>
    <definedName name="IQ_CABLE_HP_BBAND">"c2845"</definedName>
    <definedName name="IQ_CABLE_HP_DIG">"c2844"</definedName>
    <definedName name="IQ_CABLE_HP_PHONE">"c2846"</definedName>
    <definedName name="IQ_CABLE_MILES_PASSED">"c2848"</definedName>
    <definedName name="IQ_CABLE_OTHER_REV">"c2882"</definedName>
    <definedName name="IQ_CABLE_PHONE_PENETRATION">"c2853"</definedName>
    <definedName name="IQ_CABLE_PROGRAMMING_COSTS">"c2884"</definedName>
    <definedName name="IQ_CABLE_REV_ADVERT">"c2880"</definedName>
    <definedName name="IQ_CABLE_REV_ANALOG">"c2875"</definedName>
    <definedName name="IQ_CABLE_REV_BASIC">"c2877"</definedName>
    <definedName name="IQ_CABLE_REV_BBAND">"c2878"</definedName>
    <definedName name="IQ_CABLE_REV_COMMERCIAL">"c2881"</definedName>
    <definedName name="IQ_CABLE_REV_DIG">"c2876"</definedName>
    <definedName name="IQ_CABLE_REV_PHONE">"c2879"</definedName>
    <definedName name="IQ_CABLE_RGU">"c2863"</definedName>
    <definedName name="IQ_CABLE_SUBS_ANALOG">"c2855"</definedName>
    <definedName name="IQ_CABLE_SUBS_BASIC">"c2857"</definedName>
    <definedName name="IQ_CABLE_SUBS_BBAND">"c2858"</definedName>
    <definedName name="IQ_CABLE_SUBS_BUNDLED">"c2861"</definedName>
    <definedName name="IQ_CABLE_SUBS_DIG">"c2856"</definedName>
    <definedName name="IQ_CABLE_SUBS_NON_VIDEO">"c2860"</definedName>
    <definedName name="IQ_CABLE_SUBS_PHONE">"c2859"</definedName>
    <definedName name="IQ_CABLE_SUBS_TOTAL">"c2862"</definedName>
    <definedName name="IQ_CABLE_THP">"c2847"</definedName>
    <definedName name="IQ_CABLE_TOTAL_PENETRATION">"c2854"</definedName>
    <definedName name="IQ_CABLE_TOTAL_REV">"c2883"</definedName>
    <definedName name="IQ_CAL_Q">"c101"</definedName>
    <definedName name="IQ_CAL_Y">"c102"</definedName>
    <definedName name="IQ_CAPEX">"c103"</definedName>
    <definedName name="IQ_CAPEX_10YR_ANN_GROWTH">"c104"</definedName>
    <definedName name="IQ_CAPEX_1YR_ANN_GROWTH">"c105"</definedName>
    <definedName name="IQ_CAPEX_2YR_ANN_GROWTH">"c106"</definedName>
    <definedName name="IQ_CAPEX_3YR_ANN_GROWTH">"c107"</definedName>
    <definedName name="IQ_CAPEX_5YR_ANN_GROWTH">"c108"</definedName>
    <definedName name="IQ_CAPEX_7YR_ANN_GROWTH">"c109"</definedName>
    <definedName name="IQ_CAPEX_BNK">"c110"</definedName>
    <definedName name="IQ_CAPEX_BR">"c111"</definedName>
    <definedName name="IQ_CAPEX_FIN">"c112"</definedName>
    <definedName name="IQ_CAPEX_INS">"c113"</definedName>
    <definedName name="IQ_CAPEX_UTI">"c114"</definedName>
    <definedName name="IQ_CAPITAL_LEASE">"c1350"</definedName>
    <definedName name="IQ_CAPITAL_LEASES">"c115"</definedName>
    <definedName name="IQ_CAPITAL_LEASES_TOTAL">"c3031"</definedName>
    <definedName name="IQ_CAPITAL_LEASES_TOTAL_PCT">"c2506"</definedName>
    <definedName name="IQ_CAPITALIZED_INTEREST">"c2076"</definedName>
    <definedName name="IQ_CASH">"c1458"</definedName>
    <definedName name="IQ_CASH_ACQUIRE_CF">"c116"</definedName>
    <definedName name="IQ_CASH_CONVERSION">"c117"</definedName>
    <definedName name="IQ_CASH_DUE_BANKS">"c1351"</definedName>
    <definedName name="IQ_CASH_EQUIV">"c118"</definedName>
    <definedName name="IQ_CASH_FINAN">"c119"</definedName>
    <definedName name="IQ_CASH_INTEREST">"c120"</definedName>
    <definedName name="IQ_CASH_INVEST">"c121"</definedName>
    <definedName name="IQ_CASH_OPER">"c122"</definedName>
    <definedName name="IQ_CASH_SEGREG">"c123"</definedName>
    <definedName name="IQ_CASH_SHARE">"c1911"</definedName>
    <definedName name="IQ_CASH_ST">"c1355"</definedName>
    <definedName name="IQ_CASH_ST_INVEST">"c124"</definedName>
    <definedName name="IQ_CASH_TAXES">"c125"</definedName>
    <definedName name="IQ_CEDED_AH_EARNED">"c2743"</definedName>
    <definedName name="IQ_CEDED_CLAIM_EXP_INCUR">"c2756"</definedName>
    <definedName name="IQ_CEDED_CLAIM_EXP_PAID">"c2759"</definedName>
    <definedName name="IQ_CEDED_CLAIM_EXP_RES">"c2753"</definedName>
    <definedName name="IQ_CEDED_EARNED">"c2733"</definedName>
    <definedName name="IQ_CEDED_LIFE_EARNED">"c2738"</definedName>
    <definedName name="IQ_CEDED_LIFE_IN_FORCE">"c2768"</definedName>
    <definedName name="IQ_CEDED_PC_EARNED">"c2748"</definedName>
    <definedName name="IQ_CEDED_WRITTEN">"c2727"</definedName>
    <definedName name="IQ_CFO_10YR_ANN_GROWTH">"c126"</definedName>
    <definedName name="IQ_CFO_1YR_ANN_GROWTH">"c127"</definedName>
    <definedName name="IQ_CFO_2YR_ANN_GROWTH">"c128"</definedName>
    <definedName name="IQ_CFO_3YR_ANN_GROWTH">"c129"</definedName>
    <definedName name="IQ_CFO_5YR_ANN_GROWTH">"c130"</definedName>
    <definedName name="IQ_CFO_7YR_ANN_GROWTH">"c131"</definedName>
    <definedName name="IQ_CFO_CURRENT_LIAB">"c132"</definedName>
    <definedName name="IQ_CFPS_ACT_OR_EST">"c2217"</definedName>
    <definedName name="IQ_CFPS_EST">"c1667"</definedName>
    <definedName name="IQ_CFPS_HIGH_EST">"c1669"</definedName>
    <definedName name="IQ_CFPS_LOW_EST">"c1670"</definedName>
    <definedName name="IQ_CFPS_MEDIAN_EST">"c1668"</definedName>
    <definedName name="IQ_CFPS_NUM_EST">"c1671"</definedName>
    <definedName name="IQ_CFPS_STDDEV_EST">"c1672"</definedName>
    <definedName name="IQ_CH">110000</definedName>
    <definedName name="IQ_CHANGE_AP">"c133"</definedName>
    <definedName name="IQ_CHANGE_AP_BNK">"c134"</definedName>
    <definedName name="IQ_CHANGE_AP_BR">"c135"</definedName>
    <definedName name="IQ_CHANGE_AP_FIN">"c136"</definedName>
    <definedName name="IQ_CHANGE_AP_INS">"c137"</definedName>
    <definedName name="IQ_CHANGE_AP_REIT">"c138"</definedName>
    <definedName name="IQ_CHANGE_AP_UTI">"c139"</definedName>
    <definedName name="IQ_CHANGE_AR">"c140"</definedName>
    <definedName name="IQ_CHANGE_AR_BNK">"c141"</definedName>
    <definedName name="IQ_CHANGE_AR_BR">"c142"</definedName>
    <definedName name="IQ_CHANGE_AR_FIN">"c143"</definedName>
    <definedName name="IQ_CHANGE_AR_INS">"c144"</definedName>
    <definedName name="IQ_CHANGE_AR_REIT">"c145"</definedName>
    <definedName name="IQ_CHANGE_AR_UTI">"c146"</definedName>
    <definedName name="IQ_CHANGE_DEF_TAX">"c147"</definedName>
    <definedName name="IQ_CHANGE_DEPOSIT_ACCT">"c148"</definedName>
    <definedName name="IQ_CHANGE_INC_TAX">"c149"</definedName>
    <definedName name="IQ_CHANGE_INS_RES_LIAB">"c150"</definedName>
    <definedName name="IQ_CHANGE_INVENTORY">"c151"</definedName>
    <definedName name="IQ_CHANGE_NET_WORKING_CAPITAL">"c1909"</definedName>
    <definedName name="IQ_CHANGE_OTHER_WORK_CAP">"c152"</definedName>
    <definedName name="IQ_CHANGE_OTHER_WORK_CAP_BNK">"c153"</definedName>
    <definedName name="IQ_CHANGE_OTHER_WORK_CAP_BR">"c154"</definedName>
    <definedName name="IQ_CHANGE_OTHER_WORK_CAP_FIN">"c155"</definedName>
    <definedName name="IQ_CHANGE_OTHER_WORK_CAP_INS">"c156"</definedName>
    <definedName name="IQ_CHANGE_OTHER_WORK_CAP_REIT">"c157"</definedName>
    <definedName name="IQ_CHANGE_OTHER_WORK_CAP_UTI">"c158"</definedName>
    <definedName name="IQ_CHANGE_TRADING_ASSETS">"c159"</definedName>
    <definedName name="IQ_CHANGE_UNEARN_REV">"c160"</definedName>
    <definedName name="IQ_CHANGE_WORK_CAP">"c161"</definedName>
    <definedName name="IQ_CHANGES_WORK_CAP">"c1357"</definedName>
    <definedName name="IQ_CHARGE_OFFS_GROSS">"c162"</definedName>
    <definedName name="IQ_CHARGE_OFFS_NET">"c163"</definedName>
    <definedName name="IQ_CHARGE_OFFS_RECOVERED">"c164"</definedName>
    <definedName name="IQ_CHARGE_OFFS_TOTAL_AVG_LOANS">"c165"</definedName>
    <definedName name="IQ_CITY">"c166"</definedName>
    <definedName name="IQ_CL_DUE_AFTER_FIVE">"c167"</definedName>
    <definedName name="IQ_CL_DUE_CY">"c168"</definedName>
    <definedName name="IQ_CL_DUE_CY1">"c169"</definedName>
    <definedName name="IQ_CL_DUE_CY2">"c170"</definedName>
    <definedName name="IQ_CL_DUE_CY3">"c171"</definedName>
    <definedName name="IQ_CL_DUE_CY4">"c172"</definedName>
    <definedName name="IQ_CL_DUE_NEXT_FIVE">"c173"</definedName>
    <definedName name="IQ_CL_OBLIGATION_IMMEDIATE">"c2253"</definedName>
    <definedName name="IQ_CLASSA_OPTIONS_BEG_OS">"c2679"</definedName>
    <definedName name="IQ_CLASSA_OPTIONS_CANCELLED">"c2682"</definedName>
    <definedName name="IQ_CLASSA_OPTIONS_END_OS">"c2683"</definedName>
    <definedName name="IQ_CLASSA_OPTIONS_EXERCISED">"c2681"</definedName>
    <definedName name="IQ_CLASSA_OPTIONS_GRANTED">"c2680"</definedName>
    <definedName name="IQ_CLASSA_OPTIONS_STRIKE_PRICE_OS">"c2684"</definedName>
    <definedName name="IQ_CLASSA_OUTSTANDING_BS_DATE">"c1971"</definedName>
    <definedName name="IQ_CLASSA_OUTSTANDING_FILING_DATE">"c1973"</definedName>
    <definedName name="IQ_CLASSA_STRIKE_PRICE_GRANTED">"c2685"</definedName>
    <definedName name="IQ_CLASSA_WARRANTS_BEG_OS">"c2705"</definedName>
    <definedName name="IQ_CLASSA_WARRANTS_CANCELLED">"c2708"</definedName>
    <definedName name="IQ_CLASSA_WARRANTS_END_OS">"c2709"</definedName>
    <definedName name="IQ_CLASSA_WARRANTS_EXERCISED">"c2707"</definedName>
    <definedName name="IQ_CLASSA_WARRANTS_ISSUED">"c2706"</definedName>
    <definedName name="IQ_CLASSA_WARRANTS_STRIKE_PRICE_ISSUED">"c2711"</definedName>
    <definedName name="IQ_CLASSA_WARRANTS_STRIKE_PRICE_OS">"c2710"</definedName>
    <definedName name="IQ_CLOSEPRICE">"c174"</definedName>
    <definedName name="IQ_CLOSEPRICE_ADJ">"c2115"</definedName>
    <definedName name="IQ_COGS">"c175"</definedName>
    <definedName name="IQ_COMBINED_RATIO">"c176"</definedName>
    <definedName name="IQ_COMMERCIAL_DOM">"c177"</definedName>
    <definedName name="IQ_COMMERCIAL_FIRE_WRITTEN">"c178"</definedName>
    <definedName name="IQ_COMMERCIAL_MORT">"c179"</definedName>
    <definedName name="IQ_COMMISS_FEES">"c180"</definedName>
    <definedName name="IQ_COMMISSION_DEF">"c181"</definedName>
    <definedName name="IQ_COMMON">"c182"</definedName>
    <definedName name="IQ_COMMON_APIC">"c183"</definedName>
    <definedName name="IQ_COMMON_APIC_BNK">"c184"</definedName>
    <definedName name="IQ_COMMON_APIC_BR">"c185"</definedName>
    <definedName name="IQ_COMMON_APIC_FIN">"c186"</definedName>
    <definedName name="IQ_COMMON_APIC_INS">"c187"</definedName>
    <definedName name="IQ_COMMON_APIC_REIT">"c188"</definedName>
    <definedName name="IQ_COMMON_APIC_UTI">"c189"</definedName>
    <definedName name="IQ_COMMON_DIV">"c3006"</definedName>
    <definedName name="IQ_COMMON_DIV_CF">"c190"</definedName>
    <definedName name="IQ_COMMON_EQUITY_10YR_ANN_GROWTH">"c191"</definedName>
    <definedName name="IQ_COMMON_EQUITY_1YR_ANN_GROWTH">"c192"</definedName>
    <definedName name="IQ_COMMON_EQUITY_2YR_ANN_GROWTH">"c193"</definedName>
    <definedName name="IQ_COMMON_EQUITY_3YR_ANN_GROWTH">"c194"</definedName>
    <definedName name="IQ_COMMON_EQUITY_5YR_ANN_GROWTH">"c195"</definedName>
    <definedName name="IQ_COMMON_EQUITY_7YR_ANN_GROWTH">"c196"</definedName>
    <definedName name="IQ_COMMON_ISSUED">"c197"</definedName>
    <definedName name="IQ_COMMON_ISSUED_BNK">"c198"</definedName>
    <definedName name="IQ_COMMON_ISSUED_BR">"c199"</definedName>
    <definedName name="IQ_COMMON_ISSUED_FIN">"c200"</definedName>
    <definedName name="IQ_COMMON_ISSUED_INS">"c201"</definedName>
    <definedName name="IQ_COMMON_ISSUED_REIT">"c202"</definedName>
    <definedName name="IQ_COMMON_ISSUED_UTI">"c203"</definedName>
    <definedName name="IQ_COMMON_PER_ADR">"c204"</definedName>
    <definedName name="IQ_COMMON_PREF_DIV_CF">"c205"</definedName>
    <definedName name="IQ_COMMON_REP">"c206"</definedName>
    <definedName name="IQ_COMMON_REP_BNK">"c207"</definedName>
    <definedName name="IQ_COMMON_REP_BR">"c208"</definedName>
    <definedName name="IQ_COMMON_REP_FIN">"c209"</definedName>
    <definedName name="IQ_COMMON_REP_INS">"c210"</definedName>
    <definedName name="IQ_COMMON_REP_REIT">"c211"</definedName>
    <definedName name="IQ_COMMON_REP_UTI">"c212"</definedName>
    <definedName name="IQ_COMMON_STOCK">"c1358"</definedName>
    <definedName name="IQ_COMP_BENEFITS">"c213"</definedName>
    <definedName name="IQ_COMPANY_ADDRESS">"c214"</definedName>
    <definedName name="IQ_COMPANY_NAME">"c215"</definedName>
    <definedName name="IQ_COMPANY_NAME_LONG">"c1585"</definedName>
    <definedName name="IQ_COMPANY_PHONE">"c216"</definedName>
    <definedName name="IQ_COMPANY_STATUS">"c2097"</definedName>
    <definedName name="IQ_COMPANY_STREET1">"c217"</definedName>
    <definedName name="IQ_COMPANY_STREET2">"c218"</definedName>
    <definedName name="IQ_COMPANY_TICKER">"c219"</definedName>
    <definedName name="IQ_COMPANY_TYPE">"c2096"</definedName>
    <definedName name="IQ_COMPANY_WEBSITE">"c220"</definedName>
    <definedName name="IQ_COMPANY_ZIP">"c221"</definedName>
    <definedName name="IQ_CONSTRUCTION_LOANS">"c222"</definedName>
    <definedName name="IQ_CONSUMER_LOANS">"c223"</definedName>
    <definedName name="IQ_CONVERT">"c2536"</definedName>
    <definedName name="IQ_CONVERT_PCT">"c2537"</definedName>
    <definedName name="IQ_COST_BORROWING">"c2936"</definedName>
    <definedName name="IQ_COST_BORROWINGS">"c225"</definedName>
    <definedName name="IQ_COST_REV">"c226"</definedName>
    <definedName name="IQ_COST_REVENUE">"c1359"</definedName>
    <definedName name="IQ_COST_SAVINGS">"c227"</definedName>
    <definedName name="IQ_COST_SERVICE">"c228"</definedName>
    <definedName name="IQ_COST_TOTAL_BORROWINGS">"c229"</definedName>
    <definedName name="IQ_COUNTRY_NAME">"c230"</definedName>
    <definedName name="IQ_COVERED_POPS">"c2124"</definedName>
    <definedName name="IQ_CP">"c2495"</definedName>
    <definedName name="IQ_CP_PCT">"c2496"</definedName>
    <definedName name="IQ_CQ">5000</definedName>
    <definedName name="IQ_CREDIT_CARD_FEE_BNK">"c231"</definedName>
    <definedName name="IQ_CREDIT_CARD_FEE_FIN">"c1583"</definedName>
    <definedName name="IQ_CREDIT_LOSS_CF">"c232"</definedName>
    <definedName name="IQ_CUMULATIVE_SPLIT_FACTOR">"c2094"</definedName>
    <definedName name="IQ_CURR_DOMESTIC_TAXES">"c2074"</definedName>
    <definedName name="IQ_CURR_FOREIGN_TAXES">"c2075"</definedName>
    <definedName name="IQ_CURRENCY_FACTOR_BS">"c233"</definedName>
    <definedName name="IQ_CURRENCY_FACTOR_IS">"c234"</definedName>
    <definedName name="IQ_CURRENCY_GAIN">"c235"</definedName>
    <definedName name="IQ_CURRENCY_GAIN_BR">"c236"</definedName>
    <definedName name="IQ_CURRENCY_GAIN_FIN">"c237"</definedName>
    <definedName name="IQ_CURRENCY_GAIN_INS">"c238"</definedName>
    <definedName name="IQ_CURRENCY_GAIN_REIT">"c239"</definedName>
    <definedName name="IQ_CURRENCY_GAIN_UTI">"c240"</definedName>
    <definedName name="IQ_CURRENT_PORT">"c241"</definedName>
    <definedName name="IQ_CURRENT_PORT_BNK">"c242"</definedName>
    <definedName name="IQ_CURRENT_PORT_DEBT">"c243"</definedName>
    <definedName name="IQ_CURRENT_PORT_DEBT_BNK">"c244"</definedName>
    <definedName name="IQ_CURRENT_PORT_DEBT_BR">"c1567"</definedName>
    <definedName name="IQ_CURRENT_PORT_DEBT_FIN">"c1568"</definedName>
    <definedName name="IQ_CURRENT_PORT_DEBT_INS">"c1569"</definedName>
    <definedName name="IQ_CURRENT_PORT_DEBT_REIT">"c1570"</definedName>
    <definedName name="IQ_CURRENT_PORT_DEBT_UTI">"c1571"</definedName>
    <definedName name="IQ_CURRENT_PORT_LEASES">"c245"</definedName>
    <definedName name="IQ_CURRENT_PORT_PCT">"c2541"</definedName>
    <definedName name="IQ_CURRENT_RATIO">"c246"</definedName>
    <definedName name="IQ_CY">10000</definedName>
    <definedName name="IQ_DA">"c247"</definedName>
    <definedName name="IQ_DA_BR">"c248"</definedName>
    <definedName name="IQ_DA_CF">"c249"</definedName>
    <definedName name="IQ_DA_CF_BNK">"c250"</definedName>
    <definedName name="IQ_DA_CF_BR">"c251"</definedName>
    <definedName name="IQ_DA_CF_FIN">"c252"</definedName>
    <definedName name="IQ_DA_CF_INS">"c253"</definedName>
    <definedName name="IQ_DA_CF_REIT">"c254"</definedName>
    <definedName name="IQ_DA_CF_UTI">"c255"</definedName>
    <definedName name="IQ_DA_FIN">"c256"</definedName>
    <definedName name="IQ_DA_INS">"c257"</definedName>
    <definedName name="IQ_DA_REIT">"c258"</definedName>
    <definedName name="IQ_DA_SUPPL">"c259"</definedName>
    <definedName name="IQ_DA_SUPPL_BR">"c260"</definedName>
    <definedName name="IQ_DA_SUPPL_CF">"c261"</definedName>
    <definedName name="IQ_DA_SUPPL_CF_BNK">"c262"</definedName>
    <definedName name="IQ_DA_SUPPL_CF_BR">"c263"</definedName>
    <definedName name="IQ_DA_SUPPL_CF_FIN">"c264"</definedName>
    <definedName name="IQ_DA_SUPPL_CF_INS">"c265"</definedName>
    <definedName name="IQ_DA_SUPPL_CF_REIT">"c266"</definedName>
    <definedName name="IQ_DA_SUPPL_CF_UTI">"c267"</definedName>
    <definedName name="IQ_DA_SUPPL_FIN">"c268"</definedName>
    <definedName name="IQ_DA_SUPPL_INS">"c269"</definedName>
    <definedName name="IQ_DA_SUPPL_REIT">"c270"</definedName>
    <definedName name="IQ_DA_SUPPL_UTI">"c271"</definedName>
    <definedName name="IQ_DA_UTI">"c272"</definedName>
    <definedName name="IQ_DAILY">500000</definedName>
    <definedName name="IQ_DAYS_COVER_SHORT">"c1578"</definedName>
    <definedName name="IQ_DAYS_INVENTORY_OUT">"c273"</definedName>
    <definedName name="IQ_DAYS_PAY_OUTST">"c1362"</definedName>
    <definedName name="IQ_DAYS_PAYABLE_OUT">"c274"</definedName>
    <definedName name="IQ_DAYS_SALES_OUT">"c275"</definedName>
    <definedName name="IQ_DAYS_SALES_OUTST">"c1363"</definedName>
    <definedName name="IQ_DEBT_ADJ">"c2515"</definedName>
    <definedName name="IQ_DEBT_ADJ_PCT">"c2516"</definedName>
    <definedName name="IQ_DEBT_EQUIV_NET_PBO">"c2938"</definedName>
    <definedName name="IQ_DEBT_EQUIV_OPER_LEASE">"c2935"</definedName>
    <definedName name="IQ_DEF_ACQ_CST">"c1364"</definedName>
    <definedName name="IQ_DEF_AMORT">"c276"</definedName>
    <definedName name="IQ_DEF_AMORT_BNK">"c277"</definedName>
    <definedName name="IQ_DEF_AMORT_BR">"c278"</definedName>
    <definedName name="IQ_DEF_AMORT_FIN">"c279"</definedName>
    <definedName name="IQ_DEF_AMORT_INS">"c280"</definedName>
    <definedName name="IQ_DEF_AMORT_REIT">"c281"</definedName>
    <definedName name="IQ_DEF_AMORT_UTI">"c282"</definedName>
    <definedName name="IQ_DEF_BENEFIT_INTEREST_COST">"c283"</definedName>
    <definedName name="IQ_DEF_BENEFIT_INTEREST_COST_DOMESTIC">"c2652"</definedName>
    <definedName name="IQ_DEF_BENEFIT_INTEREST_COST_FOREIGN">"c2660"</definedName>
    <definedName name="IQ_DEF_BENEFIT_OTHER_COST">"c284"</definedName>
    <definedName name="IQ_DEF_BENEFIT_OTHER_COST_DOMESTIC">"c2654"</definedName>
    <definedName name="IQ_DEF_BENEFIT_OTHER_COST_FOREIGN">"c2662"</definedName>
    <definedName name="IQ_DEF_BENEFIT_ROA">"c285"</definedName>
    <definedName name="IQ_DEF_BENEFIT_ROA_DOMESTIC">"c2653"</definedName>
    <definedName name="IQ_DEF_BENEFIT_ROA_FOREIGN">"c2661"</definedName>
    <definedName name="IQ_DEF_BENEFIT_SERVICE_COST">"c286"</definedName>
    <definedName name="IQ_DEF_BENEFIT_SERVICE_COST_DOMESTIC">"c2651"</definedName>
    <definedName name="IQ_DEF_BENEFIT_SERVICE_COST_FOREIGN">"c2659"</definedName>
    <definedName name="IQ_DEF_BENEFIT_TOTAL_COST">"c287"</definedName>
    <definedName name="IQ_DEF_BENEFIT_TOTAL_COST_DOMESTIC">"c2655"</definedName>
    <definedName name="IQ_DEF_BENEFIT_TOTAL_COST_FOREIGN">"c2663"</definedName>
    <definedName name="IQ_DEF_CHARGES_BR">"c288"</definedName>
    <definedName name="IQ_DEF_CHARGES_CF">"c289"</definedName>
    <definedName name="IQ_DEF_CHARGES_FIN">"c290"</definedName>
    <definedName name="IQ_DEF_CHARGES_INS">"c291"</definedName>
    <definedName name="IQ_DEF_CHARGES_LT">"c292"</definedName>
    <definedName name="IQ_DEF_CHARGES_LT_BNK">"c293"</definedName>
    <definedName name="IQ_DEF_CHARGES_LT_BR">"c294"</definedName>
    <definedName name="IQ_DEF_CHARGES_LT_FIN">"c295"</definedName>
    <definedName name="IQ_DEF_CHARGES_LT_INS">"c296"</definedName>
    <definedName name="IQ_DEF_CHARGES_LT_REIT">"c297"</definedName>
    <definedName name="IQ_DEF_CHARGES_LT_UTI">"c298"</definedName>
    <definedName name="IQ_DEF_CHARGES_REIT">"c299"</definedName>
    <definedName name="IQ_DEF_CONTRIBUTION_TOTAL_COST">"c300"</definedName>
    <definedName name="IQ_DEF_INC_TAX">"c1365"</definedName>
    <definedName name="IQ_DEF_POLICY_ACQ_COSTS">"c301"</definedName>
    <definedName name="IQ_DEF_POLICY_ACQ_COSTS_CF">"c302"</definedName>
    <definedName name="IQ_DEF_POLICY_AMORT">"c303"</definedName>
    <definedName name="IQ_DEF_TAX_ASSET_LT_BR">"c304"</definedName>
    <definedName name="IQ_DEF_TAX_ASSET_LT_FIN">"c305"</definedName>
    <definedName name="IQ_DEF_TAX_ASSET_LT_INS">"c306"</definedName>
    <definedName name="IQ_DEF_TAX_ASSET_LT_REIT">"c307"</definedName>
    <definedName name="IQ_DEF_TAX_ASSET_LT_UTI">"c308"</definedName>
    <definedName name="IQ_DEF_TAX_ASSETS_CURRENT">"c309"</definedName>
    <definedName name="IQ_DEF_TAX_ASSETS_LT">"c310"</definedName>
    <definedName name="IQ_DEF_TAX_ASSETS_LT_BNK">"c311"</definedName>
    <definedName name="IQ_DEF_TAX_LIAB_CURRENT">"c312"</definedName>
    <definedName name="IQ_DEF_TAX_LIAB_LT">"c313"</definedName>
    <definedName name="IQ_DEF_TAX_LIAB_LT_BNK">"c314"</definedName>
    <definedName name="IQ_DEF_TAX_LIAB_LT_BR">"c315"</definedName>
    <definedName name="IQ_DEF_TAX_LIAB_LT_FIN">"c316"</definedName>
    <definedName name="IQ_DEF_TAX_LIAB_LT_INS">"c317"</definedName>
    <definedName name="IQ_DEF_TAX_LIAB_LT_REIT">"c318"</definedName>
    <definedName name="IQ_DEF_TAX_LIAB_LT_UTI">"c319"</definedName>
    <definedName name="IQ_DEFERRED_DOMESTIC_TAXES">"c2077"</definedName>
    <definedName name="IQ_DEFERRED_FOREIGN_TAXES">"c2078"</definedName>
    <definedName name="IQ_DEFERRED_INC_TAX">"c1447"</definedName>
    <definedName name="IQ_DEFERRED_TAXES">"c1356"</definedName>
    <definedName name="IQ_DEMAND_DEP">"c320"</definedName>
    <definedName name="IQ_DEPOSITS_FIN">"c321"</definedName>
    <definedName name="IQ_DEPRE_AMORT">"c1360"</definedName>
    <definedName name="IQ_DEPRE_AMORT_SUPPL">"c1593"</definedName>
    <definedName name="IQ_DEPRE_DEPLE">"c1361"</definedName>
    <definedName name="IQ_DEPRE_SUPP">"c1443"</definedName>
    <definedName name="IQ_DESCRIPTION_LONG">"c1520"</definedName>
    <definedName name="IQ_DEVELOP_LAND">"c323"</definedName>
    <definedName name="IQ_DIFF_LASTCLOSE_TARGET_PRICE">"c1854"</definedName>
    <definedName name="IQ_DILUT_ADJUST">"c1621"</definedName>
    <definedName name="IQ_DILUT_EPS_EXCL">"c324"</definedName>
    <definedName name="IQ_DILUT_EPS_INCL">"c325"</definedName>
    <definedName name="IQ_DILUT_EPS_NORM">"c1903"</definedName>
    <definedName name="IQ_DILUT_NI">"c2079"</definedName>
    <definedName name="IQ_DILUT_NORMAL_EPS">"c1594"</definedName>
    <definedName name="IQ_DILUT_WEIGHT">"c326"</definedName>
    <definedName name="IQ_DIRECT_AH_EARNED">"c2740"</definedName>
    <definedName name="IQ_DIRECT_EARNED">"c2730"</definedName>
    <definedName name="IQ_DIRECT_LIFE_EARNED">"c2735"</definedName>
    <definedName name="IQ_DIRECT_LIFE_IN_FORCE">"c2765"</definedName>
    <definedName name="IQ_DIRECT_PC_EARNED">"c2745"</definedName>
    <definedName name="IQ_DIRECT_WRITTEN">"c2724"</definedName>
    <definedName name="IQ_DISCONT_OPER">"c1367"</definedName>
    <definedName name="IQ_DISCOUNT_RATE_PENSION_DOMESTIC">"c327"</definedName>
    <definedName name="IQ_DISCOUNT_RATE_PENSION_FOREIGN">"c328"</definedName>
    <definedName name="IQ_DISTR_EXCESS_EARN">"c329"</definedName>
    <definedName name="IQ_DISTRIBUTABLE_CASH">"c3002"</definedName>
    <definedName name="IQ_DISTRIBUTABLE_CASH_PAYOUT">"c3005"</definedName>
    <definedName name="IQ_DISTRIBUTABLE_CASH_SHARE">"c3003"</definedName>
    <definedName name="IQ_DIV_AMOUNT">"c3041"</definedName>
    <definedName name="IQ_DIV_PAYMENT_DATE">"c2205"</definedName>
    <definedName name="IQ_DIV_RECORD_DATE">"c2204"</definedName>
    <definedName name="IQ_DIV_SHARE">"c330"</definedName>
    <definedName name="IQ_DIVEST_CF">"c331"</definedName>
    <definedName name="IQ_DIVID_SHARE">"c1366"</definedName>
    <definedName name="IQ_DIVIDEND_YIELD">"c332"</definedName>
    <definedName name="IQ_DNTM">700000</definedName>
    <definedName name="IQ_DO">"c333"</definedName>
    <definedName name="IQ_DO_ASSETS_CURRENT">"c334"</definedName>
    <definedName name="IQ_DO_ASSETS_LT">"c335"</definedName>
    <definedName name="IQ_DO_CF">"c336"</definedName>
    <definedName name="IQ_DPAC_ACC">"c2799"</definedName>
    <definedName name="IQ_DPAC_AMORT">"c2795"</definedName>
    <definedName name="IQ_DPAC_BEG">"c2791"</definedName>
    <definedName name="IQ_DPAC_COMMISSIONS">"c2792"</definedName>
    <definedName name="IQ_DPAC_END">"c2801"</definedName>
    <definedName name="IQ_DPAC_FX">"c2798"</definedName>
    <definedName name="IQ_DPAC_OTHER_ADJ">"c2800"</definedName>
    <definedName name="IQ_DPAC_OTHERS">"c2793"</definedName>
    <definedName name="IQ_DPAC_PERIOD">"c2794"</definedName>
    <definedName name="IQ_DPAC_REAL_GAIN">"c2797"</definedName>
    <definedName name="IQ_DPAC_UNREAL_GAIN">"c2796"</definedName>
    <definedName name="IQ_DPS_10YR_ANN_GROWTH">"c337"</definedName>
    <definedName name="IQ_DPS_1YR_ANN_GROWTH">"c338"</definedName>
    <definedName name="IQ_DPS_2YR_ANN_GROWTH">"c339"</definedName>
    <definedName name="IQ_DPS_3YR_ANN_GROWTH">"c340"</definedName>
    <definedName name="IQ_DPS_5YR_ANN_GROWTH">"c341"</definedName>
    <definedName name="IQ_DPS_7YR_ANN_GROWTH">"c342"</definedName>
    <definedName name="IQ_DPS_ACT_OR_EST">"c2218"</definedName>
    <definedName name="IQ_DPS_EST">"c1674"</definedName>
    <definedName name="IQ_DPS_HIGH_EST">"c1676"</definedName>
    <definedName name="IQ_DPS_LOW_EST">"c1677"</definedName>
    <definedName name="IQ_DPS_MEDIAN_EST">"c1675"</definedName>
    <definedName name="IQ_DPS_NUM_EST">"c1678"</definedName>
    <definedName name="IQ_DPS_STDDEV_EST">"c1679"</definedName>
    <definedName name="IQ_EARNING_ASSET_YIELD">"c343"</definedName>
    <definedName name="IQ_EARNING_CO">"c344"</definedName>
    <definedName name="IQ_EARNING_CO_10YR_ANN_GROWTH">"c345"</definedName>
    <definedName name="IQ_EARNING_CO_1YR_ANN_GROWTH">"c346"</definedName>
    <definedName name="IQ_EARNING_CO_2YR_ANN_GROWTH">"c347"</definedName>
    <definedName name="IQ_EARNING_CO_3YR_ANN_GROWTH">"c348"</definedName>
    <definedName name="IQ_EARNING_CO_5YR_ANN_GROWTH">"c349"</definedName>
    <definedName name="IQ_EARNING_CO_7YR_ANN_GROWTH">"c350"</definedName>
    <definedName name="IQ_EARNING_CO_MARGIN">"c351"</definedName>
    <definedName name="IQ_EARNINGS_ANNOUNCE_DATE">"c1649"</definedName>
    <definedName name="IQ_EBIT">"c352"</definedName>
    <definedName name="IQ_EBIT_10YR_ANN_GROWTH">"c353"</definedName>
    <definedName name="IQ_EBIT_1YR_ANN_GROWTH">"c354"</definedName>
    <definedName name="IQ_EBIT_2YR_ANN_GROWTH">"c355"</definedName>
    <definedName name="IQ_EBIT_3YR_ANN_GROWTH">"c356"</definedName>
    <definedName name="IQ_EBIT_5YR_ANN_GROWTH">"c357"</definedName>
    <definedName name="IQ_EBIT_7YR_ANN_GROWTH">"c358"</definedName>
    <definedName name="IQ_EBIT_ACT_OR_EST">"c2219"</definedName>
    <definedName name="IQ_EBIT_EST">"c1681"</definedName>
    <definedName name="IQ_EBIT_HIGH_EST">"c1683"</definedName>
    <definedName name="IQ_EBIT_INT">"c360"</definedName>
    <definedName name="IQ_EBIT_LOW_EST">"c1684"</definedName>
    <definedName name="IQ_EBIT_MARGIN">"c359"</definedName>
    <definedName name="IQ_EBIT_MEDIAN_EST">"c1682"</definedName>
    <definedName name="IQ_EBIT_NUM_EST">"c1685"</definedName>
    <definedName name="IQ_EBIT_OVER_IE">"c1369"</definedName>
    <definedName name="IQ_EBIT_STDDEV_EST">"c1686"</definedName>
    <definedName name="IQ_EBITA">"c1910"</definedName>
    <definedName name="IQ_EBITA_10YR_ANN_GROWTH">"c1954"</definedName>
    <definedName name="IQ_EBITA_1YR_ANN_GROWTH">"c1949"</definedName>
    <definedName name="IQ_EBITA_2YR_ANN_GROWTH">"c1950"</definedName>
    <definedName name="IQ_EBITA_3YR_ANN_GROWTH">"c1951"</definedName>
    <definedName name="IQ_EBITA_5YR_ANN_GROWTH">"c1952"</definedName>
    <definedName name="IQ_EBITA_7YR_ANN_GROWTH">"c1953"</definedName>
    <definedName name="IQ_EBITA_MARGIN">"c1963"</definedName>
    <definedName name="IQ_EBITDA">"c361"</definedName>
    <definedName name="IQ_EBITDA_10YR_ANN_GROWTH">"c362"</definedName>
    <definedName name="IQ_EBITDA_1YR_ANN_GROWTH">"c363"</definedName>
    <definedName name="IQ_EBITDA_2YR_ANN_GROWTH">"c364"</definedName>
    <definedName name="IQ_EBITDA_3YR_ANN_GROWTH">"c365"</definedName>
    <definedName name="IQ_EBITDA_5YR_ANN_GROWTH">"c366"</definedName>
    <definedName name="IQ_EBITDA_7YR_ANN_GROWTH">"c367"</definedName>
    <definedName name="IQ_EBITDA_ACT_OR_EST">"c2215"</definedName>
    <definedName name="IQ_EBITDA_CAPEX_INT">"c368"</definedName>
    <definedName name="IQ_EBITDA_CAPEX_OVER_TOTAL_IE">"c1370"</definedName>
    <definedName name="IQ_EBITDA_EST">"c369"</definedName>
    <definedName name="IQ_EBITDA_HIGH_EST">"c370"</definedName>
    <definedName name="IQ_EBITDA_INT">"c373"</definedName>
    <definedName name="IQ_EBITDA_LOW_EST">"c371"</definedName>
    <definedName name="IQ_EBITDA_MARGIN">"c372"</definedName>
    <definedName name="IQ_EBITDA_MEDIAN_EST">"c1663"</definedName>
    <definedName name="IQ_EBITDA_NUM_EST">"c374"</definedName>
    <definedName name="IQ_EBITDA_OVER_TOTAL_IE">"c1371"</definedName>
    <definedName name="IQ_EBITDA_STDDEV_EST">"c375"</definedName>
    <definedName name="IQ_EBITDAR">"c2989"</definedName>
    <definedName name="IQ_EBT">"c376"</definedName>
    <definedName name="IQ_EBT_BNK">"c377"</definedName>
    <definedName name="IQ_EBT_BR">"c378"</definedName>
    <definedName name="IQ_EBT_EXCL">"c379"</definedName>
    <definedName name="IQ_EBT_EXCL_BNK">"c380"</definedName>
    <definedName name="IQ_EBT_EXCL_BR">"c381"</definedName>
    <definedName name="IQ_EBT_EXCL_FIN">"c382"</definedName>
    <definedName name="IQ_EBT_EXCL_INS">"c383"</definedName>
    <definedName name="IQ_EBT_EXCL_MARGIN">"c1462"</definedName>
    <definedName name="IQ_EBT_EXCL_REIT">"c384"</definedName>
    <definedName name="IQ_EBT_EXCL_UTI">"c385"</definedName>
    <definedName name="IQ_EBT_FIN">"c386"</definedName>
    <definedName name="IQ_EBT_INCL_MARGIN">"c387"</definedName>
    <definedName name="IQ_EBT_INS">"c388"</definedName>
    <definedName name="IQ_EBT_REIT">"c389"</definedName>
    <definedName name="IQ_EBT_UTI">"c390"</definedName>
    <definedName name="IQ_EFFECT_SPECIAL_CHARGE">"c1595"</definedName>
    <definedName name="IQ_EFFECT_TAX_RATE">"c1899"</definedName>
    <definedName name="IQ_EFFICIENCY_RATIO">"c391"</definedName>
    <definedName name="IQ_EMPLOYEES">"c392"</definedName>
    <definedName name="IQ_ENTERPRISE_VALUE">"c1348"</definedName>
    <definedName name="IQ_EPS_10YR_ANN_GROWTH">"c393"</definedName>
    <definedName name="IQ_EPS_1YR_ANN_GROWTH">"c394"</definedName>
    <definedName name="IQ_EPS_2YR_ANN_GROWTH">"c395"</definedName>
    <definedName name="IQ_EPS_3YR_ANN_GROWTH">"c396"</definedName>
    <definedName name="IQ_EPS_5YR_ANN_GROWTH">"c397"</definedName>
    <definedName name="IQ_EPS_7YR_ANN_GROWTH">"c398"</definedName>
    <definedName name="IQ_EPS_ACT_OR_EST">"c2213"</definedName>
    <definedName name="IQ_EPS_EST">"c399"</definedName>
    <definedName name="IQ_EPS_GW_ACT_OR_EST">"c2223"</definedName>
    <definedName name="IQ_EPS_GW_EST">"c1737"</definedName>
    <definedName name="IQ_EPS_GW_HIGH_EST">"c1739"</definedName>
    <definedName name="IQ_EPS_GW_LOW_EST">"c1740"</definedName>
    <definedName name="IQ_EPS_GW_MEDIAN_EST">"c1738"</definedName>
    <definedName name="IQ_EPS_GW_NUM_EST">"c1741"</definedName>
    <definedName name="IQ_EPS_GW_STDDEV_EST">"c1742"</definedName>
    <definedName name="IQ_EPS_HIGH_EST">"c400"</definedName>
    <definedName name="IQ_EPS_LOW_EST">"c401"</definedName>
    <definedName name="IQ_EPS_MEDIAN_EST">"c1661"</definedName>
    <definedName name="IQ_EPS_NORM">"c1902"</definedName>
    <definedName name="IQ_EPS_NORM_EST">"c2226"</definedName>
    <definedName name="IQ_EPS_NORM_HIGH_EST">"c2228"</definedName>
    <definedName name="IQ_EPS_NORM_LOW_EST">"c2229"</definedName>
    <definedName name="IQ_EPS_NORM_MEDIAN_EST">"c2227"</definedName>
    <definedName name="IQ_EPS_NORM_NUM_EST">"c2230"</definedName>
    <definedName name="IQ_EPS_NORM_STDDEV_EST">"c2231"</definedName>
    <definedName name="IQ_EPS_NUM_EST">"c402"</definedName>
    <definedName name="IQ_EPS_REPORT_ACT_OR_EST">"c2224"</definedName>
    <definedName name="IQ_EPS_REPORTED_EST">"c1744"</definedName>
    <definedName name="IQ_EPS_REPORTED_HIGH_EST">"c1746"</definedName>
    <definedName name="IQ_EPS_REPORTED_LOW_EST">"c1747"</definedName>
    <definedName name="IQ_EPS_REPORTED_MEDIAN_EST">"c1745"</definedName>
    <definedName name="IQ_EPS_REPORTED_NUM_EST">"c1748"</definedName>
    <definedName name="IQ_EPS_REPORTED_STDDEV_EST">"c1749"</definedName>
    <definedName name="IQ_EPS_STDDEV_EST">"c403"</definedName>
    <definedName name="IQ_EQUITY_AFFIL">"c1451"</definedName>
    <definedName name="IQ_EQUITY_METHOD">"c404"</definedName>
    <definedName name="IQ_EQV_OVER_BV">"c1596"</definedName>
    <definedName name="IQ_EQV_OVER_LTM_PRETAX_INC">"c1390"</definedName>
    <definedName name="IQ_ESOP_DEBT">"c1597"</definedName>
    <definedName name="IQ_EST_ACT_CFPS">"c1673"</definedName>
    <definedName name="IQ_EST_ACT_DPS">"c1680"</definedName>
    <definedName name="IQ_EST_ACT_EBIT">"c1687"</definedName>
    <definedName name="IQ_EST_ACT_EBITDA">"c1664"</definedName>
    <definedName name="IQ_EST_ACT_EPS">"c1648"</definedName>
    <definedName name="IQ_EST_ACT_EPS_GW">"c1743"</definedName>
    <definedName name="IQ_EST_ACT_EPS_NORM">"c2232"</definedName>
    <definedName name="IQ_EST_ACT_EPS_REPORTED">"c1750"</definedName>
    <definedName name="IQ_EST_ACT_FFO">"c1666"</definedName>
    <definedName name="IQ_EST_ACT_NAV">"c1757"</definedName>
    <definedName name="IQ_EST_ACT_NI">"c1722"</definedName>
    <definedName name="IQ_EST_ACT_NI_GW">"c1729"</definedName>
    <definedName name="IQ_EST_ACT_NI_REPORTED">"c1736"</definedName>
    <definedName name="IQ_EST_ACT_OPER_INC">"c1694"</definedName>
    <definedName name="IQ_EST_ACT_PRETAX_GW_INC">"c1708"</definedName>
    <definedName name="IQ_EST_ACT_PRETAX_INC">"c1701"</definedName>
    <definedName name="IQ_EST_ACT_PRETAX_REPORT_INC">"c1715"</definedName>
    <definedName name="IQ_EST_ACT_REV">"c2113"</definedName>
    <definedName name="IQ_EST_CFPS_DIFF">"c1871"</definedName>
    <definedName name="IQ_EST_CFPS_GROWTH_1YR">"c1774"</definedName>
    <definedName name="IQ_EST_CFPS_GROWTH_2YR">"c1775"</definedName>
    <definedName name="IQ_EST_CFPS_GROWTH_Q_1YR">"c1776"</definedName>
    <definedName name="IQ_EST_CFPS_SEQ_GROWTH_Q">"c1777"</definedName>
    <definedName name="IQ_EST_CFPS_SURPRISE_PERCENT">"c1872"</definedName>
    <definedName name="IQ_EST_CURRENCY">"c2140"</definedName>
    <definedName name="IQ_EST_DATE">"c1634"</definedName>
    <definedName name="IQ_EST_DPS_DIFF">"c1873"</definedName>
    <definedName name="IQ_EST_DPS_GROWTH_1YR">"c1778"</definedName>
    <definedName name="IQ_EST_DPS_GROWTH_2YR">"c1779"</definedName>
    <definedName name="IQ_EST_DPS_GROWTH_Q_1YR">"c1780"</definedName>
    <definedName name="IQ_EST_DPS_SEQ_GROWTH_Q">"c1781"</definedName>
    <definedName name="IQ_EST_DPS_SURPRISE_PERCENT">"c1874"</definedName>
    <definedName name="IQ_EST_EBIT_DIFF">"c1875"</definedName>
    <definedName name="IQ_EST_EBIT_SURPRISE_PERCENT">"c1876"</definedName>
    <definedName name="IQ_EST_EBITDA_DIFF">"c1867"</definedName>
    <definedName name="IQ_EST_EBITDA_GROWTH_1YR">"c1766"</definedName>
    <definedName name="IQ_EST_EBITDA_GROWTH_2YR">"c1767"</definedName>
    <definedName name="IQ_EST_EBITDA_GROWTH_Q_1YR">"c1768"</definedName>
    <definedName name="IQ_EST_EBITDA_SEQ_GROWTH_Q">"c1769"</definedName>
    <definedName name="IQ_EST_EBITDA_SURPRISE_PERCENT">"c1868"</definedName>
    <definedName name="IQ_EST_EPS_DIFF">"c1864"</definedName>
    <definedName name="IQ_EST_EPS_GROWTH_1YR">"c1636"</definedName>
    <definedName name="IQ_EST_EPS_GROWTH_2YR">"c1637"</definedName>
    <definedName name="IQ_EST_EPS_GROWTH_5YR">"c1655"</definedName>
    <definedName name="IQ_EST_EPS_GROWTH_5YR_HIGH">"c1657"</definedName>
    <definedName name="IQ_EST_EPS_GROWTH_5YR_LOW">"c1658"</definedName>
    <definedName name="IQ_EST_EPS_GROWTH_5YR_MEDIAN">"c1656"</definedName>
    <definedName name="IQ_EST_EPS_GROWTH_5YR_NUM">"c1659"</definedName>
    <definedName name="IQ_EST_EPS_GROWTH_5YR_STDDEV">"c1660"</definedName>
    <definedName name="IQ_EST_EPS_GROWTH_Q_1YR">"c1641"</definedName>
    <definedName name="IQ_EST_EPS_GW_DIFF">"c1891"</definedName>
    <definedName name="IQ_EST_EPS_GW_SURPRISE_PERCENT">"c1892"</definedName>
    <definedName name="IQ_EST_EPS_NORM_DIFF">"c2247"</definedName>
    <definedName name="IQ_EST_EPS_NORM_SURPRISE_PERCENT">"c2248"</definedName>
    <definedName name="IQ_EST_EPS_REPORT_DIFF">"c1893"</definedName>
    <definedName name="IQ_EST_EPS_REPORT_SURPRISE_PERCENT">"c1894"</definedName>
    <definedName name="IQ_EST_EPS_SEQ_GROWTH_Q">"c1764"</definedName>
    <definedName name="IQ_EST_EPS_SURPRISE_PERCENT">"c1635"</definedName>
    <definedName name="IQ_EST_FFO_DIFF">"c1869"</definedName>
    <definedName name="IQ_EST_FFO_GROWTH_1YR">"c1770"</definedName>
    <definedName name="IQ_EST_FFO_GROWTH_2YR">"c1771"</definedName>
    <definedName name="IQ_EST_FFO_GROWTH_Q_1YR">"c1772"</definedName>
    <definedName name="IQ_EST_FFO_SEQ_GROWTH_Q">"c1773"</definedName>
    <definedName name="IQ_EST_FFO_SURPRISE_PERCENT">"c1870"</definedName>
    <definedName name="IQ_EST_NAV_DIFF">"c1895"</definedName>
    <definedName name="IQ_EST_NAV_SURPRISE_PERCENT">"c1896"</definedName>
    <definedName name="IQ_EST_NI_DIFF">"c1885"</definedName>
    <definedName name="IQ_EST_NI_GW_DIFF">"c1887"</definedName>
    <definedName name="IQ_EST_NI_GW_SURPRISE_PERCENT">"c1888"</definedName>
    <definedName name="IQ_EST_NI_REPORT_DIFF">"c1889"</definedName>
    <definedName name="IQ_EST_NI_REPORT_SURPRISE_PERCENT">"c1890"</definedName>
    <definedName name="IQ_EST_NI_SURPRISE_PERCENT">"c1886"</definedName>
    <definedName name="IQ_EST_NUM_BUY">"c1759"</definedName>
    <definedName name="IQ_EST_NUM_HOLD">"c1761"</definedName>
    <definedName name="IQ_EST_NUM_NO_OPINION">"c1758"</definedName>
    <definedName name="IQ_EST_NUM_OUTPERFORM">"c1760"</definedName>
    <definedName name="IQ_EST_NUM_SELL">"c1763"</definedName>
    <definedName name="IQ_EST_NUM_UNDERPERFORM">"c1762"</definedName>
    <definedName name="IQ_EST_OPER_INC_DIFF">"c1877"</definedName>
    <definedName name="IQ_EST_OPER_INC_SURPRISE_PERCENT">"c1878"</definedName>
    <definedName name="IQ_EST_PRE_TAX_DIFF">"c1879"</definedName>
    <definedName name="IQ_EST_PRE_TAX_GW_DIFF">"c1881"</definedName>
    <definedName name="IQ_EST_PRE_TAX_GW_SURPRISE_PERCENT">"c1882"</definedName>
    <definedName name="IQ_EST_PRE_TAX_REPORT_DIFF">"c1883"</definedName>
    <definedName name="IQ_EST_PRE_TAX_REPORT_SURPRISE_PERCENT">"c1884"</definedName>
    <definedName name="IQ_EST_PRE_TAX_SURPRISE_PERCENT">"c1880"</definedName>
    <definedName name="IQ_EST_REV_DIFF">"c1865"</definedName>
    <definedName name="IQ_EST_REV_GROWTH_1YR">"c1638"</definedName>
    <definedName name="IQ_EST_REV_GROWTH_2YR">"c1639"</definedName>
    <definedName name="IQ_EST_REV_GROWTH_Q_1YR">"c1640"</definedName>
    <definedName name="IQ_EST_REV_SEQ_GROWTH_Q">"c1765"</definedName>
    <definedName name="IQ_EST_REV_SURPRISE_PERCENT">"c1866"</definedName>
    <definedName name="IQ_EV_OVER_EMPLOYEE">"c1428"</definedName>
    <definedName name="IQ_EV_OVER_LTM_EBIT">"c1426"</definedName>
    <definedName name="IQ_EV_OVER_LTM_EBITDA">"c1427"</definedName>
    <definedName name="IQ_EV_OVER_LTM_REVENUE">"c1429"</definedName>
    <definedName name="IQ_EXCHANGE">"c405"</definedName>
    <definedName name="IQ_EXERCISE_PRICE">"c1897"</definedName>
    <definedName name="IQ_EXERCISED">"c406"</definedName>
    <definedName name="IQ_EXP_RETURN_PENSION_DOMESTIC">"c407"</definedName>
    <definedName name="IQ_EXP_RETURN_PENSION_FOREIGN">"c408"</definedName>
    <definedName name="IQ_EXPLORE_DRILL">"c409"</definedName>
    <definedName name="IQ_EXTRA_ACC_ITEMS">"c410"</definedName>
    <definedName name="IQ_EXTRA_ACC_ITEMS_BNK">"c411"</definedName>
    <definedName name="IQ_EXTRA_ACC_ITEMS_BR">"c412"</definedName>
    <definedName name="IQ_EXTRA_ACC_ITEMS_FIN">"c413"</definedName>
    <definedName name="IQ_EXTRA_ACC_ITEMS_INS">"c414"</definedName>
    <definedName name="IQ_EXTRA_ACC_ITEMS_REIT">"c415"</definedName>
    <definedName name="IQ_EXTRA_ACC_ITEMS_UTI">"c416"</definedName>
    <definedName name="IQ_EXTRA_ITEMS">"c1459"</definedName>
    <definedName name="IQ_FDIC">"c417"</definedName>
    <definedName name="IQ_FEDFUNDS_SOLD">"c2256"</definedName>
    <definedName name="IQ_FFO">"c1574"</definedName>
    <definedName name="IQ_FFO_ACT_OR_EST">"c2216"</definedName>
    <definedName name="IQ_FFO_EST">"c418"</definedName>
    <definedName name="IQ_FFO_HIGH_EST">"c419"</definedName>
    <definedName name="IQ_FFO_LOW_EST">"c420"</definedName>
    <definedName name="IQ_FFO_MEDIAN_EST">"c1665"</definedName>
    <definedName name="IQ_FFO_NUM_EST">"c421"</definedName>
    <definedName name="IQ_FFO_STDDEV_EST">"c422"</definedName>
    <definedName name="IQ_FH">100000</definedName>
    <definedName name="IQ_FHLB_DEBT">"c423"</definedName>
    <definedName name="IQ_FHLB_DUE_CY">"c2080"</definedName>
    <definedName name="IQ_FHLB_DUE_CY1">"c2081"</definedName>
    <definedName name="IQ_FHLB_DUE_CY2">"c2082"</definedName>
    <definedName name="IQ_FHLB_DUE_CY3">"c2083"</definedName>
    <definedName name="IQ_FHLB_DUE_CY4">"c2084"</definedName>
    <definedName name="IQ_FHLB_DUE_NEXT_FIVE">"c2085"</definedName>
    <definedName name="IQ_FILING_CURRENCY">"c2129"</definedName>
    <definedName name="IQ_FILINGDATE_BS">"c424"</definedName>
    <definedName name="IQ_FILINGDATE_CF">"c425"</definedName>
    <definedName name="IQ_FILINGDATE_IS">"c426"</definedName>
    <definedName name="IQ_FILM_RIGHTS">"c2254"</definedName>
    <definedName name="IQ_FIN_DIV_ASSETS_CURRENT">"c427"</definedName>
    <definedName name="IQ_FIN_DIV_ASSETS_LT">"c428"</definedName>
    <definedName name="IQ_FIN_DIV_DEBT_CURRENT">"c429"</definedName>
    <definedName name="IQ_FIN_DIV_DEBT_LT">"c430"</definedName>
    <definedName name="IQ_FIN_DIV_EXP">"c431"</definedName>
    <definedName name="IQ_FIN_DIV_INT_EXP">"c432"</definedName>
    <definedName name="IQ_FIN_DIV_LIAB_CURRENT">"c433"</definedName>
    <definedName name="IQ_FIN_DIV_LIAB_LT">"c434"</definedName>
    <definedName name="IQ_FIN_DIV_LOANS_CURRENT">"c435"</definedName>
    <definedName name="IQ_FIN_DIV_LOANS_LT">"c436"</definedName>
    <definedName name="IQ_FIN_DIV_REV">"c437"</definedName>
    <definedName name="IQ_FINANCING_CASH">"c1405"</definedName>
    <definedName name="IQ_FINANCING_CASH_SUPPL">"c1406"</definedName>
    <definedName name="IQ_FINISHED_INV">"c438"</definedName>
    <definedName name="IQ_FIRST_YEAR_LIFE">"c439"</definedName>
    <definedName name="IQ_FIRST_YEAR_LIFE_PREM">"c2787"</definedName>
    <definedName name="IQ_FIRST_YEAR_PREM">"c2786"</definedName>
    <definedName name="IQ_FIRSTPRICINGDATE">"c3050"</definedName>
    <definedName name="IQ_FISCAL_Q">"c440"</definedName>
    <definedName name="IQ_FISCAL_Y">"c441"</definedName>
    <definedName name="IQ_FIVE_PERCENT_OWNER">"c442"</definedName>
    <definedName name="IQ_FIVEPERCENT_PERCENT">"c443"</definedName>
    <definedName name="IQ_FIVEPERCENT_SHARES">"c444"</definedName>
    <definedName name="IQ_FIXED_ASSET_TURNS">"c445"</definedName>
    <definedName name="IQ_FLOAT_PERCENT">"c1575"</definedName>
    <definedName name="IQ_FOREIGN_DEP_IB">"c446"</definedName>
    <definedName name="IQ_FOREIGN_DEP_NON_IB">"c447"</definedName>
    <definedName name="IQ_FOREIGN_EXCHANGE">"c1376"</definedName>
    <definedName name="IQ_FOREIGN_LOANS">"c448"</definedName>
    <definedName name="IQ_FQ">500</definedName>
    <definedName name="IQ_FUEL">"c449"</definedName>
    <definedName name="IQ_FULL_TIME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>"c451"</definedName>
    <definedName name="IQ_FY">1000</definedName>
    <definedName name="IQ_GA_EXP">"c2241"</definedName>
    <definedName name="IQ_GAIN_ASSETS">"c452"</definedName>
    <definedName name="IQ_GAIN_ASSETS_BNK">"c453"</definedName>
    <definedName name="IQ_GAIN_ASSETS_BR">"c454"</definedName>
    <definedName name="IQ_GAIN_ASSETS_CF">"c455"</definedName>
    <definedName name="IQ_GAIN_ASSETS_CF_BNK">"c456"</definedName>
    <definedName name="IQ_GAIN_ASSETS_CF_BR">"c457"</definedName>
    <definedName name="IQ_GAIN_ASSETS_CF_FIN">"c458"</definedName>
    <definedName name="IQ_GAIN_ASSETS_CF_INS">"c459"</definedName>
    <definedName name="IQ_GAIN_ASSETS_CF_REIT">"c460"</definedName>
    <definedName name="IQ_GAIN_ASSETS_CF_UTI">"c461"</definedName>
    <definedName name="IQ_GAIN_ASSETS_FIN">"c462"</definedName>
    <definedName name="IQ_GAIN_ASSETS_INS">"c463"</definedName>
    <definedName name="IQ_GAIN_ASSETS_REIT">"c471"</definedName>
    <definedName name="IQ_GAIN_ASSETS_REV">"c472"</definedName>
    <definedName name="IQ_GAIN_ASSETS_REV_BNK">"c473"</definedName>
    <definedName name="IQ_GAIN_ASSETS_REV_BR">"c474"</definedName>
    <definedName name="IQ_GAIN_ASSETS_REV_FIN">"c475"</definedName>
    <definedName name="IQ_GAIN_ASSETS_REV_INS">"c476"</definedName>
    <definedName name="IQ_GAIN_ASSETS_REV_REIT">"c477"</definedName>
    <definedName name="IQ_GAIN_ASSETS_REV_UTI">"c478"</definedName>
    <definedName name="IQ_GAIN_ASSETS_UTI">"c479"</definedName>
    <definedName name="IQ_GAIN_INVEST">"c1463"</definedName>
    <definedName name="IQ_GAIN_INVEST_BNK">"c1582"</definedName>
    <definedName name="IQ_GAIN_INVEST_BR">"c1464"</definedName>
    <definedName name="IQ_GAIN_INVEST_CF">"c480"</definedName>
    <definedName name="IQ_GAIN_INVEST_CF_BNK">"c481"</definedName>
    <definedName name="IQ_GAIN_INVEST_CF_BR">"c482"</definedName>
    <definedName name="IQ_GAIN_INVEST_CF_FIN">"c483"</definedName>
    <definedName name="IQ_GAIN_INVEST_CF_INS">"c484"</definedName>
    <definedName name="IQ_GAIN_INVEST_CF_REIT">"c485"</definedName>
    <definedName name="IQ_GAIN_INVEST_CF_UTI">"c486"</definedName>
    <definedName name="IQ_GAIN_INVEST_FIN">"c1465"</definedName>
    <definedName name="IQ_GAIN_INVEST_INS">"c1466"</definedName>
    <definedName name="IQ_GAIN_INVEST_REIT">"c1467"</definedName>
    <definedName name="IQ_GAIN_INVEST_REV">"c494"</definedName>
    <definedName name="IQ_GAIN_INVEST_REV_BNK">"c495"</definedName>
    <definedName name="IQ_GAIN_INVEST_REV_BR">"c496"</definedName>
    <definedName name="IQ_GAIN_INVEST_REV_FIN">"c497"</definedName>
    <definedName name="IQ_GAIN_INVEST_REV_INS">"c498"</definedName>
    <definedName name="IQ_GAIN_INVEST_REV_REIT">"c499"</definedName>
    <definedName name="IQ_GAIN_INVEST_REV_UTI">"c500"</definedName>
    <definedName name="IQ_GAIN_INVEST_UTI">"c1468"</definedName>
    <definedName name="IQ_GAIN_LOANS_REC">"c501"</definedName>
    <definedName name="IQ_GAIN_LOANS_RECEIV">"c502"</definedName>
    <definedName name="IQ_GAIN_LOANS_RECEIV_REV_FIN">"c503"</definedName>
    <definedName name="IQ_GAIN_LOANS_REV">"c504"</definedName>
    <definedName name="IQ_GAIN_SALE_ASSETS">"c1377"</definedName>
    <definedName name="IQ_GOODWILL_NET">"c1380"</definedName>
    <definedName name="IQ_GP">"c511"</definedName>
    <definedName name="IQ_GP_10YR_ANN_GROWTH">"c512"</definedName>
    <definedName name="IQ_GP_1YR_ANN_GROWTH">"c513"</definedName>
    <definedName name="IQ_GP_2YR_ANN_GROWTH">"c514"</definedName>
    <definedName name="IQ_GP_3YR_ANN_GROWTH">"c515"</definedName>
    <definedName name="IQ_GP_5YR_ANN_GROWTH">"c516"</definedName>
    <definedName name="IQ_GP_7YR_ANN_GROWTH">"c517"</definedName>
    <definedName name="IQ_GPPE">"c518"</definedName>
    <definedName name="IQ_GROSS_AH_EARNED">"c2742"</definedName>
    <definedName name="IQ_GROSS_CLAIM_EXP_INCUR">"c2755"</definedName>
    <definedName name="IQ_GROSS_CLAIM_EXP_PAID">"c2758"</definedName>
    <definedName name="IQ_GROSS_CLAIM_EXP_RES">"c2752"</definedName>
    <definedName name="IQ_GROSS_DIVID">"c1446"</definedName>
    <definedName name="IQ_GROSS_EARNED">"c2732"</definedName>
    <definedName name="IQ_GROSS_LIFE_EARNED">"c2737"</definedName>
    <definedName name="IQ_GROSS_LIFE_IN_FORCE">"c2767"</definedName>
    <definedName name="IQ_GROSS_LOANS">"c521"</definedName>
    <definedName name="IQ_GROSS_LOANS_10YR_ANN_GROWTH">"c522"</definedName>
    <definedName name="IQ_GROSS_LOANS_1YR_ANN_GROWTH">"c523"</definedName>
    <definedName name="IQ_GROSS_LOANS_2YR_ANN_GROWTH">"c524"</definedName>
    <definedName name="IQ_GROSS_LOANS_3YR_ANN_GROWTH">"c525"</definedName>
    <definedName name="IQ_GROSS_LOANS_5YR_ANN_GROWTH">"c526"</definedName>
    <definedName name="IQ_GROSS_LOANS_7YR_ANN_GROWTH">"c527"</definedName>
    <definedName name="IQ_GROSS_LOANS_TOTAL_DEPOSITS">"c528"</definedName>
    <definedName name="IQ_GROSS_MARGIN">"c529"</definedName>
    <definedName name="IQ_GROSS_PC_EARNED">"c2747"</definedName>
    <definedName name="IQ_GROSS_PROFIT">"c1378"</definedName>
    <definedName name="IQ_GROSS_WRITTEN">"c2726"</definedName>
    <definedName name="IQ_GW">"c530"</definedName>
    <definedName name="IQ_GW_AMORT_BR">"c532"</definedName>
    <definedName name="IQ_GW_AMORT_FIN">"c540"</definedName>
    <definedName name="IQ_GW_AMORT_INS">"c541"</definedName>
    <definedName name="IQ_GW_AMORT_REIT">"c542"</definedName>
    <definedName name="IQ_GW_AMORT_UTI">"c543"</definedName>
    <definedName name="IQ_GW_INTAN_AMORT">"c1469"</definedName>
    <definedName name="IQ_GW_INTAN_AMORT_BNK">"c544"</definedName>
    <definedName name="IQ_GW_INTAN_AMORT_BR">"c1470"</definedName>
    <definedName name="IQ_GW_INTAN_AMORT_CF">"c1471"</definedName>
    <definedName name="IQ_GW_INTAN_AMORT_CF_BNK">"c1472"</definedName>
    <definedName name="IQ_GW_INTAN_AMORT_CF_BR">"c1473"</definedName>
    <definedName name="IQ_GW_INTAN_AMORT_CF_FIN">"c1474"</definedName>
    <definedName name="IQ_GW_INTAN_AMORT_CF_INS">"c1475"</definedName>
    <definedName name="IQ_GW_INTAN_AMORT_CF_REIT">"c1476"</definedName>
    <definedName name="IQ_GW_INTAN_AMORT_CF_UTI">"c1477"</definedName>
    <definedName name="IQ_GW_INTAN_AMORT_FIN">"c1478"</definedName>
    <definedName name="IQ_GW_INTAN_AMORT_INS">"c1479"</definedName>
    <definedName name="IQ_GW_INTAN_AMORT_REIT">"c1480"</definedName>
    <definedName name="IQ_GW_INTAN_AMORT_UTI">"c1481"</definedName>
    <definedName name="IQ_HIGH_TARGET_PRICE">"c1651"</definedName>
    <definedName name="IQ_HIGHPRICE">"c545"</definedName>
    <definedName name="IQ_HOMEOWNERS_WRITTEN">"c546"</definedName>
    <definedName name="IQ_IMPAIR_OIL">"c547"</definedName>
    <definedName name="IQ_IMPAIRMENT_GW">"c548"</definedName>
    <definedName name="IQ_IMPUT_OPER_LEASE_DEPR">"c2987"</definedName>
    <definedName name="IQ_IMPUT_OPER_LEASE_INT_EXP">"c2986"</definedName>
    <definedName name="IQ_INC_AFTER_TAX">"c1598"</definedName>
    <definedName name="IQ_INC_AVAIL_EXCL">"c1395"</definedName>
    <definedName name="IQ_INC_AVAIL_INCL">"c1396"</definedName>
    <definedName name="IQ_INC_BEFORE_TAX">"c1375"</definedName>
    <definedName name="IQ_INC_EQUITY">"c549"</definedName>
    <definedName name="IQ_INC_EQUITY_BR">"c550"</definedName>
    <definedName name="IQ_INC_EQUITY_CF">"c551"</definedName>
    <definedName name="IQ_INC_EQUITY_FIN">"c552"</definedName>
    <definedName name="IQ_INC_EQUITY_INS">"c553"</definedName>
    <definedName name="IQ_INC_EQUITY_REC_BNK">"c554"</definedName>
    <definedName name="IQ_INC_EQUITY_REIT">"c555"</definedName>
    <definedName name="IQ_INC_EQUITY_REV_BNK">"c556"</definedName>
    <definedName name="IQ_INC_EQUITY_UTI">"c557"</definedName>
    <definedName name="IQ_INC_REAL_ESTATE_REC">"c558"</definedName>
    <definedName name="IQ_INC_REAL_ESTATE_REV">"c559"</definedName>
    <definedName name="IQ_INC_TAX">"c560"</definedName>
    <definedName name="IQ_INC_TAX_EXCL">"c1599"</definedName>
    <definedName name="IQ_INC_TAX_PAY_CURRENT">"c561"</definedName>
    <definedName name="IQ_INC_TRADE_ACT">"c562"</definedName>
    <definedName name="IQ_INS_ANNUITY_LIAB">"c563"</definedName>
    <definedName name="IQ_INS_ANNUITY_REV">"c2788"</definedName>
    <definedName name="IQ_INS_DIV_EXP">"c564"</definedName>
    <definedName name="IQ_INS_DIV_REV">"c565"</definedName>
    <definedName name="IQ_INS_IN_FORCE">"c566"</definedName>
    <definedName name="IQ_INS_LIAB">"c567"</definedName>
    <definedName name="IQ_INS_POLICY_EXP">"c568"</definedName>
    <definedName name="IQ_INS_REV">"c569"</definedName>
    <definedName name="IQ_INS_SETTLE">"c570"</definedName>
    <definedName name="IQ_INS_SETTLE_BNK">"c571"</definedName>
    <definedName name="IQ_INS_SETTLE_BR">"c572"</definedName>
    <definedName name="IQ_INS_SETTLE_FIN">"c573"</definedName>
    <definedName name="IQ_INS_SETTLE_INS">"c574"</definedName>
    <definedName name="IQ_INS_SETTLE_REIT">"c575"</definedName>
    <definedName name="IQ_INS_SETTLE_UTI">"c576"</definedName>
    <definedName name="IQ_INSIDER_3MTH_BOUGHT_PCT">"c1534"</definedName>
    <definedName name="IQ_INSIDER_3MTH_NET_PCT">"c1535"</definedName>
    <definedName name="IQ_INSIDER_3MTH_SOLD_PCT">"c1533"</definedName>
    <definedName name="IQ_INSIDER_6MTH_BOUGHT_PCT">"c1537"</definedName>
    <definedName name="IQ_INSIDER_6MTH_NET_PCT">"c1538"</definedName>
    <definedName name="IQ_INSIDER_6MTH_SOLD_PCT">"c1536"</definedName>
    <definedName name="IQ_INSIDER_OVER_TOTAL">"c1581"</definedName>
    <definedName name="IQ_INSIDER_OWNER">"c577"</definedName>
    <definedName name="IQ_INSIDER_PERCENT">"c578"</definedName>
    <definedName name="IQ_INSIDER_SHARES">"c579"</definedName>
    <definedName name="IQ_INSTITUTIONAL_OVER_TOTAL">"c1580"</definedName>
    <definedName name="IQ_INSTITUTIONAL_OWNER">"c580"</definedName>
    <definedName name="IQ_INSTITUTIONAL_PERCENT">"c581"</definedName>
    <definedName name="IQ_INSTITUTIONAL_SHARES">"c582"</definedName>
    <definedName name="IQ_INSUR_RECEIV">"c1600"</definedName>
    <definedName name="IQ_INT_BORROW">"c583"</definedName>
    <definedName name="IQ_INT_DEPOSITS">"c584"</definedName>
    <definedName name="IQ_INT_DIV_INC">"c585"</definedName>
    <definedName name="IQ_INT_EXP_BR">"c586"</definedName>
    <definedName name="IQ_INT_EXP_COVERAGE">"c587"</definedName>
    <definedName name="IQ_INT_EXP_FIN">"c588"</definedName>
    <definedName name="IQ_INT_EXP_INCL_CAP">"c2988"</definedName>
    <definedName name="IQ_INT_EXP_INS">"c589"</definedName>
    <definedName name="IQ_INT_EXP_LTD">"c2086"</definedName>
    <definedName name="IQ_INT_EXP_REIT">"c590"</definedName>
    <definedName name="IQ_INT_EXP_TOTAL">"c591"</definedName>
    <definedName name="IQ_INT_EXP_UTI">"c592"</definedName>
    <definedName name="IQ_INT_INC_BR">"c593"</definedName>
    <definedName name="IQ_INT_INC_FIN">"c594"</definedName>
    <definedName name="IQ_INT_INC_INVEST">"c595"</definedName>
    <definedName name="IQ_INT_INC_LOANS">"c596"</definedName>
    <definedName name="IQ_INT_INC_REIT">"c597"</definedName>
    <definedName name="IQ_INT_INC_TOTAL">"c598"</definedName>
    <definedName name="IQ_INT_INC_UTI">"c599"</definedName>
    <definedName name="IQ_INT_INV_INC">"c600"</definedName>
    <definedName name="IQ_INT_INV_INC_REIT">"c601"</definedName>
    <definedName name="IQ_INT_INV_INC_UTI">"c602"</definedName>
    <definedName name="IQ_INT_ON_BORROWING_COVERAGE">"c603"</definedName>
    <definedName name="IQ_INT_RATE_SPREAD">"c604"</definedName>
    <definedName name="IQ_INTANGIBLES_NET">"c1407"</definedName>
    <definedName name="IQ_INTEREST_CASH_DEPOSITS">"c2255"</definedName>
    <definedName name="IQ_INTEREST_EXP">"c618"</definedName>
    <definedName name="IQ_INTEREST_EXP_NET">"c1450"</definedName>
    <definedName name="IQ_INTEREST_EXP_NON">"c1383"</definedName>
    <definedName name="IQ_INTEREST_EXP_SUPPL">"c1460"</definedName>
    <definedName name="IQ_INTEREST_INC">"c1393"</definedName>
    <definedName name="IQ_INTEREST_INC_NON">"c1384"</definedName>
    <definedName name="IQ_INTEREST_INVEST_INC">"c619"</definedName>
    <definedName name="IQ_INV_10YR_ANN_GROWTH">"c1930"</definedName>
    <definedName name="IQ_INV_1YR_ANN_GROWTH">"c1925"</definedName>
    <definedName name="IQ_INV_2YR_ANN_GROWTH">"c1926"</definedName>
    <definedName name="IQ_INV_3YR_ANN_GROWTH">"c1927"</definedName>
    <definedName name="IQ_INV_5YR_ANN_GROWTH">"c1928"</definedName>
    <definedName name="IQ_INV_7YR_ANN_GROWTH">"c1929"</definedName>
    <definedName name="IQ_INV_BANKING_FEE">"c620"</definedName>
    <definedName name="IQ_INV_METHOD">"c621"</definedName>
    <definedName name="IQ_INVENTORY">"c622"</definedName>
    <definedName name="IQ_INVENTORY_TURNS">"c623"</definedName>
    <definedName name="IQ_INVENTORY_UTI">"c624"</definedName>
    <definedName name="IQ_INVEST_DEBT">"c625"</definedName>
    <definedName name="IQ_INVEST_EQUITY_PREF">"c626"</definedName>
    <definedName name="IQ_INVEST_FHLB">"c627"</definedName>
    <definedName name="IQ_INVEST_LOANS_CF">"c628"</definedName>
    <definedName name="IQ_INVEST_LOANS_CF_BNK">"c629"</definedName>
    <definedName name="IQ_INVEST_LOANS_CF_BR">"c630"</definedName>
    <definedName name="IQ_INVEST_LOANS_CF_FIN">"c631"</definedName>
    <definedName name="IQ_INVEST_LOANS_CF_INS">"c632"</definedName>
    <definedName name="IQ_INVEST_LOANS_CF_REIT">"c633"</definedName>
    <definedName name="IQ_INVEST_LOANS_CF_UTI">"c634"</definedName>
    <definedName name="IQ_INVEST_REAL_ESTATE">"c635"</definedName>
    <definedName name="IQ_INVEST_SECURITY">"c636"</definedName>
    <definedName name="IQ_INVEST_SECURITY_CF">"c637"</definedName>
    <definedName name="IQ_INVEST_SECURITY_CF_BNK">"c638"</definedName>
    <definedName name="IQ_INVEST_SECURITY_CF_BR">"c639"</definedName>
    <definedName name="IQ_INVEST_SECURITY_CF_FIN">"c640"</definedName>
    <definedName name="IQ_INVEST_SECURITY_CF_INS">"c641"</definedName>
    <definedName name="IQ_INVEST_SECURITY_CF_REIT">"c642"</definedName>
    <definedName name="IQ_INVEST_SECURITY_CF_UTI">"c643"</definedName>
    <definedName name="IQ_IPRD">"c644"</definedName>
    <definedName name="IQ_ISS_DEBT_NET">"c1391"</definedName>
    <definedName name="IQ_ISS_STOCK_NET">"c1601"</definedName>
    <definedName name="IQ_JR_SUB_DEBT">"c2534"</definedName>
    <definedName name="IQ_JR_SUB_DEBT_EBITDA">"c2560"</definedName>
    <definedName name="IQ_JR_SUB_DEBT_EBITDA_CAPEX">"c2561"</definedName>
    <definedName name="IQ_JR_SUB_DEBT_PCT">"c2535"</definedName>
    <definedName name="IQ_LAND">"c645"</definedName>
    <definedName name="IQ_LAST_SPLIT_DATE">"c2095"</definedName>
    <definedName name="IQ_LAST_SPLIT_FACTOR">"c2093"</definedName>
    <definedName name="IQ_LASTPRICINGDATE">"c3051"</definedName>
    <definedName name="IQ_LASTSALEPRICE">"c646"</definedName>
    <definedName name="IQ_LASTSALEPRICE_DATE">"c2109"</definedName>
    <definedName name="IQ_LATESTK" hidden="1">1000</definedName>
    <definedName name="IQ_LATESTQ" hidden="1">500</definedName>
    <definedName name="IQ_LEGAL_SETTLE">"c647"</definedName>
    <definedName name="IQ_LEGAL_SETTLE_BNK">"c648"</definedName>
    <definedName name="IQ_LEGAL_SETTLE_BR">"c649"</definedName>
    <definedName name="IQ_LEGAL_SETTLE_FIN">"c650"</definedName>
    <definedName name="IQ_LEGAL_SETTLE_INS">"c651"</definedName>
    <definedName name="IQ_LEGAL_SETTLE_REIT">"c652"</definedName>
    <definedName name="IQ_LEGAL_SETTLE_UTI">"c653"</definedName>
    <definedName name="IQ_LEVERAGE_RATIO">"c654"</definedName>
    <definedName name="IQ_LEVERED_FCF">"c1907"</definedName>
    <definedName name="IQ_LFCF_10YR_ANN_GROWTH">"c1942"</definedName>
    <definedName name="IQ_LFCF_1YR_ANN_GROWTH">"c1937"</definedName>
    <definedName name="IQ_LFCF_2YR_ANN_GROWTH">"c1938"</definedName>
    <definedName name="IQ_LFCF_3YR_ANN_GROWTH">"c1939"</definedName>
    <definedName name="IQ_LFCF_5YR_ANN_GROWTH">"c1940"</definedName>
    <definedName name="IQ_LFCF_7YR_ANN_GROWTH">"c1941"</definedName>
    <definedName name="IQ_LFCF_MARGIN">"c1961"</definedName>
    <definedName name="IQ_LH_STATUTORY_SURPLUS">"c2771"</definedName>
    <definedName name="IQ_LICENSED_POPS">"c2123"</definedName>
    <definedName name="IQ_LIFE_EARNED">"c2739"</definedName>
    <definedName name="IQ_LIFOR">"c655"</definedName>
    <definedName name="IQ_LL">"c656"</definedName>
    <definedName name="IQ_LOAN_LEASE_RECEIV">"c657"</definedName>
    <definedName name="IQ_LOAN_LOSS">"c1386"</definedName>
    <definedName name="IQ_LOAN_SERVICE_REV">"c658"</definedName>
    <definedName name="IQ_LOANS_CF">"c659"</definedName>
    <definedName name="IQ_LOANS_CF_BNK">"c660"</definedName>
    <definedName name="IQ_LOANS_CF_BR">"c661"</definedName>
    <definedName name="IQ_LOANS_CF_FIN">"c662"</definedName>
    <definedName name="IQ_LOANS_CF_INS">"c663"</definedName>
    <definedName name="IQ_LOANS_CF_REIT">"c664"</definedName>
    <definedName name="IQ_LOANS_CF_UTI">"c665"</definedName>
    <definedName name="IQ_LOANS_FOR_SALE">"c666"</definedName>
    <definedName name="IQ_LOANS_PAST_DUE">"c667"</definedName>
    <definedName name="IQ_LOANS_RECEIV_CURRENT">"c668"</definedName>
    <definedName name="IQ_LOANS_RECEIV_LT">"c669"</definedName>
    <definedName name="IQ_LOANS_RECEIV_LT_UTI">"c670"</definedName>
    <definedName name="IQ_LONG_TERM_DEBT">"c1387"</definedName>
    <definedName name="IQ_LONG_TERM_DEBT_OVER_TOTAL_CAP">"c1388"</definedName>
    <definedName name="IQ_LONG_TERM_GROWTH">"c671"</definedName>
    <definedName name="IQ_LONG_TERM_INV">"c1389"</definedName>
    <definedName name="IQ_LOSS_LOSS_EXP">"c672"</definedName>
    <definedName name="IQ_LOSS_TO_NET_EARNED">"c2751"</definedName>
    <definedName name="IQ_LOW_TARGET_PRICE">"c1652"</definedName>
    <definedName name="IQ_LOWPRICE">"c673"</definedName>
    <definedName name="IQ_LT_DEBT">"c674"</definedName>
    <definedName name="IQ_LT_DEBT_BNK">"c675"</definedName>
    <definedName name="IQ_LT_DEBT_BR">"c676"</definedName>
    <definedName name="IQ_LT_DEBT_CAPITAL">"c677"</definedName>
    <definedName name="IQ_LT_DEBT_CAPITAL_LEASES">"c2542"</definedName>
    <definedName name="IQ_LT_DEBT_CAPITAL_LEASES_PCT">"c2543"</definedName>
    <definedName name="IQ_LT_DEBT_EQUITY">"c678"</definedName>
    <definedName name="IQ_LT_DEBT_FIN">"c679"</definedName>
    <definedName name="IQ_LT_DEBT_INS">"c680"</definedName>
    <definedName name="IQ_LT_DEBT_ISSUED">"c681"</definedName>
    <definedName name="IQ_LT_DEBT_ISSUED_BNK">"c682"</definedName>
    <definedName name="IQ_LT_DEBT_ISSUED_BR">"c683"</definedName>
    <definedName name="IQ_LT_DEBT_ISSUED_FIN">"c684"</definedName>
    <definedName name="IQ_LT_DEBT_ISSUED_INS">"c685"</definedName>
    <definedName name="IQ_LT_DEBT_ISSUED_REIT">"c686"</definedName>
    <definedName name="IQ_LT_DEBT_ISSUED_UTI">"c687"</definedName>
    <definedName name="IQ_LT_DEBT_REIT">"c688"</definedName>
    <definedName name="IQ_LT_DEBT_REPAID">"c689"</definedName>
    <definedName name="IQ_LT_DEBT_REPAID_BNK">"c690"</definedName>
    <definedName name="IQ_LT_DEBT_REPAID_BR">"c691"</definedName>
    <definedName name="IQ_LT_DEBT_REPAID_FIN">"c692"</definedName>
    <definedName name="IQ_LT_DEBT_REPAID_INS">"c693"</definedName>
    <definedName name="IQ_LT_DEBT_REPAID_REIT">"c694"</definedName>
    <definedName name="IQ_LT_DEBT_REPAID_UTI">"c695"</definedName>
    <definedName name="IQ_LT_DEBT_UTI">"c696"</definedName>
    <definedName name="IQ_LT_INVEST">"c697"</definedName>
    <definedName name="IQ_LT_INVEST_BR">"c698"</definedName>
    <definedName name="IQ_LT_INVEST_FIN">"c699"</definedName>
    <definedName name="IQ_LT_INVEST_REIT">"c700"</definedName>
    <definedName name="IQ_LT_INVEST_UTI">"c701"</definedName>
    <definedName name="IQ_LT_NOTE_RECEIV">"c1602"</definedName>
    <definedName name="IQ_LTD_DUE_AFTER_FIVE">"c704"</definedName>
    <definedName name="IQ_LTD_DUE_CY">"c705"</definedName>
    <definedName name="IQ_LTD_DUE_CY1">"c706"</definedName>
    <definedName name="IQ_LTD_DUE_CY2">"c707"</definedName>
    <definedName name="IQ_LTD_DUE_CY3">"c708"</definedName>
    <definedName name="IQ_LTD_DUE_CY4">"c709"</definedName>
    <definedName name="IQ_LTD_DUE_NEXT_FIVE">"c710"</definedName>
    <definedName name="IQ_LTM">2000</definedName>
    <definedName name="IQ_LTM_REVENUE_OVER_EMPLOYEES">"c1437"</definedName>
    <definedName name="IQ_LTMMONTH" hidden="1">120000</definedName>
    <definedName name="IQ_MACHINERY">"c711"</definedName>
    <definedName name="IQ_MAINT_CAPEX">"c2947"</definedName>
    <definedName name="IQ_MAINT_REPAIR">"c2087"</definedName>
    <definedName name="IQ_MARKET_CAP_LFCF">"c2209"</definedName>
    <definedName name="IQ_MARKETCAP">"c712"</definedName>
    <definedName name="IQ_MARKETING">"c2239"</definedName>
    <definedName name="IQ_MC_RATIO">"c2783"</definedName>
    <definedName name="IQ_MC_STATUTORY_SURPLUS">"c2772"</definedName>
    <definedName name="IQ_MEDIAN_TARGET_PRICE">"c1650"</definedName>
    <definedName name="IQ_MERGER">"c713"</definedName>
    <definedName name="IQ_MERGER_BNK">"c714"</definedName>
    <definedName name="IQ_MERGER_BR">"c715"</definedName>
    <definedName name="IQ_MERGER_FIN">"c716"</definedName>
    <definedName name="IQ_MERGER_INS">"c717"</definedName>
    <definedName name="IQ_MERGER_REIT">"c718"</definedName>
    <definedName name="IQ_MERGER_RESTRUCTURE">"c719"</definedName>
    <definedName name="IQ_MERGER_RESTRUCTURE_BNK">"c720"</definedName>
    <definedName name="IQ_MERGER_RESTRUCTURE_BR">"c721"</definedName>
    <definedName name="IQ_MERGER_RESTRUCTURE_FIN">"c722"</definedName>
    <definedName name="IQ_MERGER_RESTRUCTURE_INS">"c723"</definedName>
    <definedName name="IQ_MERGER_RESTRUCTURE_REIT">"c724"</definedName>
    <definedName name="IQ_MERGER_RESTRUCTURE_UTI">"c725"</definedName>
    <definedName name="IQ_MERGER_UTI">"c726"</definedName>
    <definedName name="IQ_MINORITY_INTEREST">"c727"</definedName>
    <definedName name="IQ_MINORITY_INTEREST_BNK">"c728"</definedName>
    <definedName name="IQ_MINORITY_INTEREST_BR">"c729"</definedName>
    <definedName name="IQ_MINORITY_INTEREST_CF">"c730"</definedName>
    <definedName name="IQ_MINORITY_INTEREST_FIN">"c731"</definedName>
    <definedName name="IQ_MINORITY_INTEREST_INS">"c732"</definedName>
    <definedName name="IQ_MINORITY_INTEREST_IS">"c733"</definedName>
    <definedName name="IQ_MINORITY_INTEREST_REIT">"c734"</definedName>
    <definedName name="IQ_MINORITY_INTEREST_TOTAL">"c1905"</definedName>
    <definedName name="IQ_MINORITY_INTEREST_UTI">"c735"</definedName>
    <definedName name="IQ_MISC_ADJUST_CF">"c736"</definedName>
    <definedName name="IQ_MISC_EARN_ADJ">"c1603"</definedName>
    <definedName name="IQ_MKTCAP_EBT_EXCL">"c737"</definedName>
    <definedName name="IQ_MKTCAP_EBT_EXCL_AVG">"c738"</definedName>
    <definedName name="IQ_MKTCAP_EBT_INCL_AVG">"c739"</definedName>
    <definedName name="IQ_MKTCAP_TOTAL_REV">"c740"</definedName>
    <definedName name="IQ_MKTCAP_TOTAL_REV_AVG">"c741"</definedName>
    <definedName name="IQ_MKTCAP_TOTAL_REV_FWD">"c742"</definedName>
    <definedName name="IQ_MM_ACCOUNT">"c743"</definedName>
    <definedName name="IQ_MONTH">15000</definedName>
    <definedName name="IQ_MORT_BANK_ACT">"c744"</definedName>
    <definedName name="IQ_MORT_BANKING_FEE">"c745"</definedName>
    <definedName name="IQ_MORT_INT_INC">"c746"</definedName>
    <definedName name="IQ_MORT_LOANS">"c747"</definedName>
    <definedName name="IQ_MORT_SECURITY">"c748"</definedName>
    <definedName name="IQ_MORTGAGE_SERV_RIGHTS">"c2242"</definedName>
    <definedName name="IQ_MTD">800000</definedName>
    <definedName name="IQ_NAMES_REVISION_DATE_">41626.981087963</definedName>
    <definedName name="IQ_NAV_ACT_OR_EST">"c2225"</definedName>
    <definedName name="IQ_NAV_EST">"c1751"</definedName>
    <definedName name="IQ_NAV_HIGH_EST">"c1753"</definedName>
    <definedName name="IQ_NAV_LOW_EST">"c1754"</definedName>
    <definedName name="IQ_NAV_MEDIAN_EST">"c1752"</definedName>
    <definedName name="IQ_NAV_NUM_EST">"c1755"</definedName>
    <definedName name="IQ_NAV_STDDEV_EST">"c1756"</definedName>
    <definedName name="IQ_NET_CHANGE">"c749"</definedName>
    <definedName name="IQ_NET_CLAIM_EXP_INCUR">"c2757"</definedName>
    <definedName name="IQ_NET_CLAIM_EXP_INCUR_CY">"c2761"</definedName>
    <definedName name="IQ_NET_CLAIM_EXP_INCUR_PY">"c2762"</definedName>
    <definedName name="IQ_NET_CLAIM_EXP_PAID">"c2760"</definedName>
    <definedName name="IQ_NET_CLAIM_EXP_PAID_CY">"c2763"</definedName>
    <definedName name="IQ_NET_CLAIM_EXP_PAID_PY">"c2764"</definedName>
    <definedName name="IQ_NET_CLAIM_EXP_RES">"c2754"</definedName>
    <definedName name="IQ_NET_DEBT">"c1584"</definedName>
    <definedName name="IQ_NET_DEBT_EBITDA">"c750"</definedName>
    <definedName name="IQ_NET_DEBT_EBITDA_CAPEX">"c2949"</definedName>
    <definedName name="IQ_NET_DEBT_ISSUED">"c751"</definedName>
    <definedName name="IQ_NET_DEBT_ISSUED_BNK">"c752"</definedName>
    <definedName name="IQ_NET_DEBT_ISSUED_BR">"c753"</definedName>
    <definedName name="IQ_NET_DEBT_ISSUED_FIN">"c754"</definedName>
    <definedName name="IQ_NET_DEBT_ISSUED_INS">"c755"</definedName>
    <definedName name="IQ_NET_DEBT_ISSUED_REIT">"c756"</definedName>
    <definedName name="IQ_NET_DEBT_ISSUED_UTI">"c757"</definedName>
    <definedName name="IQ_NET_EARNED">"c2734"</definedName>
    <definedName name="IQ_NET_INC">"c1394"</definedName>
    <definedName name="IQ_NET_INC_BEFORE">"c1368"</definedName>
    <definedName name="IQ_NET_INC_CF">"c1397"</definedName>
    <definedName name="IQ_NET_INC_MARGIN">"c1398"</definedName>
    <definedName name="IQ_NET_INT_INC_10YR_ANN_GROWTH">"c758"</definedName>
    <definedName name="IQ_NET_INT_INC_1YR_ANN_GROWTH">"c759"</definedName>
    <definedName name="IQ_NET_INT_INC_2YR_ANN_GROWTH">"c760"</definedName>
    <definedName name="IQ_NET_INT_INC_3YR_ANN_GROWTH">"c761"</definedName>
    <definedName name="IQ_NET_INT_INC_5YR_ANN_GROWTH">"c762"</definedName>
    <definedName name="IQ_NET_INT_INC_7YR_ANN_GROWTH">"c763"</definedName>
    <definedName name="IQ_NET_INT_INC_BNK">"c764"</definedName>
    <definedName name="IQ_NET_INT_INC_BR">"c765"</definedName>
    <definedName name="IQ_NET_INT_INC_FIN">"c766"</definedName>
    <definedName name="IQ_NET_INT_INC_TOTAL_REV">"c767"</definedName>
    <definedName name="IQ_NET_INT_MARGIN">"c768"</definedName>
    <definedName name="IQ_NET_INTEREST_EXP">"c769"</definedName>
    <definedName name="IQ_NET_INTEREST_EXP_REIT">"c770"</definedName>
    <definedName name="IQ_NET_INTEREST_EXP_UTI">"c771"</definedName>
    <definedName name="IQ_NET_INTEREST_INC">"c1392"</definedName>
    <definedName name="IQ_NET_INTEREST_INC_AFTER_LL">"c1604"</definedName>
    <definedName name="IQ_NET_LIFE_INS_IN_FORCE">"c2769"</definedName>
    <definedName name="IQ_NET_LOANS">"c772"</definedName>
    <definedName name="IQ_NET_LOANS_10YR_ANN_GROWTH">"c773"</definedName>
    <definedName name="IQ_NET_LOANS_1YR_ANN_GROWTH">"c774"</definedName>
    <definedName name="IQ_NET_LOANS_2YR_ANN_GROWTH">"c775"</definedName>
    <definedName name="IQ_NET_LOANS_3YR_ANN_GROWTH">"c776"</definedName>
    <definedName name="IQ_NET_LOANS_5YR_ANN_GROWTH">"c777"</definedName>
    <definedName name="IQ_NET_LOANS_7YR_ANN_GROWTH">"c778"</definedName>
    <definedName name="IQ_NET_LOANS_TOTAL_DEPOSITS">"c779"</definedName>
    <definedName name="IQ_NET_RENTAL_EXP_FN">"c780"</definedName>
    <definedName name="IQ_NET_TO_GROSS_EARNED">"c2750"</definedName>
    <definedName name="IQ_NET_TO_GROSS_WRITTEN">"c2729"</definedName>
    <definedName name="IQ_NET_WRITTEN">"c2728"</definedName>
    <definedName name="IQ_NEW_PREM">"c2785"</definedName>
    <definedName name="IQ_NI">"c781"</definedName>
    <definedName name="IQ_NI_10YR_ANN_GROWTH">"c782"</definedName>
    <definedName name="IQ_NI_1YR_ANN_GROWTH">"c783"</definedName>
    <definedName name="IQ_NI_2YR_ANN_GROWTH">"c784"</definedName>
    <definedName name="IQ_NI_3YR_ANN_GROWTH">"c785"</definedName>
    <definedName name="IQ_NI_5YR_ANN_GROWTH">"c786"</definedName>
    <definedName name="IQ_NI_7YR_ANN_GROWTH">"c787"</definedName>
    <definedName name="IQ_NI_ACT_OR_EST">"c2222"</definedName>
    <definedName name="IQ_NI_AFTER_CAPITALIZED">"c788"</definedName>
    <definedName name="IQ_NI_AVAIL_EXCL">"c789"</definedName>
    <definedName name="IQ_NI_AVAIL_EXCL_MARGIN">"c790"</definedName>
    <definedName name="IQ_NI_AVAIL_INCL">"c791"</definedName>
    <definedName name="IQ_NI_BEFORE_CAPITALIZED">"c792"</definedName>
    <definedName name="IQ_NI_CF">"c793"</definedName>
    <definedName name="IQ_NI_EST">"c1716"</definedName>
    <definedName name="IQ_NI_GW_EST">"c1723"</definedName>
    <definedName name="IQ_NI_GW_HIGH_EST">"c1725"</definedName>
    <definedName name="IQ_NI_GW_LOW_EST">"c1726"</definedName>
    <definedName name="IQ_NI_GW_MEDIAN_EST">"c1724"</definedName>
    <definedName name="IQ_NI_GW_NUM_EST">"c1727"</definedName>
    <definedName name="IQ_NI_GW_STDDEV_EST">"c1728"</definedName>
    <definedName name="IQ_NI_HIGH_EST">"c1718"</definedName>
    <definedName name="IQ_NI_LOW_EST">"c1719"</definedName>
    <definedName name="IQ_NI_MARGIN">"c794"</definedName>
    <definedName name="IQ_NI_MEDIAN_EST">"c1717"</definedName>
    <definedName name="IQ_NI_NORM">"c1901"</definedName>
    <definedName name="IQ_NI_NORM_10YR_ANN_GROWTH">"c1960"</definedName>
    <definedName name="IQ_NI_NORM_1YR_ANN_GROWTH">"c1955"</definedName>
    <definedName name="IQ_NI_NORM_2YR_ANN_GROWTH">"c1956"</definedName>
    <definedName name="IQ_NI_NORM_3YR_ANN_GROWTH">"c1957"</definedName>
    <definedName name="IQ_NI_NORM_5YR_ANN_GROWTH">"c1958"</definedName>
    <definedName name="IQ_NI_NORM_7YR_ANN_GROWTH">"c1959"</definedName>
    <definedName name="IQ_NI_NORM_MARGIN">"c1964"</definedName>
    <definedName name="IQ_NI_NUM_EST">"c1720"</definedName>
    <definedName name="IQ_NI_REPORTED_EST">"c1730"</definedName>
    <definedName name="IQ_NI_REPORTED_HIGH_EST">"c1732"</definedName>
    <definedName name="IQ_NI_REPORTED_LOW_EST">"c1733"</definedName>
    <definedName name="IQ_NI_REPORTED_MEDIAN_EST">"c1731"</definedName>
    <definedName name="IQ_NI_REPORTED_NUM_EST">"c1734"</definedName>
    <definedName name="IQ_NI_REPORTED_STDDEV_EST">"c1735"</definedName>
    <definedName name="IQ_NI_SFAS">"c795"</definedName>
    <definedName name="IQ_NI_STDDEV_EST">"c1721"</definedName>
    <definedName name="IQ_NON_ACCRUAL_LOANS">"c796"</definedName>
    <definedName name="IQ_NON_CASH">"c1399"</definedName>
    <definedName name="IQ_NON_CASH_ITEMS">"c797"</definedName>
    <definedName name="IQ_NON_INS_EXP">"c798"</definedName>
    <definedName name="IQ_NON_INS_REV">"c799"</definedName>
    <definedName name="IQ_NON_INT_BEAR_CD">"c800"</definedName>
    <definedName name="IQ_NON_INT_EXP">"c801"</definedName>
    <definedName name="IQ_NON_INT_INC">"c802"</definedName>
    <definedName name="IQ_NON_INT_INC_10YR_ANN_GROWTH">"c803"</definedName>
    <definedName name="IQ_NON_INT_INC_1YR_ANN_GROWTH">"c804"</definedName>
    <definedName name="IQ_NON_INT_INC_2YR_ANN_GROWTH">"c805"</definedName>
    <definedName name="IQ_NON_INT_INC_3YR_ANN_GROWTH">"c806"</definedName>
    <definedName name="IQ_NON_INT_INC_5YR_ANN_GROWTH">"c807"</definedName>
    <definedName name="IQ_NON_INT_INC_7YR_ANN_GROWTH">"c808"</definedName>
    <definedName name="IQ_NON_INTEREST_EXP">"c1400"</definedName>
    <definedName name="IQ_NON_INTEREST_INC">"c1401"</definedName>
    <definedName name="IQ_NON_OPER_EXP">"c809"</definedName>
    <definedName name="IQ_NON_OPER_INC">"c810"</definedName>
    <definedName name="IQ_NON_PERF_ASSETS_10YR_ANN_GROWTH">"c811"</definedName>
    <definedName name="IQ_NON_PERF_ASSETS_1YR_ANN_GROWTH">"c812"</definedName>
    <definedName name="IQ_NON_PERF_ASSETS_2YR_ANN_GROWTH">"c813"</definedName>
    <definedName name="IQ_NON_PERF_ASSETS_3YR_ANN_GROWTH">"c814"</definedName>
    <definedName name="IQ_NON_PERF_ASSETS_5YR_ANN_GROWTH">"c815"</definedName>
    <definedName name="IQ_NON_PERF_ASSETS_7YR_ANN_GROWTH">"c816"</definedName>
    <definedName name="IQ_NON_PERF_ASSETS_TOTAL_ASSETS">"c817"</definedName>
    <definedName name="IQ_NON_PERF_LOANS_10YR_ANN_GROWTH">"c818"</definedName>
    <definedName name="IQ_NON_PERF_LOANS_1YR_ANN_GROWTH">"c819"</definedName>
    <definedName name="IQ_NON_PERF_LOANS_2YR_ANN_GROWTH">"c820"</definedName>
    <definedName name="IQ_NON_PERF_LOANS_3YR_ANN_GROWTH">"c821"</definedName>
    <definedName name="IQ_NON_PERF_LOANS_5YR_ANN_GROWTH">"c822"</definedName>
    <definedName name="IQ_NON_PERF_LOANS_7YR_ANN_GROWTH">"c823"</definedName>
    <definedName name="IQ_NON_PERF_LOANS_TOTAL_ASSETS">"c824"</definedName>
    <definedName name="IQ_NON_PERF_LOANS_TOTAL_LOANS">"c825"</definedName>
    <definedName name="IQ_NON_PERFORMING_ASSETS">"c826"</definedName>
    <definedName name="IQ_NON_PERFORMING_LOANS">"c827"</definedName>
    <definedName name="IQ_NONCASH_PENSION_EXP">"c3000"</definedName>
    <definedName name="IQ_NONRECOURSE_DEBT">"c2550"</definedName>
    <definedName name="IQ_NONRECOURSE_DEBT_PCT">"c2551"</definedName>
    <definedName name="IQ_NONUTIL_REV">"c2089"</definedName>
    <definedName name="IQ_NORM_EPS_ACT_OR_EST">"c2249"</definedName>
    <definedName name="IQ_NORMAL_INC_AFTER">"c1605"</definedName>
    <definedName name="IQ_NORMAL_INC_AVAIL">"c1606"</definedName>
    <definedName name="IQ_NORMAL_INC_BEFORE">"c1607"</definedName>
    <definedName name="IQ_NOTES_PAY">"c1423"</definedName>
    <definedName name="IQ_NOW_ACCOUNT">"c828"</definedName>
    <definedName name="IQ_NPPE">"c829"</definedName>
    <definedName name="IQ_NPPE_10YR_ANN_GROWTH">"c830"</definedName>
    <definedName name="IQ_NPPE_1YR_ANN_GROWTH">"c831"</definedName>
    <definedName name="IQ_NPPE_2YR_ANN_GROWTH">"c832"</definedName>
    <definedName name="IQ_NPPE_3YR_ANN_GROWTH">"c833"</definedName>
    <definedName name="IQ_NPPE_5YR_ANN_GROWTH">"c834"</definedName>
    <definedName name="IQ_NPPE_7YR_ANN_GROWTH">"c835"</definedName>
    <definedName name="IQ_NTM">6000</definedName>
    <definedName name="IQ_NUKE">"c836"</definedName>
    <definedName name="IQ_NUKE_CF">"c837"</definedName>
    <definedName name="IQ_NUKE_CONTR">"c838"</definedName>
    <definedName name="IQ_NUM_BRANCHES">"c2088"</definedName>
    <definedName name="IQ_NUMBER_ADRHOLDERS">"c1970"</definedName>
    <definedName name="IQ_NUMBER_DAYS">"c1904"</definedName>
    <definedName name="IQ_NUMBER_SHAREHOLDERS">"c1967"</definedName>
    <definedName name="IQ_NUMBER_SHAREHOLDERS_CLASSA">"c1968"</definedName>
    <definedName name="IQ_NUMBER_SHAREHOLDERS_OTHER">"c1969"</definedName>
    <definedName name="IQ_OCCUPY_EXP">"c839"</definedName>
    <definedName name="IQ_OG_10DISC">"c1998"</definedName>
    <definedName name="IQ_OG_10DISC_GAS">"c2018"</definedName>
    <definedName name="IQ_OG_10DISC_OIL">"c2008"</definedName>
    <definedName name="IQ_OG_ACQ_COST_PROVED">"c1975"</definedName>
    <definedName name="IQ_OG_ACQ_COST_PROVED_GAS">"c1987"</definedName>
    <definedName name="IQ_OG_ACQ_COST_PROVED_OIL">"c1981"</definedName>
    <definedName name="IQ_OG_ACQ_COST_UNPROVED">"c1976"</definedName>
    <definedName name="IQ_OG_ACQ_COST_UNPROVED_GAS">"c1988"</definedName>
    <definedName name="IQ_OG_ACQ_COST_UNPROVED_OIL">"c1982"</definedName>
    <definedName name="IQ_OG_AVG_DAILY_PROD_GAS">"c2910"</definedName>
    <definedName name="IQ_OG_AVG_DAILY_PROD_NGL">"c2911"</definedName>
    <definedName name="IQ_OG_AVG_DAILY_PROD_OIL">"c2909"</definedName>
    <definedName name="IQ_OG_CLOSE_BALANCE_GAS">"c2049"</definedName>
    <definedName name="IQ_OG_CLOSE_BALANCE_NGL">"c2920"</definedName>
    <definedName name="IQ_OG_CLOSE_BALANCE_OIL">"c2037"</definedName>
    <definedName name="IQ_OG_DCF_BEFORE_TAXES">"c2023"</definedName>
    <definedName name="IQ_OG_DCF_BEFORE_TAXES_GAS">"c2025"</definedName>
    <definedName name="IQ_OG_DCF_BEFORE_TAXES_OIL">"c2024"</definedName>
    <definedName name="IQ_OG_DEVELOPED_RESERVES_GAS">"c2053"</definedName>
    <definedName name="IQ_OG_DEVELOPED_RESERVES_NGL">"c2922"</definedName>
    <definedName name="IQ_OG_DEVELOPED_RESERVES_OIL">"c2054"</definedName>
    <definedName name="IQ_OG_DEVELOPMENT_COSTS">"c1978"</definedName>
    <definedName name="IQ_OG_DEVELOPMENT_COSTS_GAS">"c1990"</definedName>
    <definedName name="IQ_OG_DEVELOPMENT_COSTS_OIL">"c1984"</definedName>
    <definedName name="IQ_OG_EQUITY_DCF">"c2002"</definedName>
    <definedName name="IQ_OG_EQUITY_DCF_GAS">"c2022"</definedName>
    <definedName name="IQ_OG_EQUITY_DCF_OIL">"c2012"</definedName>
    <definedName name="IQ_OG_EQUTY_RESERVES_GAS">"c2050"</definedName>
    <definedName name="IQ_OG_EQUTY_RESERVES_NGL">"c2921"</definedName>
    <definedName name="IQ_OG_EQUTY_RESERVES_OIL">"c2038"</definedName>
    <definedName name="IQ_OG_EXPLORATION_COSTS">"c1977"</definedName>
    <definedName name="IQ_OG_EXPLORATION_COSTS_GAS">"c1989"</definedName>
    <definedName name="IQ_OG_EXPLORATION_COSTS_OIL">"c1983"</definedName>
    <definedName name="IQ_OG_EXT_DISC_GAS">"c2043"</definedName>
    <definedName name="IQ_OG_EXT_DISC_NGL">"c2914"</definedName>
    <definedName name="IQ_OG_EXT_DISC_OIL">"c2031"</definedName>
    <definedName name="IQ_OG_FUTURE_CASH_INFLOWS">"c1993"</definedName>
    <definedName name="IQ_OG_FUTURE_CASH_INFLOWS_GAS">"c2013"</definedName>
    <definedName name="IQ_OG_FUTURE_CASH_INFLOWS_OIL">"c2003"</definedName>
    <definedName name="IQ_OG_FUTURE_DEVELOPMENT_COSTS">"c1995"</definedName>
    <definedName name="IQ_OG_FUTURE_DEVELOPMENT_COSTS_GAS">"c2015"</definedName>
    <definedName name="IQ_OG_FUTURE_DEVELOPMENT_COSTS_OIL">"c2005"</definedName>
    <definedName name="IQ_OG_FUTURE_INC_TAXES">"c1997"</definedName>
    <definedName name="IQ_OG_FUTURE_INC_TAXES_GAS">"c2017"</definedName>
    <definedName name="IQ_OG_FUTURE_INC_TAXES_OIL">"c2007"</definedName>
    <definedName name="IQ_OG_FUTURE_PRODUCTION_COSTS">"c1994"</definedName>
    <definedName name="IQ_OG_FUTURE_PRODUCTION_COSTS_GAS">"c2014"</definedName>
    <definedName name="IQ_OG_FUTURE_PRODUCTION_COSTS_OIL">"c2004"</definedName>
    <definedName name="IQ_OG_GAS_PRICE_HEDGED">"c2056"</definedName>
    <definedName name="IQ_OG_GAS_PRICE_UNHEDGED">"c2058"</definedName>
    <definedName name="IQ_OG_IMPROVED_RECOVERY_GAS">"c2044"</definedName>
    <definedName name="IQ_OG_IMPROVED_RECOVERY_NGL">"c2915"</definedName>
    <definedName name="IQ_OG_IMPROVED_RECOVERY_OIL">"c2032"</definedName>
    <definedName name="IQ_OG_LIQUID_GAS_PRICE_HEDGED">"c2233"</definedName>
    <definedName name="IQ_OG_LIQUID_GAS_PRICE_UNHEDGED">"c2234"</definedName>
    <definedName name="IQ_OG_NET_FUTURE_CASH_FLOWS">"c1996"</definedName>
    <definedName name="IQ_OG_NET_FUTURE_CASH_FLOWS_GAS">"c2016"</definedName>
    <definedName name="IQ_OG_NET_FUTURE_CASH_FLOWS_OIL">"c2006"</definedName>
    <definedName name="IQ_OG_OIL_PRICE_HEDGED">"c2055"</definedName>
    <definedName name="IQ_OG_OIL_PRICE_UNHEDGED">"c2057"</definedName>
    <definedName name="IQ_OG_OPEN_BALANCE_GAS">"c2041"</definedName>
    <definedName name="IQ_OG_OPEN_BALANCE_NGL">"c2912"</definedName>
    <definedName name="IQ_OG_OPEN_BALANCE_OIL">"c2029"</definedName>
    <definedName name="IQ_OG_OTHER_ADJ_FCF">"c1999"</definedName>
    <definedName name="IQ_OG_OTHER_ADJ_FCF_GAS">"c2019"</definedName>
    <definedName name="IQ_OG_OTHER_ADJ_FCF_OIL">"c2009"</definedName>
    <definedName name="IQ_OG_OTHER_ADJ_GAS">"c2048"</definedName>
    <definedName name="IQ_OG_OTHER_ADJ_NGL">"c2919"</definedName>
    <definedName name="IQ_OG_OTHER_ADJ_OIL">"c2036"</definedName>
    <definedName name="IQ_OG_OTHER_COSTS">"c1979"</definedName>
    <definedName name="IQ_OG_OTHER_COSTS_GAS">"c1991"</definedName>
    <definedName name="IQ_OG_OTHER_COSTS_OIL">"c1985"</definedName>
    <definedName name="IQ_OG_PRODUCTION_GAS">"c2047"</definedName>
    <definedName name="IQ_OG_PRODUCTION_NGL">"c2918"</definedName>
    <definedName name="IQ_OG_PRODUCTION_OIL">"c2035"</definedName>
    <definedName name="IQ_OG_PURCHASES_GAS">"c2045"</definedName>
    <definedName name="IQ_OG_PURCHASES_NGL">"c2916"</definedName>
    <definedName name="IQ_OG_PURCHASES_OIL">"c2033"</definedName>
    <definedName name="IQ_OG_REVISIONS_GAS">"c2042"</definedName>
    <definedName name="IQ_OG_REVISIONS_NGL">"c2913"</definedName>
    <definedName name="IQ_OG_REVISIONS_OIL">"c2030"</definedName>
    <definedName name="IQ_OG_SALES_IN_PLACE_GAS">"c2046"</definedName>
    <definedName name="IQ_OG_SALES_IN_PLACE_NGL">"c2917"</definedName>
    <definedName name="IQ_OG_SALES_IN_PLACE_OIL">"c2034"</definedName>
    <definedName name="IQ_OG_STANDARDIZED_DCF">"c2000"</definedName>
    <definedName name="IQ_OG_STANDARDIZED_DCF_GAS">"c2020"</definedName>
    <definedName name="IQ_OG_STANDARDIZED_DCF_HEDGED">"c2001"</definedName>
    <definedName name="IQ_OG_STANDARDIZED_DCF_HEDGED_GAS">"c2021"</definedName>
    <definedName name="IQ_OG_STANDARDIZED_DCF_HEDGED_OIL">"c2011"</definedName>
    <definedName name="IQ_OG_STANDARDIZED_DCF_OIL">"c2010"</definedName>
    <definedName name="IQ_OG_TAXES">"c2026"</definedName>
    <definedName name="IQ_OG_TAXES_GAS">"c2028"</definedName>
    <definedName name="IQ_OG_TAXES_OIL">"c2027"</definedName>
    <definedName name="IQ_OG_TOTAL_COSTS">"c1980"</definedName>
    <definedName name="IQ_OG_TOTAL_COSTS_GAS">"c1992"</definedName>
    <definedName name="IQ_OG_TOTAL_COSTS_OIL">"c1986"</definedName>
    <definedName name="IQ_OG_TOTAL_EST_PROVED_RESERVES_GAS">"c2052"</definedName>
    <definedName name="IQ_OG_TOTAL_GAS_PRODUCTION">"c2060"</definedName>
    <definedName name="IQ_OG_TOTAL_LIQUID_GAS_PRODUCTION">"c2235"</definedName>
    <definedName name="IQ_OG_TOTAL_OIL_PRODUCTION">"c2059"</definedName>
    <definedName name="IQ_OG_UNDEVELOPED_RESERVES_GAS">"c2051"</definedName>
    <definedName name="IQ_OG_UNDEVELOPED_RESERVES_NGL">"c2923"</definedName>
    <definedName name="IQ_OG_UNDEVELOPED_RESERVES_OIL">"c2039"</definedName>
    <definedName name="IQ_OIL_IMPAIR">"c840"</definedName>
    <definedName name="IQ_OL_COMM_AFTER_FIVE">"c841"</definedName>
    <definedName name="IQ_OL_COMM_CY">"c842"</definedName>
    <definedName name="IQ_OL_COMM_CY1">"c843"</definedName>
    <definedName name="IQ_OL_COMM_CY2">"c844"</definedName>
    <definedName name="IQ_OL_COMM_CY3">"c845"</definedName>
    <definedName name="IQ_OL_COMM_CY4">"c846"</definedName>
    <definedName name="IQ_OL_COMM_NEXT_FIVE">"c847"</definedName>
    <definedName name="IQ_OPENPRICE">"c848"</definedName>
    <definedName name="IQ_OPER_INC">"c849"</definedName>
    <definedName name="IQ_OPER_INC_ACT_OR_EST">"c2220"</definedName>
    <definedName name="IQ_OPER_INC_BR">"c850"</definedName>
    <definedName name="IQ_OPER_INC_EST">"c1688"</definedName>
    <definedName name="IQ_OPER_INC_FIN">"c851"</definedName>
    <definedName name="IQ_OPER_INC_HIGH_EST">"c1690"</definedName>
    <definedName name="IQ_OPER_INC_INS">"c852"</definedName>
    <definedName name="IQ_OPER_INC_LOW_EST">"c1691"</definedName>
    <definedName name="IQ_OPER_INC_MARGIN">"c1448"</definedName>
    <definedName name="IQ_OPER_INC_MEDIAN_EST">"c1689"</definedName>
    <definedName name="IQ_OPER_INC_NUM_EST">"c1692"</definedName>
    <definedName name="IQ_OPER_INC_REIT">"c853"</definedName>
    <definedName name="IQ_OPER_INC_STDDEV_EST">"c1693"</definedName>
    <definedName name="IQ_OPER_INC_UTI">"c854"</definedName>
    <definedName name="IQ_OPERATIONS_EXP">"c855"</definedName>
    <definedName name="IQ_OPTIONS_BEG_OS">"c1572"</definedName>
    <definedName name="IQ_OPTIONS_CANCELLED">"c856"</definedName>
    <definedName name="IQ_OPTIONS_END_OS">"c1573"</definedName>
    <definedName name="IQ_OPTIONS_EXERCISED">"c2116"</definedName>
    <definedName name="IQ_OPTIONS_GRANTED">"c2673"</definedName>
    <definedName name="IQ_OPTIONS_ISSUED">"c857"</definedName>
    <definedName name="IQ_OPTIONS_STRIKE_PRICE_GRANTED">"c2678"</definedName>
    <definedName name="IQ_OPTIONS_STRIKE_PRICE_OS">"c2677"</definedName>
    <definedName name="IQ_ORDER_BACKLOG">"c2090"</definedName>
    <definedName name="IQ_OTHER_ADJUST_GROSS_LOANS">"c859"</definedName>
    <definedName name="IQ_OTHER_ASSETS">"c860"</definedName>
    <definedName name="IQ_OTHER_ASSETS_BNK">"c861"</definedName>
    <definedName name="IQ_OTHER_ASSETS_BR">"c862"</definedName>
    <definedName name="IQ_OTHER_ASSETS_FIN">"c863"</definedName>
    <definedName name="IQ_OTHER_ASSETS_INS">"c864"</definedName>
    <definedName name="IQ_OTHER_ASSETS_REIT">"c865"</definedName>
    <definedName name="IQ_OTHER_ASSETS_SERV_RIGHTS">"c2243"</definedName>
    <definedName name="IQ_OTHER_ASSETS_UTI">"c866"</definedName>
    <definedName name="IQ_OTHER_BEARING_LIAB">"c1608"</definedName>
    <definedName name="IQ_OTHER_BENEFITS_OBLIGATION">"c867"</definedName>
    <definedName name="IQ_OTHER_CA">"c868"</definedName>
    <definedName name="IQ_OTHER_CA_SUPPL">"c869"</definedName>
    <definedName name="IQ_OTHER_CA_SUPPL_BNK">"c870"</definedName>
    <definedName name="IQ_OTHER_CA_SUPPL_BR">"c871"</definedName>
    <definedName name="IQ_OTHER_CA_SUPPL_FIN">"c872"</definedName>
    <definedName name="IQ_OTHER_CA_SUPPL_INS">"c873"</definedName>
    <definedName name="IQ_OTHER_CA_SUPPL_REIT">"c874"</definedName>
    <definedName name="IQ_OTHER_CA_SUPPL_UTI">"c875"</definedName>
    <definedName name="IQ_OTHER_CA_UTI">"c876"</definedName>
    <definedName name="IQ_OTHER_CL">"c877"</definedName>
    <definedName name="IQ_OTHER_CL_SUPPL">"c878"</definedName>
    <definedName name="IQ_OTHER_CL_SUPPL_BNK">"c879"</definedName>
    <definedName name="IQ_OTHER_CL_SUPPL_BR">"c880"</definedName>
    <definedName name="IQ_OTHER_CL_SUPPL_FIN">"c881"</definedName>
    <definedName name="IQ_OTHER_CL_SUPPL_REIT">"c882"</definedName>
    <definedName name="IQ_OTHER_CL_SUPPL_UTI">"c883"</definedName>
    <definedName name="IQ_OTHER_CL_UTI">"c884"</definedName>
    <definedName name="IQ_OTHER_CURRENT_ASSETS">"c1403"</definedName>
    <definedName name="IQ_OTHER_CURRENT_LIAB">"c1404"</definedName>
    <definedName name="IQ_OTHER_DEBT">"c2507"</definedName>
    <definedName name="IQ_OTHER_DEBT_PCT">"c2508"</definedName>
    <definedName name="IQ_OTHER_DEP">"c885"</definedName>
    <definedName name="IQ_OTHER_EARNING">"c1609"</definedName>
    <definedName name="IQ_OTHER_EQUITY">"c886"</definedName>
    <definedName name="IQ_OTHER_EQUITY_BNK">"c887"</definedName>
    <definedName name="IQ_OTHER_EQUITY_BR">"c888"</definedName>
    <definedName name="IQ_OTHER_EQUITY_FIN">"c889"</definedName>
    <definedName name="IQ_OTHER_EQUITY_INS">"c890"</definedName>
    <definedName name="IQ_OTHER_EQUITY_REIT">"c891"</definedName>
    <definedName name="IQ_OTHER_EQUITY_UTI">"c892"</definedName>
    <definedName name="IQ_OTHER_FINANCE_ACT">"c893"</definedName>
    <definedName name="IQ_OTHER_FINANCE_ACT_BNK">"c894"</definedName>
    <definedName name="IQ_OTHER_FINANCE_ACT_BR">"c895"</definedName>
    <definedName name="IQ_OTHER_FINANCE_ACT_FIN">"c896"</definedName>
    <definedName name="IQ_OTHER_FINANCE_ACT_INS">"c897"</definedName>
    <definedName name="IQ_OTHER_FINANCE_ACT_REIT">"c898"</definedName>
    <definedName name="IQ_OTHER_FINANCE_ACT_SUPPL">"c899"</definedName>
    <definedName name="IQ_OTHER_FINANCE_ACT_SUPPL_BNK">"c900"</definedName>
    <definedName name="IQ_OTHER_FINANCE_ACT_SUPPL_BR">"c901"</definedName>
    <definedName name="IQ_OTHER_FINANCE_ACT_SUPPL_FIN">"c902"</definedName>
    <definedName name="IQ_OTHER_FINANCE_ACT_SUPPL_INS">"c903"</definedName>
    <definedName name="IQ_OTHER_FINANCE_ACT_SUPPL_REIT">"c904"</definedName>
    <definedName name="IQ_OTHER_FINANCE_ACT_SUPPL_UTI">"c905"</definedName>
    <definedName name="IQ_OTHER_FINANCE_ACT_UTI">"c906"</definedName>
    <definedName name="IQ_OTHER_INTAN">"c907"</definedName>
    <definedName name="IQ_OTHER_INTAN_BNK">"c908"</definedName>
    <definedName name="IQ_OTHER_INTAN_BR">"c909"</definedName>
    <definedName name="IQ_OTHER_INTAN_FIN">"c910"</definedName>
    <definedName name="IQ_OTHER_INTAN_INS">"c911"</definedName>
    <definedName name="IQ_OTHER_INTAN_REIT">"c912"</definedName>
    <definedName name="IQ_OTHER_INTAN_UTI">"c913"</definedName>
    <definedName name="IQ_OTHER_INV">"c914"</definedName>
    <definedName name="IQ_OTHER_INVEST">"c915"</definedName>
    <definedName name="IQ_OTHER_INVEST_ACT">"c916"</definedName>
    <definedName name="IQ_OTHER_INVEST_ACT_BNK">"c917"</definedName>
    <definedName name="IQ_OTHER_INVEST_ACT_BR">"c918"</definedName>
    <definedName name="IQ_OTHER_INVEST_ACT_FIN">"c919"</definedName>
    <definedName name="IQ_OTHER_INVEST_ACT_INS">"c920"</definedName>
    <definedName name="IQ_OTHER_INVEST_ACT_REIT">"c921"</definedName>
    <definedName name="IQ_OTHER_INVEST_ACT_SUPPL">"c922"</definedName>
    <definedName name="IQ_OTHER_INVEST_ACT_SUPPL_BNK">"c923"</definedName>
    <definedName name="IQ_OTHER_INVEST_ACT_SUPPL_BR">"c924"</definedName>
    <definedName name="IQ_OTHER_INVEST_ACT_SUPPL_FIN">"c925"</definedName>
    <definedName name="IQ_OTHER_INVEST_ACT_SUPPL_INS">"c926"</definedName>
    <definedName name="IQ_OTHER_INVEST_ACT_SUPPL_REIT">"c927"</definedName>
    <definedName name="IQ_OTHER_INVEST_ACT_SUPPL_UTI">"c928"</definedName>
    <definedName name="IQ_OTHER_INVEST_ACT_UTI">"c929"</definedName>
    <definedName name="IQ_OTHER_INVESTING">"c1408"</definedName>
    <definedName name="IQ_OTHER_LIAB">"c930"</definedName>
    <definedName name="IQ_OTHER_LIAB_BNK">"c931"</definedName>
    <definedName name="IQ_OTHER_LIAB_BR">"c932"</definedName>
    <definedName name="IQ_OTHER_LIAB_FIN">"c933"</definedName>
    <definedName name="IQ_OTHER_LIAB_INS">"c934"</definedName>
    <definedName name="IQ_OTHER_LIAB_LT">"c935"</definedName>
    <definedName name="IQ_OTHER_LIAB_LT_BNK">"c936"</definedName>
    <definedName name="IQ_OTHER_LIAB_LT_BR">"c937"</definedName>
    <definedName name="IQ_OTHER_LIAB_LT_FIN">"c938"</definedName>
    <definedName name="IQ_OTHER_LIAB_LT_INS">"c939"</definedName>
    <definedName name="IQ_OTHER_LIAB_LT_REIT">"c940"</definedName>
    <definedName name="IQ_OTHER_LIAB_LT_UTI">"c941"</definedName>
    <definedName name="IQ_OTHER_LIAB_REIT">"c942"</definedName>
    <definedName name="IQ_OTHER_LIAB_UTI">"c943"</definedName>
    <definedName name="IQ_OTHER_LIAB_WRITTEN">"c944"</definedName>
    <definedName name="IQ_OTHER_LOANS">"c945"</definedName>
    <definedName name="IQ_OTHER_LONG_TERM">"c1409"</definedName>
    <definedName name="IQ_OTHER_LT_ASSETS">"c946"</definedName>
    <definedName name="IQ_OTHER_LT_ASSETS_BNK">"c947"</definedName>
    <definedName name="IQ_OTHER_LT_ASSETS_BR">"c948"</definedName>
    <definedName name="IQ_OTHER_LT_ASSETS_FIN">"c949"</definedName>
    <definedName name="IQ_OTHER_LT_ASSETS_INS">"c950"</definedName>
    <definedName name="IQ_OTHER_LT_ASSETS_REIT">"c951"</definedName>
    <definedName name="IQ_OTHER_LT_ASSETS_UTI">"c952"</definedName>
    <definedName name="IQ_OTHER_NET">"c1453"</definedName>
    <definedName name="IQ_OTHER_NON_INT_EXP">"c953"</definedName>
    <definedName name="IQ_OTHER_NON_INT_EXP_TOTAL">"c954"</definedName>
    <definedName name="IQ_OTHER_NON_INT_INC">"c955"</definedName>
    <definedName name="IQ_OTHER_NON_OPER_EXP">"c956"</definedName>
    <definedName name="IQ_OTHER_NON_OPER_EXP_BR">"c957"</definedName>
    <definedName name="IQ_OTHER_NON_OPER_EXP_FIN">"c958"</definedName>
    <definedName name="IQ_OTHER_NON_OPER_EXP_INS">"c959"</definedName>
    <definedName name="IQ_OTHER_NON_OPER_EXP_REIT">"c960"</definedName>
    <definedName name="IQ_OTHER_NON_OPER_EXP_SUPPL">"c961"</definedName>
    <definedName name="IQ_OTHER_NON_OPER_EXP_SUPPL_BR">"c962"</definedName>
    <definedName name="IQ_OTHER_NON_OPER_EXP_SUPPL_FIN">"c963"</definedName>
    <definedName name="IQ_OTHER_NON_OPER_EXP_SUPPL_INS">"c964"</definedName>
    <definedName name="IQ_OTHER_NON_OPER_EXP_SUPPL_REIT">"c965"</definedName>
    <definedName name="IQ_OTHER_NON_OPER_EXP_SUPPL_UTI">"c966"</definedName>
    <definedName name="IQ_OTHER_NON_OPER_EXP_UTI">"c967"</definedName>
    <definedName name="IQ_OTHER_OPER">"c982"</definedName>
    <definedName name="IQ_OTHER_OPER_ACT">"c983"</definedName>
    <definedName name="IQ_OTHER_OPER_ACT_BNK">"c984"</definedName>
    <definedName name="IQ_OTHER_OPER_ACT_BR">"c985"</definedName>
    <definedName name="IQ_OTHER_OPER_ACT_FIN">"c986"</definedName>
    <definedName name="IQ_OTHER_OPER_ACT_INS">"c987"</definedName>
    <definedName name="IQ_OTHER_OPER_ACT_REIT">"c988"</definedName>
    <definedName name="IQ_OTHER_OPER_ACT_UTI">"c989"</definedName>
    <definedName name="IQ_OTHER_OPER_BR">"c990"</definedName>
    <definedName name="IQ_OTHER_OPER_FIN">"c991"</definedName>
    <definedName name="IQ_OTHER_OPER_INS">"c992"</definedName>
    <definedName name="IQ_OTHER_OPER_REIT">"c993"</definedName>
    <definedName name="IQ_OTHER_OPER_SUPPL_BR">"c994"</definedName>
    <definedName name="IQ_OTHER_OPER_SUPPL_FIN">"c995"</definedName>
    <definedName name="IQ_OTHER_OPER_SUPPL_INS">"c996"</definedName>
    <definedName name="IQ_OTHER_OPER_SUPPL_REIT">"c997"</definedName>
    <definedName name="IQ_OTHER_OPER_SUPPL_UTI">"c998"</definedName>
    <definedName name="IQ_OTHER_OPER_TOT_BNK">"c999"</definedName>
    <definedName name="IQ_OTHER_OPER_TOT_BR">"c1000"</definedName>
    <definedName name="IQ_OTHER_OPER_TOT_FIN">"c1001"</definedName>
    <definedName name="IQ_OTHER_OPER_TOT_INS">"c1002"</definedName>
    <definedName name="IQ_OTHER_OPER_TOT_REIT">"c1003"</definedName>
    <definedName name="IQ_OTHER_OPER_TOT_UTI">"c1004"</definedName>
    <definedName name="IQ_OTHER_OPER_UTI">"c1005"</definedName>
    <definedName name="IQ_OTHER_OPTIONS_BEG_OS">"c2686"</definedName>
    <definedName name="IQ_OTHER_OPTIONS_CANCELLED">"c2689"</definedName>
    <definedName name="IQ_OTHER_OPTIONS_END_OS">"c2690"</definedName>
    <definedName name="IQ_OTHER_OPTIONS_EXERCISED">"c2688"</definedName>
    <definedName name="IQ_OTHER_OPTIONS_GRANTED">"c2687"</definedName>
    <definedName name="IQ_OTHER_OPTIONS_STRIKE_PRICE_OS">"c2691"</definedName>
    <definedName name="IQ_OTHER_OUTSTANDING_BS_DATE">"c1972"</definedName>
    <definedName name="IQ_OTHER_OUTSTANDING_FILING_DATE">"c1974"</definedName>
    <definedName name="IQ_OTHER_PC_WRITTEN">"c1006"</definedName>
    <definedName name="IQ_OTHER_REAL_ESTATE">"c1007"</definedName>
    <definedName name="IQ_OTHER_RECEIV">"c1008"</definedName>
    <definedName name="IQ_OTHER_RECEIV_INS">"c1009"</definedName>
    <definedName name="IQ_OTHER_REV">"c1010"</definedName>
    <definedName name="IQ_OTHER_REV_BR">"c1011"</definedName>
    <definedName name="IQ_OTHER_REV_FIN">"c1012"</definedName>
    <definedName name="IQ_OTHER_REV_INS">"c1013"</definedName>
    <definedName name="IQ_OTHER_REV_REIT">"c1014"</definedName>
    <definedName name="IQ_OTHER_REV_SUPPL">"c1015"</definedName>
    <definedName name="IQ_OTHER_REV_SUPPL_BR">"c1016"</definedName>
    <definedName name="IQ_OTHER_REV_SUPPL_FIN">"c1017"</definedName>
    <definedName name="IQ_OTHER_REV_SUPPL_INS">"c1018"</definedName>
    <definedName name="IQ_OTHER_REV_SUPPL_REIT">"c1019"</definedName>
    <definedName name="IQ_OTHER_REV_SUPPL_UTI">"c1020"</definedName>
    <definedName name="IQ_OTHER_REV_UTI">"c1021"</definedName>
    <definedName name="IQ_OTHER_REVENUE">"c1410"</definedName>
    <definedName name="IQ_OTHER_STRIKE_PRICE_GRANTED">"c2692"</definedName>
    <definedName name="IQ_OTHER_UNDRAWN">"c2522"</definedName>
    <definedName name="IQ_OTHER_UNUSUAL">"c1488"</definedName>
    <definedName name="IQ_OTHER_UNUSUAL_BNK">"c1560"</definedName>
    <definedName name="IQ_OTHER_UNUSUAL_BR">"c1561"</definedName>
    <definedName name="IQ_OTHER_UNUSUAL_FIN">"c1562"</definedName>
    <definedName name="IQ_OTHER_UNUSUAL_INS">"c1563"</definedName>
    <definedName name="IQ_OTHER_UNUSUAL_REIT">"c1564"</definedName>
    <definedName name="IQ_OTHER_UNUSUAL_SUPPL">"c1494"</definedName>
    <definedName name="IQ_OTHER_UNUSUAL_SUPPL_BNK">"c1495"</definedName>
    <definedName name="IQ_OTHER_UNUSUAL_SUPPL_BR">"c1496"</definedName>
    <definedName name="IQ_OTHER_UNUSUAL_SUPPL_FIN">"c1497"</definedName>
    <definedName name="IQ_OTHER_UNUSUAL_SUPPL_INS">"c1498"</definedName>
    <definedName name="IQ_OTHER_UNUSUAL_SUPPL_REIT">"c1499"</definedName>
    <definedName name="IQ_OTHER_UNUSUAL_SUPPL_UTI">"c1500"</definedName>
    <definedName name="IQ_OTHER_UNUSUAL_UTI">"c1565"</definedName>
    <definedName name="IQ_OTHER_WARRANTS_BEG_OS">"c2712"</definedName>
    <definedName name="IQ_OTHER_WARRANTS_CANCELLED">"c2715"</definedName>
    <definedName name="IQ_OTHER_WARRANTS_END_OS">"c2716"</definedName>
    <definedName name="IQ_OTHER_WARRANTS_EXERCISED">"c2714"</definedName>
    <definedName name="IQ_OTHER_WARRANTS_ISSUED">"c2713"</definedName>
    <definedName name="IQ_OTHER_WARRANTS_STRIKE_PRICE_ISSUED">"c2718"</definedName>
    <definedName name="IQ_OTHER_WARRANTS_STRIKE_PRICE_OS">"c2717"</definedName>
    <definedName name="IQ_OUTSTANDING_BS_DATE">"c2128"</definedName>
    <definedName name="IQ_OUTSTANDING_FILING_DATE">"c1023"</definedName>
    <definedName name="IQ_PART_TIME">"c1024"</definedName>
    <definedName name="IQ_PAY_ACCRUED">"c1457"</definedName>
    <definedName name="IQ_PAYOUT_RATIO">"c1900"</definedName>
    <definedName name="IQ_PBV">"c1025"</definedName>
    <definedName name="IQ_PBV_AVG">"c1026"</definedName>
    <definedName name="IQ_PC_EARNED">"c2749"</definedName>
    <definedName name="IQ_PC_GAAP_COMBINED_RATIO">"c2781"</definedName>
    <definedName name="IQ_PC_GAAP_COMBINED_RATIO_EXCL_CL">"c2782"</definedName>
    <definedName name="IQ_PC_GAAP_EXPENSE_RATIO">"c2780"</definedName>
    <definedName name="IQ_PC_GAAP_LOSS">"c2779"</definedName>
    <definedName name="IQ_PC_POLICY_BENEFITS_EXP">"c2790"</definedName>
    <definedName name="IQ_PC_STAT_COMBINED_RATIO">"c2778"</definedName>
    <definedName name="IQ_PC_STAT_COMBINED_RATIO_EXCL_DIV">"c2777"</definedName>
    <definedName name="IQ_PC_STAT_DIVIDEND_RATIO">"c2776"</definedName>
    <definedName name="IQ_PC_STAT_EXPENSE_RATIO">"c2775"</definedName>
    <definedName name="IQ_PC_STAT_LOSS_RATIO">"c2774"</definedName>
    <definedName name="IQ_PC_STATUTORY_SURPLUS">"c2770"</definedName>
    <definedName name="IQ_PC_WRITTEN">"c1027"</definedName>
    <definedName name="IQ_PE_EXCL">"c1028"</definedName>
    <definedName name="IQ_PE_EXCL_AVG">"c1029"</definedName>
    <definedName name="IQ_PE_EXCL_FWD">"c1030"</definedName>
    <definedName name="IQ_PE_NORMALIZED">"c2207"</definedName>
    <definedName name="IQ_PE_RATIO">"c1610"</definedName>
    <definedName name="IQ_PEG_FWD">"c1863"</definedName>
    <definedName name="IQ_PENSION">"c1031"</definedName>
    <definedName name="IQ_PERCENT_CHANGE_EST_5YR_GROWTH_RATE_12MONTHS">"c1852"</definedName>
    <definedName name="IQ_PERCENT_CHANGE_EST_5YR_GROWTH_RATE_18MONTHS">"c1853"</definedName>
    <definedName name="IQ_PERCENT_CHANGE_EST_5YR_GROWTH_RATE_3MONTHS">"c1849"</definedName>
    <definedName name="IQ_PERCENT_CHANGE_EST_5YR_GROWTH_RATE_6MONTHS">"c1850"</definedName>
    <definedName name="IQ_PERCENT_CHANGE_EST_5YR_GROWTH_RATE_9MONTHS">"c1851"</definedName>
    <definedName name="IQ_PERCENT_CHANGE_EST_5YR_GROWTH_RATE_DAY">"c1846"</definedName>
    <definedName name="IQ_PERCENT_CHANGE_EST_5YR_GROWTH_RATE_MONTH">"c1848"</definedName>
    <definedName name="IQ_PERCENT_CHANGE_EST_5YR_GROWTH_RATE_WEEK">"c1847"</definedName>
    <definedName name="IQ_PERCENT_CHANGE_EST_CFPS_12MONTHS">"c1812"</definedName>
    <definedName name="IQ_PERCENT_CHANGE_EST_CFPS_18MONTHS">"c1813"</definedName>
    <definedName name="IQ_PERCENT_CHANGE_EST_CFPS_3MONTHS">"c1809"</definedName>
    <definedName name="IQ_PERCENT_CHANGE_EST_CFPS_6MONTHS">"c1810"</definedName>
    <definedName name="IQ_PERCENT_CHANGE_EST_CFPS_9MONTHS">"c1811"</definedName>
    <definedName name="IQ_PERCENT_CHANGE_EST_CFPS_DAY">"c1806"</definedName>
    <definedName name="IQ_PERCENT_CHANGE_EST_CFPS_MONTH">"c1808"</definedName>
    <definedName name="IQ_PERCENT_CHANGE_EST_CFPS_WEEK">"c1807"</definedName>
    <definedName name="IQ_PERCENT_CHANGE_EST_DPS_12MONTHS">"c1820"</definedName>
    <definedName name="IQ_PERCENT_CHANGE_EST_DPS_18MONTHS">"c1821"</definedName>
    <definedName name="IQ_PERCENT_CHANGE_EST_DPS_3MONTHS">"c1817"</definedName>
    <definedName name="IQ_PERCENT_CHANGE_EST_DPS_6MONTHS">"c1818"</definedName>
    <definedName name="IQ_PERCENT_CHANGE_EST_DPS_9MONTHS">"c1819"</definedName>
    <definedName name="IQ_PERCENT_CHANGE_EST_DPS_DAY">"c1814"</definedName>
    <definedName name="IQ_PERCENT_CHANGE_EST_DPS_MONTH">"c1816"</definedName>
    <definedName name="IQ_PERCENT_CHANGE_EST_DPS_WEEK">"c1815"</definedName>
    <definedName name="IQ_PERCENT_CHANGE_EST_EBITDA_12MONTHS">"c1804"</definedName>
    <definedName name="IQ_PERCENT_CHANGE_EST_EBITDA_18MONTHS">"c1805"</definedName>
    <definedName name="IQ_PERCENT_CHANGE_EST_EBITDA_3MONTHS">"c1801"</definedName>
    <definedName name="IQ_PERCENT_CHANGE_EST_EBITDA_6MONTHS">"c1802"</definedName>
    <definedName name="IQ_PERCENT_CHANGE_EST_EBITDA_9MONTHS">"c1803"</definedName>
    <definedName name="IQ_PERCENT_CHANGE_EST_EBITDA_DAY">"c1798"</definedName>
    <definedName name="IQ_PERCENT_CHANGE_EST_EBITDA_MONTH">"c1800"</definedName>
    <definedName name="IQ_PERCENT_CHANGE_EST_EBITDA_WEEK">"c1799"</definedName>
    <definedName name="IQ_PERCENT_CHANGE_EST_EPS_12MONTHS">"c1788"</definedName>
    <definedName name="IQ_PERCENT_CHANGE_EST_EPS_18MONTHS">"c1789"</definedName>
    <definedName name="IQ_PERCENT_CHANGE_EST_EPS_3MONTHS">"c1785"</definedName>
    <definedName name="IQ_PERCENT_CHANGE_EST_EPS_6MONTHS">"c1786"</definedName>
    <definedName name="IQ_PERCENT_CHANGE_EST_EPS_9MONTHS">"c1787"</definedName>
    <definedName name="IQ_PERCENT_CHANGE_EST_EPS_DAY">"c1782"</definedName>
    <definedName name="IQ_PERCENT_CHANGE_EST_EPS_MONTH">"c1784"</definedName>
    <definedName name="IQ_PERCENT_CHANGE_EST_EPS_WEEK">"c1783"</definedName>
    <definedName name="IQ_PERCENT_CHANGE_EST_FFO_12MONTHS">"c1828"</definedName>
    <definedName name="IQ_PERCENT_CHANGE_EST_FFO_18MONTHS">"c1829"</definedName>
    <definedName name="IQ_PERCENT_CHANGE_EST_FFO_3MONTHS">"c1825"</definedName>
    <definedName name="IQ_PERCENT_CHANGE_EST_FFO_6MONTHS">"c1826"</definedName>
    <definedName name="IQ_PERCENT_CHANGE_EST_FFO_9MONTHS">"c1827"</definedName>
    <definedName name="IQ_PERCENT_CHANGE_EST_FFO_DAY">"c1822"</definedName>
    <definedName name="IQ_PERCENT_CHANGE_EST_FFO_MONTH">"c1824"</definedName>
    <definedName name="IQ_PERCENT_CHANGE_EST_FFO_WEEK">"c1823"</definedName>
    <definedName name="IQ_PERCENT_CHANGE_EST_PRICE_TARGET_12MONTHS">"c1844"</definedName>
    <definedName name="IQ_PERCENT_CHANGE_EST_PRICE_TARGET_18MONTHS">"c1845"</definedName>
    <definedName name="IQ_PERCENT_CHANGE_EST_PRICE_TARGET_3MONTHS">"c1841"</definedName>
    <definedName name="IQ_PERCENT_CHANGE_EST_PRICE_TARGET_6MONTHS">"c1842"</definedName>
    <definedName name="IQ_PERCENT_CHANGE_EST_PRICE_TARGET_9MONTHS">"c1843"</definedName>
    <definedName name="IQ_PERCENT_CHANGE_EST_PRICE_TARGET_DAY">"c1838"</definedName>
    <definedName name="IQ_PERCENT_CHANGE_EST_PRICE_TARGET_MONTH">"c1840"</definedName>
    <definedName name="IQ_PERCENT_CHANGE_EST_PRICE_TARGET_WEEK">"c1839"</definedName>
    <definedName name="IQ_PERCENT_CHANGE_EST_RECO_12MONTHS">"c1836"</definedName>
    <definedName name="IQ_PERCENT_CHANGE_EST_RECO_18MONTHS">"c1837"</definedName>
    <definedName name="IQ_PERCENT_CHANGE_EST_RECO_3MONTHS">"c1833"</definedName>
    <definedName name="IQ_PERCENT_CHANGE_EST_RECO_6MONTHS">"c1834"</definedName>
    <definedName name="IQ_PERCENT_CHANGE_EST_RECO_9MONTHS">"c1835"</definedName>
    <definedName name="IQ_PERCENT_CHANGE_EST_RECO_DAY">"c1830"</definedName>
    <definedName name="IQ_PERCENT_CHANGE_EST_RECO_MONTH">"c1832"</definedName>
    <definedName name="IQ_PERCENT_CHANGE_EST_RECO_WEEK">"c1831"</definedName>
    <definedName name="IQ_PERCENT_CHANGE_EST_REV_12MONTHS">"c1796"</definedName>
    <definedName name="IQ_PERCENT_CHANGE_EST_REV_18MONTHS">"c1797"</definedName>
    <definedName name="IQ_PERCENT_CHANGE_EST_REV_3MONTHS">"c1793"</definedName>
    <definedName name="IQ_PERCENT_CHANGE_EST_REV_6MONTHS">"c1794"</definedName>
    <definedName name="IQ_PERCENT_CHANGE_EST_REV_9MONTHS">"c1795"</definedName>
    <definedName name="IQ_PERCENT_CHANGE_EST_REV_DAY">"c1790"</definedName>
    <definedName name="IQ_PERCENT_CHANGE_EST_REV_MONTH">"c1792"</definedName>
    <definedName name="IQ_PERCENT_CHANGE_EST_REV_WEEK">"c1791"</definedName>
    <definedName name="IQ_PERIODDATE">"c1414"</definedName>
    <definedName name="IQ_PERIODDATE_BS">"c1032"</definedName>
    <definedName name="IQ_PERIODDATE_CF">"c1033"</definedName>
    <definedName name="IQ_PERIODDATE_IS">"c1034"</definedName>
    <definedName name="IQ_PERIODLENGTH_CF">"c1502"</definedName>
    <definedName name="IQ_PERIODLENGTH_IS">"c1503"</definedName>
    <definedName name="IQ_PERTYPE">"c1611"</definedName>
    <definedName name="IQ_PLL">"c2114"</definedName>
    <definedName name="IQ_POLICY_BENEFITS">"c1036"</definedName>
    <definedName name="IQ_POLICY_COST">"c1037"</definedName>
    <definedName name="IQ_POLICY_LIAB">"c1612"</definedName>
    <definedName name="IQ_POLICY_LOANS">"c1038"</definedName>
    <definedName name="IQ_POST_RETIRE_EXP">"c1039"</definedName>
    <definedName name="IQ_POSTPAID_CHURN">"c2121"</definedName>
    <definedName name="IQ_POSTPAID_SUBS">"c2118"</definedName>
    <definedName name="IQ_POTENTIAL_UPSIDE">"c1855"</definedName>
    <definedName name="IQ_PRE_OPEN_COST">"c1040"</definedName>
    <definedName name="IQ_PRE_TAX_ACT_OR_EST">"c2221"</definedName>
    <definedName name="IQ_PREF_CONVERT">"c1041"</definedName>
    <definedName name="IQ_PREF_DIV_CF">"c1042"</definedName>
    <definedName name="IQ_PREF_DIV_OTHER">"c1043"</definedName>
    <definedName name="IQ_PREF_DIVID">"c1461"</definedName>
    <definedName name="IQ_PREF_EQUITY">"c1044"</definedName>
    <definedName name="IQ_PREF_ISSUED">"c1045"</definedName>
    <definedName name="IQ_PREF_ISSUED_BNK">"c1046"</definedName>
    <definedName name="IQ_PREF_ISSUED_BR">"c1047"</definedName>
    <definedName name="IQ_PREF_ISSUED_FIN">"c1048"</definedName>
    <definedName name="IQ_PREF_ISSUED_INS">"c1049"</definedName>
    <definedName name="IQ_PREF_ISSUED_REIT">"c1050"</definedName>
    <definedName name="IQ_PREF_ISSUED_UTI">"c1051"</definedName>
    <definedName name="IQ_PREF_NON_REDEEM">"c1052"</definedName>
    <definedName name="IQ_PREF_OTHER">"c1053"</definedName>
    <definedName name="IQ_PREF_OTHER_BNK">"c1054"</definedName>
    <definedName name="IQ_PREF_OTHER_BR">"c1055"</definedName>
    <definedName name="IQ_PREF_OTHER_FIN">"c1056"</definedName>
    <definedName name="IQ_PREF_OTHER_INS">"c1057"</definedName>
    <definedName name="IQ_PREF_OTHER_REIT">"c1058"</definedName>
    <definedName name="IQ_PREF_REDEEM">"c1059"</definedName>
    <definedName name="IQ_PREF_REP">"c1060"</definedName>
    <definedName name="IQ_PREF_REP_BNK">"c1061"</definedName>
    <definedName name="IQ_PREF_REP_BR">"c1062"</definedName>
    <definedName name="IQ_PREF_REP_FIN">"c1063"</definedName>
    <definedName name="IQ_PREF_REP_INS">"c1064"</definedName>
    <definedName name="IQ_PREF_REP_REIT">"c1065"</definedName>
    <definedName name="IQ_PREF_REP_UTI">"c1066"</definedName>
    <definedName name="IQ_PREF_STOCK">"c1416"</definedName>
    <definedName name="IQ_PREF_TOT">"c1415"</definedName>
    <definedName name="IQ_PREMIUMS_ANNUITY_REV">"c1067"</definedName>
    <definedName name="IQ_PREPAID_CHURN">"c2120"</definedName>
    <definedName name="IQ_PREPAID_EXP">"c1068"</definedName>
    <definedName name="IQ_PREPAID_EXPEN">"c1418"</definedName>
    <definedName name="IQ_PREPAID_SUBS">"c2117"</definedName>
    <definedName name="IQ_PRETAX_GW_INC_EST">"c1702"</definedName>
    <definedName name="IQ_PRETAX_GW_INC_HIGH_EST">"c1704"</definedName>
    <definedName name="IQ_PRETAX_GW_INC_LOW_EST">"c1705"</definedName>
    <definedName name="IQ_PRETAX_GW_INC_MEDIAN_EST">"c1703"</definedName>
    <definedName name="IQ_PRETAX_GW_INC_NUM_EST">"c1706"</definedName>
    <definedName name="IQ_PRETAX_GW_INC_STDDEV_EST">"c1707"</definedName>
    <definedName name="IQ_PRETAX_INC_EST">"c1695"</definedName>
    <definedName name="IQ_PRETAX_INC_HIGH_EST">"c1697"</definedName>
    <definedName name="IQ_PRETAX_INC_LOW_EST">"c1698"</definedName>
    <definedName name="IQ_PRETAX_INC_MEDIAN_EST">"c1696"</definedName>
    <definedName name="IQ_PRETAX_INC_NUM_EST">"c1699"</definedName>
    <definedName name="IQ_PRETAX_INC_STDDEV_EST">"c1700"</definedName>
    <definedName name="IQ_PRETAX_REPORT_INC_EST">"c1709"</definedName>
    <definedName name="IQ_PRETAX_REPORT_INC_HIGH_EST">"c1711"</definedName>
    <definedName name="IQ_PRETAX_REPORT_INC_LOW_EST">"c1712"</definedName>
    <definedName name="IQ_PRETAX_REPORT_INC_MEDIAN_EST">"c1710"</definedName>
    <definedName name="IQ_PRETAX_REPORT_INC_NUM_EST">"c1713"</definedName>
    <definedName name="IQ_PRETAX_REPORT_INC_STDDEV_EST">"c1714"</definedName>
    <definedName name="IQ_PRICE_CFPS_FWD">"c2237"</definedName>
    <definedName name="IQ_PRICE_OVER_BVPS">"c1412"</definedName>
    <definedName name="IQ_PRICE_OVER_LTM_EPS">"c1413"</definedName>
    <definedName name="IQ_PRICE_TARGET">"c82"</definedName>
    <definedName name="IQ_PRICEDATE">"c1069"</definedName>
    <definedName name="IQ_PRICING_DATE">"c1613"</definedName>
    <definedName name="IQ_PRIMARY_INDUSTRY">"c1070"</definedName>
    <definedName name="IQ_PRO_FORMA_BASIC_EPS">"c1614"</definedName>
    <definedName name="IQ_PRO_FORMA_DILUT_EPS">"c1615"</definedName>
    <definedName name="IQ_PRO_FORMA_NET_INC">"c1452"</definedName>
    <definedName name="IQ_PROFESSIONAL">"c1071"</definedName>
    <definedName name="IQ_PROFESSIONAL_TITLE">"c1072"</definedName>
    <definedName name="IQ_PROJECTED_PENSION_OBLIGATION">"c1292"</definedName>
    <definedName name="IQ_PROJECTED_PENSION_OBLIGATION_DOMESTIC">"c2656"</definedName>
    <definedName name="IQ_PROJECTED_PENSION_OBLIGATION_FOREIGN">"c2664"</definedName>
    <definedName name="IQ_PROPERTY_EXP">"c1073"</definedName>
    <definedName name="IQ_PROPERTY_GROSS">"c1379"</definedName>
    <definedName name="IQ_PROPERTY_MGMT_FEE">"c1074"</definedName>
    <definedName name="IQ_PROPERTY_NET">"c1402"</definedName>
    <definedName name="IQ_PROV_BAD_DEBTS">"c1075"</definedName>
    <definedName name="IQ_PROV_BAD_DEBTS_CF">"c1076"</definedName>
    <definedName name="IQ_PROVISION_10YR_ANN_GROWTH">"c1077"</definedName>
    <definedName name="IQ_PROVISION_1YR_ANN_GROWTH">"c1078"</definedName>
    <definedName name="IQ_PROVISION_2YR_ANN_GROWTH">"c1079"</definedName>
    <definedName name="IQ_PROVISION_3YR_ANN_GROWTH">"c1080"</definedName>
    <definedName name="IQ_PROVISION_5YR_ANN_GROWTH">"c1081"</definedName>
    <definedName name="IQ_PROVISION_7YR_ANN_GROWTH">"c1082"</definedName>
    <definedName name="IQ_PROVISION_CHARGE_OFFS">"c1083"</definedName>
    <definedName name="IQ_PTBV">"c1084"</definedName>
    <definedName name="IQ_PTBV_AVG">"c1085"</definedName>
    <definedName name="IQ_QTD">750000</definedName>
    <definedName name="IQ_QUICK_RATIO">"c1086"</definedName>
    <definedName name="IQ_RATE_COMP_GROWTH_DOMESTIC">"c1087"</definedName>
    <definedName name="IQ_RATE_COMP_GROWTH_FOREIGN">"c1088"</definedName>
    <definedName name="IQ_RAW_INV">"c1089"</definedName>
    <definedName name="IQ_RC">"c2497"</definedName>
    <definedName name="IQ_RC_PCT">"c2498"</definedName>
    <definedName name="IQ_RD_EXP">"c1090"</definedName>
    <definedName name="IQ_RD_EXP_FN">"c1091"</definedName>
    <definedName name="IQ_RE">"c1092"</definedName>
    <definedName name="IQ_REAL_ESTATE">"c1093"</definedName>
    <definedName name="IQ_REAL_ESTATE_ASSETS">"c1094"</definedName>
    <definedName name="IQ_REDEEM_PREF_STOCK">"c1417"</definedName>
    <definedName name="IQ_REG_ASSETS">"c1095"</definedName>
    <definedName name="IQ_REINSUR_PAY">"c1096"</definedName>
    <definedName name="IQ_REINSUR_PAY_CF">"c1097"</definedName>
    <definedName name="IQ_REINSUR_RECOVER">"c1098"</definedName>
    <definedName name="IQ_REINSUR_RECOVER_CF">"c1099"</definedName>
    <definedName name="IQ_REINSURANCE">"c1100"</definedName>
    <definedName name="IQ_RENTAL_REV">"c1101"</definedName>
    <definedName name="IQ_RESEARCH_DEV">"c1419"</definedName>
    <definedName name="IQ_RESIDENTIAL_LOANS">"c1102"</definedName>
    <definedName name="IQ_RESTATEMENT_BS">"c1643"</definedName>
    <definedName name="IQ_RESTATEMENT_CF">"c1644"</definedName>
    <definedName name="IQ_RESTATEMENT_IS">"c1642"</definedName>
    <definedName name="IQ_RESTRICTED_CASH">"c1103"</definedName>
    <definedName name="IQ_RESTRUCTURE">"c1104"</definedName>
    <definedName name="IQ_RESTRUCTURE_BNK">"c1105"</definedName>
    <definedName name="IQ_RESTRUCTURE_BR">"c1106"</definedName>
    <definedName name="IQ_RESTRUCTURE_CF">"c1107"</definedName>
    <definedName name="IQ_RESTRUCTURE_FIN">"c1108"</definedName>
    <definedName name="IQ_RESTRUCTURE_INS">"c1109"</definedName>
    <definedName name="IQ_RESTRUCTURE_REIT">"c1110"</definedName>
    <definedName name="IQ_RESTRUCTURE_UTI">"c1111"</definedName>
    <definedName name="IQ_RESTRUCTURED_LOANS">"c1112"</definedName>
    <definedName name="IQ_RETAIL_ACQUIRED_FRANCHISE_STORES">"c2903"</definedName>
    <definedName name="IQ_RETAIL_ACQUIRED_OWNED_STORES">"c2895"</definedName>
    <definedName name="IQ_RETAIL_ACQUIRED_STORES">"c2887"</definedName>
    <definedName name="IQ_RETAIL_AVG_STORE_SIZE_GROSS">"c2066"</definedName>
    <definedName name="IQ_RETAIL_AVG_STORE_SIZE_NET">"c2067"</definedName>
    <definedName name="IQ_RETAIL_AVG_WK_SALES">"c2891"</definedName>
    <definedName name="IQ_RETAIL_AVG_WK_SALES_FRANCHISE">"c2899"</definedName>
    <definedName name="IQ_RETAIL_AVG_WK_SALES_OWNED">"c2907"</definedName>
    <definedName name="IQ_RETAIL_CLOSED_FRANCHISE_STORES">"c2896"</definedName>
    <definedName name="IQ_RETAIL_CLOSED_OWNED_STORES">"c2904"</definedName>
    <definedName name="IQ_RETAIL_CLOSED_STORES">"c2063"</definedName>
    <definedName name="IQ_RETAIL_FRANCHISE_STORES_BEG">"c2893"</definedName>
    <definedName name="IQ_RETAIL_OPENED_FRANCHISE_STORES">"c2894"</definedName>
    <definedName name="IQ_RETAIL_OPENED_OWNED_STORES">"c2902"</definedName>
    <definedName name="IQ_RETAIL_OPENED_STORES">"c2062"</definedName>
    <definedName name="IQ_RETAIL_OWNED_STORES_BEG">"c2901"</definedName>
    <definedName name="IQ_RETAIL_SALES_SQFT_ALL_GROSS">"c2138"</definedName>
    <definedName name="IQ_RETAIL_SALES_SQFT_ALL_NET">"c2139"</definedName>
    <definedName name="IQ_RETAIL_SALES_SQFT_COMPARABLE_GROSS">"c2136"</definedName>
    <definedName name="IQ_RETAIL_SALES_SQFT_COMPARABLE_NET">"c2137"</definedName>
    <definedName name="IQ_RETAIL_SALES_SQFT_OWNED_GROSS">"c2134"</definedName>
    <definedName name="IQ_RETAIL_SALES_SQFT_OWNED_NET">"c2135"</definedName>
    <definedName name="IQ_RETAIL_SOLD_FRANCHISE_STORES">"c2897"</definedName>
    <definedName name="IQ_RETAIL_SOLD_OWNED_STORES">"c2905"</definedName>
    <definedName name="IQ_RETAIL_SOLD_STORES">"c2889"</definedName>
    <definedName name="IQ_RETAIL_SQ_FOOTAGE">"c2064"</definedName>
    <definedName name="IQ_RETAIL_STORE_SELLING_AREA">"c2065"</definedName>
    <definedName name="IQ_RETAIL_STORES_BEG">"c2885"</definedName>
    <definedName name="IQ_RETAIL_TOTAL_FRANCHISE_STORES">"c2898"</definedName>
    <definedName name="IQ_RETAIL_TOTAL_OWNED_STORES">"c2906"</definedName>
    <definedName name="IQ_RETAIL_TOTAL_STORES">"c2061"</definedName>
    <definedName name="IQ_RETAINED_EARN">"c1420"</definedName>
    <definedName name="IQ_RETURN_ASSETS">"c1113"</definedName>
    <definedName name="IQ_RETURN_ASSETS_BANK">"c1114"</definedName>
    <definedName name="IQ_RETURN_ASSETS_BROK">"c1115"</definedName>
    <definedName name="IQ_RETURN_ASSETS_FS">"c1116"</definedName>
    <definedName name="IQ_RETURN_CAPITAL">"c1117"</definedName>
    <definedName name="IQ_RETURN_EQUITY">"c1118"</definedName>
    <definedName name="IQ_RETURN_EQUITY_BANK">"c1119"</definedName>
    <definedName name="IQ_RETURN_EQUITY_BROK">"c1120"</definedName>
    <definedName name="IQ_RETURN_EQUITY_FS">"c1121"</definedName>
    <definedName name="IQ_RETURN_INVESTMENT">"c1421"</definedName>
    <definedName name="IQ_REV">"c1122"</definedName>
    <definedName name="IQ_REV_BEFORE_LL">"c1123"</definedName>
    <definedName name="IQ_REV_STDDEV_EST">"c1124"</definedName>
    <definedName name="IQ_REV_UTI">"c1125"</definedName>
    <definedName name="IQ_REVENUE">"c1422"</definedName>
    <definedName name="IQ_REVENUE_ACT_OR_EST">"c2214"</definedName>
    <definedName name="IQ_REVENUE_EST">"c1126"</definedName>
    <definedName name="IQ_REVENUE_HIGH_EST">"c1127"</definedName>
    <definedName name="IQ_REVENUE_LOW_EST">"c1128"</definedName>
    <definedName name="IQ_REVENUE_MEDIAN_EST">"c1662"</definedName>
    <definedName name="IQ_REVENUE_NUM_EST">"c1129"</definedName>
    <definedName name="IQ_REVISION_DATE_">39217.4058912037</definedName>
    <definedName name="IQ_RISK_ADJ_BANK_ASSETS">"c2670"</definedName>
    <definedName name="IQ_SALARY">"c1130"</definedName>
    <definedName name="IQ_SALE_INTAN_CF">"c1131"</definedName>
    <definedName name="IQ_SALE_INTAN_CF_BNK">"c1132"</definedName>
    <definedName name="IQ_SALE_INTAN_CF_BR">"c1133"</definedName>
    <definedName name="IQ_SALE_INTAN_CF_FIN">"c1134"</definedName>
    <definedName name="IQ_SALE_INTAN_CF_INS">"c1135"</definedName>
    <definedName name="IQ_SALE_INTAN_CF_REIT">"c1627"</definedName>
    <definedName name="IQ_SALE_INTAN_CF_UTI">"c1136"</definedName>
    <definedName name="IQ_SALE_PPE_CF">"c1137"</definedName>
    <definedName name="IQ_SALE_PPE_CF_BNK">"c1138"</definedName>
    <definedName name="IQ_SALE_PPE_CF_BR">"c1139"</definedName>
    <definedName name="IQ_SALE_PPE_CF_FIN">"c1140"</definedName>
    <definedName name="IQ_SALE_PPE_CF_INS">"c1141"</definedName>
    <definedName name="IQ_SALE_PPE_CF_UTI">"c1142"</definedName>
    <definedName name="IQ_SALE_RE_ASSETS">"c1629"</definedName>
    <definedName name="IQ_SALE_REAL_ESTATE_CF">"c1143"</definedName>
    <definedName name="IQ_SALE_REAL_ESTATE_CF_BNK">"c1144"</definedName>
    <definedName name="IQ_SALE_REAL_ESTATE_CF_BR">"c1145"</definedName>
    <definedName name="IQ_SALE_REAL_ESTATE_CF_FIN">"c1146"</definedName>
    <definedName name="IQ_SALE_REAL_ESTATE_CF_INS">"c1147"</definedName>
    <definedName name="IQ_SALE_REAL_ESTATE_CF_UTI">"c1148"</definedName>
    <definedName name="IQ_SALES_MARKETING">"c2240"</definedName>
    <definedName name="IQ_SAME_STORE">"c1149"</definedName>
    <definedName name="IQ_SAME_STORE_FRANCHISE">"c2900"</definedName>
    <definedName name="IQ_SAME_STORE_OWNED">"c2908"</definedName>
    <definedName name="IQ_SAME_STORE_TOTAL">"c2892"</definedName>
    <definedName name="IQ_SAVING_DEP">"c1150"</definedName>
    <definedName name="IQ_SECUR_RECEIV">"c1151"</definedName>
    <definedName name="IQ_SECURED_DEBT">"c2546"</definedName>
    <definedName name="IQ_SECURED_DEBT_PCT">"c2547"</definedName>
    <definedName name="IQ_SECURITY_BORROW">"c1152"</definedName>
    <definedName name="IQ_SECURITY_OWN">"c1153"</definedName>
    <definedName name="IQ_SECURITY_RESELL">"c1154"</definedName>
    <definedName name="IQ_SEPARATE_ACCT_ASSETS">"c1155"</definedName>
    <definedName name="IQ_SEPARATE_ACCT_LIAB">"c1156"</definedName>
    <definedName name="IQ_SERV_CHARGE_DEPOSITS">"c1157"</definedName>
    <definedName name="IQ_SGA">"c1158"</definedName>
    <definedName name="IQ_SGA_BNK">"c1159"</definedName>
    <definedName name="IQ_SGA_INS">"c1160"</definedName>
    <definedName name="IQ_SGA_MARGIN">"c1898"</definedName>
    <definedName name="IQ_SGA_REIT">"c1161"</definedName>
    <definedName name="IQ_SGA_SUPPL">"c1162"</definedName>
    <definedName name="IQ_SGA_UTI">"c1163"</definedName>
    <definedName name="IQ_SHAREOUTSTANDING">"c1347"</definedName>
    <definedName name="IQ_SHARESOUTSTANDING">"c1164"</definedName>
    <definedName name="IQ_SHORT_INTEREST">"c1165"</definedName>
    <definedName name="IQ_SHORT_INTEREST_OVER_FLOAT">"c1577"</definedName>
    <definedName name="IQ_SHORT_INTEREST_PERCENT">"c1576"</definedName>
    <definedName name="IQ_SHORT_TERM_INVEST">"c1425"</definedName>
    <definedName name="IQ_SMALL_INT_BEAR_CD">"c1166"</definedName>
    <definedName name="IQ_SOFTWARE">"c1167"</definedName>
    <definedName name="IQ_SOURCE">"c1168"</definedName>
    <definedName name="IQ_SPECIAL_DIV_CF">"c1169"</definedName>
    <definedName name="IQ_SPECIAL_DIV_CF_BNK">"c1170"</definedName>
    <definedName name="IQ_SPECIAL_DIV_CF_BR">"c1171"</definedName>
    <definedName name="IQ_SPECIAL_DIV_CF_FIN">"c1172"</definedName>
    <definedName name="IQ_SPECIAL_DIV_CF_INS">"c1173"</definedName>
    <definedName name="IQ_SPECIAL_DIV_CF_REIT">"c1174"</definedName>
    <definedName name="IQ_SPECIAL_DIV_CF_UTI">"c1175"</definedName>
    <definedName name="IQ_SPECIAL_DIV_SHARE">"c3007"</definedName>
    <definedName name="IQ_SR_BONDS_NOTES">"c2501"</definedName>
    <definedName name="IQ_SR_BONDS_NOTES_PCT">"c2502"</definedName>
    <definedName name="IQ_SR_DEBT">"c2526"</definedName>
    <definedName name="IQ_SR_DEBT_EBITDA">"c2552"</definedName>
    <definedName name="IQ_SR_DEBT_EBITDA_CAPEX">"c2553"</definedName>
    <definedName name="IQ_SR_DEBT_PCT">"c2527"</definedName>
    <definedName name="IQ_SR_SUB_DEBT">"c2530"</definedName>
    <definedName name="IQ_SR_SUB_DEBT_EBITDA">"c2556"</definedName>
    <definedName name="IQ_SR_SUB_DEBT_EBITDA_CAPEX">"c2557"</definedName>
    <definedName name="IQ_SR_SUB_DEBT_PCT">"c2531"</definedName>
    <definedName name="IQ_ST_DEBT">"c1176"</definedName>
    <definedName name="IQ_ST_DEBT_BNK">"c1177"</definedName>
    <definedName name="IQ_ST_DEBT_BR">"c1178"</definedName>
    <definedName name="IQ_ST_DEBT_FIN">"c1179"</definedName>
    <definedName name="IQ_ST_DEBT_INS">"c1180"</definedName>
    <definedName name="IQ_ST_DEBT_ISSUED">"c1181"</definedName>
    <definedName name="IQ_ST_DEBT_ISSUED_BNK">"c1182"</definedName>
    <definedName name="IQ_ST_DEBT_ISSUED_BR">"c1183"</definedName>
    <definedName name="IQ_ST_DEBT_ISSUED_FIN">"c1184"</definedName>
    <definedName name="IQ_ST_DEBT_ISSUED_INS">"c1185"</definedName>
    <definedName name="IQ_ST_DEBT_ISSUED_REIT">"c1186"</definedName>
    <definedName name="IQ_ST_DEBT_ISSUED_UTI">"c1187"</definedName>
    <definedName name="IQ_ST_DEBT_PCT">"c2539"</definedName>
    <definedName name="IQ_ST_DEBT_REIT">"c1188"</definedName>
    <definedName name="IQ_ST_DEBT_REPAID">"c1189"</definedName>
    <definedName name="IQ_ST_DEBT_REPAID_BNK">"c1190"</definedName>
    <definedName name="IQ_ST_DEBT_REPAID_BR">"c1191"</definedName>
    <definedName name="IQ_ST_DEBT_REPAID_FIN">"c1192"</definedName>
    <definedName name="IQ_ST_DEBT_REPAID_INS">"c1193"</definedName>
    <definedName name="IQ_ST_DEBT_REPAID_REIT">"c1194"</definedName>
    <definedName name="IQ_ST_DEBT_REPAID_UTI">"c1195"</definedName>
    <definedName name="IQ_ST_DEBT_UTI">"c1196"</definedName>
    <definedName name="IQ_ST_INVEST">"c1197"</definedName>
    <definedName name="IQ_ST_INVEST_UTI">"c1198"</definedName>
    <definedName name="IQ_ST_NOTE_RECEIV">"c1199"</definedName>
    <definedName name="IQ_STATE">"c1200"</definedName>
    <definedName name="IQ_STATUTORY_SURPLUS">"c1201"</definedName>
    <definedName name="IQ_STOCK_BASED">"c1202"</definedName>
    <definedName name="IQ_STOCK_BASED_AT">"c2999"</definedName>
    <definedName name="IQ_STOCK_BASED_CF">"c1203"</definedName>
    <definedName name="IQ_STOCK_BASED_COGS">"c2990"</definedName>
    <definedName name="IQ_STOCK_BASED_GA">"c2993"</definedName>
    <definedName name="IQ_STOCK_BASED_OTHER">"c2995"</definedName>
    <definedName name="IQ_STOCK_BASED_RD">"c2991"</definedName>
    <definedName name="IQ_STOCK_BASED_SGA">"c2994"</definedName>
    <definedName name="IQ_STOCK_BASED_SM">"c2992"</definedName>
    <definedName name="IQ_STOCK_BASED_TOTAL">"c3040"</definedName>
    <definedName name="IQ_STRIKE_PRICE_ISSUED">"c1645"</definedName>
    <definedName name="IQ_STRIKE_PRICE_OS">"c1646"</definedName>
    <definedName name="IQ_SUB_BONDS_NOTES">"c2503"</definedName>
    <definedName name="IQ_SUB_BONDS_NOTES_PCT">"c2504"</definedName>
    <definedName name="IQ_SUB_DEBT">"c2532"</definedName>
    <definedName name="IQ_SUB_DEBT_EBITDA">"c2558"</definedName>
    <definedName name="IQ_SUB_DEBT_EBITDA_CAPEX">"c2559"</definedName>
    <definedName name="IQ_SUB_DEBT_PCT">"c2533"</definedName>
    <definedName name="IQ_SUB_LEASE_AFTER_FIVE">"c1207"</definedName>
    <definedName name="IQ_SUB_LEASE_INC_CY">"c1208"</definedName>
    <definedName name="IQ_SUB_LEASE_INC_CY1">"c1209"</definedName>
    <definedName name="IQ_SUB_LEASE_INC_CY2">"c1210"</definedName>
    <definedName name="IQ_SUB_LEASE_INC_CY3">"c1211"</definedName>
    <definedName name="IQ_SUB_LEASE_INC_CY4">"c1212"</definedName>
    <definedName name="IQ_SUB_LEASE_NEXT_FIVE">"c1213"</definedName>
    <definedName name="IQ_SVA">"c1214"</definedName>
    <definedName name="IQ_TARGET_PRICE_NUM">"c1653"</definedName>
    <definedName name="IQ_TARGET_PRICE_STDDEV">"c1654"</definedName>
    <definedName name="IQ_TAX_BENEFIT_OPTIONS">"c1215"</definedName>
    <definedName name="IQ_TAX_EQUIV_NET_INT_INC">"c1216"</definedName>
    <definedName name="IQ_TBV">"c1906"</definedName>
    <definedName name="IQ_TBV_10YR_ANN_GROWTH">"c1936"</definedName>
    <definedName name="IQ_TBV_1YR_ANN_GROWTH">"c1931"</definedName>
    <definedName name="IQ_TBV_2YR_ANN_GROWTH">"c1932"</definedName>
    <definedName name="IQ_TBV_3YR_ANN_GROWTH">"c1933"</definedName>
    <definedName name="IQ_TBV_5YR_ANN_GROWTH">"c1934"</definedName>
    <definedName name="IQ_TBV_7YR_ANN_GROWTH">"c1935"</definedName>
    <definedName name="IQ_TBV_SHARE">"c1217"</definedName>
    <definedName name="IQ_TEMPLATE">"c1521"</definedName>
    <definedName name="IQ_TENANT">"c1218"</definedName>
    <definedName name="IQ_TERM_LOANS">"c2499"</definedName>
    <definedName name="IQ_TERM_LOANS_PCT">"c2500"</definedName>
    <definedName name="IQ_TEV">"c1219"</definedName>
    <definedName name="IQ_TEV_EBIT">"c1220"</definedName>
    <definedName name="IQ_TEV_EBIT_AVG">"c1221"</definedName>
    <definedName name="IQ_TEV_EBIT_FWD">"c2238"</definedName>
    <definedName name="IQ_TEV_EBITDA">"c1222"</definedName>
    <definedName name="IQ_TEV_EBITDA_AVG">"c1223"</definedName>
    <definedName name="IQ_TEV_EBITDA_FWD">"c1224"</definedName>
    <definedName name="IQ_TEV_EMPLOYEE_AVG">"c1225"</definedName>
    <definedName name="IQ_TEV_TOTAL_REV">"c1226"</definedName>
    <definedName name="IQ_TEV_TOTAL_REV_AVG">"c1227"</definedName>
    <definedName name="IQ_TEV_TOTAL_REV_FWD">"c1228"</definedName>
    <definedName name="IQ_TEV_UFCF">"c2208"</definedName>
    <definedName name="IQ_TIER_ONE_CAPITAL">"c2667"</definedName>
    <definedName name="IQ_TIER_ONE_RATIO">"c1229"</definedName>
    <definedName name="IQ_TIER_TWO_CAPITAL">"c2669"</definedName>
    <definedName name="IQ_TIME_DEP">"c1230"</definedName>
    <definedName name="IQ_TODAY" hidden="1">0</definedName>
    <definedName name="IQ_TOT_ADJ_INC">"c1616"</definedName>
    <definedName name="IQ_TOTAL_AR_BR">"c1231"</definedName>
    <definedName name="IQ_TOTAL_AR_REIT">"c1232"</definedName>
    <definedName name="IQ_TOTAL_AR_UTI">"c1233"</definedName>
    <definedName name="IQ_TOTAL_ASSETS">"c1234"</definedName>
    <definedName name="IQ_TOTAL_ASSETS_10YR_ANN_GROWTH">"c1235"</definedName>
    <definedName name="IQ_TOTAL_ASSETS_1YR_ANN_GROWTH">"c1236"</definedName>
    <definedName name="IQ_TOTAL_ASSETS_2YR_ANN_GROWTH">"c1237"</definedName>
    <definedName name="IQ_TOTAL_ASSETS_3YR_ANN_GROWTH">"c1238"</definedName>
    <definedName name="IQ_TOTAL_ASSETS_5YR_ANN_GROWTH">"c1239"</definedName>
    <definedName name="IQ_TOTAL_ASSETS_7YR_ANN_GROWTH">"c1240"</definedName>
    <definedName name="IQ_TOTAL_AVG_CE_TOTAL_AVG_ASSETS">"c1241"</definedName>
    <definedName name="IQ_TOTAL_AVG_EQUITY_TOTAL_AVG_ASSETS">"c1242"</definedName>
    <definedName name="IQ_TOTAL_BANK_CAPITAL">"c2668"</definedName>
    <definedName name="IQ_TOTAL_CA">"c1243"</definedName>
    <definedName name="IQ_TOTAL_CAP">"c1507"</definedName>
    <definedName name="IQ_TOTAL_CAPITAL_RATIO">"c1244"</definedName>
    <definedName name="IQ_TOTAL_CASH_DIVID">"c1455"</definedName>
    <definedName name="IQ_TOTAL_CASH_FINAN">"c1352"</definedName>
    <definedName name="IQ_TOTAL_CASH_INVEST">"c1353"</definedName>
    <definedName name="IQ_TOTAL_CASH_OPER">"c1354"</definedName>
    <definedName name="IQ_TOTAL_CHURN">"c2122"</definedName>
    <definedName name="IQ_TOTAL_CL">"c1245"</definedName>
    <definedName name="IQ_TOTAL_COMMON">"c1411"</definedName>
    <definedName name="IQ_TOTAL_COMMON_EQUITY">"c1246"</definedName>
    <definedName name="IQ_TOTAL_CURRENT_ASSETS">"c1430"</definedName>
    <definedName name="IQ_TOTAL_CURRENT_LIAB">"c1431"</definedName>
    <definedName name="IQ_TOTAL_DEBT">"c1247"</definedName>
    <definedName name="IQ_TOTAL_DEBT_CAPITAL">"c1248"</definedName>
    <definedName name="IQ_TOTAL_DEBT_EBITDA">"c1249"</definedName>
    <definedName name="IQ_TOTAL_DEBT_EBITDA_CAPEX">"c2948"</definedName>
    <definedName name="IQ_TOTAL_DEBT_EQUITY">"c1250"</definedName>
    <definedName name="IQ_TOTAL_DEBT_EXCL_FIN">"c2937"</definedName>
    <definedName name="IQ_TOTAL_DEBT_ISSUED">"c1251"</definedName>
    <definedName name="IQ_TOTAL_DEBT_ISSUED_BNK">"c1252"</definedName>
    <definedName name="IQ_TOTAL_DEBT_ISSUED_BR">"c1253"</definedName>
    <definedName name="IQ_TOTAL_DEBT_ISSUED_FIN">"c1254"</definedName>
    <definedName name="IQ_TOTAL_DEBT_ISSUED_REIT">"c1255"</definedName>
    <definedName name="IQ_TOTAL_DEBT_ISSUED_UTI">"c1256"</definedName>
    <definedName name="IQ_TOTAL_DEBT_ISSUES_INS">"c1257"</definedName>
    <definedName name="IQ_TOTAL_DEBT_OVER_EBITDA">"c1433"</definedName>
    <definedName name="IQ_TOTAL_DEBT_OVER_TOTAL_BV">"c1434"</definedName>
    <definedName name="IQ_TOTAL_DEBT_OVER_TOTAL_CAP">"c1432"</definedName>
    <definedName name="IQ_TOTAL_DEBT_REPAID">"c1258"</definedName>
    <definedName name="IQ_TOTAL_DEBT_REPAID_BNK">"c1259"</definedName>
    <definedName name="IQ_TOTAL_DEBT_REPAID_BR">"c1260"</definedName>
    <definedName name="IQ_TOTAL_DEBT_REPAID_FIN">"c1261"</definedName>
    <definedName name="IQ_TOTAL_DEBT_REPAID_INS">"c1262"</definedName>
    <definedName name="IQ_TOTAL_DEBT_REPAID_REIT">"c1263"</definedName>
    <definedName name="IQ_TOTAL_DEBT_REPAID_UTI">"c1264"</definedName>
    <definedName name="IQ_TOTAL_DEPOSITS">"c1265"</definedName>
    <definedName name="IQ_TOTAL_DIV_PAID_CF">"c1266"</definedName>
    <definedName name="IQ_TOTAL_EMPLOYEE">"c2141"</definedName>
    <definedName name="IQ_TOTAL_EMPLOYEES">"c1522"</definedName>
    <definedName name="IQ_TOTAL_EQUITY">"c1267"</definedName>
    <definedName name="IQ_TOTAL_EQUITY_10YR_ANN_GROWTH">"c1268"</definedName>
    <definedName name="IQ_TOTAL_EQUITY_1YR_ANN_GROWTH">"c1269"</definedName>
    <definedName name="IQ_TOTAL_EQUITY_2YR_ANN_GROWTH">"c1270"</definedName>
    <definedName name="IQ_TOTAL_EQUITY_3YR_ANN_GROWTH">"c1271"</definedName>
    <definedName name="IQ_TOTAL_EQUITY_5YR_ANN_GROWTH">"c1272"</definedName>
    <definedName name="IQ_TOTAL_EQUITY_7YR_ANN_GROWTH">"c1273"</definedName>
    <definedName name="IQ_TOTAL_EQUITY_ALLOWANCE_TOTAL_LOANS">"c1274"</definedName>
    <definedName name="IQ_TOTAL_INTEREST_EXP">"c1382"</definedName>
    <definedName name="IQ_TOTAL_INVENTORY">"c1385"</definedName>
    <definedName name="IQ_TOTAL_INVEST">"c1275"</definedName>
    <definedName name="IQ_TOTAL_LIAB">"c1276"</definedName>
    <definedName name="IQ_TOTAL_LIAB_BNK">"c1277"</definedName>
    <definedName name="IQ_TOTAL_LIAB_BR">"c1278"</definedName>
    <definedName name="IQ_TOTAL_LIAB_EQUITY">"c1279"</definedName>
    <definedName name="IQ_TOTAL_LIAB_FIN">"c1280"</definedName>
    <definedName name="IQ_TOTAL_LIAB_INS">"c1281"</definedName>
    <definedName name="IQ_TOTAL_LIAB_REIT">"c1282"</definedName>
    <definedName name="IQ_TOTAL_LIAB_SHAREHOLD">"c1435"</definedName>
    <definedName name="IQ_TOTAL_LIAB_TOTAL_ASSETS">"c1283"</definedName>
    <definedName name="IQ_TOTAL_LONG_DEBT">"c1617"</definedName>
    <definedName name="IQ_TOTAL_NON_REC">"c1444"</definedName>
    <definedName name="IQ_TOTAL_OPER_EXP_BR">"c1284"</definedName>
    <definedName name="IQ_TOTAL_OPER_EXP_FIN">"c1285"</definedName>
    <definedName name="IQ_TOTAL_OPER_EXP_INS">"c1286"</definedName>
    <definedName name="IQ_TOTAL_OPER_EXP_REIT">"c1287"</definedName>
    <definedName name="IQ_TOTAL_OPER_EXP_UTI">"c1288"</definedName>
    <definedName name="IQ_TOTAL_OPER_EXPEN">"c1445"</definedName>
    <definedName name="IQ_TOTAL_OPTIONS_BEG_OS">"c2693"</definedName>
    <definedName name="IQ_TOTAL_OPTIONS_CANCELLED">"c2696"</definedName>
    <definedName name="IQ_TOTAL_OPTIONS_END_OS">"c2697"</definedName>
    <definedName name="IQ_TOTAL_OPTIONS_EXERCISED">"c2695"</definedName>
    <definedName name="IQ_TOTAL_OPTIONS_GRANTED">"c2694"</definedName>
    <definedName name="IQ_TOTAL_OTHER_OPER">"c1289"</definedName>
    <definedName name="IQ_TOTAL_OUTSTANDING_BS_DATE">"c1022"</definedName>
    <definedName name="IQ_TOTAL_OUTSTANDING_FILING_DATE">"c2107"</definedName>
    <definedName name="IQ_TOTAL_PENSION_ASSETS">"c1290"</definedName>
    <definedName name="IQ_TOTAL_PENSION_ASSETS_DOMESTIC">"c2658"</definedName>
    <definedName name="IQ_TOTAL_PENSION_ASSETS_FOREIGN">"c2666"</definedName>
    <definedName name="IQ_TOTAL_PENSION_EXP">"c1291"</definedName>
    <definedName name="IQ_TOTAL_PRINCIPAL">"c2509"</definedName>
    <definedName name="IQ_TOTAL_PRINCIPAL_PCT">"c2510"</definedName>
    <definedName name="IQ_TOTAL_PROVED_RESERVES_NGL">"c2924"</definedName>
    <definedName name="IQ_TOTAL_PROVED_RESERVES_OIL">"c2040"</definedName>
    <definedName name="IQ_TOTAL_RECEIV">"c1293"</definedName>
    <definedName name="IQ_TOTAL_REV">"c1294"</definedName>
    <definedName name="IQ_TOTAL_REV_10YR_ANN_GROWTH">"c1295"</definedName>
    <definedName name="IQ_TOTAL_REV_1YR_ANN_GROWTH">"c1296"</definedName>
    <definedName name="IQ_TOTAL_REV_2YR_ANN_GROWTH">"c1297"</definedName>
    <definedName name="IQ_TOTAL_REV_3YR_ANN_GROWTH">"c1298"</definedName>
    <definedName name="IQ_TOTAL_REV_5YR_ANN_GROWTH">"c1299"</definedName>
    <definedName name="IQ_TOTAL_REV_7YR_ANN_GROWTH">"c1300"</definedName>
    <definedName name="IQ_TOTAL_REV_AS_REPORTED">"c1301"</definedName>
    <definedName name="IQ_TOTAL_REV_BNK">"c1302"</definedName>
    <definedName name="IQ_TOTAL_REV_BR">"c1303"</definedName>
    <definedName name="IQ_TOTAL_REV_EMPLOYEE">"c1304"</definedName>
    <definedName name="IQ_TOTAL_REV_FIN">"c1305"</definedName>
    <definedName name="IQ_TOTAL_REV_INS">"c1306"</definedName>
    <definedName name="IQ_TOTAL_REV_REIT">"c1307"</definedName>
    <definedName name="IQ_TOTAL_REV_SHARE">"c1912"</definedName>
    <definedName name="IQ_TOTAL_REV_UTI">"c1308"</definedName>
    <definedName name="IQ_TOTAL_REVENUE">"c1436"</definedName>
    <definedName name="IQ_TOTAL_SPECIAL">"c1618"</definedName>
    <definedName name="IQ_TOTAL_ST_BORROW">"c1424"</definedName>
    <definedName name="IQ_TOTAL_SUB_DEBT">"c2528"</definedName>
    <definedName name="IQ_TOTAL_SUB_DEBT_EBITDA">"c2554"</definedName>
    <definedName name="IQ_TOTAL_SUB_DEBT_EBITDA_CAPEX">"c2555"</definedName>
    <definedName name="IQ_TOTAL_SUB_DEBT_PCT">"c2529"</definedName>
    <definedName name="IQ_TOTAL_SUBS">"c2119"</definedName>
    <definedName name="IQ_TOTAL_UNUSUAL">"c1508"</definedName>
    <definedName name="IQ_TOTAL_WARRANTS_BEG_OS">"c2719"</definedName>
    <definedName name="IQ_TOTAL_WARRANTS_CANCELLED">"c2722"</definedName>
    <definedName name="IQ_TOTAL_WARRANTS_END_OS">"c2723"</definedName>
    <definedName name="IQ_TOTAL_WARRANTS_EXERCISED">"c2721"</definedName>
    <definedName name="IQ_TOTAL_WARRANTS_ISSUED">"c2720"</definedName>
    <definedName name="IQ_TR_ACCT_METHOD">"c2363"</definedName>
    <definedName name="IQ_TR_ACQ_52_WK_HI_PCT">"c2348"</definedName>
    <definedName name="IQ_TR_ACQ_52_WK_LOW_PCT">"c2347"</definedName>
    <definedName name="IQ_TR_ACQ_CASH_ST_INVEST">"c2372"</definedName>
    <definedName name="IQ_TR_ACQ_CLOSEPRICE_1D">"c3027"</definedName>
    <definedName name="IQ_TR_ACQ_DILUT_EPS_EXCL">"c3028"</definedName>
    <definedName name="IQ_TR_ACQ_EARNING_CO">"c2379"</definedName>
    <definedName name="IQ_TR_ACQ_EBIT">"c2380"</definedName>
    <definedName name="IQ_TR_ACQ_EBITDA">"c2381"</definedName>
    <definedName name="IQ_TR_ACQ_FILING_CURRENCY">"c3033"</definedName>
    <definedName name="IQ_TR_ACQ_MCAP_1DAY">"c2345"</definedName>
    <definedName name="IQ_TR_ACQ_MIN_INT">"c2374"</definedName>
    <definedName name="IQ_TR_ACQ_NET_DEBT">"c2373"</definedName>
    <definedName name="IQ_TR_ACQ_NI">"c2378"</definedName>
    <definedName name="IQ_TR_ACQ_PRICEDATE_1D">"c2346"</definedName>
    <definedName name="IQ_TR_ACQ_RETURN">"c2349"</definedName>
    <definedName name="IQ_TR_ACQ_STOCKYEARHIGH_1D">"c2343"</definedName>
    <definedName name="IQ_TR_ACQ_STOCKYEARLOW_1D">"c2344"</definedName>
    <definedName name="IQ_TR_ACQ_TOTAL_ASSETS">"c2371"</definedName>
    <definedName name="IQ_TR_ACQ_TOTAL_COMMON_EQ">"c2377"</definedName>
    <definedName name="IQ_TR_ACQ_TOTAL_DEBT">"c2376"</definedName>
    <definedName name="IQ_TR_ACQ_TOTAL_PREF">"c2375"</definedName>
    <definedName name="IQ_TR_ACQ_TOTAL_REV">"c2382"</definedName>
    <definedName name="IQ_TR_ADJ_SIZE">"c3024"</definedName>
    <definedName name="IQ_TR_ANN_DATE">"c2395"</definedName>
    <definedName name="IQ_TR_ANN_DATE_BL">"c2394"</definedName>
    <definedName name="IQ_TR_BID_DATE">"c2357"</definedName>
    <definedName name="IQ_TR_BLUESKY_FEES">"c2277"</definedName>
    <definedName name="IQ_TR_BUY_ACC_ADVISORS">"c3048"</definedName>
    <definedName name="IQ_TR_BUY_FIN_ADVISORS">"c3045"</definedName>
    <definedName name="IQ_TR_BUY_LEG_ADVISORS">"c2387"</definedName>
    <definedName name="IQ_TR_BUYER_ID">"c2404"</definedName>
    <definedName name="IQ_TR_BUYERNAME">"c2401"</definedName>
    <definedName name="IQ_TR_CANCELLED_DATE">"c2284"</definedName>
    <definedName name="IQ_TR_CASH_CONSID_PCT">"c2296"</definedName>
    <definedName name="IQ_TR_CASH_ST_INVEST">"c3025"</definedName>
    <definedName name="IQ_TR_CHANGE_CONTROL">"c2365"</definedName>
    <definedName name="IQ_TR_CLOSED_DATE">"c2283"</definedName>
    <definedName name="IQ_TR_CO_NET_PROCEEDS">"c2268"</definedName>
    <definedName name="IQ_TR_CO_NET_PROCEEDS_PCT">"c2270"</definedName>
    <definedName name="IQ_TR_COMMENTS">"c2383"</definedName>
    <definedName name="IQ_TR_CURRENCY">"c3016"</definedName>
    <definedName name="IQ_TR_DEAL_ATTITUDE">"c2364"</definedName>
    <definedName name="IQ_TR_DEAL_CONDITIONS">"c2367"</definedName>
    <definedName name="IQ_TR_DEAL_RESOLUTION">"c2391"</definedName>
    <definedName name="IQ_TR_DEAL_RESPONSES">"c2366"</definedName>
    <definedName name="IQ_TR_DEBT_CONSID_PCT">"c2299"</definedName>
    <definedName name="IQ_TR_DEF_AGRMT_DATE">"c2285"</definedName>
    <definedName name="IQ_TR_DISCLOSED_FEES_EXP">"c2288"</definedName>
    <definedName name="IQ_TR_EARNOUTS">"c3023"</definedName>
    <definedName name="IQ_TR_EXPIRED_DATE">"c2412"</definedName>
    <definedName name="IQ_TR_GROSS_OFFERING_AMT">"c2262"</definedName>
    <definedName name="IQ_TR_HYBRID_CONSID_PCT">"c2300"</definedName>
    <definedName name="IQ_TR_IMPLIED_EQ">"c3018"</definedName>
    <definedName name="IQ_TR_IMPLIED_EQ_BV">"c3019"</definedName>
    <definedName name="IQ_TR_IMPLIED_EQ_NI_LTM">"c3020"</definedName>
    <definedName name="IQ_TR_IMPLIED_EV">"c2301"</definedName>
    <definedName name="IQ_TR_IMPLIED_EV_BV">"c2306"</definedName>
    <definedName name="IQ_TR_IMPLIED_EV_EBIT">"c2302"</definedName>
    <definedName name="IQ_TR_IMPLIED_EV_EBITDA">"c2303"</definedName>
    <definedName name="IQ_TR_IMPLIED_EV_NI_LTM">"c2307"</definedName>
    <definedName name="IQ_TR_IMPLIED_EV_REV">"c2304"</definedName>
    <definedName name="IQ_TR_LOI_DATE">"c2282"</definedName>
    <definedName name="IQ_TR_MAJ_MIN_STAKE">"c2389"</definedName>
    <definedName name="IQ_TR_NEGOTIATED_BUYBACK_PRICE">"c2414"</definedName>
    <definedName name="IQ_TR_NET_ASSUM_LIABILITIES">"c2308"</definedName>
    <definedName name="IQ_TR_NET_PROCEEDS">"c2267"</definedName>
    <definedName name="IQ_TR_OFFER_DATE">"c2265"</definedName>
    <definedName name="IQ_TR_OFFER_DATE_MA">"c3035"</definedName>
    <definedName name="IQ_TR_OFFER_PER_SHARE">"c3017"</definedName>
    <definedName name="IQ_TR_OPTIONS_CONSID_PCT">"c2311"</definedName>
    <definedName name="IQ_TR_OTHER_CONSID">"c3022"</definedName>
    <definedName name="IQ_TR_PCT_SOUGHT">"c2309"</definedName>
    <definedName name="IQ_TR_PFEATURES">"c2384"</definedName>
    <definedName name="IQ_TR_PIPE_CONV_PRICE_SHARE">"c2292"</definedName>
    <definedName name="IQ_TR_PIPE_CPN_PCT">"c2291"</definedName>
    <definedName name="IQ_TR_PIPE_NUMBER_SHARES">"c2293"</definedName>
    <definedName name="IQ_TR_PIPE_PPS">"c2290"</definedName>
    <definedName name="IQ_TR_POSTMONEY_VAL">"c2286"</definedName>
    <definedName name="IQ_TR_PREDEAL_SITUATION">"c2390"</definedName>
    <definedName name="IQ_TR_PREF_CONSID_PCT">"c2310"</definedName>
    <definedName name="IQ_TR_PREMONEY_VAL">"c2287"</definedName>
    <definedName name="IQ_TR_PRINTING_FEES">"c2276"</definedName>
    <definedName name="IQ_TR_PT_MONETARY_VALUES">"c2415"</definedName>
    <definedName name="IQ_TR_PT_NUMBER_SHARES">"c2417"</definedName>
    <definedName name="IQ_TR_PT_PCT_SHARES">"c2416"</definedName>
    <definedName name="IQ_TR_RATING_FEES">"c2275"</definedName>
    <definedName name="IQ_TR_REG_EFFECT_DATE">"c2264"</definedName>
    <definedName name="IQ_TR_REG_FILED_DATE">"c2263"</definedName>
    <definedName name="IQ_TR_RENEWAL_BUYBACK">"c2413"</definedName>
    <definedName name="IQ_TR_ROUND_NUMBER">"c2295"</definedName>
    <definedName name="IQ_TR_SEC_FEES">"c2274"</definedName>
    <definedName name="IQ_TR_SECURITY_TYPE_REG">"c2279"</definedName>
    <definedName name="IQ_TR_SELL_ACC_ADVISORS">"c3049"</definedName>
    <definedName name="IQ_TR_SELL_FIN_ADVISORS">"c3046"</definedName>
    <definedName name="IQ_TR_SELL_LEG_ADVISORS">"c2388"</definedName>
    <definedName name="IQ_TR_SELLER_ID">"c2406"</definedName>
    <definedName name="IQ_TR_SELLERNAME">"c2402"</definedName>
    <definedName name="IQ_TR_SFEATURES">"c2385"</definedName>
    <definedName name="IQ_TR_SH_NET_PROCEEDS">"c2269"</definedName>
    <definedName name="IQ_TR_SH_NET_PROCEEDS_PCT">"c2271"</definedName>
    <definedName name="IQ_TR_SPECIAL_COMMITTEE">"c2362"</definedName>
    <definedName name="IQ_TR_STATUS">"c2399"</definedName>
    <definedName name="IQ_TR_STOCK_CONSID_PCT">"c2312"</definedName>
    <definedName name="IQ_TR_SUSPENDED_DATE">"c2407"</definedName>
    <definedName name="IQ_TR_TARGET_52WKHI_PCT">"c2351"</definedName>
    <definedName name="IQ_TR_TARGET_52WKLOW_PCT">"c2350"</definedName>
    <definedName name="IQ_TR_TARGET_ACC_ADVISORS">"c3047"</definedName>
    <definedName name="IQ_TR_TARGET_CASH_ST_INVEST">"c2327"</definedName>
    <definedName name="IQ_TR_TARGET_CLOSEPRICE_1D">"c2352"</definedName>
    <definedName name="IQ_TR_TARGET_CLOSEPRICE_1M">"c2354"</definedName>
    <definedName name="IQ_TR_TARGET_CLOSEPRICE_1W">"c2353"</definedName>
    <definedName name="IQ_TR_TARGET_DILUT_EPS_EXCL">"c2324"</definedName>
    <definedName name="IQ_TR_TARGET_EARNING_CO">"c2332"</definedName>
    <definedName name="IQ_TR_TARGET_EBIT">"c2333"</definedName>
    <definedName name="IQ_TR_TARGET_EBITDA">"c2334"</definedName>
    <definedName name="IQ_TR_TARGET_FILING_CURRENCY">"c3034"</definedName>
    <definedName name="IQ_TR_TARGET_FIN_ADVISORS">"c3044"</definedName>
    <definedName name="IQ_TR_TARGET_ID">"c2405"</definedName>
    <definedName name="IQ_TR_TARGET_LEG_ADVISORS">"c2386"</definedName>
    <definedName name="IQ_TR_TARGET_MARKETCAP">"c2342"</definedName>
    <definedName name="IQ_TR_TARGET_MIN_INT">"c2328"</definedName>
    <definedName name="IQ_TR_TARGET_NET_DEBT">"c2326"</definedName>
    <definedName name="IQ_TR_TARGET_NI">"c2331"</definedName>
    <definedName name="IQ_TR_TARGET_PRICEDATE_1D">"c2341"</definedName>
    <definedName name="IQ_TR_TARGET_RETURN">"c2355"</definedName>
    <definedName name="IQ_TR_TARGET_SEC_DETAIL">"c3021"</definedName>
    <definedName name="IQ_TR_TARGET_SEC_TI_ID">"c2368"</definedName>
    <definedName name="IQ_TR_TARGET_SEC_TYPE">"c2369"</definedName>
    <definedName name="IQ_TR_TARGET_SPD">"c2313"</definedName>
    <definedName name="IQ_TR_TARGET_SPD_PCT">"c2314"</definedName>
    <definedName name="IQ_TR_TARGET_STOCKPREMIUM_1D">"c2336"</definedName>
    <definedName name="IQ_TR_TARGET_STOCKPREMIUM_1M">"c2337"</definedName>
    <definedName name="IQ_TR_TARGET_STOCKPREMIUM_1W">"c2338"</definedName>
    <definedName name="IQ_TR_TARGET_STOCKYEARHIGH_1D">"c2339"</definedName>
    <definedName name="IQ_TR_TARGET_STOCKYEARLOW_1D">"c2340"</definedName>
    <definedName name="IQ_TR_TARGET_TOTAL_ASSETS">"c2325"</definedName>
    <definedName name="IQ_TR_TARGET_TOTAL_COMMON_EQ">"c2421"</definedName>
    <definedName name="IQ_TR_TARGET_TOTAL_DEBT">"c2330"</definedName>
    <definedName name="IQ_TR_TARGET_TOTAL_PREF">"c2329"</definedName>
    <definedName name="IQ_TR_TARGET_TOTAL_REV">"c2335"</definedName>
    <definedName name="IQ_TR_TARGETNAME">"c2403"</definedName>
    <definedName name="IQ_TR_TERM_FEE">"c2298"</definedName>
    <definedName name="IQ_TR_TERM_FEE_PCT">"c2297"</definedName>
    <definedName name="IQ_TR_TODATE">"c3036"</definedName>
    <definedName name="IQ_TR_TODATE_MONETARY_VALUE">"c2418"</definedName>
    <definedName name="IQ_TR_TODATE_NUMBER_SHARES">"c2420"</definedName>
    <definedName name="IQ_TR_TODATE_PCT_SHARES">"c2419"</definedName>
    <definedName name="IQ_TR_TOTAL_ACCT_FEES">"c2273"</definedName>
    <definedName name="IQ_TR_TOTAL_CASH">"c2315"</definedName>
    <definedName name="IQ_TR_TOTAL_CONSID_SH">"c2316"</definedName>
    <definedName name="IQ_TR_TOTAL_DEBT">"c2317"</definedName>
    <definedName name="IQ_TR_TOTAL_GROSS_TV">"c2318"</definedName>
    <definedName name="IQ_TR_TOTAL_HYBRID">"c2319"</definedName>
    <definedName name="IQ_TR_TOTAL_LEGAL_FEES">"c2272"</definedName>
    <definedName name="IQ_TR_TOTAL_NET_TV">"c2320"</definedName>
    <definedName name="IQ_TR_TOTAL_NEWMONEY">"c2289"</definedName>
    <definedName name="IQ_TR_TOTAL_OPTIONS">"c2322"</definedName>
    <definedName name="IQ_TR_TOTAL_OPTIONS_BUYER">"c3026"</definedName>
    <definedName name="IQ_TR_TOTAL_PREFERRED">"c2321"</definedName>
    <definedName name="IQ_TR_TOTAL_REG_AMT">"c2261"</definedName>
    <definedName name="IQ_TR_TOTAL_STOCK">"c2323"</definedName>
    <definedName name="IQ_TR_TOTAL_TAKEDOWNS">"c2278"</definedName>
    <definedName name="IQ_TR_TOTAL_UW_COMP">"c2280"</definedName>
    <definedName name="IQ_TR_TOTALVALUE">"c2400"</definedName>
    <definedName name="IQ_TR_TRANSACTION_TYPE">"c2398"</definedName>
    <definedName name="IQ_TR_WITHDRAWN_DTE">"c2266"</definedName>
    <definedName name="IQ_TRADE_AR">"c1345"</definedName>
    <definedName name="IQ_TRADE_PRINCIPAL">"c1309"</definedName>
    <definedName name="IQ_TRADING_ASSETS">"c1310"</definedName>
    <definedName name="IQ_TRADING_CURRENCY">"c2212"</definedName>
    <definedName name="IQ_TREASURY">"c1311"</definedName>
    <definedName name="IQ_TREASURY_OTHER_EQUITY">"c1312"</definedName>
    <definedName name="IQ_TREASURY_OTHER_EQUITY_BNK">"c1313"</definedName>
    <definedName name="IQ_TREASURY_OTHER_EQUITY_BR">"c1314"</definedName>
    <definedName name="IQ_TREASURY_OTHER_EQUITY_FIN">"c1315"</definedName>
    <definedName name="IQ_TREASURY_OTHER_EQUITY_INS">"c1316"</definedName>
    <definedName name="IQ_TREASURY_OTHER_EQUITY_REIT">"c1317"</definedName>
    <definedName name="IQ_TREASURY_OTHER_EQUITY_UTI">"c1318"</definedName>
    <definedName name="IQ_TREASURY_STOCK">"c1438"</definedName>
    <definedName name="IQ_TRUST_INC">"c1319"</definedName>
    <definedName name="IQ_TRUST_PREF">"c1320"</definedName>
    <definedName name="IQ_TRUST_PREFERRED">"c3029"</definedName>
    <definedName name="IQ_TRUST_PREFERRED_PCT">"c3030"</definedName>
    <definedName name="IQ_UFCF_10YR_ANN_GROWTH">"c1948"</definedName>
    <definedName name="IQ_UFCF_1YR_ANN_GROWTH">"c1943"</definedName>
    <definedName name="IQ_UFCF_2YR_ANN_GROWTH">"c1944"</definedName>
    <definedName name="IQ_UFCF_3YR_ANN_GROWTH">"c1945"</definedName>
    <definedName name="IQ_UFCF_5YR_ANN_GROWTH">"c1946"</definedName>
    <definedName name="IQ_UFCF_7YR_ANN_GROWTH">"c1947"</definedName>
    <definedName name="IQ_UFCF_MARGIN">"c1962"</definedName>
    <definedName name="IQ_UNAMORT_DISC">"c2513"</definedName>
    <definedName name="IQ_UNAMORT_DISC_PCT">"c2514"</definedName>
    <definedName name="IQ_UNAMORT_PREMIUM">"c2511"</definedName>
    <definedName name="IQ_UNAMORT_PREMIUM_PCT">"c2512"</definedName>
    <definedName name="IQ_UNDRAWN_CP">"c2518"</definedName>
    <definedName name="IQ_UNDRAWN_CREDIT">"c3032"</definedName>
    <definedName name="IQ_UNDRAWN_RC">"c2517"</definedName>
    <definedName name="IQ_UNDRAWN_TL">"c2519"</definedName>
    <definedName name="IQ_UNEARN_PREMIUM">"c1321"</definedName>
    <definedName name="IQ_UNEARN_REV_CURRENT">"c1322"</definedName>
    <definedName name="IQ_UNEARN_REV_CURRENT_BNK">"c1323"</definedName>
    <definedName name="IQ_UNEARN_REV_CURRENT_BR">"c1324"</definedName>
    <definedName name="IQ_UNEARN_REV_CURRENT_FIN">"c1325"</definedName>
    <definedName name="IQ_UNEARN_REV_CURRENT_INS">"c1326"</definedName>
    <definedName name="IQ_UNEARN_REV_CURRENT_REIT">"c1327"</definedName>
    <definedName name="IQ_UNEARN_REV_CURRENT_UTI">"c1328"</definedName>
    <definedName name="IQ_UNEARN_REV_LT">"c1329"</definedName>
    <definedName name="IQ_UNLEVERED_FCF">"c1908"</definedName>
    <definedName name="IQ_UNPAID_CLAIMS">"c1330"</definedName>
    <definedName name="IQ_UNREALIZED_GAIN">"c1619"</definedName>
    <definedName name="IQ_UNSECURED_DEBT">"c2548"</definedName>
    <definedName name="IQ_UNSECURED_DEBT_PCT">"c2549"</definedName>
    <definedName name="IQ_UNUSUAL_EXP">"c1456"</definedName>
    <definedName name="IQ_US_GAAP">"c1331"</definedName>
    <definedName name="IQ_US_GAAP_BASIC_EPS_EXCL">"c2984"</definedName>
    <definedName name="IQ_US_GAAP_BASIC_EPS_INCL">"c2982"</definedName>
    <definedName name="IQ_US_GAAP_BASIC_WEIGHT">"c2980"</definedName>
    <definedName name="IQ_US_GAAP_CA_ADJ">"c2925"</definedName>
    <definedName name="IQ_US_GAAP_CASH_FINAN">"c2945"</definedName>
    <definedName name="IQ_US_GAAP_CASH_FINAN_ADJ">"c2941"</definedName>
    <definedName name="IQ_US_GAAP_CASH_INVEST">"c2944"</definedName>
    <definedName name="IQ_US_GAAP_CASH_INVEST_ADJ">"c2940"</definedName>
    <definedName name="IQ_US_GAAP_CASH_OPER">"c2943"</definedName>
    <definedName name="IQ_US_GAAP_CASH_OPER_ADJ">"c2939"</definedName>
    <definedName name="IQ_US_GAAP_CL_ADJ">"c2927"</definedName>
    <definedName name="IQ_US_GAAP_DILUT_EPS_EXCL">"c2985"</definedName>
    <definedName name="IQ_US_GAAP_DILUT_EPS_INCL">"c2983"</definedName>
    <definedName name="IQ_US_GAAP_DILUT_NI">"c2979"</definedName>
    <definedName name="IQ_US_GAAP_DILUT_WEIGHT">"c2981"</definedName>
    <definedName name="IQ_US_GAAP_DO_ADJ">"c2959"</definedName>
    <definedName name="IQ_US_GAAP_EXTRA_ACC_ITEMS_ADJ">"c2958"</definedName>
    <definedName name="IQ_US_GAAP_INC_TAX_ADJ">"c2961"</definedName>
    <definedName name="IQ_US_GAAP_INTEREST_EXP_ADJ">"c2957"</definedName>
    <definedName name="IQ_US_GAAP_LIAB_LT_ADJ">"c2928"</definedName>
    <definedName name="IQ_US_GAAP_LIAB_TOTAL_LIAB">"c2933"</definedName>
    <definedName name="IQ_US_GAAP_MINORITY_INTEREST_IS_ADJ">"c2960"</definedName>
    <definedName name="IQ_US_GAAP_NCA_ADJ">"c2926"</definedName>
    <definedName name="IQ_US_GAAP_NET_CHANGE">"c2946"</definedName>
    <definedName name="IQ_US_GAAP_NET_CHANGE_ADJ">"c2942"</definedName>
    <definedName name="IQ_US_GAAP_NI">"c2976"</definedName>
    <definedName name="IQ_US_GAAP_NI_ADJ">"c2963"</definedName>
    <definedName name="IQ_US_GAAP_NI_AVAIL_INCL">"c2978"</definedName>
    <definedName name="IQ_US_GAAP_OTHER_ADJ_ADJ">"c2962"</definedName>
    <definedName name="IQ_US_GAAP_OTHER_NON_OPER_ADJ">"c2955"</definedName>
    <definedName name="IQ_US_GAAP_OTHER_OPER_ADJ">"c2954"</definedName>
    <definedName name="IQ_US_GAAP_RD_ADJ">"c2953"</definedName>
    <definedName name="IQ_US_GAAP_SGA_ADJ">"c2952"</definedName>
    <definedName name="IQ_US_GAAP_TOTAL_ASSETS">"c2931"</definedName>
    <definedName name="IQ_US_GAAP_TOTAL_EQUITY">"c2934"</definedName>
    <definedName name="IQ_US_GAAP_TOTAL_EQUITY_ADJ">"c2929"</definedName>
    <definedName name="IQ_US_GAAP_TOTAL_REV_ADJ">"c2950"</definedName>
    <definedName name="IQ_US_GAAP_TOTAL_UNUSUAL_ADJ">"c2956"</definedName>
    <definedName name="IQ_UTIL_PPE_NET">"c1620"</definedName>
    <definedName name="IQ_UTIL_REV">"c2091"</definedName>
    <definedName name="IQ_UV_PENSION_LIAB">"c1332"</definedName>
    <definedName name="IQ_VALUE_TRADED_LAST_3MTH">"c1530"</definedName>
    <definedName name="IQ_VALUE_TRADED_LAST_6MTH">"c1531"</definedName>
    <definedName name="IQ_VALUE_TRADED_LAST_MTH">"c1529"</definedName>
    <definedName name="IQ_VALUE_TRADED_LAST_WK">"c1528"</definedName>
    <definedName name="IQ_VALUE_TRADED_LAST_YR">"c1532"</definedName>
    <definedName name="IQ_VOL_LAST_3MTH">"c1525"</definedName>
    <definedName name="IQ_VOL_LAST_6MTH">"c1526"</definedName>
    <definedName name="IQ_VOL_LAST_MTH">"c1524"</definedName>
    <definedName name="IQ_VOL_LAST_WK">"c1523"</definedName>
    <definedName name="IQ_VOL_LAST_YR">"c1527"</definedName>
    <definedName name="IQ_VOLUME">"c1333"</definedName>
    <definedName name="IQ_WARRANTS_BEG_OS">"c2698"</definedName>
    <definedName name="IQ_WARRANTS_CANCELLED">"c2701"</definedName>
    <definedName name="IQ_WARRANTS_END_OS">"c2702"</definedName>
    <definedName name="IQ_WARRANTS_EXERCISED">"c2700"</definedName>
    <definedName name="IQ_WARRANTS_ISSUED">"c2699"</definedName>
    <definedName name="IQ_WARRANTS_STRIKE_PRICE_ISSUED">"c2704"</definedName>
    <definedName name="IQ_WARRANTS_STRIKE_PRICE_OS">"c2703"</definedName>
    <definedName name="IQ_WEEK">50000</definedName>
    <definedName name="IQ_WEIGHTED_AVG_PRICE">"c1334"</definedName>
    <definedName name="IQ_WIP_INV">"c1335"</definedName>
    <definedName name="IQ_WORKMEN_WRITTEN">"c1336"</definedName>
    <definedName name="IQ_XDIV_DATE">"c2203"</definedName>
    <definedName name="IQ_YEARHIGH">"c1337"</definedName>
    <definedName name="IQ_YEARHIGH_DATE">"c2250"</definedName>
    <definedName name="IQ_YEARLOW">"c1338"</definedName>
    <definedName name="IQ_YEARLOW_DATE">"c2251"</definedName>
    <definedName name="IQ_YTD">3000</definedName>
    <definedName name="IQ_YTDMONTH" hidden="1">130000</definedName>
    <definedName name="IQ_Z_SCORE">"c1339"</definedName>
    <definedName name="JIM" hidden="1">{#N/A,#N/A,FALSE,"Sheet5"}</definedName>
    <definedName name="June" hidden="1">{"three",#N/A,FALSE,"Capital";"four",#N/A,FALSE,"Capital"}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K2_WBEVMODE" hidden="1">0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imcount" localSheetId="5">1</definedName>
    <definedName name="limcount" hidden="1">3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aster" hidden="1">{#N/A,#N/A,FALSE,"Actual";#N/A,#N/A,FALSE,"Normalized";#N/A,#N/A,FALSE,"Electric Actual";#N/A,#N/A,FALSE,"Electric Normalized"}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al_Workbook_GUID" hidden="1">"VX3CWJGNQX2CCGI81U4N2V76"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PPPPPPPPPPPPP" hidden="1">{#N/A,#N/A,FALSE,"Sheet5"}</definedName>
    <definedName name="PricingInfo" hidden="1">[16]Inputs!#REF!</definedName>
    <definedName name="_xlnm.Print_Area" localSheetId="2">'Exh. BGM-3 (1)'!$A$1:$AE$320</definedName>
    <definedName name="_xlnm.Print_Area" localSheetId="3">'Exh. BGM-3 (2)'!$A$1:$KF$66</definedName>
    <definedName name="_xlnm.Print_Area" localSheetId="4">'Exh. BGM-4 (1)'!$A$1:$AE$272</definedName>
    <definedName name="_xlnm.Print_Area" localSheetId="5">'Exh. BGM-4 (2)'!$A$1:$IE$66</definedName>
    <definedName name="Print_for_Checking" localSheetId="2">'[14]ADJ SUMMARY'!#REF!:'[14]ADJ SUMMARY'!#REF!</definedName>
    <definedName name="Print_for_Checking" localSheetId="4">'[14]ADJ SUMMARY'!#REF!:'[14]ADJ SUMMARY'!#REF!</definedName>
    <definedName name="Print_for_Checking">'[15]ADJ SUMMARY'!#REF!:'[15]ADJ SUMMARY'!#REF!</definedName>
    <definedName name="_xlnm.Print_Titles" localSheetId="2">'Exh. BGM-3 (1)'!$A:$G,'Exh. BGM-3 (1)'!$2:$6</definedName>
    <definedName name="_xlnm.Print_Titles" localSheetId="3">'Exh. BGM-3 (2)'!$A:$B</definedName>
    <definedName name="_xlnm.Print_Titles" localSheetId="4">'Exh. BGM-4 (1)'!$A:$G,'Exh. BGM-4 (1)'!$2:$5</definedName>
    <definedName name="_xlnm.Print_Titles" localSheetId="5">'Exh. BGM-4 (2)'!$A:$B</definedName>
    <definedName name="RateCase" localSheetId="3">'[10]Named Ranges E'!$B$7</definedName>
    <definedName name="RateCase" localSheetId="5">'[11]Named Ranges G'!$B$7</definedName>
    <definedName name="RateCase">'[17]Named Ranges E'!$B$7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RC_Adjustment_Print" localSheetId="2">#REF!</definedName>
    <definedName name="RRC_Adjustment_Print" localSheetId="4">#REF!</definedName>
    <definedName name="RRC_Rate_Print" localSheetId="2">#REF!</definedName>
    <definedName name="RRC_Rate_Print" localSheetId="4">#REF!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Rwvu.allocations." hidden="1">#REF!</definedName>
    <definedName name="Rwvu.annual._.hotel." hidden="1">[4]development!#REF!</definedName>
    <definedName name="Rwvu.bottom._.line." hidden="1">[4]development!#REF!</definedName>
    <definedName name="Rwvu.cash._.flow." hidden="1">#REF!</definedName>
    <definedName name="Rwvu.combo." hidden="1">[4]development!#REF!</definedName>
    <definedName name="Rwvu.offsite." hidden="1">#REF!</definedName>
    <definedName name="Rwvu.onsite." hidden="1">#REF!</definedName>
    <definedName name="SAPBEXdnldView">"46HLPWIQ6J3TDMPT5WG7XVEBI"</definedName>
    <definedName name="SAPBEXhrIndnt" hidden="1">"Wide"</definedName>
    <definedName name="SAPBEXrevision" hidden="1">1</definedName>
    <definedName name="SAPBEXsysID" hidden="1">"BWP"</definedName>
    <definedName name="SAPBEXwbID" localSheetId="5">"3XJ3VOPHHLH2D0QXSYZLUHSMI"</definedName>
    <definedName name="SAPBEXwbID" hidden="1">"45FIHJWMI3GHFVKWLVCY66MTN"</definedName>
    <definedName name="SAPsysID" hidden="1">"708C5W7SBKP804JT78WJ0JNKI"</definedName>
    <definedName name="SAPwbID" hidden="1">"ARS"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olver_eval">0</definedName>
    <definedName name="solver_ntri">1000</definedName>
    <definedName name="solver_rsmp">1</definedName>
    <definedName name="solver_seed">0</definedName>
    <definedName name="spippw" hidden="1">{#N/A,#N/A,FALSE,"Actual";#N/A,#N/A,FALSE,"Normalized";#N/A,#N/A,FALSE,"Electric Actual";#N/A,#N/A,FALSE,"Electric Normalized"}</definedName>
    <definedName name="SpreadsheetBuilder_2" hidden="1">[18]Sheet2!#REF!</definedName>
    <definedName name="SpreadsheetBuilder_3" hidden="1">[19]Sheet2!#REF!</definedName>
    <definedName name="standard1" hidden="1">{"YTD-Total",#N/A,FALSE,"Provision"}</definedName>
    <definedName name="Summary" localSheetId="2">#REF!</definedName>
    <definedName name="Summary" localSheetId="4">#REF!</definedName>
    <definedName name="Summary">#REF!</definedName>
    <definedName name="Swvu.allocations." hidden="1">#REF!</definedName>
    <definedName name="Swvu.annual._.hotel." hidden="1">[4]development!$C$5</definedName>
    <definedName name="Swvu.bottom._.line." hidden="1">[4]development!#REF!</definedName>
    <definedName name="Swvu.cash._.flow." hidden="1">#REF!</definedName>
    <definedName name="Swvu.combo." hidden="1">[4]development!$B$89</definedName>
    <definedName name="Swvu.full." hidden="1">#REF!</definedName>
    <definedName name="Swvu.offsite." hidden="1">#REF!</definedName>
    <definedName name="Swvu.onsite." hidden="1">#REF!</definedName>
    <definedName name="TableName">"Dummy"</definedName>
    <definedName name="TEST">2000</definedName>
    <definedName name="TESTYEAR" localSheetId="2">'[5]Named Ranges'!$C$5</definedName>
    <definedName name="TestYear" localSheetId="3">'[10]Named Ranges E'!$B$3</definedName>
    <definedName name="TESTYEAR" localSheetId="4">'[5]Named Ranges'!$C$5</definedName>
    <definedName name="TestYear" localSheetId="5">'[11]Named Ranges G'!$B$3</definedName>
    <definedName name="TESTYEAR">'[6]Named Ranges'!$C$5</definedName>
    <definedName name="TESTYEAR_E" localSheetId="2">'[7]Named Ranges E'!$C$5</definedName>
    <definedName name="TESTYEAR_E" localSheetId="4">'[7]Named Ranges E'!$C$5</definedName>
    <definedName name="TESTYEAR_E">'[8]Named Ranges E'!$C$5</definedName>
    <definedName name="TESTYEAR_GAS">'[9]Named Ranges G'!$C$5</definedName>
    <definedName name="Title1">[12]Title!$A$3</definedName>
    <definedName name="Title2">[12]Title!$A$4</definedName>
    <definedName name="Title3">[12]Title!$A$5</definedName>
    <definedName name="Title8">[12]Title!$A$10</definedName>
    <definedName name="TP_Footer_User" hidden="1">"Dylan Moser"</definedName>
    <definedName name="TP_Footer_Version" hidden="1">"v4.00"</definedName>
    <definedName name="trth" hidden="1">{"ALL",#N/A,FALSE,"A"}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cdv" hidden="1">#REF!</definedName>
    <definedName name="w" hidden="1">[20]Inputs!#REF!</definedName>
    <definedName name="WA_Gas" localSheetId="2">'[14]DEBT CALC'!#REF!</definedName>
    <definedName name="WA_Gas" localSheetId="4">'[14]DEBT CALC'!#REF!</definedName>
    <definedName name="WA_Gas">'[15]DEBT CALC'!#REF!</definedName>
    <definedName name="wr" hidden="1">{"Output-3Column",#N/A,FALSE,"Output"}</definedName>
    <definedName name="wrn" hidden="1">{"Inflation-BaseYear",#N/A,FALSE,"Inputs"}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dj._.Back_Up." hidden="1">{"Page 3.4.1",#N/A,FALSE,"Totals";"Page 3.4.2",#N/A,FALSE,"Totals"}</definedName>
    <definedName name="wrn.ALL." hidden="1">{"ALL",#N/A,FALSE,"A"}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nput." hidden="1">{"basic esc rates",#N/A,FALSE,"Basic data";"basic units on",#N/A,FALSE,"Basic data";"basic capacity",#N/A,FALSE,"Basic data";"basic cap factor",#N/A,FALSE,"Basic data";"basic heat rates",#N/A,FALSE,"Basic data";"basic generation",#N/A,FALSE,"Basic data";"basic price",#N/A,FALSE,"Basic data";"basic rev mp",#N/A,FALSE,"Basic data";"basic rev cos",#N/A,FALSE,"Basic data";"basic fuel cost",#N/A,FALSE,"Basic data";"basic o_m",#N/A,FALSE,"Basic data";"basic nox o_m",#N/A,FALSE,"Basic data";"basic env o_m",#N/A,FALSE,"Basic data";"basic corp oh",#N/A,FALSE,"Basic data";"basic oil inv",#N/A,FALSE,"Basic data";"basic prop tax",#N/A,FALSE,"Basic data";"basic summary costs",#N/A,FALSE,"Basic data";"basic gross book value",#N/A,FALSE,"Basic data";"basic cap add",#N/A,FALSE,"Basic data";"basic nox cap add",#N/A,FALSE,"Basic data";"basic other env cap add",#N/A,FALSE,"Basic data";"basic deprec",#N/A,FALSE,"Basic data";"basic decom",#N/A,FALSE,"Basic data";"basic rate base",#N/A,FALSE,"Basic data";"basic summary book value",#N/A,FALSE,"Basic data"}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._.Sheets." hidden="1">{"IncSt",#N/A,FALSE,"IS";"BalSht",#N/A,FALSE,"BS";"IntCash",#N/A,FALSE,"Int. Cash";"Stats",#N/A,FALSE,"Stats"}</definedName>
    <definedName name="wrn.annual." hidden="1">{"annual",#N/A,FALSE,"Pro Forma"}</definedName>
    <definedName name="wrn.Annual._.Detail." hidden="1">{"annualsum",#N/A,FALSE,"Cost Summary";"annual1",#N/A,FALSE,"Phase_1";"annual2",#N/A,FALSE,"Phase_2";"annual3",#N/A,FALSE,"Phase_3";"annual4",#N/A,FALSE,"Phase_4"}</definedName>
    <definedName name="wrn.Annual._.Golf." hidden="1">{"a_dev",#N/A,FALSE,"Golf Development";"a_memstats",#N/A,FALSE,"Golf Development";"a_opstats",#N/A,FALSE,"Golf Development";"a_rev",#N/A,FALSE,"Golf Development";"a_return",#N/A,FALSE,"Golf Development"}</definedName>
    <definedName name="wrn.Annual._.Hotel." hidden="1">{"annual hotel",#N/A,FALSE,"Hotel Development"}</definedName>
    <definedName name="wrn.Annual._.Land._.Sales." hidden="1">{"annual",#N/A,FALSE,"Land Sales"}</definedName>
    <definedName name="wrn.Annual._.Report." hidden="1">{"annual",#N/A,FALSE,"Pro Forma";#N/A,#N/A,FALSE,"Golf Operations"}</definedName>
    <definedName name="wrn.Annual._.Report._.no._.releases." hidden="1">{"a_sales",#N/A,FALSE,"Summary";"a_debt",#N/A,FALSE,"Summary";"a_cash",#N/A,FALSE,"Summary";"a_accrual",#N/A,FALSE,"Summary"}</definedName>
    <definedName name="wrn.Annual._.Report._.with._.releases." hidden="1">{"a_sales",#N/A,FALSE,"Summary";"a_debt",#N/A,FALSE,"Summary";"a_releases",#N/A,FALSE,"Summary";"a_cash",#N/A,FALSE,"Summary";"a_accrual",#N/A,FALSE,"Summary"}</definedName>
    <definedName name="wrn.Annual_5yr." hidden="1">{"ISP1Y5",#N/A,TRUE,"Template";"ISP2Y5",#N/A,TRUE,"Template";"BSY5",#N/A,TRUE,"Template";"ICFY5",#N/A,TRUE,"Template";"TPY5",#N/A,TRUE,"Template";"CtrlY5",#N/A,TRUE,"Template"}</definedName>
    <definedName name="wrn.Assets." hidden="1">{"ASSETS",#N/A,FALSE,"Assets"}</definedName>
    <definedName name="wrn.ASSOC_CO." hidden="1">{"ASSC_CO",#N/A,FALSE,"A"}</definedName>
    <definedName name="wrn.BidCo." hidden="1">{#N/A,#N/A,FALSE,"BidCo Assumptions";#N/A,#N/A,FALSE,"Credit Stats";#N/A,#N/A,FALSE,"Bidco Summary";#N/A,#N/A,FALSE,"BIDCO Consolidated"}</definedName>
    <definedName name="wrn.BS." hidden="1">{"BS",#N/A,FALSE,"A"}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ASH." hidden="1">{#N/A,#N/A,FALSE,"Sheet5"}</definedName>
    <definedName name="wrn.Cash._.and._.Accrual." hidden="1">{"a_cash",#N/A,FALSE,"Summary";"a_accrual",#N/A,FALSE,"Summary"}</definedName>
    <definedName name="wrn.Combined._.YTD." hidden="1">{"YTD-Total",#N/A,TRUE,"Provision";"YTD-Utility",#N/A,TRUE,"Prov Utility";"YTD-NonUtility",#N/A,TRUE,"Prov NonUtility"}</definedName>
    <definedName name="wrn.Complete._.Report." hidden="1">{"Schedule A - Cost of Equity results",#N/A,TRUE,"Summary Results";"Schedule 1B - Cost of Capital Results",#N/A,TRUE,"Final Summary Sheet";"Schedule 2 A - Selected Cohort Financial Data",#N/A,TRUE,"COMPCO";"Schedule 2 B - EPS, etc. Cohort",#N/A,TRUE,"COMPCO";"Schedule 2 C - Cohort Group Growth Estimates",#N/A,TRUE,"COMPCO";"Schedule 2 D - OPUC-Selected Companies",#N/A,TRUE,"COMPCO";"Schedules 3A &amp; 3B - Single-stage DCF Analyses",#N/A,TRUE,"Single-Stage and 5-Year DCF"}</definedName>
    <definedName name="wrn.ConsolGrossGrp." hidden="1">{"Conol gross povision grouped",#N/A,FALSE,"Consol Gross";"Consol Gross Grouped",#N/A,FALSE,"Consol Gross"}</definedName>
    <definedName name="wrn.Current._.Estimate." hidden="1">{#N/A,#N/A,FALSE,"Title Page";#N/A,#N/A,FALSE,"Last Ce to Current Ce";#N/A,#N/A,FALSE,"CE to Plan";#N/A,#N/A,FALSE,"Last CE to Actual";#N/A,#N/A,FALSE,"Actual to Plan";#N/A,#N/A,FALSE,"Net Cash Flow Chg";#N/A,#N/A,FALSE,"Net Cash Flow Fix";#N/A,#N/A,FALSE,"Net Cash Flow";#N/A,#N/A,FALSE,"Balance Sheet";#N/A,#N/A,FALSE,"Cash Flow";#N/A,#N/A,FALSE,"III X Capital";#N/A,#N/A,FALSE,"Monthly Summary-Consolidated";#N/A,#N/A,FALSE,"Monthly Summary-Other";#N/A,#N/A,FALSE,"III X II LP Capital";#N/A,#N/A,FALSE,"Monthly Summary-IIIXIILP";#N/A,#N/A,FALSE,"Monthly Summary-SEI";#N/A,#N/A,FALSE,"Monthly Summary-Raton";#N/A,#N/A,FALSE,"Monthly Summary-Utah";#N/A,#N/A,FALSE,"Monthly Summary-Corp G&amp;A";#N/A,#N/A,FALSE,"Monthly Summary-Capital Plan";#N/A,#N/A,FALSE,"Income Tax Provision";#N/A,#N/A,FALSE,"IIIX Debt"}</definedName>
    <definedName name="wrn.DCF._.Valuation." hidden="1">{"value box",#N/A,TRUE,"DPL Inc. Fin Statements";"unlevered free cash flows",#N/A,TRUE,"DPL Inc. Fin Statements"}</definedName>
    <definedName name="wrn.Detail." hidden="1">{"Print_Detail",#N/A,FALSE,"Redemption_Maturity Extract"}</definedName>
    <definedName name="wrn.Diane._.s._.Version." hidden="1">{"Full",#N/A,FALSE,"Sec MTN B Summary"}</definedName>
    <definedName name="wrn.Distribution._.Version." hidden="1">{"RedPrem_InitRed View",#N/A,FALSE,"Sec MTN B Summary"}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CB." hidden="1">{"FCB_ALL",#N/A,FALSE,"FCB"}</definedName>
    <definedName name="wrn.fcb2" hidden="1">{"FCB_ALL",#N/A,FALSE,"FCB"}</definedName>
    <definedName name="wrn.Financials." hidden="1">{#N/A,#N/A,TRUE,"Income Statement";#N/A,#N/A,TRUE,"Balance Sheet";#N/A,#N/A,TRUE,"Cash Flow"}</definedName>
    <definedName name="wrn.Five._.Year._.Test." hidden="1">{"Five Year Plan",#N/A,TRUE,"Monthly Summary-IIIXIILP";"Five Year Plan",#N/A,TRUE,"Cash Flow"}</definedName>
    <definedName name="wrn.full._.report." hidden="1">{"Header",#N/A,FALSE,"Assumptions";"Header",#N/A,FALSE,"Summary";"Header",#N/A,FALSE,"Credit Stats";"Header",#N/A,FALSE,"Pro Forma BS";"Header",#N/A,FALSE,"Pro Forma Financials";"Header",#N/A,FALSE,"Consol Balance Sheet";"Header",#N/A,FALSE,"Consol Income Statement";"Header",#N/A,FALSE,"Consol Cash Flow";"Header",#N/A,FALSE,"IRR-EBITDA"}</definedName>
    <definedName name="wrn.Full._.View." hidden="1">{"FullView",#N/A,FALSE,"Consltd-For contngcy"}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greg." hidden="1">{"three",#N/A,FALSE,"Capital";"four",#N/A,FALSE,"Capital"}</definedName>
    <definedName name="wrn.III._.X._.Co._.Five._.Year._.Plan." hidden="1">{#N/A,#N/A,TRUE,"Title Page-Financial Stmts IIIX";"Balance Sheet Five Year Plan",#N/A,TRUE,"Balance Sheet";"Cash Flow Five Year Plan",#N/A,TRUE,"Cash Flow";"III X Capital Five Year Plan",#N/A,TRUE,"III X Capital";"Consol Income Five Year Plan",#N/A,TRUE,"Monthly Summary-Consolidated";"Other Income Five Year Plan",#N/A,TRUE,"Monthly Summary-Other";"IIIXIILPCapital Five Year Plan",#N/A,TRUE,"III X II LP Capital";"IIIXIILP Income Five Year Plan",#N/A,TRUE,"Monthly Summary-IIIXIILP";"QEP Income Five Year Plan",#N/A,TRUE,"Monthly Summary-SEI";"Raton Income Five Year Plan",#N/A,TRUE,"Monthly Summary-Raton";"AC Income Five Year Plan",#N/A,TRUE,"Monthly Summary-Utah";"G&amp;A Five Year Plan",#N/A,TRUE,"Monthly Summary-Corp G&amp;A";"CAPEX Five Year Plan",#N/A,TRUE,"Monthly Summary-Capital Plan";"Drilling Prog Five Year Plan",#N/A,TRUE,"Drilling Prog Current";"Debt Five Year Plan",#N/A,TRUE,"IIIX Debt";"Income Tax Five Year Plan",#N/A,TRUE,"Income Tax Provision"}</definedName>
    <definedName name="wrn.IIIXCo._.Five._.Year._.Summary._.Reports." hidden="1">{#N/A,#N/A,TRUE,"Title Page-Financial Stmts IIIX";#N/A,#N/A,TRUE,"Sumry_Income IIIXCo";#N/A,#N/A,TRUE,"Sumry_Balance Sheet IIIXCo";#N/A,#N/A,TRUE,"Sumry_Cash Flow IIIXCo";#N/A,#N/A,TRUE,"Antelope Creek";#N/A,#N/A,TRUE,"QEP";#N/A,#N/A,TRUE,"Raton"}</definedName>
    <definedName name="wrn.IIIXCo._.FY._.2004._.Plan." hidden="1">{"IIIXCo FY 04 Plan",#N/A,FALSE,"Monthly Summary-IIIXIILP"}</definedName>
    <definedName name="wrn.Inputs." hidden="1">{"Inflation-BaseYear",#N/A,FALSE,"Inputs"}</definedName>
    <definedName name="wrn.Invested._.Capital." hidden="1">{#N/A,#N/A,FALSE,"Invested Capital-Total";#N/A,#N/A,FALSE,"Invested Capital-SEI";#N/A,#N/A,FALSE,"Invested Capital-Utah";#N/A,#N/A,FALSE,"Invested Capital-Raton"}</definedName>
    <definedName name="wrn.Liab." hidden="1">{"LIAB",#N/A,FALSE,"Liab"}</definedName>
    <definedName name="wrn.Monthly_Yr1." hidden="1">{"ISP1Y1",#N/A,TRUE,"Template";"ISP2Y1",#N/A,TRUE,"Template";"BSY1",#N/A,TRUE,"Template";"ICFY1",#N/A,TRUE,"Template";"TPY1",#N/A,TRUE,"Template";"CtrlY1",#N/A,TRUE,"Template"}</definedName>
    <definedName name="wrn.monthly_yr2" hidden="1">{"ISP1Y1",#N/A,TRUE,"Template";"ISP2Y1",#N/A,TRUE,"Template";"BSY1",#N/A,TRUE,"Template";"ICFY1",#N/A,TRUE,"Template";"TPY1",#N/A,TRUE,"Template";"CtrlY1",#N/A,TRUE,"Template"}</definedName>
    <definedName name="wrn.Monthly_Yr2." hidden="1">{"ISP1Y2",#N/A,TRUE,"Template";"ISP2Y2",#N/A,TRUE,"Template";"BSY2",#N/A,TRUE,"Template";"ICFY2",#N/A,TRUE,"Template";"TPY2",#N/A,TRUE,"Template";"CtrlY2",#N/A,TRUE,"Template"}</definedName>
    <definedName name="wrn.NetWorth." hidden="1">{"NW",#N/A,FALSE,"STMT"}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utput3Column." hidden="1">{"Output-3Column",#N/A,FALSE,"Output"}</definedName>
    <definedName name="wrn.OutputAll." hidden="1">{"Output-All",#N/A,FALSE,"Output"}</definedName>
    <definedName name="wrn.OutputBaseYear." hidden="1">{"Output-BaseYear",#N/A,FALSE,"Output"}</definedName>
    <definedName name="wrn.OutputMin." hidden="1">{"Output-Min",#N/A,FALSE,"Output"}</definedName>
    <definedName name="wrn.OutputPercent." hidden="1">{"Output%",#N/A,FALSE,"Output"}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yment._.View." hidden="1">{#N/A,#N/A,FALSE,"Consltd-For contngcy";"PaymentView",#N/A,FALSE,"Consltd-For contngcy"}</definedName>
    <definedName name="wrn.Pfd." hidden="1">{"Pfd",#N/A,FALSE,"Pfd"}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ivot1." hidden="1">{"Pivot1",#N/A,FALSE,"Redemption_Maturity Extract"}</definedName>
    <definedName name="wrn.Pivot2." hidden="1">{"Pivot2",#N/A,FALSE,"Redemption_Maturity Extract"}</definedName>
    <definedName name="wrn.Plan._.2004." hidden="1">{#N/A,#N/A,TRUE,"Title Page";#N/A,#N/A,TRUE,"Net Cash Flow";#N/A,#N/A,TRUE,"Balance Sheet";#N/A,#N/A,TRUE,"Cash Flow";#N/A,#N/A,TRUE,"III X Capital";#N/A,#N/A,TRUE,"Monthly Summary-Consolidated";#N/A,#N/A,TRUE,"Monthly Summary-Other";#N/A,#N/A,TRUE,"Monthly Summary-IIIXIILP";#N/A,#N/A,TRUE,"Monthly Summary-SEI";#N/A,#N/A,TRUE,"Monthly Summary-Raton";#N/A,#N/A,TRUE,"Monthly Summary-Utah";#N/A,#N/A,TRUE,"Monthly Summary-Corp G&amp;A";#N/A,#N/A,TRUE,"Monthly Summary-Capital Plan";#N/A,#N/A,TRUE,"Drilling Prog Current";#N/A,#N/A,TRUE,"IIIX Debt";#N/A,#N/A,TRUE,"Income Tax Provision"}</definedName>
    <definedName name="wrn.PPMCoCodeView." hidden="1">{"PPM Co Code View",#N/A,FALSE,"Comp Codes"}</definedName>
    <definedName name="wrn.PPMreconview." hidden="1">{"PPM Recon View",#N/A,FALSE,"Hyperion Proof"}</definedName>
    <definedName name="wrn.PrintAll." hidden="1">{"PA1",#N/A,TRUE,"BORDMW";"pa2",#N/A,TRUE,"BORDMW";"PA3",#N/A,TRUE,"BORDMW";"PA4",#N/A,TRUE,"BORDMW"}</definedName>
    <definedName name="wrn.ProofElectricOnly." hidden="1">{"Electric Only",#N/A,FALSE,"Hyperion Proof"}</definedName>
    <definedName name="wrn.ProofTotal." hidden="1">{"Proof Total",#N/A,FALSE,"Hyperion Proof"}</definedName>
    <definedName name="wrn.quarterly." hidden="1">{"quarterly",#N/A,FALSE,"Pro Forma"}</definedName>
    <definedName name="wrn.Reformat._.only." hidden="1">{#N/A,#N/A,FALSE,"Dec 1999 mapping"}</definedName>
    <definedName name="wrn.Releases._.Cash._.Accrual." hidden="1">{"a_releases",#N/A,FALSE,"Summary";"a_cash",#N/A,FALSE,"Summary";"a_accrual",#N/A,FALSE,"Summary"}</definedName>
    <definedName name="wrn.rpt96." hidden="1">{"rmrev1",#N/A,FALSE,"Forecast96";"rmrev2",#N/A,FALSE,"Forecast96";"rmrev3",#N/A,FALSE,"Forecast96"}</definedName>
    <definedName name="wrn.sales." hidden="1">{"sales",#N/A,FALSE,"Sales";"sales existing",#N/A,FALSE,"Sales";"sales rd1",#N/A,FALSE,"Sales";"sales rd2",#N/A,FALSE,"Sales"}</definedName>
    <definedName name="wrn.Sales._.and._.Debt." hidden="1">{"a_sales",#N/A,FALSE,"Summary";"a_debt",#N/A,FALSE,"Summary"}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._.BC." hidden="1">{"SCHED_B&amp;C",#N/A,FALSE,"A"}</definedName>
    <definedName name="wrn.SCHED._.DE." hidden="1">{"SCHED_D&amp;E",#N/A,FALSE,"A"}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hared._.Costs." hidden="1">{"cash flow",#N/A,FALSE,"Shared Costs";"allocations",#N/A,FALSE,"Shared Costs"}</definedName>
    <definedName name="wrn.SHEDA." hidden="1">{"SCHED_A",#N/A,FALSE,"A"}</definedName>
    <definedName name="wrn.STAND_ALONE_BOTH." hidden="1">{"FCB_ALL",#N/A,FALSE,"FCB";"GREY_ALL",#N/A,FALSE,"GREY"}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_.View." hidden="1">{#N/A,#N/A,FALSE,"Consltd-For contngcy"}</definedName>
    <definedName name="wrn.Tariff99." hidden="1">{"103Decup",#N/A,TRUE,"TRF103";"101Refund",#N/A,TRUE,"TRF101A";"101EEAAcct",#N/A,TRUE,"TRF101C";"107DSMRef",#N/A,TRUE,"TRF107";"107Amort",#N/A,TRUE,"DSM Amort";"102RPAInt",#N/A,TRUE,"TRF102B";"111Price1",#N/A,TRUE,"TRF111A";"111Price2",#N/A,TRUE,"TRF111B"}</definedName>
    <definedName name="wrn.UK._.Conversion._.Only." hidden="1">{#N/A,#N/A,FALSE,"Dec 1999 UK Continuing Ops"}</definedName>
    <definedName name="wrn.Wacc." hidden="1">{"Area1",#N/A,FALSE,"OREWACC";"Area2",#N/A,FALSE,"OREWACC"}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rng" hidden="1">{"Output-BaseYear",#N/A,FALSE,"Output"}</definedName>
    <definedName name="wrnh" hidden="1">{"Output-All",#N/A,FALSE,"Output"}</definedName>
    <definedName name="wvu.allocations." hidden="1">{TRUE,TRUE,-1.41610738255034,-14.9463087248322,497.718120805369,308.295302013423,FALSE,TRUE,TRUE,TRUE,0,1,1,1,40,3,2.68,4,TRUE,TRUE,3,TRUE,1,FALSE,100,"Swvu.allocations.","ACwvu.allocations.",#N/A,FALSE,FALSE,0.5,0.5,0.5,0.5,1,"","&amp;L&amp;F   &amp;A&amp;R&amp;D   &amp;T",TRUE,FALSE,FALSE,FALSE,1,100,#N/A,#N/A,"=R1C1:R118C10","=R1:R2","Rwvu.allocations.",#N/A,FALSE,FALSE,TRUE,1,4294967292,300,FALSE,FALSE,TRUE,TRUE,TRUE}</definedName>
    <definedName name="wvu.annual." hidden="1">{TRUE,TRUE,-1.41610738255034,-14.9463087248322,497.718120805369,308.295302013423,FALSE,TRUE,TRUE,TRUE,0,1,#N/A,1,1,9.97,4.21739130434783,3,FALSE,TRUE,3,TRUE,1,FALSE,100,"Swvu.annual.","ACwvu.annual.",#N/A,FALSE,FALSE,0.5,0.5,0.5,0.5,2,"","&amp;L&amp;""Palatino,Regular""&amp;9&amp;F&amp;C&amp;""Palatino,Regular""&amp;9LAND SALES DETAIL - Page &amp;P of &amp;N&amp;R&amp;""Palatino,Regular""&amp;9&amp;D   &amp;T",TRUE,FALSE,FALSE,FALSE,2,90,#N/A,#N/A,"=R1C1:R174C16","=R1:R3","Rwvu.annual.","Cwvu.annual.",FALSE,FALSE,FALSE,1,4294967292,300,FALSE,FALSE,TRUE,TRUE,TRUE}</definedName>
    <definedName name="wvu.annual._.hotel." hidden="1">{TRUE,TRUE,-1.41610738255034,-14.9463087248322,497.718120805369,308.295302013423,FALSE,TRUE,TRUE,TRUE,0,1,1,1,1,1,2.08695652173913,4,TRUE,TRUE,3,TRUE,1,FALSE,100,"Swvu.annual._.hotel.","ACwvu.annual._.hotel.",#N/A,FALSE,FALSE,0.5,0.5,0.5,0.5,2,"","&amp;L&amp;8&amp;F&amp;C&amp;8HOTEL DEVELOPMENT - Page &amp;P of &amp;N&amp;R&amp;8&amp;D   &amp;T",TRUE,FALSE,FALSE,FALSE,2,#N/A,1,#N/A,#DIV/0!,"=R1:R2","Rwvu.annual._.hotel.","Cwvu.annual._.hotel.",FALSE,FALSE,FALSE,1,4294967292,300,FALSE,FALSE,TRUE,TRUE,TRUE}</definedName>
    <definedName name="wvu.bottom._.line." hidden="1">{TRUE,TRUE,-1.41610738255034,-14.9463087248322,497.718120805369,308.295302013423,FALSE,TRUE,TRUE,TRUE,0,1,1,1,280,1,2.17391304347826,4,TRUE,TRUE,3,TRUE,1,FALSE,100,"Swvu.bottom._.line.","ACwvu.bottom._.line.",#N/A,FALSE,FALSE,0.5,0.5,0.5,0.5,2,"","&amp;L&amp;8&amp;F   &amp;A&amp;R&amp;8&amp;D   &amp;T",TRUE,FALSE,FALSE,FALSE,2,#N/A,1,#N/A,#DIV/0!,"=R1:R2","Rwvu.bottom._.line.","Cwvu.bottom._.line.",FALSE,FALSE,FALSE,1,4294967292,300,FALSE,FALSE,TRUE,TRUE,TRUE}</definedName>
    <definedName name="wvu.cash._.flow." hidden="1">{TRUE,TRUE,-1.41610738255034,-14.9463087248322,497.718120805369,308.295302013423,FALSE,TRUE,TRUE,TRUE,0,1,1,1,1,1,2.40816326530612,4,TRUE,TRUE,3,TRUE,1,FALSE,100,"Swvu.cash._.flow.","ACwvu.cash._.flow.",#N/A,FALSE,FALSE,0.5,0.5,0.5,0.5,2,"","&amp;L&amp;""Palatino,Regular""&amp;8&amp;F&amp;C&amp;""Palatino,Regular""&amp;8SHARED COSTS&amp;R&amp;""Palatino,Regular""&amp;8&amp;D   &amp;T",TRUE,FALSE,FALSE,FALSE,1,#N/A,1,1,"=R1C1:R120C22",FALSE,"Rwvu.cash._.flow.","Cwvu.cash._.flow.",FALSE,FALSE,FALSE,1,4294967292,300,FALSE,FALSE,TRUE,TRUE,TRUE}</definedName>
    <definedName name="wvu.combo." hidden="1">{TRUE,TRUE,-1.41610738255034,-14.9463087248322,497.718120805369,308.295302013423,FALSE,TRUE,TRUE,TRUE,0,1,3,1,170,1,1.07142857142857,3,TRUE,TRUE,3,TRUE,1,FALSE,100,"Swvu.combo.","ACwvu.combo.",#N/A,FALSE,FALSE,0.5,0.5,0.5,0.5,2,"","&amp;L&amp;8&amp;F   &amp;A&amp;R&amp;8&amp;D   &amp;T",TRUE,FALSE,FALSE,FALSE,2,#N/A,1,#N/A,#DIV/0!,"=R1:R2","Rwvu.combo.","Cwvu.combo.",FALSE,FALSE,FALSE,1,4294967292,300,FALSE,FALSE,TRUE,TRUE,TRUE}</definedName>
    <definedName name="wvu.full." hidden="1">{TRUE,TRUE,-1.41610738255034,-14.9463087248322,497.718120805369,308.295302013423,FALSE,TRUE,TRUE,TRUE,0,1,#N/A,1,1,8.41904761904762,2.4,3,FALSE,TRUE,3,TRUE,1,FALSE,100,"Swvu.full.","ACwvu.full.",#N/A,FALSE,FALSE,0.5,0.5,0.5,0.5,2,"","&amp;L&amp;F&amp;R&amp;D   &amp;T",TRUE,FALSE,FALSE,FALSE,1,#N/A,1,1,"=R1C1:R97C24",FALSE,#N/A,#N/A,FALSE,FALSE,FALSE,1,4294967292,300,FALSE,FALSE,TRUE,TRUE,TRUE}</definedName>
    <definedName name="wvu.offsite." hidden="1">{TRUE,TRUE,-1.41610738255034,-14.9463087248322,497.718120805369,308.295302013423,FALSE,TRUE,TRUE,TRUE,0,1,1,1,1,3,2.91836734693878,4,TRUE,TRUE,3,TRUE,1,FALSE,100,"Swvu.offsite.","ACwvu.offsite.",#N/A,FALSE,FALSE,0.5,0.5,0.5,0.5,1,"","&amp;L&amp;""Palatino,Regular""&amp;8&amp;F&amp;C&amp;""Palatino,Regular""&amp;8SHARED COSTS&amp;R&amp;""Palatino,Regular""&amp;8&amp;D   &amp;T",TRUE,FALSE,FALSE,FALSE,1,#N/A,1,1,#DIV/0!,"=R1:R2","Rwvu.offsite.",#N/A,FALSE,FALSE,FALSE,1,4294967292,300,FALSE,FALSE,TRUE,TRUE,TRUE}</definedName>
    <definedName name="wvu.onsite." hidden="1">{TRUE,TRUE,-1.41610738255034,-14.9463087248322,497.718120805369,308.295302013423,FALSE,TRUE,TRUE,TRUE,0,1,1,1,1,3,2.83673469387755,4,TRUE,TRUE,3,TRUE,1,FALSE,100,"Swvu.onsite.","ACwvu.onsite.",#N/A,FALSE,FALSE,0.5,0.5,0.5,0.5,1,"","&amp;L&amp;""Palatino,Regular""&amp;8&amp;F&amp;C&amp;""Palatino,Regular""&amp;8SHARED COSTS&amp;R&amp;""Palatino,Regular""&amp;8&amp;D   &amp;T",TRUE,FALSE,FALSE,FALSE,1,#N/A,1,1,#DIV/0!,"=R1:R2","Rwvu.onsite.",#N/A,FALSE,FALSE,FALSE,1,4294967292,300,FALSE,FALSE,TRUE,TRUE,TRUE}</definedName>
    <definedName name="wvu.quarterly." hidden="1">{TRUE,TRUE,-1.25,-15.5,484.5,270,FALSE,TRUE,TRUE,TRUE,0,1,2,2,1,3,1.93333333333333,4,TRUE,TRUE,3,TRUE,1,FALSE,75,"Swvu.quarterly.","ACwvu.quarterly.",#N/A,FALSE,FALSE,0.25,0.25,0.5,0.5,2,"","&amp;L&amp;10&amp;F   &amp;A&amp;C&amp;10Page &amp;P&amp;R&amp;10&amp;D   &amp;T",FALSE,FALSE,FALSE,FALSE,2,71,#N/A,#N/A,"=R1C1:R153C72","=C1:C4,R1:R3","Rwvu.quarterly.",#N/A,FALSE,FALSE,TRUE,1,65532,65532,FALSE,FALSE,TRUE,TRUE,TRUE}</definedName>
    <definedName name="xxx" hidden="1">#REF!</definedName>
    <definedName name="y" hidden="1">#REF!</definedName>
    <definedName name="z" hidden="1">'[1]DSM Output'!$G$21:$G$23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X37" i="17" l="1"/>
  <c r="Y33" i="17"/>
  <c r="Z33" i="17"/>
  <c r="X33" i="17"/>
  <c r="AF33" i="17"/>
  <c r="AF32" i="17"/>
  <c r="H17" i="11"/>
  <c r="G17" i="11"/>
  <c r="F17" i="11"/>
  <c r="E17" i="11"/>
  <c r="G15" i="11"/>
  <c r="H15" i="11"/>
  <c r="F15" i="11"/>
  <c r="G14" i="11"/>
  <c r="H14" i="11"/>
  <c r="F14" i="11"/>
  <c r="E14" i="11"/>
  <c r="HQ54" i="4" l="1"/>
  <c r="HQ53" i="4"/>
  <c r="GB54" i="4"/>
  <c r="GB53" i="4"/>
  <c r="EM54" i="4"/>
  <c r="EM53" i="4"/>
  <c r="CY54" i="4"/>
  <c r="CY53" i="4"/>
  <c r="BK54" i="4"/>
  <c r="BK53" i="4"/>
  <c r="HQ40" i="4"/>
  <c r="HQ38" i="4"/>
  <c r="EM40" i="4"/>
  <c r="EM38" i="4"/>
  <c r="AA254" i="5"/>
  <c r="W254" i="5"/>
  <c r="AA208" i="5"/>
  <c r="AA162" i="5"/>
  <c r="W162" i="5"/>
  <c r="AA117" i="5"/>
  <c r="AA73" i="5"/>
  <c r="JI54" i="14"/>
  <c r="JI53" i="14"/>
  <c r="HK54" i="14"/>
  <c r="HK53" i="14"/>
  <c r="FM54" i="14"/>
  <c r="FM53" i="14"/>
  <c r="DP55" i="14"/>
  <c r="DP53" i="14"/>
  <c r="BT54" i="14"/>
  <c r="BT53" i="14"/>
  <c r="JI40" i="14"/>
  <c r="JI38" i="14"/>
  <c r="FM40" i="14"/>
  <c r="FM38" i="14"/>
  <c r="AA293" i="2"/>
  <c r="W293" i="2"/>
  <c r="AA239" i="2"/>
  <c r="AA185" i="2"/>
  <c r="W185" i="2"/>
  <c r="AA132" i="2"/>
  <c r="AA81" i="2"/>
  <c r="J18" i="12" l="1"/>
  <c r="K18" i="12"/>
  <c r="L18" i="12"/>
  <c r="AA265" i="5"/>
  <c r="W265" i="5"/>
  <c r="Y265" i="5" s="1"/>
  <c r="AA219" i="5"/>
  <c r="W219" i="5"/>
  <c r="Y219" i="5" s="1"/>
  <c r="AA173" i="5"/>
  <c r="W173" i="5"/>
  <c r="Y173" i="5" s="1"/>
  <c r="N18" i="12" l="1"/>
  <c r="N26" i="12" l="1"/>
  <c r="N25" i="12"/>
  <c r="N26" i="18" l="1"/>
  <c r="V10" i="18"/>
  <c r="L10" i="18" s="1"/>
  <c r="U10" i="18"/>
  <c r="T10" i="18"/>
  <c r="S10" i="18"/>
  <c r="R10" i="18"/>
  <c r="H10" i="18" s="1"/>
  <c r="Q10" i="18"/>
  <c r="K10" i="18" l="1"/>
  <c r="J10" i="18"/>
  <c r="N10" i="18" l="1"/>
  <c r="L17" i="12" l="1"/>
  <c r="K17" i="12"/>
  <c r="J17" i="12"/>
  <c r="H17" i="12"/>
  <c r="AA263" i="5"/>
  <c r="W263" i="5"/>
  <c r="Y263" i="5" s="1"/>
  <c r="AA217" i="5"/>
  <c r="W217" i="5"/>
  <c r="Y217" i="5" s="1"/>
  <c r="AA82" i="5"/>
  <c r="W82" i="5"/>
  <c r="Y82" i="5" s="1"/>
  <c r="AA171" i="5"/>
  <c r="W171" i="5"/>
  <c r="N17" i="12" l="1"/>
  <c r="Y51" i="5" l="1"/>
  <c r="AO40" i="4" s="1"/>
  <c r="F117" i="5"/>
  <c r="Y117" i="5"/>
  <c r="P117" i="5" s="1"/>
  <c r="Y239" i="2"/>
  <c r="R117" i="5" l="1"/>
  <c r="JW53" i="14" l="1"/>
  <c r="HY53" i="14"/>
  <c r="GA53" i="14"/>
  <c r="W309" i="2"/>
  <c r="W200" i="2"/>
  <c r="HY40" i="14"/>
  <c r="GA37" i="14"/>
  <c r="GA40" i="14" s="1"/>
  <c r="AP55" i="14" l="1"/>
  <c r="AA49" i="2" l="1"/>
  <c r="R49" i="2" s="1"/>
  <c r="Y49" i="2"/>
  <c r="P49" i="2" s="1"/>
  <c r="F49" i="2"/>
  <c r="AP42" i="14"/>
  <c r="AP40" i="14"/>
  <c r="AP57" i="14"/>
  <c r="AP26" i="14"/>
  <c r="AP17" i="14"/>
  <c r="HS40" i="14"/>
  <c r="HS22" i="14"/>
  <c r="FU40" i="14"/>
  <c r="FU22" i="14"/>
  <c r="W248" i="2"/>
  <c r="W267" i="5"/>
  <c r="Y267" i="5" s="1"/>
  <c r="P267" i="5" s="1"/>
  <c r="R267" i="5"/>
  <c r="F267" i="5"/>
  <c r="W221" i="5"/>
  <c r="Y221" i="5" s="1"/>
  <c r="P221" i="5" s="1"/>
  <c r="R221" i="5"/>
  <c r="F221" i="5"/>
  <c r="W175" i="5"/>
  <c r="Y175" i="5" s="1"/>
  <c r="P175" i="5" s="1"/>
  <c r="R175" i="5"/>
  <c r="F175" i="5"/>
  <c r="IB34" i="4"/>
  <c r="GM34" i="4"/>
  <c r="GM40" i="4" s="1" a="1"/>
  <c r="GM40" i="4" s="1"/>
  <c r="GM42" i="4" s="1"/>
  <c r="GM44" i="4" s="1"/>
  <c r="EX34" i="4"/>
  <c r="EX57" i="4"/>
  <c r="EX46" i="4" s="1"/>
  <c r="EX81" i="4" s="1"/>
  <c r="EX40" i="4" a="1"/>
  <c r="EX40" i="4" s="1"/>
  <c r="EX26" i="4"/>
  <c r="EX17" i="4"/>
  <c r="EX9" i="4"/>
  <c r="GM57" i="4"/>
  <c r="GM46" i="4" s="1"/>
  <c r="GM81" i="4" s="1"/>
  <c r="GM26" i="4"/>
  <c r="GM17" i="4"/>
  <c r="GM9" i="4"/>
  <c r="IB57" i="4"/>
  <c r="IB46" i="4" s="1"/>
  <c r="IB81" i="4" s="1"/>
  <c r="IB40" i="4" a="1"/>
  <c r="IB40" i="4" s="1"/>
  <c r="IB26" i="4"/>
  <c r="IB17" i="4"/>
  <c r="IB9" i="4"/>
  <c r="W316" i="2"/>
  <c r="Y316" i="2" s="1"/>
  <c r="P316" i="2" s="1"/>
  <c r="AA316" i="2"/>
  <c r="R316" i="2" s="1"/>
  <c r="F316" i="2"/>
  <c r="W261" i="2"/>
  <c r="Y261" i="2" s="1"/>
  <c r="P261" i="2" s="1"/>
  <c r="AA261" i="2"/>
  <c r="R261" i="2" s="1"/>
  <c r="F261" i="2"/>
  <c r="W207" i="2"/>
  <c r="Y207" i="2" s="1"/>
  <c r="P207" i="2" s="1"/>
  <c r="AA207" i="2"/>
  <c r="R207" i="2" s="1"/>
  <c r="F207" i="2"/>
  <c r="KB34" i="14"/>
  <c r="KB40" i="14" s="1"/>
  <c r="ID34" i="14"/>
  <c r="GF34" i="14"/>
  <c r="GF57" i="14"/>
  <c r="GF46" i="14" s="1"/>
  <c r="GF81" i="14" s="1"/>
  <c r="GF26" i="14"/>
  <c r="GF17" i="14"/>
  <c r="ID57" i="14"/>
  <c r="ID46" i="14" s="1"/>
  <c r="ID81" i="14" s="1"/>
  <c r="ID26" i="14"/>
  <c r="ID17" i="14"/>
  <c r="KB57" i="14"/>
  <c r="KB26" i="14"/>
  <c r="KB17" i="14"/>
  <c r="M11" i="17"/>
  <c r="I9" i="17" s="1"/>
  <c r="O11" i="17"/>
  <c r="Q11" i="17"/>
  <c r="M16" i="17"/>
  <c r="I15" i="17" s="1"/>
  <c r="O16" i="17"/>
  <c r="Q16" i="17"/>
  <c r="I18" i="17"/>
  <c r="O18" i="17"/>
  <c r="Q18" i="17"/>
  <c r="AE32" i="17"/>
  <c r="AE33" i="17"/>
  <c r="FW33" i="4"/>
  <c r="EH33" i="4"/>
  <c r="EH31" i="4"/>
  <c r="HF31" i="14"/>
  <c r="JD29" i="14"/>
  <c r="JD30" i="14"/>
  <c r="JD31" i="14"/>
  <c r="JD32" i="14"/>
  <c r="JD33" i="14"/>
  <c r="JD34" i="14"/>
  <c r="GF40" i="14" l="1"/>
  <c r="ID40" i="14"/>
  <c r="AP44" i="14"/>
  <c r="AP46" i="14"/>
  <c r="AP81" i="14" s="1"/>
  <c r="GF72" i="14"/>
  <c r="GF42" i="14"/>
  <c r="GF44" i="14" s="1"/>
  <c r="EX44" i="4"/>
  <c r="EX80" i="4" s="1"/>
  <c r="EX42" i="4"/>
  <c r="GM80" i="4"/>
  <c r="IB42" i="4"/>
  <c r="IB44" i="4" s="1"/>
  <c r="ID42" i="14"/>
  <c r="ID44" i="14" s="1"/>
  <c r="ID72" i="14"/>
  <c r="KB42" i="14"/>
  <c r="KB44" i="14" s="1"/>
  <c r="KB80" i="14" s="1"/>
  <c r="KB83" i="14" s="1"/>
  <c r="KB46" i="14"/>
  <c r="I10" i="17"/>
  <c r="W14" i="17" s="1"/>
  <c r="I14" i="17"/>
  <c r="W9" i="17" s="1"/>
  <c r="M18" i="17"/>
  <c r="HL31" i="4"/>
  <c r="FW31" i="4"/>
  <c r="HF33" i="14"/>
  <c r="JD28" i="14"/>
  <c r="JD40" i="14" s="1"/>
  <c r="FH34" i="14"/>
  <c r="FH28" i="14"/>
  <c r="EH32" i="4"/>
  <c r="HF29" i="14"/>
  <c r="HL30" i="4"/>
  <c r="FW30" i="4"/>
  <c r="HL29" i="4"/>
  <c r="FW29" i="4"/>
  <c r="FH29" i="14"/>
  <c r="HF34" i="14"/>
  <c r="FH32" i="14"/>
  <c r="HF32" i="14"/>
  <c r="EH29" i="4"/>
  <c r="EH34" i="4"/>
  <c r="FH30" i="14"/>
  <c r="HF30" i="14"/>
  <c r="FH33" i="14"/>
  <c r="EH30" i="4"/>
  <c r="FH31" i="14"/>
  <c r="FW32" i="4"/>
  <c r="HL32" i="4"/>
  <c r="FW34" i="4"/>
  <c r="HL34" i="4"/>
  <c r="HL33" i="4"/>
  <c r="GF80" i="14" l="1"/>
  <c r="GF83" i="14" s="1"/>
  <c r="AP80" i="14"/>
  <c r="AP83" i="14" s="1"/>
  <c r="AP72" i="14"/>
  <c r="IB80" i="4"/>
  <c r="KB72" i="14"/>
  <c r="KB81" i="14"/>
  <c r="ID80" i="14"/>
  <c r="ID83" i="14" s="1"/>
  <c r="FH40" i="14"/>
  <c r="X9" i="17"/>
  <c r="X11" i="17" s="1"/>
  <c r="X32" i="17" s="1"/>
  <c r="Y9" i="17"/>
  <c r="Y11" i="17" s="1"/>
  <c r="Y32" i="17" s="1"/>
  <c r="Z9" i="17"/>
  <c r="Z11" i="17" s="1"/>
  <c r="Z32" i="17" s="1"/>
  <c r="Z14" i="17"/>
  <c r="Z16" i="17" s="1"/>
  <c r="Z36" i="17" s="1"/>
  <c r="Z37" i="17" s="1"/>
  <c r="X14" i="17"/>
  <c r="X16" i="17" s="1"/>
  <c r="X36" i="17" s="1"/>
  <c r="Y14" i="17"/>
  <c r="Y16" i="17" s="1"/>
  <c r="Y36" i="17" s="1"/>
  <c r="Y37" i="17" s="1"/>
  <c r="HF28" i="14"/>
  <c r="HF40" i="14" s="1"/>
  <c r="EH28" i="4"/>
  <c r="EH40" i="4" s="1"/>
  <c r="FW28" i="4" l="1"/>
  <c r="FW40" i="4" s="1"/>
  <c r="HL28" i="4" l="1"/>
  <c r="HL40" i="4" s="1"/>
  <c r="JP54" i="14"/>
  <c r="JP52" i="14"/>
  <c r="JP51" i="14"/>
  <c r="JP35" i="14"/>
  <c r="JP40" i="14" s="1"/>
  <c r="AA301" i="2"/>
  <c r="R301" i="2" s="1"/>
  <c r="H29" i="16"/>
  <c r="H31" i="16" s="1"/>
  <c r="H22" i="16"/>
  <c r="H24" i="16" s="1"/>
  <c r="E37" i="16"/>
  <c r="F37" i="16" s="1"/>
  <c r="G31" i="16"/>
  <c r="G8" i="16" s="1"/>
  <c r="F31" i="16"/>
  <c r="E31" i="16"/>
  <c r="G24" i="16"/>
  <c r="F24" i="16"/>
  <c r="E24" i="16"/>
  <c r="E20" i="16"/>
  <c r="F20" i="16" s="1"/>
  <c r="G20" i="16" s="1"/>
  <c r="M9" i="16"/>
  <c r="AA300" i="2"/>
  <c r="R300" i="2" s="1"/>
  <c r="W300" i="2"/>
  <c r="Y300" i="2" s="1"/>
  <c r="P300" i="2" s="1"/>
  <c r="AA246" i="2"/>
  <c r="R246" i="2" s="1"/>
  <c r="W246" i="2"/>
  <c r="Y246" i="2" s="1"/>
  <c r="P246" i="2" s="1"/>
  <c r="FS51" i="14"/>
  <c r="HQ54" i="14"/>
  <c r="HQ52" i="14"/>
  <c r="HQ51" i="14"/>
  <c r="HQ35" i="14"/>
  <c r="HQ40" i="14" s="1"/>
  <c r="FS52" i="14"/>
  <c r="FS54" i="14"/>
  <c r="FS35" i="14"/>
  <c r="FS40" i="14" s="1"/>
  <c r="W192" i="2"/>
  <c r="Y192" i="2" s="1"/>
  <c r="P192" i="2" s="1"/>
  <c r="AA192" i="2"/>
  <c r="R192" i="2" s="1"/>
  <c r="AA139" i="2"/>
  <c r="R139" i="2" s="1"/>
  <c r="W139" i="2"/>
  <c r="DV54" i="14"/>
  <c r="DV52" i="14"/>
  <c r="DV51" i="14"/>
  <c r="DV35" i="14"/>
  <c r="DV40" i="14" s="1"/>
  <c r="C29" i="15"/>
  <c r="E27" i="11"/>
  <c r="F27" i="11" s="1"/>
  <c r="E37" i="15"/>
  <c r="F37" i="15" s="1"/>
  <c r="H31" i="15"/>
  <c r="H8" i="15" s="1"/>
  <c r="G31" i="15"/>
  <c r="F31" i="15"/>
  <c r="E31" i="15"/>
  <c r="E20" i="15"/>
  <c r="E24" i="15" s="1"/>
  <c r="M9" i="15"/>
  <c r="G8" i="15"/>
  <c r="Y139" i="2"/>
  <c r="P139" i="2" s="1"/>
  <c r="D139" i="2"/>
  <c r="D192" i="2"/>
  <c r="D246" i="2"/>
  <c r="D300" i="2"/>
  <c r="D301" i="2" s="1"/>
  <c r="Y261" i="5"/>
  <c r="P261" i="5" s="1"/>
  <c r="Y215" i="5"/>
  <c r="P215" i="5" s="1"/>
  <c r="DC51" i="4"/>
  <c r="DC54" i="4"/>
  <c r="DC52" i="4"/>
  <c r="DC35" i="4"/>
  <c r="F29" i="11" l="1"/>
  <c r="E29" i="11"/>
  <c r="E31" i="11" s="1"/>
  <c r="H8" i="16"/>
  <c r="W301" i="2"/>
  <c r="Y301" i="2" s="1"/>
  <c r="P301" i="2" s="1"/>
  <c r="C29" i="16"/>
  <c r="H52" i="16" s="1"/>
  <c r="E39" i="16"/>
  <c r="F8" i="16"/>
  <c r="H20" i="16"/>
  <c r="F39" i="16"/>
  <c r="G37" i="16"/>
  <c r="F8" i="15"/>
  <c r="E39" i="15"/>
  <c r="F20" i="15"/>
  <c r="G24" i="15" s="1"/>
  <c r="G27" i="11"/>
  <c r="G29" i="11"/>
  <c r="G31" i="11" s="1"/>
  <c r="G53" i="15"/>
  <c r="F53" i="15"/>
  <c r="H52" i="15"/>
  <c r="G52" i="15"/>
  <c r="H55" i="15"/>
  <c r="F52" i="15"/>
  <c r="H54" i="15"/>
  <c r="E52" i="15"/>
  <c r="E56" i="15" s="1"/>
  <c r="E58" i="15" s="1"/>
  <c r="E60" i="15" s="1"/>
  <c r="G54" i="15"/>
  <c r="H53" i="15"/>
  <c r="F39" i="15"/>
  <c r="G37" i="15"/>
  <c r="F24" i="15"/>
  <c r="F31" i="11" l="1"/>
  <c r="H54" i="16"/>
  <c r="H53" i="16"/>
  <c r="G53" i="16"/>
  <c r="F53" i="16"/>
  <c r="G52" i="16"/>
  <c r="G54" i="16"/>
  <c r="F52" i="16"/>
  <c r="F56" i="16" s="1"/>
  <c r="E52" i="16"/>
  <c r="E56" i="16" s="1"/>
  <c r="E58" i="16" s="1"/>
  <c r="E60" i="16" s="1"/>
  <c r="H55" i="16"/>
  <c r="H37" i="16"/>
  <c r="H39" i="16" s="1"/>
  <c r="G39" i="16"/>
  <c r="G56" i="15"/>
  <c r="F56" i="15"/>
  <c r="F58" i="15" s="1"/>
  <c r="F60" i="15" s="1"/>
  <c r="F9" i="15" s="1"/>
  <c r="G20" i="15"/>
  <c r="H20" i="15" s="1"/>
  <c r="H27" i="11"/>
  <c r="H29" i="11"/>
  <c r="H31" i="11" s="1"/>
  <c r="H24" i="15"/>
  <c r="H37" i="15"/>
  <c r="H39" i="15" s="1"/>
  <c r="G39" i="15"/>
  <c r="H56" i="15"/>
  <c r="G56" i="16" l="1"/>
  <c r="H56" i="16"/>
  <c r="F58" i="16"/>
  <c r="F60" i="16" s="1"/>
  <c r="F9" i="16" s="1"/>
  <c r="G58" i="15"/>
  <c r="G60" i="15" s="1"/>
  <c r="G9" i="15" s="1"/>
  <c r="G58" i="16" l="1"/>
  <c r="G60" i="16" s="1"/>
  <c r="G9" i="16" s="1"/>
  <c r="H58" i="15"/>
  <c r="H60" i="15" s="1"/>
  <c r="H9" i="15" s="1"/>
  <c r="H58" i="16" l="1"/>
  <c r="H60" i="16" s="1"/>
  <c r="H9" i="16" s="1"/>
  <c r="DC40" i="4" l="1"/>
  <c r="EW26" i="4" l="1"/>
  <c r="EW17" i="4"/>
  <c r="EW9" i="4"/>
  <c r="EW7" i="4"/>
  <c r="EX7" i="4" s="1"/>
  <c r="EW6" i="4"/>
  <c r="EX6" i="4" s="1"/>
  <c r="EW5" i="4"/>
  <c r="EX5" i="4" s="1"/>
  <c r="IA26" i="4"/>
  <c r="IA17" i="4"/>
  <c r="IA9" i="4"/>
  <c r="IA7" i="4"/>
  <c r="IB7" i="4" s="1"/>
  <c r="IA6" i="4"/>
  <c r="IB6" i="4" s="1"/>
  <c r="IA5" i="4"/>
  <c r="IB5" i="4" s="1"/>
  <c r="GL26" i="4"/>
  <c r="GL17" i="4"/>
  <c r="GL9" i="4"/>
  <c r="GL7" i="4"/>
  <c r="GM7" i="4" s="1"/>
  <c r="GL6" i="4"/>
  <c r="GM6" i="4" s="1"/>
  <c r="GL5" i="4"/>
  <c r="GM5" i="4" s="1"/>
  <c r="DI26" i="4"/>
  <c r="DI17" i="4"/>
  <c r="DI9" i="4"/>
  <c r="DI7" i="4"/>
  <c r="DI6" i="4"/>
  <c r="DI5" i="4"/>
  <c r="AK45" i="5"/>
  <c r="AK30" i="5"/>
  <c r="M8" i="8"/>
  <c r="F315" i="2"/>
  <c r="KA26" i="14"/>
  <c r="KA17" i="14"/>
  <c r="IC26" i="14"/>
  <c r="IC17" i="14"/>
  <c r="F260" i="2"/>
  <c r="F206" i="2"/>
  <c r="F153" i="2"/>
  <c r="GE26" i="14"/>
  <c r="GE17" i="14"/>
  <c r="EH26" i="14"/>
  <c r="EH17" i="14"/>
  <c r="F17" i="2" l="1"/>
  <c r="F27" i="2"/>
  <c r="BL10" i="14"/>
  <c r="DH10" i="14" s="1"/>
  <c r="F33" i="2"/>
  <c r="F37" i="2"/>
  <c r="F38" i="2"/>
  <c r="CI10" i="14"/>
  <c r="F96" i="2" s="1"/>
  <c r="F45" i="2"/>
  <c r="AX10" i="14"/>
  <c r="F59" i="2" s="1"/>
  <c r="F85" i="2"/>
  <c r="F86" i="2"/>
  <c r="A12" i="14"/>
  <c r="A13" i="14"/>
  <c r="D17" i="14"/>
  <c r="AV17" i="14"/>
  <c r="EM17" i="14"/>
  <c r="IG13" i="14"/>
  <c r="KE13" i="14"/>
  <c r="A14" i="14"/>
  <c r="AR14" i="14"/>
  <c r="AS14" i="14" s="1"/>
  <c r="EK14" i="14"/>
  <c r="GI14" i="14"/>
  <c r="IG14" i="14"/>
  <c r="KE14" i="14"/>
  <c r="A15" i="14"/>
  <c r="AR15" i="14"/>
  <c r="AS15" i="14" s="1"/>
  <c r="CN15" i="14"/>
  <c r="EK15" i="14"/>
  <c r="FU17" i="14"/>
  <c r="GI15" i="14"/>
  <c r="IG15" i="14"/>
  <c r="KE15" i="14"/>
  <c r="A16" i="14"/>
  <c r="AR16" i="14"/>
  <c r="CN16" i="14"/>
  <c r="EK16" i="14"/>
  <c r="GI16" i="14"/>
  <c r="IG16" i="14"/>
  <c r="HH17" i="14"/>
  <c r="KE16" i="14"/>
  <c r="JF17" i="14"/>
  <c r="A17" i="14"/>
  <c r="F17" i="14"/>
  <c r="G17" i="14"/>
  <c r="H17" i="14"/>
  <c r="I17" i="14"/>
  <c r="J17" i="14"/>
  <c r="K17" i="14"/>
  <c r="L17" i="14"/>
  <c r="M17" i="14"/>
  <c r="N17" i="14"/>
  <c r="O17" i="14"/>
  <c r="P17" i="14"/>
  <c r="Q17" i="14"/>
  <c r="R17" i="14"/>
  <c r="S17" i="14"/>
  <c r="T17" i="14"/>
  <c r="U17" i="14"/>
  <c r="V17" i="14"/>
  <c r="W17" i="14"/>
  <c r="X17" i="14"/>
  <c r="Y17" i="14"/>
  <c r="Z17" i="14"/>
  <c r="AA17" i="14"/>
  <c r="AB17" i="14"/>
  <c r="AC17" i="14"/>
  <c r="AD17" i="14"/>
  <c r="AE17" i="14"/>
  <c r="AF17" i="14"/>
  <c r="AG17" i="14"/>
  <c r="AH17" i="14"/>
  <c r="AI17" i="14"/>
  <c r="AJ17" i="14"/>
  <c r="AK17" i="14"/>
  <c r="AL17" i="14"/>
  <c r="AM17" i="14"/>
  <c r="AN17" i="14"/>
  <c r="AO17" i="14"/>
  <c r="AQ17" i="14"/>
  <c r="AU17" i="14"/>
  <c r="AW17" i="14"/>
  <c r="AX17" i="14"/>
  <c r="AY17" i="14"/>
  <c r="AZ17" i="14"/>
  <c r="BA17" i="14"/>
  <c r="BB17" i="14"/>
  <c r="BC17" i="14"/>
  <c r="BD17" i="14"/>
  <c r="BE17" i="14"/>
  <c r="BF17" i="14"/>
  <c r="BG17" i="14"/>
  <c r="BH17" i="14"/>
  <c r="BI17" i="14"/>
  <c r="BJ17" i="14"/>
  <c r="BK17" i="14"/>
  <c r="BL17" i="14"/>
  <c r="BM17" i="14"/>
  <c r="BN17" i="14"/>
  <c r="BO17" i="14"/>
  <c r="BP17" i="14"/>
  <c r="BQ17" i="14"/>
  <c r="BR17" i="14"/>
  <c r="BS17" i="14"/>
  <c r="BT17" i="14"/>
  <c r="BU17" i="14"/>
  <c r="BV17" i="14"/>
  <c r="BW17" i="14"/>
  <c r="BX17" i="14"/>
  <c r="BY17" i="14"/>
  <c r="BZ17" i="14"/>
  <c r="CA17" i="14"/>
  <c r="CB17" i="14"/>
  <c r="CC17" i="14"/>
  <c r="CD17" i="14"/>
  <c r="CE17" i="14"/>
  <c r="CF17" i="14"/>
  <c r="CG17" i="14"/>
  <c r="CH17" i="14"/>
  <c r="CI17" i="14"/>
  <c r="CJ17" i="14"/>
  <c r="CK17" i="14"/>
  <c r="CL17" i="14"/>
  <c r="CM17" i="14"/>
  <c r="CQ17" i="14"/>
  <c r="CR17" i="14"/>
  <c r="CS17" i="14"/>
  <c r="CT17" i="14"/>
  <c r="CU17" i="14"/>
  <c r="CV17" i="14"/>
  <c r="CW17" i="14"/>
  <c r="CX17" i="14"/>
  <c r="CY17" i="14"/>
  <c r="CZ17" i="14"/>
  <c r="DA17" i="14"/>
  <c r="DB17" i="14"/>
  <c r="DC17" i="14"/>
  <c r="DD17" i="14"/>
  <c r="DE17" i="14"/>
  <c r="DF17" i="14"/>
  <c r="DG17" i="14"/>
  <c r="DH17" i="14"/>
  <c r="DI17" i="14"/>
  <c r="DJ17" i="14"/>
  <c r="DK17" i="14"/>
  <c r="DL17" i="14"/>
  <c r="DM17" i="14"/>
  <c r="DN17" i="14"/>
  <c r="DO17" i="14"/>
  <c r="DP17" i="14"/>
  <c r="DQ17" i="14"/>
  <c r="DR17" i="14"/>
  <c r="DS17" i="14"/>
  <c r="DT17" i="14"/>
  <c r="DU17" i="14"/>
  <c r="DV17" i="14"/>
  <c r="DW17" i="14"/>
  <c r="DX17" i="14"/>
  <c r="DY17" i="14"/>
  <c r="DZ17" i="14"/>
  <c r="EA17" i="14"/>
  <c r="EB17" i="14"/>
  <c r="EC17" i="14"/>
  <c r="ED17" i="14"/>
  <c r="EE17" i="14"/>
  <c r="EF17" i="14"/>
  <c r="EG17" i="14"/>
  <c r="EI17" i="14"/>
  <c r="EJ17" i="14"/>
  <c r="EN17" i="14"/>
  <c r="EO17" i="14"/>
  <c r="EP17" i="14"/>
  <c r="EQ17" i="14"/>
  <c r="ER17" i="14"/>
  <c r="ES17" i="14"/>
  <c r="ET17" i="14"/>
  <c r="EU17" i="14"/>
  <c r="EV17" i="14"/>
  <c r="EW17" i="14"/>
  <c r="EX17" i="14"/>
  <c r="EY17" i="14"/>
  <c r="EZ17" i="14"/>
  <c r="FA17" i="14"/>
  <c r="FB17" i="14"/>
  <c r="FC17" i="14"/>
  <c r="FD17" i="14"/>
  <c r="FE17" i="14"/>
  <c r="FF17" i="14"/>
  <c r="FG17" i="14"/>
  <c r="FH17" i="14"/>
  <c r="FI17" i="14"/>
  <c r="FJ17" i="14"/>
  <c r="FK17" i="14"/>
  <c r="FL17" i="14"/>
  <c r="FM17" i="14"/>
  <c r="FN17" i="14"/>
  <c r="FO17" i="14"/>
  <c r="FP17" i="14"/>
  <c r="FQ17" i="14"/>
  <c r="FR17" i="14"/>
  <c r="FS17" i="14"/>
  <c r="FT17" i="14"/>
  <c r="FV17" i="14"/>
  <c r="FW17" i="14"/>
  <c r="FX17" i="14"/>
  <c r="FY17" i="14"/>
  <c r="FZ17" i="14"/>
  <c r="GA17" i="14"/>
  <c r="GB17" i="14"/>
  <c r="GC17" i="14"/>
  <c r="GD17" i="14"/>
  <c r="GG17" i="14"/>
  <c r="GH17" i="14"/>
  <c r="GK17" i="14"/>
  <c r="GL17" i="14"/>
  <c r="GM17" i="14"/>
  <c r="GN17" i="14"/>
  <c r="GO17" i="14"/>
  <c r="GP17" i="14"/>
  <c r="GQ17" i="14"/>
  <c r="GR17" i="14"/>
  <c r="GS17" i="14"/>
  <c r="GT17" i="14"/>
  <c r="GU17" i="14"/>
  <c r="GV17" i="14"/>
  <c r="GW17" i="14"/>
  <c r="GX17" i="14"/>
  <c r="GY17" i="14"/>
  <c r="GZ17" i="14"/>
  <c r="HA17" i="14"/>
  <c r="HB17" i="14"/>
  <c r="HC17" i="14"/>
  <c r="HD17" i="14"/>
  <c r="HE17" i="14"/>
  <c r="HF17" i="14"/>
  <c r="HG17" i="14"/>
  <c r="HI17" i="14"/>
  <c r="HJ17" i="14"/>
  <c r="HK17" i="14"/>
  <c r="HL17" i="14"/>
  <c r="HM17" i="14"/>
  <c r="HN17" i="14"/>
  <c r="HO17" i="14"/>
  <c r="HP17" i="14"/>
  <c r="HQ17" i="14"/>
  <c r="HR17" i="14"/>
  <c r="HS17" i="14"/>
  <c r="HT17" i="14"/>
  <c r="HU17" i="14"/>
  <c r="HV17" i="14"/>
  <c r="HW17" i="14"/>
  <c r="HX17" i="14"/>
  <c r="HY17" i="14"/>
  <c r="HZ17" i="14"/>
  <c r="IA17" i="14"/>
  <c r="IB17" i="14"/>
  <c r="IE17" i="14"/>
  <c r="IF17" i="14"/>
  <c r="II17" i="14"/>
  <c r="IJ17" i="14"/>
  <c r="IK17" i="14"/>
  <c r="IL17" i="14"/>
  <c r="IM17" i="14"/>
  <c r="IN17" i="14"/>
  <c r="IO17" i="14"/>
  <c r="IP17" i="14"/>
  <c r="IQ17" i="14"/>
  <c r="IR17" i="14"/>
  <c r="IS17" i="14"/>
  <c r="IT17" i="14"/>
  <c r="IU17" i="14"/>
  <c r="IV17" i="14"/>
  <c r="IW17" i="14"/>
  <c r="IX17" i="14"/>
  <c r="IY17" i="14"/>
  <c r="IZ17" i="14"/>
  <c r="JA17" i="14"/>
  <c r="JB17" i="14"/>
  <c r="JC17" i="14"/>
  <c r="JD17" i="14"/>
  <c r="JE17" i="14"/>
  <c r="JG17" i="14"/>
  <c r="JH17" i="14"/>
  <c r="JI17" i="14"/>
  <c r="JJ17" i="14"/>
  <c r="JK17" i="14"/>
  <c r="JL17" i="14"/>
  <c r="JM17" i="14"/>
  <c r="JN17" i="14"/>
  <c r="JO17" i="14"/>
  <c r="JP17" i="14"/>
  <c r="JQ17" i="14"/>
  <c r="JR17" i="14"/>
  <c r="JS17" i="14"/>
  <c r="JT17" i="14"/>
  <c r="JU17" i="14"/>
  <c r="JV17" i="14"/>
  <c r="JW17" i="14"/>
  <c r="JX17" i="14"/>
  <c r="JY17" i="14"/>
  <c r="JZ17" i="14"/>
  <c r="KC17" i="14"/>
  <c r="KD17" i="14"/>
  <c r="A18" i="14"/>
  <c r="A19" i="14"/>
  <c r="A20" i="14"/>
  <c r="A21" i="14"/>
  <c r="A22" i="14"/>
  <c r="AR22" i="14"/>
  <c r="AS22" i="14" s="1"/>
  <c r="CN22" i="14"/>
  <c r="EK22" i="14"/>
  <c r="GI22" i="14"/>
  <c r="IG22" i="14"/>
  <c r="KE22" i="14"/>
  <c r="A23" i="14"/>
  <c r="E26" i="14"/>
  <c r="E42" i="14" s="1"/>
  <c r="AR23" i="14"/>
  <c r="AS23" i="14" s="1"/>
  <c r="U26" i="14"/>
  <c r="U42" i="14" s="1"/>
  <c r="CN23" i="14"/>
  <c r="EK23" i="14"/>
  <c r="GI23" i="14"/>
  <c r="IG23" i="14"/>
  <c r="KE23" i="14"/>
  <c r="JQ26" i="14"/>
  <c r="JQ42" i="14" s="1"/>
  <c r="A24" i="14"/>
  <c r="AR24" i="14"/>
  <c r="AS24" i="14" s="1"/>
  <c r="CN24" i="14"/>
  <c r="EK24" i="14"/>
  <c r="GI24" i="14"/>
  <c r="IG24" i="14"/>
  <c r="KE24" i="14"/>
  <c r="A25" i="14"/>
  <c r="C26" i="14"/>
  <c r="AR25" i="14"/>
  <c r="AS25" i="14" s="1"/>
  <c r="CN25" i="14"/>
  <c r="EK25" i="14"/>
  <c r="GI25" i="14"/>
  <c r="IG25" i="14"/>
  <c r="KE25" i="14"/>
  <c r="A26" i="14"/>
  <c r="D26" i="14"/>
  <c r="D42" i="14" s="1"/>
  <c r="F26" i="14"/>
  <c r="G26" i="14"/>
  <c r="G42" i="14" s="1"/>
  <c r="H26" i="14"/>
  <c r="I26" i="14"/>
  <c r="I42" i="14" s="1"/>
  <c r="J26" i="14"/>
  <c r="J42" i="14" s="1"/>
  <c r="J44" i="14" s="1"/>
  <c r="K26" i="14"/>
  <c r="L26" i="14"/>
  <c r="L42" i="14" s="1"/>
  <c r="M26" i="14"/>
  <c r="M42" i="14" s="1"/>
  <c r="O26" i="14"/>
  <c r="O42" i="14" s="1"/>
  <c r="P26" i="14"/>
  <c r="P42" i="14" s="1"/>
  <c r="Q26" i="14"/>
  <c r="Q42" i="14" s="1"/>
  <c r="R26" i="14"/>
  <c r="R42" i="14" s="1"/>
  <c r="R44" i="14" s="1"/>
  <c r="S26" i="14"/>
  <c r="T26" i="14"/>
  <c r="T42" i="14" s="1"/>
  <c r="V26" i="14"/>
  <c r="V42" i="14" s="1"/>
  <c r="W26" i="14"/>
  <c r="W42" i="14" s="1"/>
  <c r="X26" i="14"/>
  <c r="X42" i="14" s="1"/>
  <c r="Y26" i="14"/>
  <c r="Y42" i="14" s="1"/>
  <c r="Z26" i="14"/>
  <c r="Z42" i="14" s="1"/>
  <c r="Z44" i="14" s="1"/>
  <c r="AA26" i="14"/>
  <c r="AA42" i="14" s="1"/>
  <c r="AB26" i="14"/>
  <c r="AB42" i="14" s="1"/>
  <c r="AC26" i="14"/>
  <c r="AC42" i="14" s="1"/>
  <c r="AD26" i="14"/>
  <c r="AD42" i="14" s="1"/>
  <c r="AE26" i="14"/>
  <c r="AF26" i="14"/>
  <c r="AG26" i="14"/>
  <c r="AH26" i="14"/>
  <c r="AI26" i="14"/>
  <c r="AI42" i="14" s="1"/>
  <c r="AJ26" i="14"/>
  <c r="AJ42" i="14" s="1"/>
  <c r="AK26" i="14"/>
  <c r="AL26" i="14"/>
  <c r="AL42" i="14" s="1"/>
  <c r="AM26" i="14"/>
  <c r="AM42" i="14" s="1"/>
  <c r="AM44" i="14" s="1"/>
  <c r="AN26" i="14"/>
  <c r="AN42" i="14" s="1"/>
  <c r="AO26" i="14"/>
  <c r="AO42" i="14" s="1"/>
  <c r="AQ26" i="14"/>
  <c r="AQ42" i="14" s="1"/>
  <c r="AQ44" i="14" s="1"/>
  <c r="AT26" i="14"/>
  <c r="AT42" i="14" s="1"/>
  <c r="AU26" i="14"/>
  <c r="AU42" i="14" s="1"/>
  <c r="AV26" i="14"/>
  <c r="AV42" i="14" s="1"/>
  <c r="AW26" i="14"/>
  <c r="AW42" i="14" s="1"/>
  <c r="AX26" i="14"/>
  <c r="AY26" i="14"/>
  <c r="AY42" i="14" s="1"/>
  <c r="AZ26" i="14"/>
  <c r="AZ42" i="14" s="1"/>
  <c r="BA26" i="14"/>
  <c r="BA42" i="14" s="1"/>
  <c r="BB26" i="14"/>
  <c r="BB42" i="14" s="1"/>
  <c r="BC26" i="14"/>
  <c r="BC42" i="14" s="1"/>
  <c r="BD26" i="14"/>
  <c r="BE26" i="14"/>
  <c r="BE42" i="14" s="1"/>
  <c r="BF26" i="14"/>
  <c r="BG26" i="14"/>
  <c r="BH26" i="14"/>
  <c r="BI26" i="14"/>
  <c r="BI42" i="14" s="1"/>
  <c r="BJ26" i="14"/>
  <c r="BJ42" i="14" s="1"/>
  <c r="BK26" i="14"/>
  <c r="BK42" i="14" s="1"/>
  <c r="BL26" i="14"/>
  <c r="BL42" i="14" s="1"/>
  <c r="BM26" i="14"/>
  <c r="BM42" i="14" s="1"/>
  <c r="BN26" i="14"/>
  <c r="BN42" i="14" s="1"/>
  <c r="BO26" i="14"/>
  <c r="BO42" i="14" s="1"/>
  <c r="BP26" i="14"/>
  <c r="BQ26" i="14"/>
  <c r="BQ42" i="14" s="1"/>
  <c r="BR26" i="14"/>
  <c r="BR42" i="14" s="1"/>
  <c r="BS26" i="14"/>
  <c r="BT26" i="14"/>
  <c r="BT42" i="14" s="1"/>
  <c r="BU26" i="14"/>
  <c r="BU42" i="14" s="1"/>
  <c r="BV26" i="14"/>
  <c r="BW26" i="14"/>
  <c r="BW42" i="14" s="1"/>
  <c r="BX26" i="14"/>
  <c r="BY26" i="14"/>
  <c r="BY42" i="14" s="1"/>
  <c r="BZ26" i="14"/>
  <c r="BZ42" i="14" s="1"/>
  <c r="CA26" i="14"/>
  <c r="CB26" i="14"/>
  <c r="CB42" i="14" s="1"/>
  <c r="CC26" i="14"/>
  <c r="CC42" i="14" s="1"/>
  <c r="CD26" i="14"/>
  <c r="CD42" i="14" s="1"/>
  <c r="CE26" i="14"/>
  <c r="CF26" i="14"/>
  <c r="CG26" i="14"/>
  <c r="CG42" i="14" s="1"/>
  <c r="CH26" i="14"/>
  <c r="CH42" i="14" s="1"/>
  <c r="CI26" i="14"/>
  <c r="CJ26" i="14"/>
  <c r="CJ42" i="14" s="1"/>
  <c r="CK26" i="14"/>
  <c r="CK42" i="14" s="1"/>
  <c r="CL26" i="14"/>
  <c r="CL42" i="14" s="1"/>
  <c r="CM26" i="14"/>
  <c r="CM42" i="14" s="1"/>
  <c r="CP26" i="14"/>
  <c r="CP42" i="14" s="1"/>
  <c r="CQ26" i="14"/>
  <c r="CQ42" i="14" s="1"/>
  <c r="CR26" i="14"/>
  <c r="CR42" i="14" s="1"/>
  <c r="CS26" i="14"/>
  <c r="CS42" i="14" s="1"/>
  <c r="CT26" i="14"/>
  <c r="CU26" i="14"/>
  <c r="CU42" i="14" s="1"/>
  <c r="CV26" i="14"/>
  <c r="CV42" i="14" s="1"/>
  <c r="CW26" i="14"/>
  <c r="CX26" i="14"/>
  <c r="CX42" i="14" s="1"/>
  <c r="CY26" i="14"/>
  <c r="CY42" i="14" s="1"/>
  <c r="CZ26" i="14"/>
  <c r="CZ42" i="14" s="1"/>
  <c r="DA26" i="14"/>
  <c r="DA42" i="14" s="1"/>
  <c r="DB26" i="14"/>
  <c r="DB42" i="14" s="1"/>
  <c r="DC26" i="14"/>
  <c r="DC42" i="14" s="1"/>
  <c r="DD26" i="14"/>
  <c r="DE26" i="14"/>
  <c r="DE42" i="14" s="1"/>
  <c r="DF26" i="14"/>
  <c r="DF42" i="14" s="1"/>
  <c r="DG26" i="14"/>
  <c r="DG42" i="14" s="1"/>
  <c r="DH26" i="14"/>
  <c r="DH42" i="14" s="1"/>
  <c r="DI26" i="14"/>
  <c r="DI42" i="14" s="1"/>
  <c r="DJ26" i="14"/>
  <c r="DJ42" i="14" s="1"/>
  <c r="DK26" i="14"/>
  <c r="DK42" i="14" s="1"/>
  <c r="DL26" i="14"/>
  <c r="DM26" i="14"/>
  <c r="DM42" i="14" s="1"/>
  <c r="DN26" i="14"/>
  <c r="DN42" i="14" s="1"/>
  <c r="DO26" i="14"/>
  <c r="DP26" i="14"/>
  <c r="DP42" i="14" s="1"/>
  <c r="DQ26" i="14"/>
  <c r="DQ42" i="14" s="1"/>
  <c r="DR26" i="14"/>
  <c r="DR42" i="14" s="1"/>
  <c r="DR44" i="14" s="1"/>
  <c r="DR80" i="14" s="1"/>
  <c r="DR83" i="14" s="1"/>
  <c r="DS26" i="14"/>
  <c r="DS42" i="14" s="1"/>
  <c r="DT26" i="14"/>
  <c r="DU26" i="14"/>
  <c r="DV26" i="14"/>
  <c r="DW26" i="14"/>
  <c r="DX26" i="14"/>
  <c r="DX42" i="14" s="1"/>
  <c r="DY26" i="14"/>
  <c r="DY42" i="14" s="1"/>
  <c r="DZ26" i="14"/>
  <c r="DZ42" i="14" s="1"/>
  <c r="DZ44" i="14" s="1"/>
  <c r="EA26" i="14"/>
  <c r="EA42" i="14" s="1"/>
  <c r="EB26" i="14"/>
  <c r="EC26" i="14"/>
  <c r="EC42" i="14" s="1"/>
  <c r="ED26" i="14"/>
  <c r="EE26" i="14"/>
  <c r="EE42" i="14" s="1"/>
  <c r="EF26" i="14"/>
  <c r="EF42" i="14" s="1"/>
  <c r="EG26" i="14"/>
  <c r="EG42" i="14" s="1"/>
  <c r="EI26" i="14"/>
  <c r="EI42" i="14" s="1"/>
  <c r="EI44" i="14" s="1"/>
  <c r="EI80" i="14" s="1"/>
  <c r="EI83" i="14" s="1"/>
  <c r="EJ26" i="14"/>
  <c r="EJ42" i="14" s="1"/>
  <c r="EM26" i="14"/>
  <c r="EN26" i="14"/>
  <c r="EN42" i="14" s="1"/>
  <c r="EO26" i="14"/>
  <c r="EO42" i="14" s="1"/>
  <c r="EP26" i="14"/>
  <c r="EP42" i="14" s="1"/>
  <c r="EQ26" i="14"/>
  <c r="ER26" i="14"/>
  <c r="ER42" i="14" s="1"/>
  <c r="ES26" i="14"/>
  <c r="ES42" i="14" s="1"/>
  <c r="ET26" i="14"/>
  <c r="ET42" i="14" s="1"/>
  <c r="ET44" i="14" s="1"/>
  <c r="ET80" i="14" s="1"/>
  <c r="ET83" i="14" s="1"/>
  <c r="EU26" i="14"/>
  <c r="EU42" i="14" s="1"/>
  <c r="EV26" i="14"/>
  <c r="EV42" i="14" s="1"/>
  <c r="EW26" i="14"/>
  <c r="EX26" i="14"/>
  <c r="EX42" i="14" s="1"/>
  <c r="EY26" i="14"/>
  <c r="EY42" i="14" s="1"/>
  <c r="EZ26" i="14"/>
  <c r="EZ42" i="14" s="1"/>
  <c r="FA26" i="14"/>
  <c r="FB26" i="14"/>
  <c r="FB42" i="14" s="1"/>
  <c r="FB44" i="14" s="1"/>
  <c r="FC26" i="14"/>
  <c r="FC42" i="14" s="1"/>
  <c r="FD26" i="14"/>
  <c r="FD42" i="14" s="1"/>
  <c r="FE26" i="14"/>
  <c r="FF26" i="14"/>
  <c r="FF42" i="14" s="1"/>
  <c r="FG26" i="14"/>
  <c r="FG42" i="14" s="1"/>
  <c r="FH26" i="14"/>
  <c r="FI26" i="14"/>
  <c r="FI42" i="14" s="1"/>
  <c r="FJ26" i="14"/>
  <c r="FJ42" i="14" s="1"/>
  <c r="FJ44" i="14" s="1"/>
  <c r="FJ80" i="14" s="1"/>
  <c r="FJ83" i="14" s="1"/>
  <c r="FK26" i="14"/>
  <c r="FL26" i="14"/>
  <c r="FM26" i="14"/>
  <c r="FM42" i="14" s="1"/>
  <c r="FN26" i="14"/>
  <c r="FN42" i="14" s="1"/>
  <c r="FO26" i="14"/>
  <c r="FP26" i="14"/>
  <c r="FP42" i="14" s="1"/>
  <c r="FQ26" i="14"/>
  <c r="FR26" i="14"/>
  <c r="FR42" i="14" s="1"/>
  <c r="FR44" i="14" s="1"/>
  <c r="FS26" i="14"/>
  <c r="FS42" i="14" s="1"/>
  <c r="FT26" i="14"/>
  <c r="FV26" i="14"/>
  <c r="FW26" i="14"/>
  <c r="FW42" i="14" s="1"/>
  <c r="FX26" i="14"/>
  <c r="FX42" i="14" s="1"/>
  <c r="FY26" i="14"/>
  <c r="FZ26" i="14"/>
  <c r="GA26" i="14"/>
  <c r="GA42" i="14" s="1"/>
  <c r="GA44" i="14" s="1"/>
  <c r="GA80" i="14" s="1"/>
  <c r="GA83" i="14" s="1"/>
  <c r="GB26" i="14"/>
  <c r="GB42" i="14" s="1"/>
  <c r="GC26" i="14"/>
  <c r="GC42" i="14" s="1"/>
  <c r="GD26" i="14"/>
  <c r="GG26" i="14"/>
  <c r="GG42" i="14" s="1"/>
  <c r="GH26" i="14"/>
  <c r="GH42" i="14" s="1"/>
  <c r="GK26" i="14"/>
  <c r="GK42" i="14" s="1"/>
  <c r="GL26" i="14"/>
  <c r="GL42" i="14" s="1"/>
  <c r="GM26" i="14"/>
  <c r="GM42" i="14" s="1"/>
  <c r="GM44" i="14" s="1"/>
  <c r="GM80" i="14" s="1"/>
  <c r="GM83" i="14" s="1"/>
  <c r="GN26" i="14"/>
  <c r="GN42" i="14" s="1"/>
  <c r="GO26" i="14"/>
  <c r="GP26" i="14"/>
  <c r="GP42" i="14" s="1"/>
  <c r="GQ26" i="14"/>
  <c r="GQ42" i="14" s="1"/>
  <c r="GR26" i="14"/>
  <c r="GR42" i="14" s="1"/>
  <c r="GS26" i="14"/>
  <c r="GS42" i="14" s="1"/>
  <c r="GT26" i="14"/>
  <c r="GT42" i="14" s="1"/>
  <c r="GU26" i="14"/>
  <c r="GU42" i="14" s="1"/>
  <c r="GU44" i="14" s="1"/>
  <c r="GU80" i="14" s="1"/>
  <c r="GU83" i="14" s="1"/>
  <c r="GV26" i="14"/>
  <c r="GW26" i="14"/>
  <c r="GW42" i="14" s="1"/>
  <c r="GX26" i="14"/>
  <c r="GX42" i="14" s="1"/>
  <c r="GY26" i="14"/>
  <c r="GY42" i="14" s="1"/>
  <c r="GZ26" i="14"/>
  <c r="GZ42" i="14" s="1"/>
  <c r="HA26" i="14"/>
  <c r="HA42" i="14" s="1"/>
  <c r="HB26" i="14"/>
  <c r="HB42" i="14" s="1"/>
  <c r="HC26" i="14"/>
  <c r="HC42" i="14" s="1"/>
  <c r="HC44" i="14" s="1"/>
  <c r="HD26" i="14"/>
  <c r="HD42" i="14" s="1"/>
  <c r="HE26" i="14"/>
  <c r="HE42" i="14" s="1"/>
  <c r="HF26" i="14"/>
  <c r="HG26" i="14"/>
  <c r="HH26" i="14"/>
  <c r="HH42" i="14" s="1"/>
  <c r="HH44" i="14" s="1"/>
  <c r="HH80" i="14" s="1"/>
  <c r="HH83" i="14" s="1"/>
  <c r="HI26" i="14"/>
  <c r="HJ26" i="14"/>
  <c r="HJ42" i="14" s="1"/>
  <c r="HK26" i="14"/>
  <c r="HK42" i="14" s="1"/>
  <c r="HK44" i="14" s="1"/>
  <c r="HL26" i="14"/>
  <c r="HL42" i="14" s="1"/>
  <c r="HL44" i="14" s="1"/>
  <c r="HL80" i="14" s="1"/>
  <c r="HL83" i="14" s="1"/>
  <c r="HM26" i="14"/>
  <c r="HN26" i="14"/>
  <c r="HN42" i="14" s="1"/>
  <c r="HO26" i="14"/>
  <c r="HP26" i="14"/>
  <c r="HQ26" i="14"/>
  <c r="HQ42" i="14" s="1"/>
  <c r="HR26" i="14"/>
  <c r="HR42" i="14" s="1"/>
  <c r="HS26" i="14"/>
  <c r="HS42" i="14" s="1"/>
  <c r="HT26" i="14"/>
  <c r="HT42" i="14" s="1"/>
  <c r="HT44" i="14" s="1"/>
  <c r="HT80" i="14" s="1"/>
  <c r="HT83" i="14" s="1"/>
  <c r="HU26" i="14"/>
  <c r="HU42" i="14" s="1"/>
  <c r="HV26" i="14"/>
  <c r="HV42" i="14" s="1"/>
  <c r="HW26" i="14"/>
  <c r="HX26" i="14"/>
  <c r="HX42" i="14" s="1"/>
  <c r="HY26" i="14"/>
  <c r="HY42" i="14" s="1"/>
  <c r="HZ26" i="14"/>
  <c r="HZ42" i="14" s="1"/>
  <c r="IA26" i="14"/>
  <c r="IA42" i="14" s="1"/>
  <c r="IB26" i="14"/>
  <c r="IB42" i="14" s="1"/>
  <c r="IB44" i="14" s="1"/>
  <c r="IE26" i="14"/>
  <c r="IE42" i="14" s="1"/>
  <c r="IF26" i="14"/>
  <c r="IF42" i="14" s="1"/>
  <c r="II26" i="14"/>
  <c r="II42" i="14" s="1"/>
  <c r="IJ26" i="14"/>
  <c r="IJ42" i="14" s="1"/>
  <c r="IK26" i="14"/>
  <c r="IK42" i="14" s="1"/>
  <c r="IL26" i="14"/>
  <c r="IL42" i="14" s="1"/>
  <c r="IM26" i="14"/>
  <c r="IN26" i="14"/>
  <c r="IN42" i="14" s="1"/>
  <c r="IN44" i="14" s="1"/>
  <c r="IN80" i="14" s="1"/>
  <c r="IN83" i="14" s="1"/>
  <c r="IO26" i="14"/>
  <c r="IO42" i="14" s="1"/>
  <c r="IP26" i="14"/>
  <c r="IP42" i="14" s="1"/>
  <c r="IQ26" i="14"/>
  <c r="IQ42" i="14" s="1"/>
  <c r="IR26" i="14"/>
  <c r="IR42" i="14" s="1"/>
  <c r="IS26" i="14"/>
  <c r="IS42" i="14" s="1"/>
  <c r="IT26" i="14"/>
  <c r="IT42" i="14" s="1"/>
  <c r="IU26" i="14"/>
  <c r="IU42" i="14" s="1"/>
  <c r="IV26" i="14"/>
  <c r="IV42" i="14" s="1"/>
  <c r="IV44" i="14" s="1"/>
  <c r="IV80" i="14" s="1"/>
  <c r="IV83" i="14" s="1"/>
  <c r="IW26" i="14"/>
  <c r="IW42" i="14" s="1"/>
  <c r="IX26" i="14"/>
  <c r="IX42" i="14" s="1"/>
  <c r="IY26" i="14"/>
  <c r="IY42" i="14" s="1"/>
  <c r="IZ26" i="14"/>
  <c r="IZ42" i="14" s="1"/>
  <c r="JA26" i="14"/>
  <c r="JA42" i="14" s="1"/>
  <c r="JB26" i="14"/>
  <c r="JB42" i="14" s="1"/>
  <c r="JC26" i="14"/>
  <c r="JC42" i="14" s="1"/>
  <c r="JC44" i="14" s="1"/>
  <c r="JC80" i="14" s="1"/>
  <c r="JC83" i="14" s="1"/>
  <c r="JD26" i="14"/>
  <c r="JE26" i="14"/>
  <c r="JE42" i="14" s="1"/>
  <c r="JF26" i="14"/>
  <c r="JF42" i="14" s="1"/>
  <c r="JG26" i="14"/>
  <c r="JG42" i="14" s="1"/>
  <c r="JH26" i="14"/>
  <c r="JI26" i="14"/>
  <c r="JI42" i="14" s="1"/>
  <c r="JJ26" i="14"/>
  <c r="JJ42" i="14" s="1"/>
  <c r="JJ44" i="14" s="1"/>
  <c r="JK26" i="14"/>
  <c r="JK42" i="14" s="1"/>
  <c r="JL26" i="14"/>
  <c r="JL42" i="14" s="1"/>
  <c r="JL44" i="14" s="1"/>
  <c r="JL80" i="14" s="1"/>
  <c r="JL83" i="14" s="1"/>
  <c r="JM26" i="14"/>
  <c r="JN26" i="14"/>
  <c r="JO26" i="14"/>
  <c r="JP26" i="14"/>
  <c r="JP42" i="14" s="1"/>
  <c r="JR26" i="14"/>
  <c r="JS26" i="14"/>
  <c r="JS42" i="14" s="1"/>
  <c r="JT26" i="14"/>
  <c r="JT42" i="14" s="1"/>
  <c r="JU26" i="14"/>
  <c r="JV26" i="14"/>
  <c r="JV42" i="14" s="1"/>
  <c r="JV44" i="14" s="1"/>
  <c r="JW26" i="14"/>
  <c r="JW42" i="14" s="1"/>
  <c r="JX26" i="14"/>
  <c r="JX42" i="14" s="1"/>
  <c r="JY26" i="14"/>
  <c r="JZ26" i="14"/>
  <c r="JZ42" i="14" s="1"/>
  <c r="KC26" i="14"/>
  <c r="KC42" i="14" s="1"/>
  <c r="KD26" i="14"/>
  <c r="KD42" i="14" s="1"/>
  <c r="A27" i="14"/>
  <c r="A28" i="14"/>
  <c r="AR28" i="14"/>
  <c r="AS28" i="14" s="1"/>
  <c r="CN28" i="14"/>
  <c r="EK28" i="14"/>
  <c r="A29" i="14"/>
  <c r="CN29" i="14"/>
  <c r="EK29" i="14"/>
  <c r="A30" i="14"/>
  <c r="AR30" i="14"/>
  <c r="AS30" i="14" s="1"/>
  <c r="CN30" i="14"/>
  <c r="EK30" i="14"/>
  <c r="A31" i="14"/>
  <c r="AR31" i="14"/>
  <c r="AS31" i="14" s="1"/>
  <c r="CN31" i="14"/>
  <c r="EK31" i="14"/>
  <c r="A32" i="14"/>
  <c r="AR32" i="14"/>
  <c r="AS32" i="14" s="1"/>
  <c r="CN32" i="14"/>
  <c r="EK32" i="14"/>
  <c r="A33" i="14"/>
  <c r="AR33" i="14"/>
  <c r="AS33" i="14" s="1"/>
  <c r="CN33" i="14"/>
  <c r="EK33" i="14"/>
  <c r="GI33" i="14"/>
  <c r="IG33" i="14"/>
  <c r="KE33" i="14"/>
  <c r="A34" i="14"/>
  <c r="AR34" i="14"/>
  <c r="AS34" i="14" s="1"/>
  <c r="EK34" i="14"/>
  <c r="A35" i="14"/>
  <c r="AR35" i="14"/>
  <c r="AS35" i="14" s="1"/>
  <c r="A36" i="14"/>
  <c r="AR36" i="14"/>
  <c r="AS36" i="14" s="1"/>
  <c r="CN36" i="14"/>
  <c r="GI36" i="14"/>
  <c r="HM42" i="14"/>
  <c r="HM44" i="14" s="1"/>
  <c r="HM80" i="14" s="1"/>
  <c r="HM83" i="14" s="1"/>
  <c r="IG36" i="14"/>
  <c r="KE36" i="14"/>
  <c r="A37" i="14"/>
  <c r="AR37" i="14"/>
  <c r="AS37" i="14" s="1"/>
  <c r="CN37" i="14"/>
  <c r="EK37" i="14"/>
  <c r="IG37" i="14"/>
  <c r="KE37" i="14"/>
  <c r="A38" i="14"/>
  <c r="AR38" i="14"/>
  <c r="AS38" i="14" s="1"/>
  <c r="EK38" i="14"/>
  <c r="FK42" i="14"/>
  <c r="A39" i="14"/>
  <c r="AR39" i="14"/>
  <c r="AS39" i="14" s="1"/>
  <c r="CN39" i="14"/>
  <c r="EK39" i="14"/>
  <c r="A40" i="14"/>
  <c r="AF42" i="14"/>
  <c r="FV42" i="14"/>
  <c r="A41" i="14"/>
  <c r="CN41" i="14"/>
  <c r="EK41" i="14"/>
  <c r="GI41" i="14"/>
  <c r="IG41" i="14"/>
  <c r="KE41" i="14"/>
  <c r="A42" i="14"/>
  <c r="BF42" i="14"/>
  <c r="BG42" i="14"/>
  <c r="CW42" i="14"/>
  <c r="DU42" i="14"/>
  <c r="ED42" i="14"/>
  <c r="EW42" i="14"/>
  <c r="FE42" i="14"/>
  <c r="GD42" i="14"/>
  <c r="GV42" i="14"/>
  <c r="JN42" i="14"/>
  <c r="A43" i="14"/>
  <c r="A44" i="14"/>
  <c r="A45" i="14"/>
  <c r="A46" i="14"/>
  <c r="A47" i="14"/>
  <c r="A48" i="14"/>
  <c r="A49" i="14"/>
  <c r="A50" i="14"/>
  <c r="A51" i="14"/>
  <c r="AQ57" i="14"/>
  <c r="CA57" i="14"/>
  <c r="CA46" i="14" s="1"/>
  <c r="CA81" i="14" s="1"/>
  <c r="DU57" i="14"/>
  <c r="DZ57" i="14"/>
  <c r="DZ46" i="14" s="1"/>
  <c r="DZ81" i="14" s="1"/>
  <c r="DZ84" i="14" s="1"/>
  <c r="EJ57" i="14"/>
  <c r="EJ46" i="14" s="1"/>
  <c r="EJ81" i="14" s="1"/>
  <c r="EJ84" i="14" s="1"/>
  <c r="JJ57" i="14"/>
  <c r="JO57" i="14"/>
  <c r="A52" i="14"/>
  <c r="AB57" i="14"/>
  <c r="AB46" i="14" s="1"/>
  <c r="AB3" i="14" s="1"/>
  <c r="AR52" i="14"/>
  <c r="AS52" i="14" s="1"/>
  <c r="BX57" i="14"/>
  <c r="BX46" i="14" s="1"/>
  <c r="BZ57" i="14"/>
  <c r="BZ46" i="14" s="1"/>
  <c r="BZ81" i="14" s="1"/>
  <c r="BZ84" i="14" s="1"/>
  <c r="CN52" i="14"/>
  <c r="DL57" i="14"/>
  <c r="DQ57" i="14"/>
  <c r="DW57" i="14"/>
  <c r="EC57" i="14"/>
  <c r="EC46" i="14" s="1"/>
  <c r="EC81" i="14" s="1"/>
  <c r="EC84" i="14" s="1"/>
  <c r="FQ57" i="14"/>
  <c r="FQ46" i="14" s="1"/>
  <c r="FQ81" i="14" s="1"/>
  <c r="FQ84" i="14" s="1"/>
  <c r="FR57" i="14"/>
  <c r="FR46" i="14" s="1"/>
  <c r="FR81" i="14" s="1"/>
  <c r="FR84" i="14" s="1"/>
  <c r="HL57" i="14"/>
  <c r="HM57" i="14"/>
  <c r="HO57" i="14"/>
  <c r="IA57" i="14"/>
  <c r="A53" i="14"/>
  <c r="BT57" i="14"/>
  <c r="BT46" i="14" s="1"/>
  <c r="EK53" i="14"/>
  <c r="FM57" i="14"/>
  <c r="HZ57" i="14"/>
  <c r="JI57" i="14"/>
  <c r="JI46" i="14" s="1"/>
  <c r="A54" i="14"/>
  <c r="AD57" i="14"/>
  <c r="AD46" i="14" s="1"/>
  <c r="AD3" i="14" s="1"/>
  <c r="AW57" i="14"/>
  <c r="AW46" i="14" s="1"/>
  <c r="BR57" i="14"/>
  <c r="BR46" i="14" s="1"/>
  <c r="BW57" i="14"/>
  <c r="BW46" i="14" s="1"/>
  <c r="BW81" i="14" s="1"/>
  <c r="BW84" i="14" s="1"/>
  <c r="CL57" i="14"/>
  <c r="DN57" i="14"/>
  <c r="DR57" i="14"/>
  <c r="DR46" i="14" s="1"/>
  <c r="DR81" i="14" s="1"/>
  <c r="DR84" i="14" s="1"/>
  <c r="DT57" i="14"/>
  <c r="DT46" i="14" s="1"/>
  <c r="DT81" i="14" s="1"/>
  <c r="DT84" i="14" s="1"/>
  <c r="DV57" i="14"/>
  <c r="DV46" i="14" s="1"/>
  <c r="DV81" i="14" s="1"/>
  <c r="DV84" i="14" s="1"/>
  <c r="FK57" i="14"/>
  <c r="FK46" i="14" s="1"/>
  <c r="GN57" i="14"/>
  <c r="GN46" i="14" s="1"/>
  <c r="GN81" i="14" s="1"/>
  <c r="GN84" i="14" s="1"/>
  <c r="HR57" i="14"/>
  <c r="HR46" i="14" s="1"/>
  <c r="HR81" i="14" s="1"/>
  <c r="HR84" i="14" s="1"/>
  <c r="IL57" i="14"/>
  <c r="IL46" i="14" s="1"/>
  <c r="IL81" i="14" s="1"/>
  <c r="IL84" i="14" s="1"/>
  <c r="JK57" i="14"/>
  <c r="JK46" i="14" s="1"/>
  <c r="JK81" i="14" s="1"/>
  <c r="JK84" i="14" s="1"/>
  <c r="JP57" i="14"/>
  <c r="JX57" i="14"/>
  <c r="A55" i="14"/>
  <c r="AR55" i="14"/>
  <c r="AS55" i="14" s="1"/>
  <c r="CN55" i="14"/>
  <c r="EK55" i="14"/>
  <c r="GI55" i="14"/>
  <c r="IG55" i="14"/>
  <c r="KE55" i="14"/>
  <c r="A56" i="14"/>
  <c r="AR56" i="14"/>
  <c r="AS56" i="14" s="1"/>
  <c r="CN56" i="14"/>
  <c r="EK56" i="14"/>
  <c r="GI56" i="14"/>
  <c r="IG56" i="14"/>
  <c r="KE56" i="14"/>
  <c r="A57" i="14"/>
  <c r="D57" i="14"/>
  <c r="D46" i="14" s="1"/>
  <c r="D81" i="14" s="1"/>
  <c r="D84" i="14" s="1"/>
  <c r="E57" i="14"/>
  <c r="E46" i="14" s="1"/>
  <c r="E81" i="14" s="1"/>
  <c r="E84" i="14" s="1"/>
  <c r="F57" i="14"/>
  <c r="G57" i="14"/>
  <c r="H57" i="14"/>
  <c r="I57" i="14"/>
  <c r="I46" i="14" s="1"/>
  <c r="I81" i="14" s="1"/>
  <c r="I84" i="14" s="1"/>
  <c r="J57" i="14"/>
  <c r="J46" i="14" s="1"/>
  <c r="J81" i="14" s="1"/>
  <c r="J84" i="14" s="1"/>
  <c r="K57" i="14"/>
  <c r="K46" i="14" s="1"/>
  <c r="K81" i="14" s="1"/>
  <c r="K84" i="14" s="1"/>
  <c r="L57" i="14"/>
  <c r="L46" i="14" s="1"/>
  <c r="L81" i="14" s="1"/>
  <c r="L84" i="14" s="1"/>
  <c r="M57" i="14"/>
  <c r="N57" i="14"/>
  <c r="N46" i="14" s="1"/>
  <c r="N81" i="14" s="1"/>
  <c r="N84" i="14" s="1"/>
  <c r="O57" i="14"/>
  <c r="O46" i="14" s="1"/>
  <c r="O81" i="14" s="1"/>
  <c r="O84" i="14" s="1"/>
  <c r="P57" i="14"/>
  <c r="Q57" i="14"/>
  <c r="Q46" i="14" s="1"/>
  <c r="Q81" i="14" s="1"/>
  <c r="Q84" i="14" s="1"/>
  <c r="R57" i="14"/>
  <c r="R46" i="14" s="1"/>
  <c r="R81" i="14" s="1"/>
  <c r="R84" i="14" s="1"/>
  <c r="S57" i="14"/>
  <c r="S46" i="14" s="1"/>
  <c r="S81" i="14" s="1"/>
  <c r="S84" i="14" s="1"/>
  <c r="T57" i="14"/>
  <c r="T46" i="14" s="1"/>
  <c r="T81" i="14" s="1"/>
  <c r="T84" i="14" s="1"/>
  <c r="U57" i="14"/>
  <c r="U46" i="14" s="1"/>
  <c r="U81" i="14" s="1"/>
  <c r="W57" i="14"/>
  <c r="X57" i="14"/>
  <c r="Y57" i="14"/>
  <c r="Z57" i="14"/>
  <c r="AC57" i="14"/>
  <c r="AC46" i="14" s="1"/>
  <c r="AC81" i="14" s="1"/>
  <c r="AC84" i="14" s="1"/>
  <c r="AE57" i="14"/>
  <c r="AE46" i="14" s="1"/>
  <c r="AE81" i="14" s="1"/>
  <c r="AE84" i="14" s="1"/>
  <c r="AF57" i="14"/>
  <c r="AF46" i="14" s="1"/>
  <c r="AF81" i="14" s="1"/>
  <c r="AF84" i="14" s="1"/>
  <c r="AG57" i="14"/>
  <c r="AG46" i="14" s="1"/>
  <c r="AG81" i="14" s="1"/>
  <c r="AG84" i="14" s="1"/>
  <c r="AH57" i="14"/>
  <c r="AI57" i="14"/>
  <c r="AK57" i="14"/>
  <c r="AL57" i="14"/>
  <c r="AM57" i="14"/>
  <c r="AM46" i="14" s="1"/>
  <c r="AN57" i="14"/>
  <c r="AN46" i="14" s="1"/>
  <c r="AN3" i="14" s="1"/>
  <c r="AO57" i="14"/>
  <c r="AO46" i="14" s="1"/>
  <c r="AO3" i="14" s="1"/>
  <c r="AT57" i="14"/>
  <c r="AU57" i="14"/>
  <c r="AV57" i="14"/>
  <c r="AX57" i="14"/>
  <c r="AY57" i="14"/>
  <c r="AY46" i="14" s="1"/>
  <c r="AY81" i="14" s="1"/>
  <c r="AY84" i="14" s="1"/>
  <c r="AZ57" i="14"/>
  <c r="AZ46" i="14" s="1"/>
  <c r="AZ81" i="14" s="1"/>
  <c r="AZ84" i="14" s="1"/>
  <c r="BA57" i="14"/>
  <c r="BA46" i="14" s="1"/>
  <c r="BA81" i="14" s="1"/>
  <c r="BA84" i="14" s="1"/>
  <c r="BB57" i="14"/>
  <c r="BB46" i="14" s="1"/>
  <c r="BB81" i="14" s="1"/>
  <c r="BB84" i="14" s="1"/>
  <c r="BC57" i="14"/>
  <c r="BC46" i="14" s="1"/>
  <c r="BC81" i="14" s="1"/>
  <c r="BC84" i="14" s="1"/>
  <c r="BD57" i="14"/>
  <c r="BE57" i="14"/>
  <c r="BE46" i="14" s="1"/>
  <c r="BE81" i="14" s="1"/>
  <c r="BE84" i="14" s="1"/>
  <c r="BF57" i="14"/>
  <c r="BG57" i="14"/>
  <c r="BG46" i="14" s="1"/>
  <c r="BG81" i="14" s="1"/>
  <c r="BG84" i="14" s="1"/>
  <c r="BH57" i="14"/>
  <c r="BH46" i="14" s="1"/>
  <c r="BH81" i="14" s="1"/>
  <c r="BH84" i="14" s="1"/>
  <c r="BI57" i="14"/>
  <c r="BI46" i="14" s="1"/>
  <c r="BI81" i="14" s="1"/>
  <c r="BI84" i="14" s="1"/>
  <c r="BJ57" i="14"/>
  <c r="BJ46" i="14" s="1"/>
  <c r="BJ81" i="14" s="1"/>
  <c r="BJ84" i="14" s="1"/>
  <c r="BK57" i="14"/>
  <c r="BL57" i="14"/>
  <c r="BM57" i="14"/>
  <c r="BM46" i="14" s="1"/>
  <c r="BN57" i="14"/>
  <c r="BO57" i="14"/>
  <c r="BP57" i="14"/>
  <c r="BP46" i="14" s="1"/>
  <c r="BP81" i="14" s="1"/>
  <c r="BP84" i="14" s="1"/>
  <c r="BS57" i="14"/>
  <c r="BS46" i="14" s="1"/>
  <c r="BS81" i="14" s="1"/>
  <c r="BS84" i="14" s="1"/>
  <c r="BU57" i="14"/>
  <c r="BU46" i="14" s="1"/>
  <c r="BU81" i="14" s="1"/>
  <c r="BU84" i="14" s="1"/>
  <c r="BV57" i="14"/>
  <c r="BV46" i="14" s="1"/>
  <c r="BV81" i="14" s="1"/>
  <c r="CB57" i="14"/>
  <c r="CC57" i="14"/>
  <c r="CC46" i="14" s="1"/>
  <c r="CC81" i="14" s="1"/>
  <c r="CC84" i="14" s="1"/>
  <c r="CD57" i="14"/>
  <c r="CE57" i="14"/>
  <c r="CE46" i="14" s="1"/>
  <c r="CE81" i="14" s="1"/>
  <c r="CE84" i="14" s="1"/>
  <c r="CF57" i="14"/>
  <c r="CF46" i="14" s="1"/>
  <c r="CF81" i="14" s="1"/>
  <c r="CF84" i="14" s="1"/>
  <c r="CH57" i="14"/>
  <c r="CH46" i="14" s="1"/>
  <c r="CH81" i="14" s="1"/>
  <c r="CH84" i="14" s="1"/>
  <c r="CK57" i="14"/>
  <c r="CK46" i="14" s="1"/>
  <c r="CK3" i="14" s="1"/>
  <c r="CM57" i="14"/>
  <c r="CP57" i="14"/>
  <c r="CQ57" i="14"/>
  <c r="CR57" i="14"/>
  <c r="CR46" i="14" s="1"/>
  <c r="CR81" i="14" s="1"/>
  <c r="CR84" i="14" s="1"/>
  <c r="CT57" i="14"/>
  <c r="CU57" i="14"/>
  <c r="CU46" i="14" s="1"/>
  <c r="CU81" i="14" s="1"/>
  <c r="CU84" i="14" s="1"/>
  <c r="CV57" i="14"/>
  <c r="CV46" i="14" s="1"/>
  <c r="CV81" i="14" s="1"/>
  <c r="CV84" i="14" s="1"/>
  <c r="CW57" i="14"/>
  <c r="CX57" i="14"/>
  <c r="CY57" i="14"/>
  <c r="CZ57" i="14"/>
  <c r="DA57" i="14"/>
  <c r="DB57" i="14"/>
  <c r="DC57" i="14"/>
  <c r="DC46" i="14" s="1"/>
  <c r="DC81" i="14" s="1"/>
  <c r="DC84" i="14" s="1"/>
  <c r="DD57" i="14"/>
  <c r="DD46" i="14" s="1"/>
  <c r="DD81" i="14" s="1"/>
  <c r="DD84" i="14" s="1"/>
  <c r="DE57" i="14"/>
  <c r="DE46" i="14" s="1"/>
  <c r="DE81" i="14" s="1"/>
  <c r="DE84" i="14" s="1"/>
  <c r="DF57" i="14"/>
  <c r="DF46" i="14" s="1"/>
  <c r="DF81" i="14" s="1"/>
  <c r="DF84" i="14" s="1"/>
  <c r="DG57" i="14"/>
  <c r="DH57" i="14"/>
  <c r="DI57" i="14"/>
  <c r="DJ57" i="14"/>
  <c r="DK57" i="14"/>
  <c r="DK46" i="14" s="1"/>
  <c r="DK81" i="14" s="1"/>
  <c r="DK84" i="14" s="1"/>
  <c r="DO57" i="14"/>
  <c r="DO46" i="14" s="1"/>
  <c r="DO81" i="14" s="1"/>
  <c r="DO84" i="14" s="1"/>
  <c r="DP57" i="14"/>
  <c r="DP46" i="14" s="1"/>
  <c r="DS57" i="14"/>
  <c r="DX57" i="14"/>
  <c r="DX46" i="14" s="1"/>
  <c r="DY57" i="14"/>
  <c r="EA57" i="14"/>
  <c r="EB57" i="14"/>
  <c r="ED57" i="14"/>
  <c r="ED46" i="14" s="1"/>
  <c r="ED81" i="14" s="1"/>
  <c r="ED84" i="14" s="1"/>
  <c r="EE57" i="14"/>
  <c r="EF57" i="14"/>
  <c r="EF46" i="14" s="1"/>
  <c r="EF81" i="14" s="1"/>
  <c r="EF84" i="14" s="1"/>
  <c r="EG57" i="14"/>
  <c r="EG46" i="14" s="1"/>
  <c r="EG3" i="14" s="1"/>
  <c r="EI57" i="14"/>
  <c r="EM57" i="14"/>
  <c r="EN57" i="14"/>
  <c r="EO57" i="14"/>
  <c r="EP57" i="14"/>
  <c r="EP46" i="14" s="1"/>
  <c r="EP81" i="14" s="1"/>
  <c r="EP84" i="14" s="1"/>
  <c r="EQ57" i="14"/>
  <c r="EQ46" i="14" s="1"/>
  <c r="EQ81" i="14" s="1"/>
  <c r="EQ84" i="14" s="1"/>
  <c r="ER57" i="14"/>
  <c r="ER46" i="14" s="1"/>
  <c r="ER81" i="14" s="1"/>
  <c r="ER84" i="14" s="1"/>
  <c r="ES57" i="14"/>
  <c r="ES46" i="14" s="1"/>
  <c r="ES81" i="14" s="1"/>
  <c r="ES84" i="14" s="1"/>
  <c r="ET57" i="14"/>
  <c r="EU57" i="14"/>
  <c r="EV57" i="14"/>
  <c r="EW57" i="14"/>
  <c r="EX57" i="14"/>
  <c r="EX46" i="14" s="1"/>
  <c r="EX81" i="14" s="1"/>
  <c r="EX84" i="14" s="1"/>
  <c r="EY57" i="14"/>
  <c r="EY46" i="14" s="1"/>
  <c r="EZ57" i="14"/>
  <c r="EZ46" i="14" s="1"/>
  <c r="EZ81" i="14" s="1"/>
  <c r="EZ84" i="14" s="1"/>
  <c r="FA57" i="14"/>
  <c r="FA46" i="14" s="1"/>
  <c r="FA81" i="14" s="1"/>
  <c r="FA84" i="14" s="1"/>
  <c r="FB57" i="14"/>
  <c r="FC57" i="14"/>
  <c r="FD57" i="14"/>
  <c r="FE57" i="14"/>
  <c r="FF57" i="14"/>
  <c r="FF46" i="14" s="1"/>
  <c r="FG57" i="14"/>
  <c r="FG46" i="14" s="1"/>
  <c r="FG81" i="14" s="1"/>
  <c r="FG84" i="14" s="1"/>
  <c r="FH57" i="14"/>
  <c r="FH46" i="14" s="1"/>
  <c r="FH81" i="14" s="1"/>
  <c r="FH84" i="14" s="1"/>
  <c r="FI57" i="14"/>
  <c r="FI46" i="14" s="1"/>
  <c r="FL57" i="14"/>
  <c r="FN57" i="14"/>
  <c r="FP57" i="14"/>
  <c r="FP46" i="14" s="1"/>
  <c r="FP81" i="14" s="1"/>
  <c r="FP84" i="14" s="1"/>
  <c r="FS57" i="14"/>
  <c r="FU57" i="14"/>
  <c r="FU46" i="14" s="1"/>
  <c r="FU81" i="14" s="1"/>
  <c r="FU84" i="14" s="1"/>
  <c r="FV57" i="14"/>
  <c r="FV46" i="14" s="1"/>
  <c r="FV81" i="14" s="1"/>
  <c r="FV84" i="14" s="1"/>
  <c r="FW57" i="14"/>
  <c r="FW46" i="14" s="1"/>
  <c r="FW81" i="14" s="1"/>
  <c r="FW84" i="14" s="1"/>
  <c r="FX57" i="14"/>
  <c r="FY57" i="14"/>
  <c r="FY46" i="14" s="1"/>
  <c r="GB57" i="14"/>
  <c r="GD57" i="14"/>
  <c r="GG57" i="14"/>
  <c r="GG46" i="14" s="1"/>
  <c r="GH57" i="14"/>
  <c r="GH46" i="14" s="1"/>
  <c r="GH3" i="14" s="1"/>
  <c r="GK57" i="14"/>
  <c r="GK46" i="14" s="1"/>
  <c r="GK81" i="14" s="1"/>
  <c r="GK84" i="14" s="1"/>
  <c r="GL57" i="14"/>
  <c r="GM57" i="14"/>
  <c r="GO57" i="14"/>
  <c r="GO46" i="14" s="1"/>
  <c r="GO81" i="14" s="1"/>
  <c r="GO84" i="14" s="1"/>
  <c r="GP57" i="14"/>
  <c r="GP46" i="14" s="1"/>
  <c r="GP81" i="14" s="1"/>
  <c r="GP84" i="14" s="1"/>
  <c r="GQ57" i="14"/>
  <c r="GR57" i="14"/>
  <c r="GR46" i="14" s="1"/>
  <c r="GR81" i="14" s="1"/>
  <c r="GR84" i="14" s="1"/>
  <c r="GS57" i="14"/>
  <c r="GS46" i="14" s="1"/>
  <c r="GT57" i="14"/>
  <c r="GT46" i="14" s="1"/>
  <c r="GT81" i="14" s="1"/>
  <c r="GT84" i="14" s="1"/>
  <c r="GU57" i="14"/>
  <c r="GV57" i="14"/>
  <c r="GW57" i="14"/>
  <c r="GW46" i="14" s="1"/>
  <c r="GW81" i="14" s="1"/>
  <c r="GW84" i="14" s="1"/>
  <c r="GX57" i="14"/>
  <c r="GY57" i="14"/>
  <c r="GY46" i="14" s="1"/>
  <c r="GZ57" i="14"/>
  <c r="GZ46" i="14" s="1"/>
  <c r="HA57" i="14"/>
  <c r="HA46" i="14" s="1"/>
  <c r="HA81" i="14" s="1"/>
  <c r="HA84" i="14" s="1"/>
  <c r="HB57" i="14"/>
  <c r="HB46" i="14" s="1"/>
  <c r="HB81" i="14" s="1"/>
  <c r="HB84" i="14" s="1"/>
  <c r="HC57" i="14"/>
  <c r="HD57" i="14"/>
  <c r="HE57" i="14"/>
  <c r="HF57" i="14"/>
  <c r="HF46" i="14" s="1"/>
  <c r="HF81" i="14" s="1"/>
  <c r="HF84" i="14" s="1"/>
  <c r="HG57" i="14"/>
  <c r="HI57" i="14"/>
  <c r="HI46" i="14" s="1"/>
  <c r="HI81" i="14" s="1"/>
  <c r="HI84" i="14" s="1"/>
  <c r="HJ57" i="14"/>
  <c r="HJ46" i="14" s="1"/>
  <c r="HJ81" i="14" s="1"/>
  <c r="HJ84" i="14" s="1"/>
  <c r="HK57" i="14"/>
  <c r="HK46" i="14" s="1"/>
  <c r="HN57" i="14"/>
  <c r="HQ57" i="14"/>
  <c r="HS57" i="14"/>
  <c r="HT57" i="14"/>
  <c r="HU57" i="14"/>
  <c r="HV57" i="14"/>
  <c r="HV46" i="14" s="1"/>
  <c r="HW57" i="14"/>
  <c r="HW46" i="14" s="1"/>
  <c r="HW81" i="14" s="1"/>
  <c r="HW84" i="14" s="1"/>
  <c r="IB57" i="14"/>
  <c r="IB46" i="14" s="1"/>
  <c r="IE57" i="14"/>
  <c r="IF57" i="14"/>
  <c r="II57" i="14"/>
  <c r="IJ57" i="14"/>
  <c r="IK57" i="14"/>
  <c r="IK46" i="14" s="1"/>
  <c r="IK81" i="14" s="1"/>
  <c r="IK84" i="14" s="1"/>
  <c r="IM57" i="14"/>
  <c r="IM46" i="14" s="1"/>
  <c r="IM81" i="14" s="1"/>
  <c r="IM84" i="14" s="1"/>
  <c r="IN57" i="14"/>
  <c r="IN46" i="14" s="1"/>
  <c r="IN72" i="14" s="1"/>
  <c r="IO57" i="14"/>
  <c r="IO46" i="14" s="1"/>
  <c r="IO81" i="14" s="1"/>
  <c r="IO84" i="14" s="1"/>
  <c r="IP57" i="14"/>
  <c r="IQ57" i="14"/>
  <c r="IR57" i="14"/>
  <c r="IS57" i="14"/>
  <c r="IS46" i="14" s="1"/>
  <c r="IS81" i="14" s="1"/>
  <c r="IS84" i="14" s="1"/>
  <c r="IT57" i="14"/>
  <c r="IT46" i="14" s="1"/>
  <c r="IU57" i="14"/>
  <c r="IU46" i="14" s="1"/>
  <c r="IU81" i="14" s="1"/>
  <c r="IU84" i="14" s="1"/>
  <c r="IV57" i="14"/>
  <c r="IW57" i="14"/>
  <c r="IX57" i="14"/>
  <c r="IY57" i="14"/>
  <c r="IZ57" i="14"/>
  <c r="JA57" i="14"/>
  <c r="JB57" i="14"/>
  <c r="JB46" i="14" s="1"/>
  <c r="JB81" i="14" s="1"/>
  <c r="JB84" i="14" s="1"/>
  <c r="JC57" i="14"/>
  <c r="JC46" i="14" s="1"/>
  <c r="JC81" i="14" s="1"/>
  <c r="JC84" i="14" s="1"/>
  <c r="JD57" i="14"/>
  <c r="JD46" i="14" s="1"/>
  <c r="JD81" i="14" s="1"/>
  <c r="JD84" i="14" s="1"/>
  <c r="JE57" i="14"/>
  <c r="JG57" i="14"/>
  <c r="JH57" i="14"/>
  <c r="JL57" i="14"/>
  <c r="JM57" i="14"/>
  <c r="JM46" i="14" s="1"/>
  <c r="JM81" i="14" s="1"/>
  <c r="JM84" i="14" s="1"/>
  <c r="JQ57" i="14"/>
  <c r="JQ46" i="14" s="1"/>
  <c r="JQ81" i="14" s="1"/>
  <c r="JQ84" i="14" s="1"/>
  <c r="JR57" i="14"/>
  <c r="JR46" i="14" s="1"/>
  <c r="JR72" i="14" s="1"/>
  <c r="JS57" i="14"/>
  <c r="JS46" i="14" s="1"/>
  <c r="JS72" i="14" s="1"/>
  <c r="JT57" i="14"/>
  <c r="JT46" i="14" s="1"/>
  <c r="JT81" i="14" s="1"/>
  <c r="JT84" i="14" s="1"/>
  <c r="JU57" i="14"/>
  <c r="JU46" i="14" s="1"/>
  <c r="JU81" i="14" s="1"/>
  <c r="JU84" i="14" s="1"/>
  <c r="JY57" i="14"/>
  <c r="JZ57" i="14"/>
  <c r="KC57" i="14"/>
  <c r="KC46" i="14" s="1"/>
  <c r="KD57" i="14"/>
  <c r="KD46" i="14" s="1"/>
  <c r="KD3" i="14" s="1"/>
  <c r="A58" i="14"/>
  <c r="A59" i="14"/>
  <c r="A60" i="14"/>
  <c r="A61" i="14"/>
  <c r="A62" i="14"/>
  <c r="A63" i="14"/>
  <c r="A64" i="14"/>
  <c r="AW72" i="14"/>
  <c r="BV72" i="14"/>
  <c r="BX72" i="14"/>
  <c r="BZ72" i="14"/>
  <c r="DF72" i="14"/>
  <c r="DV72" i="14"/>
  <c r="DX72" i="14"/>
  <c r="FI72" i="14"/>
  <c r="FK72" i="14"/>
  <c r="FY72" i="14"/>
  <c r="JU72" i="14"/>
  <c r="Z80" i="14"/>
  <c r="Z83" i="14" s="1"/>
  <c r="JV80" i="14"/>
  <c r="JV83" i="14" s="1"/>
  <c r="AW81" i="14"/>
  <c r="AW84" i="14" s="1"/>
  <c r="BR81" i="14"/>
  <c r="BR84" i="14" s="1"/>
  <c r="BX81" i="14"/>
  <c r="BX84" i="14" s="1"/>
  <c r="DX81" i="14"/>
  <c r="DX84" i="14" s="1"/>
  <c r="FF81" i="14"/>
  <c r="FF84" i="14" s="1"/>
  <c r="FK81" i="14"/>
  <c r="FK84" i="14" s="1"/>
  <c r="FY81" i="14"/>
  <c r="FY84" i="14" s="1"/>
  <c r="GZ81" i="14"/>
  <c r="GZ84" i="14" s="1"/>
  <c r="U84" i="14"/>
  <c r="BV84" i="14"/>
  <c r="CA84" i="14"/>
  <c r="BT72" i="14" l="1"/>
  <c r="L72" i="14"/>
  <c r="JT72" i="14"/>
  <c r="GT72" i="14"/>
  <c r="BU72" i="14"/>
  <c r="D72" i="14"/>
  <c r="BJ72" i="14"/>
  <c r="JS81" i="14"/>
  <c r="JS84" i="14" s="1"/>
  <c r="DE72" i="14"/>
  <c r="BB72" i="14"/>
  <c r="DP81" i="14"/>
  <c r="DP84" i="14" s="1"/>
  <c r="CK72" i="14"/>
  <c r="FW72" i="14"/>
  <c r="IN81" i="14"/>
  <c r="IN84" i="14" s="1"/>
  <c r="AO81" i="14"/>
  <c r="AO84" i="14" s="1"/>
  <c r="EZ72" i="14"/>
  <c r="AO72" i="14"/>
  <c r="CK81" i="14"/>
  <c r="CK84" i="14" s="1"/>
  <c r="HK72" i="14"/>
  <c r="ER72" i="14"/>
  <c r="AF72" i="14"/>
  <c r="HK81" i="14"/>
  <c r="HK84" i="14" s="1"/>
  <c r="HB72" i="14"/>
  <c r="EF72" i="14"/>
  <c r="T72" i="14"/>
  <c r="AM72" i="14"/>
  <c r="FR72" i="14"/>
  <c r="R72" i="14"/>
  <c r="CO30" i="14"/>
  <c r="BH72" i="14"/>
  <c r="GN44" i="14"/>
  <c r="JI44" i="14"/>
  <c r="JI80" i="14" s="1"/>
  <c r="JI83" i="14" s="1"/>
  <c r="EA44" i="14"/>
  <c r="EA80" i="14" s="1"/>
  <c r="EA83" i="14" s="1"/>
  <c r="JP44" i="14"/>
  <c r="JP80" i="14" s="1"/>
  <c r="JP83" i="14" s="1"/>
  <c r="JD72" i="14"/>
  <c r="II44" i="14"/>
  <c r="IK72" i="14"/>
  <c r="FQ72" i="14"/>
  <c r="CW44" i="14"/>
  <c r="CW80" i="14" s="1"/>
  <c r="CW83" i="14" s="1"/>
  <c r="HR72" i="14"/>
  <c r="U44" i="14"/>
  <c r="U80" i="14" s="1"/>
  <c r="U83" i="14" s="1"/>
  <c r="M44" i="14"/>
  <c r="M80" i="14" s="1"/>
  <c r="M83" i="14" s="1"/>
  <c r="AC44" i="14"/>
  <c r="DW10" i="14"/>
  <c r="KC3" i="14"/>
  <c r="KC81" i="14"/>
  <c r="JG44" i="14"/>
  <c r="JG80" i="14" s="1"/>
  <c r="JG83" i="14" s="1"/>
  <c r="EJ72" i="14"/>
  <c r="JQ72" i="14"/>
  <c r="CN26" i="14"/>
  <c r="Q44" i="14"/>
  <c r="Q80" i="14" s="1"/>
  <c r="Q83" i="14" s="1"/>
  <c r="I44" i="14"/>
  <c r="I80" i="14" s="1"/>
  <c r="I83" i="14" s="1"/>
  <c r="CV44" i="14"/>
  <c r="CV80" i="14" s="1"/>
  <c r="CV83" i="14" s="1"/>
  <c r="DJ44" i="14"/>
  <c r="DB44" i="14"/>
  <c r="BO10" i="14"/>
  <c r="DD72" i="14"/>
  <c r="BK44" i="14"/>
  <c r="BC44" i="14"/>
  <c r="BC80" i="14" s="1"/>
  <c r="BC83" i="14" s="1"/>
  <c r="AB44" i="14"/>
  <c r="AB80" i="14" s="1"/>
  <c r="AB83" i="14" s="1"/>
  <c r="BR72" i="14"/>
  <c r="KD44" i="14"/>
  <c r="KD80" i="14" s="1"/>
  <c r="KD83" i="14" s="1"/>
  <c r="JT44" i="14"/>
  <c r="IU44" i="14"/>
  <c r="IU3" i="14" s="1"/>
  <c r="IA44" i="14"/>
  <c r="IA80" i="14" s="1"/>
  <c r="IA83" i="14" s="1"/>
  <c r="HS44" i="14"/>
  <c r="HS80" i="14" s="1"/>
  <c r="HS83" i="14" s="1"/>
  <c r="HB44" i="14"/>
  <c r="HB80" i="14" s="1"/>
  <c r="HB83" i="14" s="1"/>
  <c r="GT44" i="14"/>
  <c r="GT80" i="14" s="1"/>
  <c r="GT83" i="14" s="1"/>
  <c r="GL44" i="14"/>
  <c r="GL80" i="14" s="1"/>
  <c r="GL83" i="14" s="1"/>
  <c r="FI44" i="14"/>
  <c r="ES44" i="14"/>
  <c r="CC72" i="14"/>
  <c r="EG44" i="14"/>
  <c r="EG80" i="14" s="1"/>
  <c r="EG83" i="14" s="1"/>
  <c r="DY44" i="14"/>
  <c r="DY80" i="14" s="1"/>
  <c r="DY83" i="14" s="1"/>
  <c r="DQ44" i="14"/>
  <c r="DQ80" i="14" s="1"/>
  <c r="DQ83" i="14" s="1"/>
  <c r="DI44" i="14"/>
  <c r="DI80" i="14" s="1"/>
  <c r="DI83" i="14" s="1"/>
  <c r="DA44" i="14"/>
  <c r="DA80" i="14" s="1"/>
  <c r="DA83" i="14" s="1"/>
  <c r="CS44" i="14"/>
  <c r="CS80" i="14" s="1"/>
  <c r="CS83" i="14" s="1"/>
  <c r="GN72" i="14"/>
  <c r="CH44" i="14"/>
  <c r="CH80" i="14" s="1"/>
  <c r="CH83" i="14" s="1"/>
  <c r="BZ44" i="14"/>
  <c r="BZ80" i="14" s="1"/>
  <c r="BZ83" i="14" s="1"/>
  <c r="BR44" i="14"/>
  <c r="BR80" i="14" s="1"/>
  <c r="BR83" i="14" s="1"/>
  <c r="BJ44" i="14"/>
  <c r="BJ80" i="14" s="1"/>
  <c r="BJ83" i="14" s="1"/>
  <c r="BB44" i="14"/>
  <c r="CD10" i="14"/>
  <c r="F91" i="2" s="1"/>
  <c r="GO72" i="14"/>
  <c r="GK72" i="14"/>
  <c r="FH72" i="14"/>
  <c r="DP72" i="14"/>
  <c r="CO36" i="14"/>
  <c r="KD81" i="14"/>
  <c r="KD84" i="14" s="1"/>
  <c r="BT81" i="14"/>
  <c r="BT84" i="14" s="1"/>
  <c r="FA72" i="14"/>
  <c r="AO44" i="14"/>
  <c r="AO80" i="14" s="1"/>
  <c r="AO83" i="14" s="1"/>
  <c r="Y44" i="14"/>
  <c r="Y80" i="14" s="1"/>
  <c r="Y83" i="14" s="1"/>
  <c r="G44" i="14"/>
  <c r="G80" i="14" s="1"/>
  <c r="G83" i="14" s="1"/>
  <c r="BG10" i="14"/>
  <c r="BH10" i="14"/>
  <c r="AZ10" i="14"/>
  <c r="JC72" i="14"/>
  <c r="CV72" i="14"/>
  <c r="S72" i="14"/>
  <c r="GH81" i="14"/>
  <c r="GH84" i="14" s="1"/>
  <c r="IU72" i="14"/>
  <c r="HJ72" i="14"/>
  <c r="BS72" i="14"/>
  <c r="JZ44" i="14"/>
  <c r="JA44" i="14"/>
  <c r="JA80" i="14" s="1"/>
  <c r="JA83" i="14" s="1"/>
  <c r="IS44" i="14"/>
  <c r="IS80" i="14" s="1"/>
  <c r="IS83" i="14" s="1"/>
  <c r="HY44" i="14"/>
  <c r="HY80" i="14" s="1"/>
  <c r="HY83" i="14" s="1"/>
  <c r="HQ44" i="14"/>
  <c r="HQ80" i="14" s="1"/>
  <c r="HQ83" i="14" s="1"/>
  <c r="IJ44" i="14"/>
  <c r="AY44" i="14"/>
  <c r="AY80" i="14" s="1"/>
  <c r="AY83" i="14" s="1"/>
  <c r="GH72" i="14"/>
  <c r="BA72" i="14"/>
  <c r="HK80" i="14"/>
  <c r="HK83" i="14" s="1"/>
  <c r="KD72" i="14"/>
  <c r="FG72" i="14"/>
  <c r="CH72" i="14"/>
  <c r="GP44" i="14"/>
  <c r="EC44" i="14"/>
  <c r="EC80" i="14" s="1"/>
  <c r="EC83" i="14" s="1"/>
  <c r="BF44" i="14"/>
  <c r="BF80" i="14" s="1"/>
  <c r="BF83" i="14" s="1"/>
  <c r="IM72" i="14"/>
  <c r="HA72" i="14"/>
  <c r="AN72" i="14"/>
  <c r="K72" i="14"/>
  <c r="T44" i="14"/>
  <c r="T80" i="14" s="1"/>
  <c r="T83" i="14" s="1"/>
  <c r="FV72" i="14"/>
  <c r="DO72" i="14"/>
  <c r="BI72" i="14"/>
  <c r="GR44" i="14"/>
  <c r="GR80" i="14" s="1"/>
  <c r="GR83" i="14" s="1"/>
  <c r="AN81" i="14"/>
  <c r="AN84" i="14" s="1"/>
  <c r="HW72" i="14"/>
  <c r="EQ72" i="14"/>
  <c r="BG72" i="14"/>
  <c r="AE72" i="14"/>
  <c r="BK80" i="14"/>
  <c r="BK83" i="14" s="1"/>
  <c r="BC3" i="14"/>
  <c r="AJ44" i="14"/>
  <c r="AJ80" i="14" s="1"/>
  <c r="AJ83" i="14" s="1"/>
  <c r="GS72" i="14"/>
  <c r="GS81" i="14"/>
  <c r="GS84" i="14" s="1"/>
  <c r="GG72" i="14"/>
  <c r="CL44" i="14"/>
  <c r="CL80" i="14" s="1"/>
  <c r="CL83" i="14" s="1"/>
  <c r="JX44" i="14"/>
  <c r="JX80" i="14" s="1"/>
  <c r="JX83" i="14" s="1"/>
  <c r="GY44" i="14"/>
  <c r="GY80" i="14" s="1"/>
  <c r="GY83" i="14" s="1"/>
  <c r="JB72" i="14"/>
  <c r="GR72" i="14"/>
  <c r="DK72" i="14"/>
  <c r="CF72" i="14"/>
  <c r="AD72" i="14"/>
  <c r="J72" i="14"/>
  <c r="CD44" i="14"/>
  <c r="CD80" i="14" s="1"/>
  <c r="CD83" i="14" s="1"/>
  <c r="JW44" i="14"/>
  <c r="JW80" i="14" s="1"/>
  <c r="JW83" i="14" s="1"/>
  <c r="JF44" i="14"/>
  <c r="JF80" i="14" s="1"/>
  <c r="JF83" i="14" s="1"/>
  <c r="IP44" i="14"/>
  <c r="IP80" i="14" s="1"/>
  <c r="IP83" i="14" s="1"/>
  <c r="IF44" i="14"/>
  <c r="IF80" i="14" s="1"/>
  <c r="IF83" i="14" s="1"/>
  <c r="HN44" i="14"/>
  <c r="HN80" i="14" s="1"/>
  <c r="HN83" i="14" s="1"/>
  <c r="GX44" i="14"/>
  <c r="GX80" i="14" s="1"/>
  <c r="GX83" i="14" s="1"/>
  <c r="FM44" i="14"/>
  <c r="FM80" i="14" s="1"/>
  <c r="FM83" i="14" s="1"/>
  <c r="EO44" i="14"/>
  <c r="EO80" i="14" s="1"/>
  <c r="EO83" i="14" s="1"/>
  <c r="DF44" i="14"/>
  <c r="JE44" i="14"/>
  <c r="JE80" i="14" s="1"/>
  <c r="JE83" i="14" s="1"/>
  <c r="IW44" i="14"/>
  <c r="IW80" i="14" s="1"/>
  <c r="IW83" i="14" s="1"/>
  <c r="IO44" i="14"/>
  <c r="HU44" i="14"/>
  <c r="GB44" i="14"/>
  <c r="GB80" i="14" s="1"/>
  <c r="GB83" i="14" s="1"/>
  <c r="EU44" i="14"/>
  <c r="EJ44" i="14"/>
  <c r="CU44" i="14"/>
  <c r="AU44" i="14"/>
  <c r="AU3" i="14" s="1"/>
  <c r="AY10" i="14"/>
  <c r="GZ72" i="14"/>
  <c r="IZ44" i="14"/>
  <c r="IZ80" i="14" s="1"/>
  <c r="IZ83" i="14" s="1"/>
  <c r="CO15" i="14"/>
  <c r="EL15" i="14" s="1"/>
  <c r="GJ15" i="14" s="1"/>
  <c r="IH15" i="14" s="1"/>
  <c r="KF15" i="14" s="1"/>
  <c r="EX44" i="14"/>
  <c r="EX80" i="14" s="1"/>
  <c r="EX83" i="14" s="1"/>
  <c r="AB81" i="14"/>
  <c r="AB84" i="14" s="1"/>
  <c r="KC72" i="14"/>
  <c r="GP72" i="14"/>
  <c r="CE72" i="14"/>
  <c r="AZ72" i="14"/>
  <c r="AC72" i="14"/>
  <c r="GD44" i="14"/>
  <c r="GD80" i="14" s="1"/>
  <c r="GD83" i="14" s="1"/>
  <c r="DU44" i="14"/>
  <c r="DU80" i="14" s="1"/>
  <c r="DU83" i="14" s="1"/>
  <c r="FV44" i="14"/>
  <c r="HE44" i="14"/>
  <c r="HE80" i="14" s="1"/>
  <c r="HE83" i="14" s="1"/>
  <c r="GC44" i="14"/>
  <c r="GC80" i="14" s="1"/>
  <c r="GC83" i="14" s="1"/>
  <c r="FD44" i="14"/>
  <c r="FD80" i="14" s="1"/>
  <c r="FD83" i="14" s="1"/>
  <c r="EV44" i="14"/>
  <c r="DM44" i="14"/>
  <c r="DM80" i="14" s="1"/>
  <c r="DM83" i="14" s="1"/>
  <c r="DE44" i="14"/>
  <c r="DE80" i="14" s="1"/>
  <c r="DE83" i="14" s="1"/>
  <c r="AD81" i="14"/>
  <c r="AD84" i="14" s="1"/>
  <c r="FE44" i="14"/>
  <c r="FE80" i="14" s="1"/>
  <c r="FE83" i="14" s="1"/>
  <c r="GG44" i="14"/>
  <c r="FF44" i="14"/>
  <c r="FF80" i="14" s="1"/>
  <c r="FF83" i="14" s="1"/>
  <c r="DS10" i="14"/>
  <c r="KC84" i="14"/>
  <c r="AC80" i="14"/>
  <c r="AC83" i="14" s="1"/>
  <c r="IS72" i="14"/>
  <c r="ED72" i="14"/>
  <c r="BP72" i="14"/>
  <c r="AB72" i="14"/>
  <c r="CO52" i="14"/>
  <c r="JQ44" i="14"/>
  <c r="JQ80" i="14" s="1"/>
  <c r="JQ83" i="14" s="1"/>
  <c r="BO44" i="14"/>
  <c r="ED44" i="14"/>
  <c r="ED80" i="14" s="1"/>
  <c r="ED83" i="14" s="1"/>
  <c r="IY44" i="14"/>
  <c r="IY80" i="14" s="1"/>
  <c r="IY83" i="14" s="1"/>
  <c r="FW44" i="14"/>
  <c r="FW80" i="14" s="1"/>
  <c r="FW83" i="14" s="1"/>
  <c r="EP44" i="14"/>
  <c r="EP80" i="14" s="1"/>
  <c r="EP83" i="14" s="1"/>
  <c r="HI72" i="14"/>
  <c r="FU72" i="14"/>
  <c r="DZ72" i="14"/>
  <c r="EW44" i="14"/>
  <c r="BN44" i="14"/>
  <c r="CO22" i="14"/>
  <c r="EL22" i="14" s="1"/>
  <c r="GJ22" i="14" s="1"/>
  <c r="IL44" i="14"/>
  <c r="IL80" i="14" s="1"/>
  <c r="IL83" i="14" s="1"/>
  <c r="HA44" i="14"/>
  <c r="GK44" i="14"/>
  <c r="EZ44" i="14"/>
  <c r="EZ80" i="14" s="1"/>
  <c r="EZ83" i="14" s="1"/>
  <c r="ER44" i="14"/>
  <c r="ER80" i="14" s="1"/>
  <c r="ER83" i="14" s="1"/>
  <c r="EF44" i="14"/>
  <c r="DX44" i="14"/>
  <c r="DX80" i="14" s="1"/>
  <c r="DX83" i="14" s="1"/>
  <c r="DP44" i="14"/>
  <c r="DP80" i="14" s="1"/>
  <c r="DP83" i="14" s="1"/>
  <c r="CR44" i="14"/>
  <c r="CR80" i="14" s="1"/>
  <c r="CR83" i="14" s="1"/>
  <c r="BQ44" i="14"/>
  <c r="BQ80" i="14" s="1"/>
  <c r="BQ83" i="14" s="1"/>
  <c r="BA44" i="14"/>
  <c r="BA80" i="14" s="1"/>
  <c r="BA83" i="14" s="1"/>
  <c r="X44" i="14"/>
  <c r="X80" i="14" s="1"/>
  <c r="X83" i="14" s="1"/>
  <c r="F31" i="2"/>
  <c r="EP72" i="14"/>
  <c r="IQ44" i="14"/>
  <c r="IQ80" i="14" s="1"/>
  <c r="IQ83" i="14" s="1"/>
  <c r="FN44" i="14"/>
  <c r="JR81" i="14"/>
  <c r="JR84" i="14" s="1"/>
  <c r="EX72" i="14"/>
  <c r="DC72" i="14"/>
  <c r="GW44" i="14"/>
  <c r="GW80" i="14" s="1"/>
  <c r="GW83" i="14" s="1"/>
  <c r="BG44" i="14"/>
  <c r="BG80" i="14" s="1"/>
  <c r="BG83" i="14" s="1"/>
  <c r="CO31" i="14"/>
  <c r="CK44" i="14"/>
  <c r="CC44" i="14"/>
  <c r="CC80" i="14" s="1"/>
  <c r="CC83" i="14" s="1"/>
  <c r="BU44" i="14"/>
  <c r="BU80" i="14" s="1"/>
  <c r="BU83" i="14" s="1"/>
  <c r="BM44" i="14"/>
  <c r="BM80" i="14" s="1"/>
  <c r="BM83" i="14" s="1"/>
  <c r="BE44" i="14"/>
  <c r="AW44" i="14"/>
  <c r="AW80" i="14" s="1"/>
  <c r="AW83" i="14" s="1"/>
  <c r="AL44" i="14"/>
  <c r="AL80" i="14" s="1"/>
  <c r="AL83" i="14" s="1"/>
  <c r="V44" i="14"/>
  <c r="V80" i="14" s="1"/>
  <c r="V83" i="14" s="1"/>
  <c r="L44" i="14"/>
  <c r="GZ44" i="14"/>
  <c r="GZ80" i="14" s="1"/>
  <c r="GZ83" i="14" s="1"/>
  <c r="EY44" i="14"/>
  <c r="EY80" i="14" s="1"/>
  <c r="EY83" i="14" s="1"/>
  <c r="AZ44" i="14"/>
  <c r="AZ80" i="14" s="1"/>
  <c r="AZ83" i="14" s="1"/>
  <c r="EY72" i="14"/>
  <c r="EY81" i="14"/>
  <c r="EY84" i="14" s="1"/>
  <c r="AF44" i="14"/>
  <c r="JJ80" i="14"/>
  <c r="JJ83" i="14" s="1"/>
  <c r="JB44" i="14"/>
  <c r="JB80" i="14" s="1"/>
  <c r="JB83" i="14" s="1"/>
  <c r="IT44" i="14"/>
  <c r="F87" i="2"/>
  <c r="JA46" i="14"/>
  <c r="JA81" i="14" s="1"/>
  <c r="JA84" i="14" s="1"/>
  <c r="IJ46" i="14"/>
  <c r="IJ81" i="14" s="1"/>
  <c r="IJ84" i="14" s="1"/>
  <c r="GY72" i="14"/>
  <c r="GY81" i="14"/>
  <c r="GY84" i="14" s="1"/>
  <c r="GD46" i="14"/>
  <c r="GD72" i="14" s="1"/>
  <c r="EW46" i="14"/>
  <c r="EW81" i="14" s="1"/>
  <c r="EW84" i="14" s="1"/>
  <c r="EB46" i="14"/>
  <c r="EB81" i="14" s="1"/>
  <c r="EB84" i="14" s="1"/>
  <c r="DB46" i="14"/>
  <c r="DB81" i="14" s="1"/>
  <c r="DB84" i="14" s="1"/>
  <c r="BO46" i="14"/>
  <c r="BO81" i="14" s="1"/>
  <c r="BO84" i="14" s="1"/>
  <c r="AL46" i="14"/>
  <c r="Z46" i="14"/>
  <c r="Z81" i="14" s="1"/>
  <c r="Z84" i="14" s="1"/>
  <c r="IJ80" i="14"/>
  <c r="IJ83" i="14" s="1"/>
  <c r="J80" i="14"/>
  <c r="J83" i="14" s="1"/>
  <c r="JZ46" i="14"/>
  <c r="JZ72" i="14" s="1"/>
  <c r="HU46" i="14"/>
  <c r="HU81" i="14" s="1"/>
  <c r="HU84" i="14" s="1"/>
  <c r="HG46" i="14"/>
  <c r="HG81" i="14" s="1"/>
  <c r="HG84" i="14" s="1"/>
  <c r="GQ46" i="14"/>
  <c r="GQ81" i="14" s="1"/>
  <c r="GQ84" i="14" s="1"/>
  <c r="FS46" i="14"/>
  <c r="FS81" i="14" s="1"/>
  <c r="FS84" i="14" s="1"/>
  <c r="FE46" i="14"/>
  <c r="FE72" i="14" s="1"/>
  <c r="EO46" i="14"/>
  <c r="DJ46" i="14"/>
  <c r="DJ81" i="14" s="1"/>
  <c r="DJ84" i="14" s="1"/>
  <c r="CT46" i="14"/>
  <c r="CT81" i="14" s="1"/>
  <c r="CT84" i="14" s="1"/>
  <c r="AY72" i="14"/>
  <c r="AN44" i="14"/>
  <c r="AN80" i="14" s="1"/>
  <c r="AN83" i="14" s="1"/>
  <c r="F43" i="2"/>
  <c r="CH10" i="14"/>
  <c r="BS10" i="14"/>
  <c r="F35" i="2"/>
  <c r="BK10" i="14"/>
  <c r="DG10" i="14" s="1"/>
  <c r="FD10" i="14" s="1"/>
  <c r="F176" i="2" s="1"/>
  <c r="F19" i="2"/>
  <c r="BC10" i="14"/>
  <c r="F11" i="2"/>
  <c r="AU10" i="14"/>
  <c r="CQ10" i="14" s="1"/>
  <c r="EN10" i="14" s="1"/>
  <c r="F160" i="2" s="1"/>
  <c r="EW80" i="14"/>
  <c r="EW83" i="14" s="1"/>
  <c r="JM72" i="14"/>
  <c r="JG46" i="14"/>
  <c r="JG81" i="14" s="1"/>
  <c r="JG84" i="14" s="1"/>
  <c r="IX46" i="14"/>
  <c r="IX81" i="14" s="1"/>
  <c r="IX84" i="14" s="1"/>
  <c r="IP46" i="14"/>
  <c r="IP81" i="14" s="1"/>
  <c r="IP84" i="14" s="1"/>
  <c r="IE46" i="14"/>
  <c r="IE72" i="14" s="1"/>
  <c r="HQ46" i="14"/>
  <c r="HQ81" i="14" s="1"/>
  <c r="HQ84" i="14" s="1"/>
  <c r="HD46" i="14"/>
  <c r="HD72" i="14" s="1"/>
  <c r="GM46" i="14"/>
  <c r="GM81" i="14" s="1"/>
  <c r="GM84" i="14" s="1"/>
  <c r="FL46" i="14"/>
  <c r="FL81" i="14" s="1"/>
  <c r="FL84" i="14" s="1"/>
  <c r="EI46" i="14"/>
  <c r="EI81" i="14" s="1"/>
  <c r="EI84" i="14" s="1"/>
  <c r="CY46" i="14"/>
  <c r="CY81" i="14" s="1"/>
  <c r="CY84" i="14" s="1"/>
  <c r="BL46" i="14"/>
  <c r="BL81" i="14" s="1"/>
  <c r="BL84" i="14" s="1"/>
  <c r="BD46" i="14"/>
  <c r="BD81" i="14" s="1"/>
  <c r="BD84" i="14" s="1"/>
  <c r="HM46" i="14"/>
  <c r="HM81" i="14" s="1"/>
  <c r="HM84" i="14" s="1"/>
  <c r="DL46" i="14"/>
  <c r="DL81" i="14" s="1"/>
  <c r="DL84" i="14" s="1"/>
  <c r="FB80" i="14"/>
  <c r="FB83" i="14" s="1"/>
  <c r="FE10" i="14"/>
  <c r="F124" i="2"/>
  <c r="EC72" i="14"/>
  <c r="U72" i="14"/>
  <c r="I72" i="14"/>
  <c r="FG44" i="14"/>
  <c r="HX44" i="14"/>
  <c r="HX80" i="14" s="1"/>
  <c r="HX83" i="14" s="1"/>
  <c r="CL10" i="14"/>
  <c r="F99" i="2" s="1"/>
  <c r="CO55" i="14"/>
  <c r="EL55" i="14" s="1"/>
  <c r="GJ55" i="14" s="1"/>
  <c r="IH55" i="14" s="1"/>
  <c r="KF55" i="14" s="1"/>
  <c r="CJ44" i="14"/>
  <c r="CJ80" i="14" s="1"/>
  <c r="CJ83" i="14" s="1"/>
  <c r="BT44" i="14"/>
  <c r="EG81" i="14"/>
  <c r="EG84" i="14" s="1"/>
  <c r="AG72" i="14"/>
  <c r="E72" i="14"/>
  <c r="DG44" i="14"/>
  <c r="DG80" i="14" s="1"/>
  <c r="DG83" i="14" s="1"/>
  <c r="AI44" i="14"/>
  <c r="AI80" i="14" s="1"/>
  <c r="AI83" i="14" s="1"/>
  <c r="AA44" i="14"/>
  <c r="AA80" i="14" s="1"/>
  <c r="AA83" i="14" s="1"/>
  <c r="KE26" i="14"/>
  <c r="CK10" i="14"/>
  <c r="F98" i="2" s="1"/>
  <c r="F14" i="2"/>
  <c r="CB44" i="14"/>
  <c r="AU80" i="14"/>
  <c r="AU83" i="14" s="1"/>
  <c r="IB72" i="14"/>
  <c r="BW72" i="14"/>
  <c r="FC44" i="14"/>
  <c r="FC80" i="14" s="1"/>
  <c r="FC83" i="14" s="1"/>
  <c r="F15" i="2"/>
  <c r="F39" i="2"/>
  <c r="Q72" i="14"/>
  <c r="JE46" i="14"/>
  <c r="JE81" i="14" s="1"/>
  <c r="JE84" i="14" s="1"/>
  <c r="GV44" i="14"/>
  <c r="CO25" i="14"/>
  <c r="F47" i="2"/>
  <c r="F88" i="2"/>
  <c r="GN80" i="14"/>
  <c r="GN83" i="14" s="1"/>
  <c r="AM80" i="14"/>
  <c r="AM83" i="14" s="1"/>
  <c r="DT72" i="14"/>
  <c r="EL31" i="14"/>
  <c r="W44" i="14"/>
  <c r="W80" i="14" s="1"/>
  <c r="W83" i="14" s="1"/>
  <c r="D44" i="14"/>
  <c r="BP10" i="14"/>
  <c r="F77" i="2" s="1"/>
  <c r="F23" i="2"/>
  <c r="DJ80" i="14"/>
  <c r="DJ83" i="14" s="1"/>
  <c r="JL46" i="14"/>
  <c r="JL81" i="14" s="1"/>
  <c r="JL84" i="14" s="1"/>
  <c r="II46" i="14"/>
  <c r="II81" i="14" s="1"/>
  <c r="II84" i="14" s="1"/>
  <c r="GX46" i="14"/>
  <c r="GX81" i="14" s="1"/>
  <c r="GX84" i="14" s="1"/>
  <c r="DI46" i="14"/>
  <c r="DI72" i="14" s="1"/>
  <c r="BF46" i="14"/>
  <c r="BF81" i="14" s="1"/>
  <c r="BF84" i="14" s="1"/>
  <c r="DW46" i="14"/>
  <c r="DW81" i="14" s="1"/>
  <c r="DW84" i="14" s="1"/>
  <c r="FC46" i="14"/>
  <c r="BM3" i="14"/>
  <c r="BM81" i="14"/>
  <c r="BM84" i="14" s="1"/>
  <c r="JO46" i="14"/>
  <c r="JO81" i="14" s="1"/>
  <c r="JO84" i="14" s="1"/>
  <c r="GW72" i="14"/>
  <c r="CA72" i="14"/>
  <c r="O72" i="14"/>
  <c r="BE72" i="14"/>
  <c r="HF72" i="14"/>
  <c r="DB80" i="14"/>
  <c r="DB83" i="14" s="1"/>
  <c r="L80" i="14"/>
  <c r="L83" i="14" s="1"/>
  <c r="KC44" i="14"/>
  <c r="KC80" i="14" s="1"/>
  <c r="KC83" i="14" s="1"/>
  <c r="JS44" i="14"/>
  <c r="HZ44" i="14"/>
  <c r="HR44" i="14"/>
  <c r="HJ44" i="14"/>
  <c r="GS44" i="14"/>
  <c r="GK80" i="14"/>
  <c r="GK83" i="14" s="1"/>
  <c r="EF80" i="14"/>
  <c r="EF83" i="14" s="1"/>
  <c r="DX3" i="14"/>
  <c r="BA3" i="14"/>
  <c r="JY46" i="14"/>
  <c r="JY81" i="14" s="1"/>
  <c r="JY84" i="14" s="1"/>
  <c r="IR46" i="14"/>
  <c r="IR81" i="14" s="1"/>
  <c r="IR84" i="14" s="1"/>
  <c r="GB46" i="14"/>
  <c r="FD46" i="14"/>
  <c r="FD81" i="14" s="1"/>
  <c r="FD84" i="14" s="1"/>
  <c r="EA46" i="14"/>
  <c r="EA81" i="14" s="1"/>
  <c r="EA84" i="14" s="1"/>
  <c r="DA46" i="14"/>
  <c r="DA81" i="14" s="1"/>
  <c r="DA84" i="14" s="1"/>
  <c r="BN46" i="14"/>
  <c r="BN81" i="14" s="1"/>
  <c r="BN84" i="14" s="1"/>
  <c r="AK46" i="14"/>
  <c r="AK81" i="14" s="1"/>
  <c r="AK84" i="14" s="1"/>
  <c r="H46" i="14"/>
  <c r="H81" i="14" s="1"/>
  <c r="H84" i="14" s="1"/>
  <c r="IA46" i="14"/>
  <c r="IA81" i="14" s="1"/>
  <c r="IA84" i="14" s="1"/>
  <c r="FP72" i="14"/>
  <c r="HS46" i="14"/>
  <c r="HS81" i="14" s="1"/>
  <c r="HS84" i="14" s="1"/>
  <c r="HE46" i="14"/>
  <c r="HE81" i="14" s="1"/>
  <c r="HE84" i="14" s="1"/>
  <c r="FN46" i="14"/>
  <c r="FN81" i="14" s="1"/>
  <c r="FN84" i="14" s="1"/>
  <c r="DY46" i="14"/>
  <c r="DY81" i="14" s="1"/>
  <c r="DY84" i="14" s="1"/>
  <c r="AV46" i="14"/>
  <c r="AV81" i="14" s="1"/>
  <c r="AV84" i="14" s="1"/>
  <c r="X46" i="14"/>
  <c r="X81" i="14" s="1"/>
  <c r="X84" i="14" s="1"/>
  <c r="DN46" i="14"/>
  <c r="DN81" i="14" s="1"/>
  <c r="DN84" i="14" s="1"/>
  <c r="AQ46" i="14"/>
  <c r="CU72" i="14"/>
  <c r="IT72" i="14"/>
  <c r="IT81" i="14"/>
  <c r="IT84" i="14" s="1"/>
  <c r="CU80" i="14"/>
  <c r="CU83" i="14" s="1"/>
  <c r="DZ80" i="14"/>
  <c r="DZ83" i="14" s="1"/>
  <c r="AQ80" i="14"/>
  <c r="AQ83" i="14" s="1"/>
  <c r="CR72" i="14"/>
  <c r="JQ3" i="14"/>
  <c r="GR3" i="14"/>
  <c r="CK80" i="14"/>
  <c r="CK83" i="14" s="1"/>
  <c r="FI80" i="14"/>
  <c r="FI83" i="14" s="1"/>
  <c r="JK72" i="14"/>
  <c r="BM72" i="14"/>
  <c r="Y46" i="14"/>
  <c r="Y81" i="14" s="1"/>
  <c r="Y84" i="14" s="1"/>
  <c r="JH46" i="14"/>
  <c r="JH81" i="14" s="1"/>
  <c r="JH84" i="14" s="1"/>
  <c r="EU46" i="14"/>
  <c r="EU81" i="14" s="1"/>
  <c r="EU84" i="14" s="1"/>
  <c r="HO46" i="14"/>
  <c r="HO81" i="14" s="1"/>
  <c r="HO84" i="14" s="1"/>
  <c r="JI81" i="14"/>
  <c r="JI84" i="14" s="1"/>
  <c r="JT80" i="14"/>
  <c r="JT83" i="14" s="1"/>
  <c r="FR80" i="14"/>
  <c r="FR83" i="14" s="1"/>
  <c r="II80" i="14"/>
  <c r="II83" i="14" s="1"/>
  <c r="EN46" i="14"/>
  <c r="EN81" i="14" s="1"/>
  <c r="EN84" i="14" s="1"/>
  <c r="IZ46" i="14"/>
  <c r="IZ81" i="14" s="1"/>
  <c r="IZ84" i="14" s="1"/>
  <c r="EV46" i="14"/>
  <c r="EV81" i="14" s="1"/>
  <c r="EV84" i="14" s="1"/>
  <c r="AX46" i="14"/>
  <c r="AX81" i="14" s="1"/>
  <c r="AX84" i="14" s="1"/>
  <c r="P46" i="14"/>
  <c r="P81" i="14" s="1"/>
  <c r="P84" i="14" s="1"/>
  <c r="EM46" i="14"/>
  <c r="EM81" i="14" s="1"/>
  <c r="EM84" i="14" s="1"/>
  <c r="AI46" i="14"/>
  <c r="AI81" i="14" s="1"/>
  <c r="AI84" i="14" s="1"/>
  <c r="G46" i="14"/>
  <c r="G81" i="14" s="1"/>
  <c r="G84" i="14" s="1"/>
  <c r="DQ46" i="14"/>
  <c r="DQ81" i="14" s="1"/>
  <c r="DQ84" i="14" s="1"/>
  <c r="IL72" i="14"/>
  <c r="DR72" i="14"/>
  <c r="ES80" i="14"/>
  <c r="ES83" i="14" s="1"/>
  <c r="HA80" i="14"/>
  <c r="HA83" i="14" s="1"/>
  <c r="HC80" i="14"/>
  <c r="HC83" i="14" s="1"/>
  <c r="IW46" i="14"/>
  <c r="IB3" i="14"/>
  <c r="IB81" i="14"/>
  <c r="IB84" i="14" s="1"/>
  <c r="HN46" i="14"/>
  <c r="HC46" i="14"/>
  <c r="HC81" i="14" s="1"/>
  <c r="HC84" i="14" s="1"/>
  <c r="GL46" i="14"/>
  <c r="GL81" i="14" s="1"/>
  <c r="GL84" i="14" s="1"/>
  <c r="FX46" i="14"/>
  <c r="FX81" i="14" s="1"/>
  <c r="FX84" i="14" s="1"/>
  <c r="FI3" i="14"/>
  <c r="FI81" i="14"/>
  <c r="FI84" i="14" s="1"/>
  <c r="DS46" i="14"/>
  <c r="DS81" i="14" s="1"/>
  <c r="DS84" i="14" s="1"/>
  <c r="CX46" i="14"/>
  <c r="CX81" i="14" s="1"/>
  <c r="CX84" i="14" s="1"/>
  <c r="CM46" i="14"/>
  <c r="CM72" i="14" s="1"/>
  <c r="BK46" i="14"/>
  <c r="BK81" i="14" s="1"/>
  <c r="BK84" i="14" s="1"/>
  <c r="AT46" i="14"/>
  <c r="AT81" i="14" s="1"/>
  <c r="AT84" i="14" s="1"/>
  <c r="M46" i="14"/>
  <c r="M81" i="14" s="1"/>
  <c r="M84" i="14" s="1"/>
  <c r="HL46" i="14"/>
  <c r="HL81" i="14" s="1"/>
  <c r="HL84" i="14" s="1"/>
  <c r="GU46" i="14"/>
  <c r="HU80" i="14"/>
  <c r="HU83" i="14" s="1"/>
  <c r="GG80" i="14"/>
  <c r="GG83" i="14" s="1"/>
  <c r="BB80" i="14"/>
  <c r="BB83" i="14" s="1"/>
  <c r="R80" i="14"/>
  <c r="R83" i="14" s="1"/>
  <c r="IO72" i="14"/>
  <c r="BN80" i="14"/>
  <c r="BN83" i="14" s="1"/>
  <c r="IB80" i="14"/>
  <c r="IB83" i="14" s="1"/>
  <c r="FN80" i="14"/>
  <c r="FN83" i="14" s="1"/>
  <c r="ES72" i="14"/>
  <c r="EG72" i="14"/>
  <c r="BC72" i="14"/>
  <c r="HV72" i="14"/>
  <c r="HV81" i="14"/>
  <c r="HV84" i="14" s="1"/>
  <c r="GG3" i="14"/>
  <c r="GG81" i="14"/>
  <c r="GG84" i="14" s="1"/>
  <c r="AM3" i="14"/>
  <c r="AM81" i="14"/>
  <c r="AM84" i="14" s="1"/>
  <c r="FF3" i="14"/>
  <c r="FF72" i="14"/>
  <c r="P44" i="14"/>
  <c r="GV46" i="14"/>
  <c r="FB46" i="14"/>
  <c r="FB81" i="14" s="1"/>
  <c r="FB84" i="14" s="1"/>
  <c r="ET46" i="14"/>
  <c r="ET81" i="14" s="1"/>
  <c r="ET84" i="14" s="1"/>
  <c r="DG46" i="14"/>
  <c r="DG81" i="14" s="1"/>
  <c r="DG84" i="14" s="1"/>
  <c r="CP46" i="14"/>
  <c r="CP81" i="14" s="1"/>
  <c r="CP84" i="14" s="1"/>
  <c r="CB46" i="14"/>
  <c r="CB81" i="14" s="1"/>
  <c r="CB84" i="14" s="1"/>
  <c r="AU46" i="14"/>
  <c r="AU81" i="14" s="1"/>
  <c r="AU84" i="14" s="1"/>
  <c r="AH46" i="14"/>
  <c r="AH81" i="14" s="1"/>
  <c r="AH84" i="14" s="1"/>
  <c r="W46" i="14"/>
  <c r="W72" i="14" s="1"/>
  <c r="N72" i="14"/>
  <c r="F46" i="14"/>
  <c r="F81" i="14" s="1"/>
  <c r="F84" i="14" s="1"/>
  <c r="CO56" i="14"/>
  <c r="EL56" i="14" s="1"/>
  <c r="GJ56" i="14" s="1"/>
  <c r="IH56" i="14" s="1"/>
  <c r="KF56" i="14" s="1"/>
  <c r="CL46" i="14"/>
  <c r="CL72" i="14" s="1"/>
  <c r="IO80" i="14"/>
  <c r="IO83" i="14" s="1"/>
  <c r="GP80" i="14"/>
  <c r="GP83" i="14" s="1"/>
  <c r="EV80" i="14"/>
  <c r="EV83" i="14" s="1"/>
  <c r="IV46" i="14"/>
  <c r="CW46" i="14"/>
  <c r="FP44" i="14"/>
  <c r="FX44" i="14"/>
  <c r="IR44" i="14"/>
  <c r="GQ44" i="14"/>
  <c r="DN44" i="14"/>
  <c r="CX44" i="14"/>
  <c r="BW44" i="14"/>
  <c r="AD44" i="14"/>
  <c r="AD80" i="14" s="1"/>
  <c r="AD83" i="14" s="1"/>
  <c r="F42" i="2"/>
  <c r="CG10" i="14"/>
  <c r="BR10" i="14"/>
  <c r="F34" i="2"/>
  <c r="BJ10" i="14"/>
  <c r="F26" i="2"/>
  <c r="BB10" i="14"/>
  <c r="F18" i="2"/>
  <c r="F10" i="2"/>
  <c r="AT10" i="14"/>
  <c r="DE3" i="14"/>
  <c r="CG44" i="14"/>
  <c r="CG80" i="14" s="1"/>
  <c r="CG83" i="14" s="1"/>
  <c r="BY44" i="14"/>
  <c r="BY80" i="14" s="1"/>
  <c r="BY83" i="14" s="1"/>
  <c r="BI44" i="14"/>
  <c r="DH44" i="14"/>
  <c r="DH80" i="14" s="1"/>
  <c r="DH83" i="14" s="1"/>
  <c r="IG26" i="14"/>
  <c r="IK44" i="14"/>
  <c r="EE44" i="14"/>
  <c r="EE80" i="14" s="1"/>
  <c r="EE83" i="14" s="1"/>
  <c r="CY44" i="14"/>
  <c r="CQ44" i="14"/>
  <c r="CQ80" i="14" s="1"/>
  <c r="CQ83" i="14" s="1"/>
  <c r="DJ10" i="14"/>
  <c r="FG10" i="14" s="1"/>
  <c r="F179" i="2" s="1"/>
  <c r="F75" i="2"/>
  <c r="F44" i="2"/>
  <c r="F36" i="2"/>
  <c r="BT10" i="14"/>
  <c r="F28" i="2"/>
  <c r="F20" i="2"/>
  <c r="AV10" i="14"/>
  <c r="F12" i="2"/>
  <c r="DT10" i="14"/>
  <c r="F136" i="2" s="1"/>
  <c r="F73" i="2"/>
  <c r="FK44" i="14"/>
  <c r="DS44" i="14"/>
  <c r="CO24" i="14"/>
  <c r="EL24" i="14" s="1"/>
  <c r="GJ24" i="14" s="1"/>
  <c r="IH24" i="14" s="1"/>
  <c r="KF24" i="14" s="1"/>
  <c r="IX44" i="14"/>
  <c r="HV44" i="14"/>
  <c r="EN44" i="14"/>
  <c r="F83" i="2"/>
  <c r="BQ10" i="14"/>
  <c r="F78" i="2" s="1"/>
  <c r="BI10" i="14"/>
  <c r="BA10" i="14"/>
  <c r="F25" i="2"/>
  <c r="F41" i="2"/>
  <c r="EL25" i="14"/>
  <c r="GJ25" i="14" s="1"/>
  <c r="IH25" i="14" s="1"/>
  <c r="KF25" i="14" s="1"/>
  <c r="JN44" i="14"/>
  <c r="JN80" i="14" s="1"/>
  <c r="JN83" i="14" s="1"/>
  <c r="FS44" i="14"/>
  <c r="DC44" i="14"/>
  <c r="BL44" i="14"/>
  <c r="CF10" i="14"/>
  <c r="DQ10" i="14"/>
  <c r="F82" i="2"/>
  <c r="IE44" i="14"/>
  <c r="CM44" i="14"/>
  <c r="JK44" i="14"/>
  <c r="DK44" i="14"/>
  <c r="DR10" i="14"/>
  <c r="FO10" i="14" s="1"/>
  <c r="F187" i="2" s="1"/>
  <c r="BD10" i="14"/>
  <c r="O44" i="14"/>
  <c r="GH44" i="14"/>
  <c r="AR26" i="14"/>
  <c r="AV44" i="14"/>
  <c r="DV10" i="14"/>
  <c r="CM10" i="14"/>
  <c r="F13" i="2"/>
  <c r="F21" i="2"/>
  <c r="F29" i="2"/>
  <c r="F22" i="2"/>
  <c r="F30" i="2"/>
  <c r="F46" i="2"/>
  <c r="F84" i="2"/>
  <c r="HD44" i="14"/>
  <c r="CZ44" i="14"/>
  <c r="BF10" i="14"/>
  <c r="F67" i="2" s="1"/>
  <c r="F16" i="2"/>
  <c r="F24" i="2"/>
  <c r="F32" i="2"/>
  <c r="F40" i="2"/>
  <c r="F48" i="2"/>
  <c r="JI72" i="14"/>
  <c r="IY46" i="14"/>
  <c r="IY3" i="14" s="1"/>
  <c r="IQ46" i="14"/>
  <c r="IF46" i="14"/>
  <c r="DH46" i="14"/>
  <c r="CZ46" i="14"/>
  <c r="CZ81" i="14" s="1"/>
  <c r="CZ84" i="14" s="1"/>
  <c r="CQ46" i="14"/>
  <c r="CQ3" i="14" s="1"/>
  <c r="FM46" i="14"/>
  <c r="JU3" i="14"/>
  <c r="V57" i="14"/>
  <c r="AR53" i="14"/>
  <c r="AS53" i="14" s="1"/>
  <c r="IQ3" i="14"/>
  <c r="CN54" i="14"/>
  <c r="EE46" i="14"/>
  <c r="CN53" i="14"/>
  <c r="CI57" i="14"/>
  <c r="DU46" i="14"/>
  <c r="HN3" i="14"/>
  <c r="DY3" i="14"/>
  <c r="U3" i="14"/>
  <c r="L3" i="14"/>
  <c r="HZ46" i="14"/>
  <c r="JX46" i="14"/>
  <c r="JX3" i="14" s="1"/>
  <c r="FX3" i="14"/>
  <c r="HT46" i="14"/>
  <c r="CD46" i="14"/>
  <c r="CD3" i="14" s="1"/>
  <c r="JP46" i="14"/>
  <c r="JF57" i="14"/>
  <c r="AR54" i="14"/>
  <c r="AS54" i="14" s="1"/>
  <c r="DL3" i="14"/>
  <c r="JJ46" i="14"/>
  <c r="JJ3" i="14" s="1"/>
  <c r="BL3" i="14"/>
  <c r="AI3" i="14"/>
  <c r="CN51" i="14"/>
  <c r="AR51" i="14"/>
  <c r="IX3" i="14"/>
  <c r="GT3" i="14"/>
  <c r="GK3" i="14"/>
  <c r="BN3" i="14"/>
  <c r="Y3" i="14"/>
  <c r="HT3" i="14"/>
  <c r="FK3" i="14"/>
  <c r="CS57" i="14"/>
  <c r="C57" i="14"/>
  <c r="K7" i="2" s="1"/>
  <c r="JG3" i="14"/>
  <c r="EW3" i="14"/>
  <c r="CV3" i="14"/>
  <c r="BW3" i="14"/>
  <c r="IV3" i="14"/>
  <c r="GU3" i="14"/>
  <c r="II3" i="14"/>
  <c r="HU3" i="14"/>
  <c r="GB3" i="14"/>
  <c r="EJ3" i="14"/>
  <c r="KE53" i="14"/>
  <c r="FO57" i="14"/>
  <c r="CJ57" i="14"/>
  <c r="HC3" i="14"/>
  <c r="JS3" i="14"/>
  <c r="HA3" i="14"/>
  <c r="EI3" i="14"/>
  <c r="DG3" i="14"/>
  <c r="FG3" i="14"/>
  <c r="BJ3" i="14"/>
  <c r="HH57" i="14"/>
  <c r="IG53" i="14"/>
  <c r="GC57" i="14"/>
  <c r="IO3" i="14"/>
  <c r="HM3" i="14"/>
  <c r="ED3" i="14"/>
  <c r="DK3" i="14"/>
  <c r="DA3" i="14"/>
  <c r="FJ57" i="14"/>
  <c r="GI53" i="14"/>
  <c r="HP57" i="14"/>
  <c r="IN3" i="14"/>
  <c r="HJ3" i="14"/>
  <c r="GW3" i="14"/>
  <c r="DB3" i="14"/>
  <c r="IP3" i="14"/>
  <c r="FC3" i="14"/>
  <c r="BB3" i="14"/>
  <c r="IS3" i="14"/>
  <c r="HX57" i="14"/>
  <c r="FT57" i="14"/>
  <c r="AA57" i="14"/>
  <c r="EZ3" i="14"/>
  <c r="CB3" i="14"/>
  <c r="JV57" i="14"/>
  <c r="BQ57" i="14"/>
  <c r="JE3" i="14"/>
  <c r="IA3" i="14"/>
  <c r="HR3" i="14"/>
  <c r="HE3" i="14"/>
  <c r="GL3" i="14"/>
  <c r="ER3" i="14"/>
  <c r="DU3" i="14"/>
  <c r="CW3" i="14"/>
  <c r="BZ3" i="14"/>
  <c r="JB3" i="14"/>
  <c r="AW3" i="14"/>
  <c r="Z3" i="14"/>
  <c r="AR29" i="14"/>
  <c r="AS29" i="14" s="1"/>
  <c r="CO29" i="14" s="1"/>
  <c r="EL29" i="14" s="1"/>
  <c r="AH42" i="14"/>
  <c r="AH44" i="14" s="1"/>
  <c r="IG38" i="14"/>
  <c r="HI42" i="14"/>
  <c r="HI44" i="14" s="1"/>
  <c r="GI26" i="14"/>
  <c r="CY3" i="14"/>
  <c r="CN13" i="14"/>
  <c r="AT17" i="14"/>
  <c r="AT44" i="14" s="1"/>
  <c r="FZ57" i="14"/>
  <c r="CG57" i="14"/>
  <c r="HB3" i="14"/>
  <c r="GS3" i="14"/>
  <c r="EY3" i="14"/>
  <c r="EO3" i="14"/>
  <c r="EC3" i="14"/>
  <c r="CU3" i="14"/>
  <c r="BK3" i="14"/>
  <c r="BU3" i="14"/>
  <c r="CO39" i="14"/>
  <c r="EL39" i="14" s="1"/>
  <c r="J3" i="14"/>
  <c r="JK3" i="14"/>
  <c r="R3" i="14"/>
  <c r="CZ3" i="14"/>
  <c r="EM42" i="14"/>
  <c r="EM44" i="14" s="1"/>
  <c r="BY57" i="14"/>
  <c r="JN57" i="14"/>
  <c r="DM57" i="14"/>
  <c r="AJ57" i="14"/>
  <c r="IZ3" i="14"/>
  <c r="GZ3" i="14"/>
  <c r="FR3" i="14"/>
  <c r="EV3" i="14"/>
  <c r="DZ3" i="14"/>
  <c r="DN3" i="14"/>
  <c r="CR3" i="14"/>
  <c r="AZ3" i="14"/>
  <c r="X3" i="14"/>
  <c r="CH3" i="14"/>
  <c r="AK42" i="14"/>
  <c r="AK44" i="14" s="1"/>
  <c r="FV3" i="14"/>
  <c r="JR42" i="14"/>
  <c r="JR44" i="14" s="1"/>
  <c r="DC3" i="14"/>
  <c r="BR3" i="14"/>
  <c r="AY3" i="14"/>
  <c r="DR3" i="14"/>
  <c r="P3" i="14"/>
  <c r="AF3" i="14"/>
  <c r="G3" i="14"/>
  <c r="T3" i="14"/>
  <c r="JT3" i="14"/>
  <c r="GX3" i="14"/>
  <c r="DQ3" i="14"/>
  <c r="CC3" i="14"/>
  <c r="AC3" i="14"/>
  <c r="O3" i="14"/>
  <c r="DS3" i="14"/>
  <c r="AV3" i="14"/>
  <c r="IW3" i="14"/>
  <c r="GM3" i="14"/>
  <c r="FB3" i="14"/>
  <c r="ES3" i="14"/>
  <c r="EF3" i="14"/>
  <c r="CX3" i="14"/>
  <c r="Q3" i="14"/>
  <c r="GN3" i="14"/>
  <c r="FW3" i="14"/>
  <c r="M3" i="14"/>
  <c r="AR41" i="14"/>
  <c r="AS41" i="14" s="1"/>
  <c r="CO41" i="14" s="1"/>
  <c r="EL41" i="14" s="1"/>
  <c r="GJ41" i="14" s="1"/>
  <c r="IH41" i="14" s="1"/>
  <c r="KF41" i="14" s="1"/>
  <c r="AG42" i="14"/>
  <c r="AG44" i="14" s="1"/>
  <c r="GI38" i="14"/>
  <c r="CO37" i="14"/>
  <c r="EL37" i="14" s="1"/>
  <c r="DV42" i="14"/>
  <c r="DV44" i="14" s="1"/>
  <c r="BD42" i="14"/>
  <c r="BD44" i="14" s="1"/>
  <c r="JL3" i="14"/>
  <c r="JC3" i="14"/>
  <c r="IK3" i="14"/>
  <c r="HZ3" i="14"/>
  <c r="GY3" i="14"/>
  <c r="GQ3" i="14"/>
  <c r="FD3" i="14"/>
  <c r="EU3" i="14"/>
  <c r="DJ3" i="14"/>
  <c r="BG3" i="14"/>
  <c r="I3" i="14"/>
  <c r="CE42" i="14"/>
  <c r="CE44" i="14" s="1"/>
  <c r="FO42" i="14"/>
  <c r="FO44" i="14" s="1"/>
  <c r="CF42" i="14"/>
  <c r="CF44" i="14" s="1"/>
  <c r="BX42" i="14"/>
  <c r="BX44" i="14" s="1"/>
  <c r="BP42" i="14"/>
  <c r="BP44" i="14" s="1"/>
  <c r="BH42" i="14"/>
  <c r="BH44" i="14" s="1"/>
  <c r="JA3" i="14"/>
  <c r="IR3" i="14"/>
  <c r="IJ3" i="14"/>
  <c r="GP3" i="14"/>
  <c r="ET3" i="14"/>
  <c r="EA3" i="14"/>
  <c r="BO3" i="14"/>
  <c r="BF3" i="14"/>
  <c r="IT3" i="14"/>
  <c r="HL3" i="14"/>
  <c r="EX3" i="14"/>
  <c r="JH42" i="14"/>
  <c r="JH44" i="14" s="1"/>
  <c r="KE38" i="14"/>
  <c r="CN35" i="14"/>
  <c r="CO35" i="14" s="1"/>
  <c r="BV42" i="14"/>
  <c r="BV44" i="14" s="1"/>
  <c r="CO32" i="14"/>
  <c r="EL32" i="14" s="1"/>
  <c r="EB42" i="14"/>
  <c r="EB44" i="14" s="1"/>
  <c r="DT42" i="14"/>
  <c r="DT44" i="14" s="1"/>
  <c r="DL42" i="14"/>
  <c r="DL44" i="14" s="1"/>
  <c r="DD42" i="14"/>
  <c r="DD44" i="14" s="1"/>
  <c r="BE3" i="14"/>
  <c r="CN38" i="14"/>
  <c r="CO38" i="14" s="1"/>
  <c r="EL38" i="14" s="1"/>
  <c r="HP42" i="14"/>
  <c r="HP44" i="14" s="1"/>
  <c r="FZ42" i="14"/>
  <c r="FZ44" i="14" s="1"/>
  <c r="FQ42" i="14"/>
  <c r="FQ44" i="14" s="1"/>
  <c r="FA42" i="14"/>
  <c r="FA44" i="14" s="1"/>
  <c r="JO42" i="14"/>
  <c r="JO44" i="14" s="1"/>
  <c r="CN34" i="14"/>
  <c r="CO34" i="14" s="1"/>
  <c r="EL34" i="14" s="1"/>
  <c r="EL30" i="14"/>
  <c r="JY42" i="14"/>
  <c r="JY44" i="14" s="1"/>
  <c r="CO28" i="14"/>
  <c r="EL28" i="14" s="1"/>
  <c r="JM42" i="14"/>
  <c r="JM44" i="14" s="1"/>
  <c r="HW42" i="14"/>
  <c r="HW44" i="14" s="1"/>
  <c r="HO42" i="14"/>
  <c r="HO44" i="14" s="1"/>
  <c r="HG42" i="14"/>
  <c r="HG44" i="14" s="1"/>
  <c r="HG3" i="14" s="1"/>
  <c r="FY42" i="14"/>
  <c r="FY44" i="14" s="1"/>
  <c r="FY3" i="14" s="1"/>
  <c r="CP17" i="14"/>
  <c r="CP44" i="14" s="1"/>
  <c r="EK13" i="14"/>
  <c r="JU42" i="14"/>
  <c r="JU44" i="14" s="1"/>
  <c r="KE17" i="14"/>
  <c r="FN3" i="14"/>
  <c r="CO23" i="14"/>
  <c r="EL23" i="14" s="1"/>
  <c r="GJ23" i="14" s="1"/>
  <c r="IH23" i="14" s="1"/>
  <c r="KF23" i="14" s="1"/>
  <c r="AS26" i="14"/>
  <c r="IL3" i="14"/>
  <c r="GV3" i="14"/>
  <c r="AE42" i="14"/>
  <c r="AE44" i="14" s="1"/>
  <c r="FU26" i="14"/>
  <c r="DW42" i="14"/>
  <c r="DW44" i="14" s="1"/>
  <c r="DO42" i="14"/>
  <c r="DO44" i="14" s="1"/>
  <c r="CI42" i="14"/>
  <c r="CI44" i="14" s="1"/>
  <c r="CA42" i="14"/>
  <c r="CA44" i="14" s="1"/>
  <c r="BS42" i="14"/>
  <c r="BS44" i="14" s="1"/>
  <c r="K42" i="14"/>
  <c r="K44" i="14" s="1"/>
  <c r="EK26" i="14"/>
  <c r="EK36" i="14"/>
  <c r="EL36" i="14" s="1"/>
  <c r="GJ36" i="14" s="1"/>
  <c r="IH36" i="14" s="1"/>
  <c r="KF36" i="14" s="1"/>
  <c r="FT42" i="14"/>
  <c r="FT44" i="14" s="1"/>
  <c r="FL42" i="14"/>
  <c r="FL44" i="14" s="1"/>
  <c r="S42" i="14"/>
  <c r="S44" i="14" s="1"/>
  <c r="C42" i="14"/>
  <c r="IG17" i="14"/>
  <c r="C17" i="14"/>
  <c r="AS16" i="14"/>
  <c r="CO16" i="14" s="1"/>
  <c r="EL16" i="14" s="1"/>
  <c r="GJ16" i="14" s="1"/>
  <c r="IH16" i="14" s="1"/>
  <c r="KF16" i="14" s="1"/>
  <c r="DU10" i="14"/>
  <c r="F137" i="2" s="1"/>
  <c r="CJ10" i="14"/>
  <c r="F97" i="2" s="1"/>
  <c r="CB10" i="14"/>
  <c r="F89" i="2" s="1"/>
  <c r="EE10" i="14"/>
  <c r="F148" i="2" s="1"/>
  <c r="CO33" i="14"/>
  <c r="EL33" i="14" s="1"/>
  <c r="GJ33" i="14" s="1"/>
  <c r="IH33" i="14" s="1"/>
  <c r="KF33" i="14" s="1"/>
  <c r="F42" i="14"/>
  <c r="F44" i="14" s="1"/>
  <c r="GI37" i="14"/>
  <c r="E17" i="14"/>
  <c r="E44" i="14" s="1"/>
  <c r="AR13" i="14"/>
  <c r="CN14" i="14"/>
  <c r="CO14" i="14" s="1"/>
  <c r="EL14" i="14" s="1"/>
  <c r="GJ14" i="14" s="1"/>
  <c r="IH14" i="14" s="1"/>
  <c r="KF14" i="14" s="1"/>
  <c r="GI13" i="14"/>
  <c r="CE10" i="14"/>
  <c r="F92" i="2" s="1"/>
  <c r="N26" i="14"/>
  <c r="N42" i="14" s="1"/>
  <c r="N44" i="14" s="1"/>
  <c r="CC10" i="14"/>
  <c r="F90" i="2" s="1"/>
  <c r="CT10" i="14"/>
  <c r="F110" i="2" s="1"/>
  <c r="BM10" i="14"/>
  <c r="F74" i="2" s="1"/>
  <c r="BE10" i="14"/>
  <c r="F66" i="2" s="1"/>
  <c r="AW10" i="14"/>
  <c r="F58" i="2" s="1"/>
  <c r="F107" i="2" l="1"/>
  <c r="CV10" i="14"/>
  <c r="F140" i="2"/>
  <c r="FT10" i="14"/>
  <c r="F193" i="2" s="1"/>
  <c r="F61" i="2"/>
  <c r="F56" i="2"/>
  <c r="Z72" i="14"/>
  <c r="CU10" i="14"/>
  <c r="F111" i="2" s="1"/>
  <c r="F60" i="2"/>
  <c r="DL10" i="14"/>
  <c r="F128" i="2" s="1"/>
  <c r="G72" i="14"/>
  <c r="F76" i="2"/>
  <c r="DK10" i="14"/>
  <c r="F127" i="2" s="1"/>
  <c r="IU80" i="14"/>
  <c r="IU83" i="14" s="1"/>
  <c r="FU42" i="14"/>
  <c r="FU44" i="14" s="1"/>
  <c r="FU80" i="14" s="1"/>
  <c r="FU83" i="14" s="1"/>
  <c r="DW72" i="14"/>
  <c r="DD10" i="14"/>
  <c r="F120" i="2" s="1"/>
  <c r="GQ72" i="14"/>
  <c r="F69" i="2"/>
  <c r="CT72" i="14"/>
  <c r="DC10" i="14"/>
  <c r="F68" i="2"/>
  <c r="EV72" i="14"/>
  <c r="IR72" i="14"/>
  <c r="DJ72" i="14"/>
  <c r="HU72" i="14"/>
  <c r="BO72" i="14"/>
  <c r="JY72" i="14"/>
  <c r="DB72" i="14"/>
  <c r="JA72" i="14"/>
  <c r="DZ10" i="14"/>
  <c r="FS72" i="14"/>
  <c r="HO72" i="14"/>
  <c r="DA72" i="14"/>
  <c r="AF80" i="14"/>
  <c r="AF83" i="14" s="1"/>
  <c r="EJ80" i="14"/>
  <c r="EJ83" i="14" s="1"/>
  <c r="EA72" i="14"/>
  <c r="BD72" i="14"/>
  <c r="EU80" i="14"/>
  <c r="EU83" i="14" s="1"/>
  <c r="EB72" i="14"/>
  <c r="JZ80" i="14"/>
  <c r="JZ83" i="14" s="1"/>
  <c r="BO80" i="14"/>
  <c r="BO83" i="14" s="1"/>
  <c r="BE80" i="14"/>
  <c r="BE83" i="14" s="1"/>
  <c r="ET72" i="14"/>
  <c r="FQ10" i="14"/>
  <c r="F189" i="2" s="1"/>
  <c r="F135" i="2"/>
  <c r="C44" i="14"/>
  <c r="I7" i="2" s="1"/>
  <c r="CB72" i="14"/>
  <c r="HL72" i="14"/>
  <c r="HC72" i="14"/>
  <c r="IZ72" i="14"/>
  <c r="BF72" i="14"/>
  <c r="HQ72" i="14"/>
  <c r="JG72" i="14"/>
  <c r="F177" i="2"/>
  <c r="CP72" i="14"/>
  <c r="P72" i="14"/>
  <c r="D80" i="14"/>
  <c r="D83" i="14" s="1"/>
  <c r="DY72" i="14"/>
  <c r="H72" i="14"/>
  <c r="FP10" i="14"/>
  <c r="DL72" i="14"/>
  <c r="EI72" i="14"/>
  <c r="DF3" i="14"/>
  <c r="DF80" i="14"/>
  <c r="DF83" i="14" s="1"/>
  <c r="HC10" i="14"/>
  <c r="JA10" i="14" s="1"/>
  <c r="FV80" i="14"/>
  <c r="FV83" i="14" s="1"/>
  <c r="DG72" i="14"/>
  <c r="FX72" i="14"/>
  <c r="JE72" i="14"/>
  <c r="AK72" i="14"/>
  <c r="HM72" i="14"/>
  <c r="FL72" i="14"/>
  <c r="IP72" i="14"/>
  <c r="HS72" i="14"/>
  <c r="IE3" i="14"/>
  <c r="IE81" i="14"/>
  <c r="IE84" i="14" s="1"/>
  <c r="GD3" i="14"/>
  <c r="GD81" i="14"/>
  <c r="GD84" i="14" s="1"/>
  <c r="IT80" i="14"/>
  <c r="IT83" i="14" s="1"/>
  <c r="EO81" i="14"/>
  <c r="EO84" i="14" s="1"/>
  <c r="EO72" i="14"/>
  <c r="AL3" i="14"/>
  <c r="AL81" i="14"/>
  <c r="AL84" i="14" s="1"/>
  <c r="GV80" i="14"/>
  <c r="GV83" i="14" s="1"/>
  <c r="FE3" i="14"/>
  <c r="FE81" i="14"/>
  <c r="FE84" i="14" s="1"/>
  <c r="FG80" i="14"/>
  <c r="FG83" i="14" s="1"/>
  <c r="CX72" i="14"/>
  <c r="GL72" i="14"/>
  <c r="DN72" i="14"/>
  <c r="FN72" i="14"/>
  <c r="BT80" i="14"/>
  <c r="BT83" i="14" s="1"/>
  <c r="BL72" i="14"/>
  <c r="GM72" i="14"/>
  <c r="F72" i="2"/>
  <c r="JZ3" i="14"/>
  <c r="JZ81" i="14"/>
  <c r="JZ84" i="14" s="1"/>
  <c r="F64" i="2"/>
  <c r="IA72" i="14"/>
  <c r="BN72" i="14"/>
  <c r="CB80" i="14"/>
  <c r="CB83" i="14" s="1"/>
  <c r="DM10" i="14"/>
  <c r="F129" i="2" s="1"/>
  <c r="GJ37" i="14"/>
  <c r="IH37" i="14" s="1"/>
  <c r="KF37" i="14" s="1"/>
  <c r="CY10" i="14"/>
  <c r="EV10" i="14" s="1"/>
  <c r="AT72" i="14"/>
  <c r="DS72" i="14"/>
  <c r="CY72" i="14"/>
  <c r="IJ72" i="14"/>
  <c r="EI10" i="14"/>
  <c r="F95" i="2"/>
  <c r="ED10" i="14"/>
  <c r="F72" i="14"/>
  <c r="AX72" i="14"/>
  <c r="AV72" i="14"/>
  <c r="EG10" i="14"/>
  <c r="HD3" i="14"/>
  <c r="HD81" i="14"/>
  <c r="HD84" i="14" s="1"/>
  <c r="IX72" i="14"/>
  <c r="DO10" i="14"/>
  <c r="F80" i="2"/>
  <c r="HG72" i="14"/>
  <c r="AL72" i="14"/>
  <c r="EW72" i="14"/>
  <c r="CY80" i="14"/>
  <c r="CY83" i="14" s="1"/>
  <c r="AQ3" i="14"/>
  <c r="AQ81" i="14"/>
  <c r="AQ84" i="14" s="1"/>
  <c r="CX10" i="14"/>
  <c r="F63" i="2"/>
  <c r="F94" i="2"/>
  <c r="HR80" i="14"/>
  <c r="HR83" i="14" s="1"/>
  <c r="EC10" i="14"/>
  <c r="F146" i="2" s="1"/>
  <c r="F112" i="2"/>
  <c r="ES10" i="14"/>
  <c r="FS80" i="14"/>
  <c r="FS83" i="14" s="1"/>
  <c r="F70" i="2"/>
  <c r="DE10" i="14"/>
  <c r="IX80" i="14"/>
  <c r="IX83" i="14" s="1"/>
  <c r="IK80" i="14"/>
  <c r="IK83" i="14" s="1"/>
  <c r="CX80" i="14"/>
  <c r="CX83" i="14" s="1"/>
  <c r="GU81" i="14"/>
  <c r="GU84" i="14" s="1"/>
  <c r="GU72" i="14"/>
  <c r="Y72" i="14"/>
  <c r="HZ80" i="14"/>
  <c r="HZ83" i="14" s="1"/>
  <c r="GH80" i="14"/>
  <c r="GH83" i="14" s="1"/>
  <c r="F62" i="2"/>
  <c r="CW10" i="14"/>
  <c r="FP3" i="14"/>
  <c r="FP80" i="14"/>
  <c r="FP83" i="14" s="1"/>
  <c r="CO26" i="14"/>
  <c r="F123" i="2"/>
  <c r="CZ10" i="14"/>
  <c r="F65" i="2"/>
  <c r="F126" i="2"/>
  <c r="DN80" i="14"/>
  <c r="DN83" i="14" s="1"/>
  <c r="FB72" i="14"/>
  <c r="IW81" i="14"/>
  <c r="IW84" i="14" s="1"/>
  <c r="IW72" i="14"/>
  <c r="EU72" i="14"/>
  <c r="X72" i="14"/>
  <c r="JS80" i="14"/>
  <c r="JS83" i="14" s="1"/>
  <c r="II72" i="14"/>
  <c r="HJ80" i="14"/>
  <c r="HJ83" i="14" s="1"/>
  <c r="BW80" i="14"/>
  <c r="BW83" i="14" s="1"/>
  <c r="CO53" i="14"/>
  <c r="EL53" i="14" s="1"/>
  <c r="GJ53" i="14" s="1"/>
  <c r="IH53" i="14" s="1"/>
  <c r="KF53" i="14" s="1"/>
  <c r="CZ80" i="14"/>
  <c r="CZ83" i="14" s="1"/>
  <c r="F100" i="2"/>
  <c r="EJ10" i="14"/>
  <c r="F134" i="2"/>
  <c r="DS80" i="14"/>
  <c r="DS83" i="14" s="1"/>
  <c r="F71" i="2"/>
  <c r="DF10" i="14"/>
  <c r="GQ80" i="14"/>
  <c r="GQ83" i="14" s="1"/>
  <c r="CL3" i="14"/>
  <c r="CL81" i="14"/>
  <c r="CL84" i="14" s="1"/>
  <c r="W3" i="14"/>
  <c r="W81" i="14"/>
  <c r="W84" i="14" s="1"/>
  <c r="HE72" i="14"/>
  <c r="FD72" i="14"/>
  <c r="IE80" i="14"/>
  <c r="IE83" i="14" s="1"/>
  <c r="BL80" i="14"/>
  <c r="BL83" i="14" s="1"/>
  <c r="EN3" i="14"/>
  <c r="EN80" i="14"/>
  <c r="EN83" i="14" s="1"/>
  <c r="P80" i="14"/>
  <c r="P83" i="14" s="1"/>
  <c r="O80" i="14"/>
  <c r="O83" i="14" s="1"/>
  <c r="DC80" i="14"/>
  <c r="DC83" i="14" s="1"/>
  <c r="HV3" i="14"/>
  <c r="HV80" i="14"/>
  <c r="HV83" i="14" s="1"/>
  <c r="IV81" i="14"/>
  <c r="IV84" i="14" s="1"/>
  <c r="IV72" i="14"/>
  <c r="DB10" i="14"/>
  <c r="F118" i="2" s="1"/>
  <c r="HD80" i="14"/>
  <c r="HD83" i="14" s="1"/>
  <c r="FS10" i="14"/>
  <c r="F138" i="2"/>
  <c r="DK80" i="14"/>
  <c r="DK83" i="14" s="1"/>
  <c r="FN10" i="14"/>
  <c r="F133" i="2"/>
  <c r="FK80" i="14"/>
  <c r="FK83" i="14" s="1"/>
  <c r="F81" i="2"/>
  <c r="DP10" i="14"/>
  <c r="CP10" i="14"/>
  <c r="F55" i="2"/>
  <c r="IR80" i="14"/>
  <c r="IR83" i="14" s="1"/>
  <c r="FX80" i="14"/>
  <c r="FX83" i="14" s="1"/>
  <c r="AH72" i="14"/>
  <c r="AI72" i="14"/>
  <c r="JH72" i="14"/>
  <c r="FC81" i="14"/>
  <c r="FC84" i="14" s="1"/>
  <c r="FC72" i="14"/>
  <c r="DI3" i="14"/>
  <c r="DI81" i="14"/>
  <c r="DI84" i="14" s="1"/>
  <c r="JL72" i="14"/>
  <c r="AV80" i="14"/>
  <c r="AV83" i="14" s="1"/>
  <c r="JK80" i="14"/>
  <c r="JK83" i="14" s="1"/>
  <c r="CM80" i="14"/>
  <c r="CM83" i="14" s="1"/>
  <c r="F93" i="2"/>
  <c r="EB10" i="14"/>
  <c r="F57" i="2"/>
  <c r="CR10" i="14"/>
  <c r="BI3" i="14"/>
  <c r="BI80" i="14"/>
  <c r="BI83" i="14" s="1"/>
  <c r="DN10" i="14"/>
  <c r="F79" i="2"/>
  <c r="CW81" i="14"/>
  <c r="CW84" i="14" s="1"/>
  <c r="CW72" i="14"/>
  <c r="AU72" i="14"/>
  <c r="GV81" i="14"/>
  <c r="GV84" i="14" s="1"/>
  <c r="GV72" i="14"/>
  <c r="BK72" i="14"/>
  <c r="M72" i="14"/>
  <c r="CM3" i="14"/>
  <c r="CM81" i="14"/>
  <c r="CM84" i="14" s="1"/>
  <c r="HN81" i="14"/>
  <c r="HN84" i="14" s="1"/>
  <c r="HN72" i="14"/>
  <c r="DQ72" i="14"/>
  <c r="EM72" i="14"/>
  <c r="AQ72" i="14"/>
  <c r="GB81" i="14"/>
  <c r="GB84" i="14" s="1"/>
  <c r="GB72" i="14"/>
  <c r="GS80" i="14"/>
  <c r="GS83" i="14" s="1"/>
  <c r="JO72" i="14"/>
  <c r="GX72" i="14"/>
  <c r="EN72" i="14"/>
  <c r="AE3" i="14"/>
  <c r="AE80" i="14"/>
  <c r="AE83" i="14" s="1"/>
  <c r="JV46" i="14"/>
  <c r="JV72" i="14" s="1"/>
  <c r="GL10" i="14"/>
  <c r="F214" i="2" s="1"/>
  <c r="AR17" i="14"/>
  <c r="AS13" i="14"/>
  <c r="AS17" i="14" s="1"/>
  <c r="BS3" i="14"/>
  <c r="BS80" i="14"/>
  <c r="BS83" i="14" s="1"/>
  <c r="HO3" i="14"/>
  <c r="HO80" i="14"/>
  <c r="HO83" i="14" s="1"/>
  <c r="HB10" i="14"/>
  <c r="F230" i="2" s="1"/>
  <c r="GI17" i="14"/>
  <c r="HW80" i="14"/>
  <c r="HW83" i="14" s="1"/>
  <c r="DD3" i="14"/>
  <c r="DD80" i="14"/>
  <c r="DD83" i="14" s="1"/>
  <c r="JH3" i="14"/>
  <c r="JH80" i="14"/>
  <c r="JH83" i="14" s="1"/>
  <c r="CE3" i="14"/>
  <c r="CE80" i="14"/>
  <c r="CE83" i="14" s="1"/>
  <c r="N3" i="14"/>
  <c r="N80" i="14"/>
  <c r="N83" i="14" s="1"/>
  <c r="F3" i="14"/>
  <c r="F80" i="14"/>
  <c r="F83" i="14" s="1"/>
  <c r="DX10" i="14"/>
  <c r="F141" i="2" s="1"/>
  <c r="S3" i="14"/>
  <c r="S80" i="14"/>
  <c r="S83" i="14" s="1"/>
  <c r="CI80" i="14"/>
  <c r="CI83" i="14" s="1"/>
  <c r="EK17" i="14"/>
  <c r="FQ3" i="14"/>
  <c r="FQ80" i="14"/>
  <c r="FQ83" i="14" s="1"/>
  <c r="DL80" i="14"/>
  <c r="DL83" i="14" s="1"/>
  <c r="CF80" i="14"/>
  <c r="CF83" i="14" s="1"/>
  <c r="EM3" i="14"/>
  <c r="EM80" i="14"/>
  <c r="EM83" i="14" s="1"/>
  <c r="AT3" i="14"/>
  <c r="AT80" i="14"/>
  <c r="AT83" i="14" s="1"/>
  <c r="EQ10" i="14"/>
  <c r="F163" i="2" s="1"/>
  <c r="EA10" i="14"/>
  <c r="F144" i="2" s="1"/>
  <c r="EF10" i="14"/>
  <c r="F149" i="2" s="1"/>
  <c r="FL80" i="14"/>
  <c r="FL83" i="14" s="1"/>
  <c r="DO3" i="14"/>
  <c r="DO80" i="14"/>
  <c r="DO83" i="14" s="1"/>
  <c r="CP3" i="14"/>
  <c r="CP80" i="14"/>
  <c r="CP83" i="14" s="1"/>
  <c r="FZ80" i="14"/>
  <c r="FZ83" i="14" s="1"/>
  <c r="DT3" i="14"/>
  <c r="DT80" i="14"/>
  <c r="DT83" i="14" s="1"/>
  <c r="CN17" i="14"/>
  <c r="HI3" i="14"/>
  <c r="HI80" i="14"/>
  <c r="HI83" i="14" s="1"/>
  <c r="CF3" i="14"/>
  <c r="CS46" i="14"/>
  <c r="CS72" i="14" s="1"/>
  <c r="JF46" i="14"/>
  <c r="V46" i="14"/>
  <c r="V72" i="14" s="1"/>
  <c r="FM72" i="14"/>
  <c r="FM81" i="14"/>
  <c r="FM84" i="14" s="1"/>
  <c r="HG80" i="14"/>
  <c r="HG83" i="14" s="1"/>
  <c r="BH3" i="14"/>
  <c r="BH80" i="14"/>
  <c r="BH83" i="14" s="1"/>
  <c r="DW3" i="14"/>
  <c r="DW80" i="14"/>
  <c r="DW83" i="14" s="1"/>
  <c r="HP3" i="14"/>
  <c r="HP80" i="14"/>
  <c r="HP83" i="14" s="1"/>
  <c r="DV80" i="14"/>
  <c r="DV83" i="14" s="1"/>
  <c r="AA46" i="14"/>
  <c r="AA72" i="14" s="1"/>
  <c r="AR57" i="14"/>
  <c r="AS51" i="14"/>
  <c r="AS57" i="14" s="1"/>
  <c r="DU81" i="14"/>
  <c r="DU84" i="14" s="1"/>
  <c r="DU72" i="14"/>
  <c r="CO54" i="14"/>
  <c r="IY72" i="14"/>
  <c r="IY81" i="14"/>
  <c r="IY84" i="14" s="1"/>
  <c r="FT80" i="14"/>
  <c r="FT83" i="14" s="1"/>
  <c r="JY3" i="14"/>
  <c r="JY80" i="14"/>
  <c r="JY83" i="14" s="1"/>
  <c r="EB80" i="14"/>
  <c r="EB83" i="14" s="1"/>
  <c r="HM10" i="14"/>
  <c r="F241" i="2" s="1"/>
  <c r="GB10" i="14"/>
  <c r="F201" i="2" s="1"/>
  <c r="EL26" i="14"/>
  <c r="JR3" i="14"/>
  <c r="JR80" i="14"/>
  <c r="JR83" i="14" s="1"/>
  <c r="AH3" i="14"/>
  <c r="AH80" i="14"/>
  <c r="AH83" i="14" s="1"/>
  <c r="BQ46" i="14"/>
  <c r="HP46" i="14"/>
  <c r="HP81" i="14" s="1"/>
  <c r="HP84" i="14" s="1"/>
  <c r="CN57" i="14"/>
  <c r="JJ72" i="14"/>
  <c r="JJ81" i="14"/>
  <c r="JJ84" i="14" s="1"/>
  <c r="JP72" i="14"/>
  <c r="JP81" i="14"/>
  <c r="JP84" i="14" s="1"/>
  <c r="CI46" i="14"/>
  <c r="CI81" i="14" s="1"/>
  <c r="CI84" i="14" s="1"/>
  <c r="DH3" i="14"/>
  <c r="DH81" i="14"/>
  <c r="DH84" i="14" s="1"/>
  <c r="CZ72" i="14"/>
  <c r="HE10" i="14"/>
  <c r="F233" i="2" s="1"/>
  <c r="CS10" i="14"/>
  <c r="F109" i="2" s="1"/>
  <c r="DY10" i="14"/>
  <c r="F142" i="2" s="1"/>
  <c r="JU80" i="14"/>
  <c r="JU83" i="14" s="1"/>
  <c r="FY80" i="14"/>
  <c r="FY83" i="14" s="1"/>
  <c r="BV3" i="14"/>
  <c r="BV80" i="14"/>
  <c r="BV83" i="14" s="1"/>
  <c r="FO80" i="14"/>
  <c r="FO83" i="14" s="1"/>
  <c r="AJ46" i="14"/>
  <c r="AJ72" i="14" s="1"/>
  <c r="FT46" i="14"/>
  <c r="FT81" i="14" s="1"/>
  <c r="FT84" i="14" s="1"/>
  <c r="CJ46" i="14"/>
  <c r="DH72" i="14"/>
  <c r="DA10" i="14"/>
  <c r="F117" i="2" s="1"/>
  <c r="FR10" i="14"/>
  <c r="F190" i="2" s="1"/>
  <c r="JO3" i="14"/>
  <c r="JO80" i="14"/>
  <c r="JO83" i="14" s="1"/>
  <c r="FJ46" i="14"/>
  <c r="FJ72" i="14" s="1"/>
  <c r="CQ72" i="14"/>
  <c r="CQ81" i="14"/>
  <c r="CQ84" i="14" s="1"/>
  <c r="BP3" i="14"/>
  <c r="BP80" i="14"/>
  <c r="BP83" i="14" s="1"/>
  <c r="AG3" i="14"/>
  <c r="AG80" i="14"/>
  <c r="AG83" i="14" s="1"/>
  <c r="JN46" i="14"/>
  <c r="FZ46" i="14"/>
  <c r="FZ81" i="14" s="1"/>
  <c r="FZ84" i="14" s="1"/>
  <c r="HX46" i="14"/>
  <c r="HX72" i="14" s="1"/>
  <c r="EB3" i="14"/>
  <c r="GC46" i="14"/>
  <c r="C46" i="14"/>
  <c r="C81" i="14" s="1"/>
  <c r="C84" i="14" s="1"/>
  <c r="K3" i="14"/>
  <c r="K80" i="14"/>
  <c r="K83" i="14" s="1"/>
  <c r="GJ38" i="14"/>
  <c r="IH38" i="14" s="1"/>
  <c r="KF38" i="14" s="1"/>
  <c r="CG46" i="14"/>
  <c r="IF3" i="14"/>
  <c r="IF81" i="14"/>
  <c r="IF84" i="14" s="1"/>
  <c r="IF72" i="14"/>
  <c r="IH22" i="14"/>
  <c r="GJ26" i="14"/>
  <c r="FA3" i="14"/>
  <c r="FA80" i="14"/>
  <c r="FA83" i="14" s="1"/>
  <c r="BX3" i="14"/>
  <c r="BX80" i="14"/>
  <c r="BX83" i="14" s="1"/>
  <c r="BD3" i="14"/>
  <c r="BD80" i="14"/>
  <c r="BD83" i="14" s="1"/>
  <c r="AK3" i="14"/>
  <c r="AK80" i="14"/>
  <c r="AK83" i="14" s="1"/>
  <c r="BY46" i="14"/>
  <c r="BY72" i="14" s="1"/>
  <c r="D3" i="14"/>
  <c r="FO46" i="14"/>
  <c r="FO81" i="14" s="1"/>
  <c r="FO84" i="14" s="1"/>
  <c r="HT72" i="14"/>
  <c r="HT81" i="14"/>
  <c r="HT84" i="14" s="1"/>
  <c r="EE3" i="14"/>
  <c r="EE72" i="14"/>
  <c r="EE81" i="14"/>
  <c r="EE84" i="14" s="1"/>
  <c r="DM46" i="14"/>
  <c r="DM72" i="14" s="1"/>
  <c r="CD72" i="14"/>
  <c r="CD81" i="14"/>
  <c r="CD84" i="14" s="1"/>
  <c r="JX72" i="14"/>
  <c r="JX81" i="14"/>
  <c r="JX84" i="14" s="1"/>
  <c r="DI10" i="14"/>
  <c r="F125" i="2" s="1"/>
  <c r="E3" i="14"/>
  <c r="E80" i="14"/>
  <c r="E83" i="14" s="1"/>
  <c r="CA3" i="14"/>
  <c r="CA80" i="14"/>
  <c r="CA83" i="14" s="1"/>
  <c r="JM3" i="14"/>
  <c r="JM80" i="14"/>
  <c r="JM83" i="14" s="1"/>
  <c r="HH46" i="14"/>
  <c r="HZ72" i="14"/>
  <c r="HZ81" i="14"/>
  <c r="HZ84" i="14" s="1"/>
  <c r="HW3" i="14"/>
  <c r="IQ72" i="14"/>
  <c r="IQ81" i="14"/>
  <c r="IQ84" i="14" s="1"/>
  <c r="EZ10" i="14" l="1"/>
  <c r="F119" i="2"/>
  <c r="FH10" i="14"/>
  <c r="HR10" i="14"/>
  <c r="F247" i="2" s="1"/>
  <c r="FZ10" i="14"/>
  <c r="F199" i="2" s="1"/>
  <c r="FA10" i="14"/>
  <c r="F173" i="2" s="1"/>
  <c r="HN10" i="14"/>
  <c r="F188" i="2"/>
  <c r="ER10" i="14"/>
  <c r="F164" i="2" s="1"/>
  <c r="FI10" i="14"/>
  <c r="F181" i="2" s="1"/>
  <c r="F115" i="2"/>
  <c r="HO10" i="14"/>
  <c r="F243" i="2" s="1"/>
  <c r="FO72" i="14"/>
  <c r="EY10" i="14"/>
  <c r="F171" i="2" s="1"/>
  <c r="FW10" i="14"/>
  <c r="F143" i="2"/>
  <c r="FJ10" i="14"/>
  <c r="F182" i="2" s="1"/>
  <c r="C80" i="14"/>
  <c r="C83" i="14" s="1"/>
  <c r="F231" i="2"/>
  <c r="CO51" i="14"/>
  <c r="CO57" i="14" s="1"/>
  <c r="F151" i="2"/>
  <c r="GG10" i="14"/>
  <c r="F131" i="2"/>
  <c r="FL10" i="14"/>
  <c r="HP72" i="14"/>
  <c r="CO13" i="14"/>
  <c r="CO17" i="14" s="1"/>
  <c r="GD10" i="14"/>
  <c r="F150" i="2"/>
  <c r="F180" i="2"/>
  <c r="HF10" i="14"/>
  <c r="GA10" i="14"/>
  <c r="F147" i="2"/>
  <c r="F285" i="2"/>
  <c r="EW10" i="14"/>
  <c r="F116" i="2"/>
  <c r="GX10" i="14"/>
  <c r="F172" i="2"/>
  <c r="F145" i="2"/>
  <c r="FY10" i="14"/>
  <c r="F165" i="2"/>
  <c r="GQ10" i="14"/>
  <c r="C72" i="14"/>
  <c r="FT72" i="14"/>
  <c r="CI72" i="14"/>
  <c r="F191" i="2"/>
  <c r="HQ10" i="14"/>
  <c r="EM10" i="14"/>
  <c r="F106" i="2"/>
  <c r="F113" i="2"/>
  <c r="ET10" i="14"/>
  <c r="F186" i="2"/>
  <c r="HL10" i="14"/>
  <c r="F121" i="2"/>
  <c r="FB10" i="14"/>
  <c r="EU10" i="14"/>
  <c r="F114" i="2"/>
  <c r="FK10" i="14"/>
  <c r="F130" i="2"/>
  <c r="EO10" i="14"/>
  <c r="F108" i="2"/>
  <c r="FM10" i="14"/>
  <c r="F132" i="2"/>
  <c r="FC10" i="14"/>
  <c r="F122" i="2"/>
  <c r="F152" i="2"/>
  <c r="GH10" i="14"/>
  <c r="F168" i="2"/>
  <c r="GT10" i="14"/>
  <c r="EX10" i="14"/>
  <c r="F170" i="2" s="1"/>
  <c r="BQ81" i="14"/>
  <c r="BQ84" i="14" s="1"/>
  <c r="BQ3" i="14"/>
  <c r="HH81" i="14"/>
  <c r="HH84" i="14" s="1"/>
  <c r="HH3" i="14"/>
  <c r="GC81" i="14"/>
  <c r="GC84" i="14" s="1"/>
  <c r="GC3" i="14"/>
  <c r="CJ81" i="14"/>
  <c r="CJ84" i="14" s="1"/>
  <c r="CJ3" i="14"/>
  <c r="JC10" i="14"/>
  <c r="JF81" i="14"/>
  <c r="JF84" i="14" s="1"/>
  <c r="JF3" i="14"/>
  <c r="DM81" i="14"/>
  <c r="DM84" i="14" s="1"/>
  <c r="DM3" i="14"/>
  <c r="BY81" i="14"/>
  <c r="BY84" i="14" s="1"/>
  <c r="BY3" i="14"/>
  <c r="AJ81" i="14"/>
  <c r="AJ84" i="14" s="1"/>
  <c r="AJ3" i="14"/>
  <c r="HZ10" i="14"/>
  <c r="F255" i="2" s="1"/>
  <c r="AS46" i="14"/>
  <c r="AS81" i="14" s="1"/>
  <c r="AS84" i="14" s="1"/>
  <c r="FX10" i="14"/>
  <c r="F197" i="2" s="1"/>
  <c r="CI3" i="14"/>
  <c r="FJ81" i="14"/>
  <c r="FJ84" i="14" s="1"/>
  <c r="FJ3" i="14"/>
  <c r="FT3" i="14"/>
  <c r="AR46" i="14"/>
  <c r="AR81" i="14" s="1"/>
  <c r="AR84" i="14" s="1"/>
  <c r="V3" i="14"/>
  <c r="V81" i="14"/>
  <c r="V84" i="14" s="1"/>
  <c r="JV81" i="14"/>
  <c r="JV84" i="14" s="1"/>
  <c r="JV3" i="14"/>
  <c r="C48" i="14"/>
  <c r="BQ72" i="14"/>
  <c r="IJ10" i="14"/>
  <c r="KF22" i="14"/>
  <c r="KF26" i="14" s="1"/>
  <c r="IH26" i="14"/>
  <c r="FV10" i="14"/>
  <c r="F195" i="2" s="1"/>
  <c r="JK10" i="14"/>
  <c r="IZ10" i="14"/>
  <c r="HH72" i="14"/>
  <c r="GC72" i="14"/>
  <c r="HX81" i="14"/>
  <c r="HX84" i="14" s="1"/>
  <c r="HX3" i="14"/>
  <c r="CS81" i="14"/>
  <c r="CS84" i="14" s="1"/>
  <c r="CS3" i="14"/>
  <c r="FZ72" i="14"/>
  <c r="CJ72" i="14"/>
  <c r="FO3" i="14"/>
  <c r="EP10" i="14"/>
  <c r="F162" i="2" s="1"/>
  <c r="AA81" i="14"/>
  <c r="AA84" i="14" s="1"/>
  <c r="AA3" i="14"/>
  <c r="JF72" i="14"/>
  <c r="GC10" i="14"/>
  <c r="F202" i="2" s="1"/>
  <c r="GO10" i="14"/>
  <c r="F217" i="2" s="1"/>
  <c r="CN46" i="14"/>
  <c r="CN81" i="14" s="1"/>
  <c r="CN84" i="14" s="1"/>
  <c r="FZ3" i="14"/>
  <c r="FU10" i="14"/>
  <c r="F194" i="2" s="1"/>
  <c r="CG81" i="14"/>
  <c r="CG84" i="14" s="1"/>
  <c r="CG3" i="14"/>
  <c r="JN81" i="14"/>
  <c r="JN84" i="14" s="1"/>
  <c r="JN3" i="14"/>
  <c r="JN72" i="14"/>
  <c r="FF10" i="14"/>
  <c r="F178" i="2" s="1"/>
  <c r="CG72" i="14"/>
  <c r="HP10" i="14"/>
  <c r="F244" i="2" s="1"/>
  <c r="GW10" i="14" l="1"/>
  <c r="F225" i="2" s="1"/>
  <c r="HX10" i="14"/>
  <c r="F253" i="2" s="1"/>
  <c r="JP10" i="14"/>
  <c r="HG10" i="14"/>
  <c r="GP10" i="14"/>
  <c r="F218" i="2" s="1"/>
  <c r="GY10" i="14"/>
  <c r="F227" i="2" s="1"/>
  <c r="JL10" i="14"/>
  <c r="F296" i="2" s="1"/>
  <c r="F242" i="2"/>
  <c r="HH10" i="14"/>
  <c r="F236" i="2" s="1"/>
  <c r="JM10" i="14"/>
  <c r="F297" i="2" s="1"/>
  <c r="F196" i="2"/>
  <c r="HU10" i="14"/>
  <c r="EL13" i="14"/>
  <c r="EL17" i="14" s="1"/>
  <c r="F184" i="2"/>
  <c r="HJ10" i="14"/>
  <c r="F234" i="2"/>
  <c r="JD10" i="14"/>
  <c r="F200" i="2"/>
  <c r="HY10" i="14"/>
  <c r="F204" i="2"/>
  <c r="IE10" i="14"/>
  <c r="IB10" i="14"/>
  <c r="F203" i="2"/>
  <c r="F245" i="2"/>
  <c r="JO10" i="14"/>
  <c r="IF10" i="14"/>
  <c r="F205" i="2"/>
  <c r="HK10" i="14"/>
  <c r="F185" i="2"/>
  <c r="F183" i="2"/>
  <c r="HI10" i="14"/>
  <c r="F240" i="2"/>
  <c r="JJ10" i="14"/>
  <c r="F226" i="2"/>
  <c r="IV10" i="14"/>
  <c r="CN72" i="14"/>
  <c r="F302" i="2"/>
  <c r="F159" i="2"/>
  <c r="GK10" i="14"/>
  <c r="F198" i="2"/>
  <c r="HW10" i="14"/>
  <c r="GU10" i="14"/>
  <c r="F169" i="2"/>
  <c r="F219" i="2"/>
  <c r="IO10" i="14"/>
  <c r="F287" i="2"/>
  <c r="F222" i="2"/>
  <c r="IR10" i="14"/>
  <c r="GM10" i="14"/>
  <c r="F161" i="2"/>
  <c r="F167" i="2"/>
  <c r="GS10" i="14"/>
  <c r="F268" i="2"/>
  <c r="F295" i="2"/>
  <c r="F175" i="2"/>
  <c r="HA10" i="14"/>
  <c r="F166" i="2"/>
  <c r="GR10" i="14"/>
  <c r="F284" i="2"/>
  <c r="F174" i="2"/>
  <c r="GZ10" i="14"/>
  <c r="IM10" i="14"/>
  <c r="IA10" i="14"/>
  <c r="F256" i="2" s="1"/>
  <c r="HV10" i="14"/>
  <c r="F251" i="2" s="1"/>
  <c r="GN10" i="14"/>
  <c r="F216" i="2" s="1"/>
  <c r="AS72" i="14"/>
  <c r="JN10" i="14"/>
  <c r="CO46" i="14"/>
  <c r="CO81" i="14" s="1"/>
  <c r="CO84" i="14" s="1"/>
  <c r="AR72" i="14"/>
  <c r="GV10" i="14"/>
  <c r="F224" i="2" s="1"/>
  <c r="HD10" i="14"/>
  <c r="F232" i="2" s="1"/>
  <c r="IU10" i="14"/>
  <c r="HT10" i="14"/>
  <c r="F249" i="2" s="1"/>
  <c r="HS10" i="14"/>
  <c r="F248" i="2" s="1"/>
  <c r="JX10" i="14"/>
  <c r="IW10" i="14" l="1"/>
  <c r="IN10" i="14"/>
  <c r="F235" i="2"/>
  <c r="JE10" i="14"/>
  <c r="JV10" i="14"/>
  <c r="JF10" i="14"/>
  <c r="GJ13" i="14"/>
  <c r="F250" i="2"/>
  <c r="JS10" i="14"/>
  <c r="F258" i="2"/>
  <c r="KC10" i="14"/>
  <c r="F238" i="2"/>
  <c r="JH10" i="14"/>
  <c r="F254" i="2"/>
  <c r="JW10" i="14"/>
  <c r="F257" i="2"/>
  <c r="JZ10" i="14"/>
  <c r="F288" i="2"/>
  <c r="F223" i="2"/>
  <c r="IS10" i="14"/>
  <c r="F294" i="2"/>
  <c r="IX10" i="14"/>
  <c r="F228" i="2"/>
  <c r="F215" i="2"/>
  <c r="IK10" i="14"/>
  <c r="F239" i="2"/>
  <c r="JI10" i="14"/>
  <c r="F252" i="2"/>
  <c r="JU10" i="14"/>
  <c r="F259" i="2"/>
  <c r="KD10" i="14"/>
  <c r="F298" i="2"/>
  <c r="F229" i="2"/>
  <c r="IY10" i="14"/>
  <c r="F310" i="2"/>
  <c r="F279" i="2"/>
  <c r="F272" i="2"/>
  <c r="IP10" i="14"/>
  <c r="F220" i="2"/>
  <c r="F276" i="2"/>
  <c r="F237" i="2"/>
  <c r="JG10" i="14"/>
  <c r="F271" i="2"/>
  <c r="F273" i="2"/>
  <c r="F213" i="2"/>
  <c r="II10" i="14"/>
  <c r="F280" i="2"/>
  <c r="F299" i="2"/>
  <c r="F281" i="2"/>
  <c r="F221" i="2"/>
  <c r="IQ10" i="14"/>
  <c r="JT10" i="14"/>
  <c r="JQ10" i="14"/>
  <c r="JB10" i="14"/>
  <c r="GJ17" i="14"/>
  <c r="IH13" i="14"/>
  <c r="JR10" i="14"/>
  <c r="IT10" i="14"/>
  <c r="JY10" i="14"/>
  <c r="CO72" i="14"/>
  <c r="IL10" i="14"/>
  <c r="F308" i="2" l="1"/>
  <c r="F290" i="2"/>
  <c r="F289" i="2"/>
  <c r="F305" i="2"/>
  <c r="F292" i="2"/>
  <c r="F312" i="2"/>
  <c r="F313" i="2"/>
  <c r="F309" i="2"/>
  <c r="F303" i="2"/>
  <c r="F314" i="2"/>
  <c r="F270" i="2"/>
  <c r="F282" i="2"/>
  <c r="F274" i="2"/>
  <c r="F311" i="2"/>
  <c r="F291" i="2"/>
  <c r="F283" i="2"/>
  <c r="F269" i="2"/>
  <c r="F277" i="2"/>
  <c r="F304" i="2"/>
  <c r="F306" i="2"/>
  <c r="F275" i="2"/>
  <c r="F267" i="2"/>
  <c r="F293" i="2"/>
  <c r="F278" i="2"/>
  <c r="F286" i="2"/>
  <c r="F307" i="2"/>
  <c r="IH17" i="14"/>
  <c r="KF13" i="14"/>
  <c r="KF17" i="14" l="1"/>
  <c r="GI39" i="14" l="1"/>
  <c r="GJ39" i="14" s="1"/>
  <c r="IG39" i="14" l="1"/>
  <c r="IH39" i="14" s="1"/>
  <c r="KE39" i="14" l="1"/>
  <c r="KF39" i="14" s="1"/>
  <c r="H42" i="14" l="1"/>
  <c r="H44" i="14" s="1"/>
  <c r="AR40" i="14"/>
  <c r="H3" i="14" l="1"/>
  <c r="AS40" i="14"/>
  <c r="AS42" i="14" s="1"/>
  <c r="AS44" i="14" s="1"/>
  <c r="AR42" i="14"/>
  <c r="AR44" i="14" s="1"/>
  <c r="H80" i="14"/>
  <c r="H83" i="14" s="1"/>
  <c r="AR80" i="14" l="1"/>
  <c r="AR83" i="14" s="1"/>
  <c r="AS48" i="14"/>
  <c r="AS80" i="14"/>
  <c r="AS83" i="14" s="1"/>
  <c r="GI29" i="14" l="1"/>
  <c r="GJ29" i="14" l="1"/>
  <c r="GI30" i="14"/>
  <c r="IG29" i="14"/>
  <c r="IH29" i="14" l="1"/>
  <c r="GJ30" i="14"/>
  <c r="IG30" i="14"/>
  <c r="KE29" i="14"/>
  <c r="KF29" i="14" s="1"/>
  <c r="IH30" i="14" l="1"/>
  <c r="KE30" i="14"/>
  <c r="KF30" i="14" s="1"/>
  <c r="GI32" i="14" l="1"/>
  <c r="GJ32" i="14" l="1"/>
  <c r="IG32" i="14"/>
  <c r="IH32" i="14" l="1"/>
  <c r="KE32" i="14"/>
  <c r="KF32" i="14" s="1"/>
  <c r="GI28" i="14" l="1"/>
  <c r="GJ28" i="14" l="1"/>
  <c r="IG28" i="14" l="1"/>
  <c r="IH28" i="14" l="1"/>
  <c r="KE28" i="14" l="1"/>
  <c r="KF28" i="14" l="1"/>
  <c r="GI34" i="14" l="1"/>
  <c r="GJ34" i="14" l="1"/>
  <c r="IG34" i="14"/>
  <c r="IH34" i="14" l="1"/>
  <c r="GI31" i="14"/>
  <c r="GJ31" i="14" l="1"/>
  <c r="KE34" i="14"/>
  <c r="KF34" i="14" s="1"/>
  <c r="FH42" i="14" l="1"/>
  <c r="FH44" i="14" s="1"/>
  <c r="FH80" i="14" l="1"/>
  <c r="FH83" i="14" s="1"/>
  <c r="IG31" i="14" l="1"/>
  <c r="IH31" i="14" l="1"/>
  <c r="HF42" i="14" l="1"/>
  <c r="HF44" i="14" s="1"/>
  <c r="HF80" i="14" l="1"/>
  <c r="HF83" i="14" s="1"/>
  <c r="KE31" i="14" l="1"/>
  <c r="KF31" i="14" l="1"/>
  <c r="JD42" i="14" l="1"/>
  <c r="JD44" i="14" s="1"/>
  <c r="JD80" i="14" l="1"/>
  <c r="JD83" i="14" s="1"/>
  <c r="EL63" i="14" l="1"/>
  <c r="GJ63" i="14" l="1"/>
  <c r="IH63" i="14" l="1"/>
  <c r="KF63" i="14" l="1"/>
  <c r="AK29" i="2" l="1"/>
  <c r="AK44" i="2" s="1"/>
  <c r="AK29" i="5"/>
  <c r="AK44" i="5" s="1"/>
  <c r="V10" i="12"/>
  <c r="U10" i="12"/>
  <c r="T10" i="12"/>
  <c r="S10" i="12"/>
  <c r="R10" i="12"/>
  <c r="H10" i="12" s="1"/>
  <c r="Q10" i="12"/>
  <c r="L10" i="12" l="1"/>
  <c r="J10" i="12"/>
  <c r="K10" i="12"/>
  <c r="N10" i="12" l="1"/>
  <c r="AJ51" i="5" l="1"/>
  <c r="AL51" i="5" s="1"/>
  <c r="AL50" i="5"/>
  <c r="AJ45" i="5"/>
  <c r="AL45" i="5" s="1"/>
  <c r="AL44" i="5"/>
  <c r="AJ36" i="5"/>
  <c r="AL36" i="5" s="1"/>
  <c r="AL35" i="5"/>
  <c r="AJ30" i="5"/>
  <c r="AL30" i="5" s="1"/>
  <c r="AL29" i="5"/>
  <c r="AJ21" i="5"/>
  <c r="AL21" i="5" s="1"/>
  <c r="AL20" i="5"/>
  <c r="AJ15" i="5"/>
  <c r="AL15" i="5" s="1"/>
  <c r="AL14" i="5"/>
  <c r="AJ45" i="2"/>
  <c r="AL45" i="2" s="1"/>
  <c r="AJ15" i="2"/>
  <c r="AJ30" i="2"/>
  <c r="AL30" i="2" s="1"/>
  <c r="AL29" i="2"/>
  <c r="AL35" i="2"/>
  <c r="AJ36" i="2"/>
  <c r="AL36" i="2" s="1"/>
  <c r="AL37" i="2" s="1"/>
  <c r="AL44" i="2"/>
  <c r="AL51" i="2"/>
  <c r="AJ52" i="2"/>
  <c r="AL52" i="2" s="1"/>
  <c r="AL31" i="2" l="1"/>
  <c r="AL16" i="5"/>
  <c r="AL46" i="2"/>
  <c r="AL31" i="5"/>
  <c r="AL37" i="5"/>
  <c r="AL46" i="5"/>
  <c r="AL22" i="5"/>
  <c r="AL52" i="5"/>
  <c r="AL53" i="2"/>
  <c r="M9" i="11"/>
  <c r="M10" i="11"/>
  <c r="M8" i="10"/>
  <c r="M9" i="10"/>
  <c r="F51" i="10"/>
  <c r="F52" i="10"/>
  <c r="H53" i="10"/>
  <c r="H54" i="10"/>
  <c r="E51" i="10"/>
  <c r="G51" i="10"/>
  <c r="H51" i="10"/>
  <c r="E55" i="10"/>
  <c r="E57" i="10" s="1"/>
  <c r="E59" i="10" s="1"/>
  <c r="DD54" i="4" s="1"/>
  <c r="F55" i="10" l="1"/>
  <c r="F57" i="10" s="1"/>
  <c r="F59" i="10" s="1"/>
  <c r="ER54" i="4" s="1"/>
  <c r="G53" i="10"/>
  <c r="E28" i="10"/>
  <c r="H52" i="10"/>
  <c r="E23" i="10"/>
  <c r="G52" i="10"/>
  <c r="G55" i="10" s="1"/>
  <c r="G57" i="10" s="1"/>
  <c r="G59" i="10" s="1"/>
  <c r="GG54" i="4" s="1"/>
  <c r="H55" i="10"/>
  <c r="M117" i="5"/>
  <c r="T117" i="5"/>
  <c r="AC117" i="5" s="1"/>
  <c r="M221" i="5"/>
  <c r="M267" i="5"/>
  <c r="T267" i="5"/>
  <c r="AC267" i="5" s="1"/>
  <c r="L20" i="12" s="1"/>
  <c r="T221" i="5"/>
  <c r="AC221" i="5" s="1"/>
  <c r="K20" i="12" s="1"/>
  <c r="M175" i="5"/>
  <c r="IB67" i="4"/>
  <c r="AE34" i="17"/>
  <c r="GM67" i="4"/>
  <c r="EX67" i="4"/>
  <c r="T175" i="5"/>
  <c r="M10" i="16"/>
  <c r="M10" i="15"/>
  <c r="M261" i="5"/>
  <c r="M215" i="5"/>
  <c r="M301" i="2"/>
  <c r="T301" i="2"/>
  <c r="AC301" i="2" s="1"/>
  <c r="L16" i="18" s="1"/>
  <c r="N16" i="18" s="1"/>
  <c r="M192" i="2"/>
  <c r="M139" i="2"/>
  <c r="M246" i="2"/>
  <c r="M300" i="2"/>
  <c r="T139" i="2"/>
  <c r="T192" i="2"/>
  <c r="T300" i="2"/>
  <c r="T246" i="2"/>
  <c r="M169" i="5"/>
  <c r="M124" i="5"/>
  <c r="IA67" i="4"/>
  <c r="IA59" i="4" s="1"/>
  <c r="M266" i="5"/>
  <c r="DI67" i="4"/>
  <c r="DI59" i="4" s="1"/>
  <c r="GL67" i="4"/>
  <c r="GL59" i="4" s="1"/>
  <c r="M220" i="5"/>
  <c r="EW67" i="4"/>
  <c r="EW59" i="4" s="1"/>
  <c r="M174" i="5"/>
  <c r="M129" i="5"/>
  <c r="ID67" i="4"/>
  <c r="ID59" i="4" s="1"/>
  <c r="HT67" i="4"/>
  <c r="HT59" i="4" s="1"/>
  <c r="HL67" i="4"/>
  <c r="HL59" i="4" s="1"/>
  <c r="HD67" i="4"/>
  <c r="HD59" i="4" s="1"/>
  <c r="GV67" i="4"/>
  <c r="GV59" i="4" s="1"/>
  <c r="GN67" i="4"/>
  <c r="GN59" i="4" s="1"/>
  <c r="GD67" i="4"/>
  <c r="GD59" i="4" s="1"/>
  <c r="FV67" i="4"/>
  <c r="FV59" i="4" s="1"/>
  <c r="FN67" i="4"/>
  <c r="FN59" i="4" s="1"/>
  <c r="FF67" i="4"/>
  <c r="FF59" i="4" s="1"/>
  <c r="EV67" i="4"/>
  <c r="EV59" i="4" s="1"/>
  <c r="EN67" i="4"/>
  <c r="EN59" i="4" s="1"/>
  <c r="EF67" i="4"/>
  <c r="EF59" i="4" s="1"/>
  <c r="DX67" i="4"/>
  <c r="DX59" i="4" s="1"/>
  <c r="DP67" i="4"/>
  <c r="DP59" i="4" s="1"/>
  <c r="DG67" i="4"/>
  <c r="DG59" i="4" s="1"/>
  <c r="CY67" i="4"/>
  <c r="CY59" i="4" s="1"/>
  <c r="CQ67" i="4"/>
  <c r="CQ59" i="4" s="1"/>
  <c r="CI67" i="4"/>
  <c r="CI59" i="4" s="1"/>
  <c r="CA67" i="4"/>
  <c r="CA59" i="4" s="1"/>
  <c r="BS67" i="4"/>
  <c r="BS59" i="4" s="1"/>
  <c r="BK67" i="4"/>
  <c r="BK59" i="4" s="1"/>
  <c r="BC67" i="4"/>
  <c r="BC59" i="4" s="1"/>
  <c r="AU67" i="4"/>
  <c r="AU59" i="4" s="1"/>
  <c r="AM67" i="4"/>
  <c r="AM59" i="4" s="1"/>
  <c r="AE67" i="4"/>
  <c r="AE59" i="4" s="1"/>
  <c r="W67" i="4"/>
  <c r="W59" i="4" s="1"/>
  <c r="O67" i="4"/>
  <c r="O59" i="4" s="1"/>
  <c r="G67" i="4"/>
  <c r="G59" i="4" s="1"/>
  <c r="GE67" i="4"/>
  <c r="GE59" i="4" s="1"/>
  <c r="DY67" i="4"/>
  <c r="DY59" i="4" s="1"/>
  <c r="BL67" i="4"/>
  <c r="BL59" i="4" s="1"/>
  <c r="H67" i="4"/>
  <c r="H59" i="4" s="1"/>
  <c r="IC67" i="4"/>
  <c r="IC59" i="4" s="1"/>
  <c r="HS67" i="4"/>
  <c r="HS59" i="4" s="1"/>
  <c r="HK67" i="4"/>
  <c r="HK59" i="4" s="1"/>
  <c r="HC67" i="4"/>
  <c r="HC59" i="4" s="1"/>
  <c r="GU67" i="4"/>
  <c r="GU59" i="4" s="1"/>
  <c r="GK67" i="4"/>
  <c r="GK59" i="4" s="1"/>
  <c r="GC67" i="4"/>
  <c r="GC59" i="4" s="1"/>
  <c r="FU67" i="4"/>
  <c r="FU59" i="4" s="1"/>
  <c r="FM67" i="4"/>
  <c r="FM59" i="4" s="1"/>
  <c r="FE67" i="4"/>
  <c r="FE59" i="4" s="1"/>
  <c r="EU67" i="4"/>
  <c r="EU59" i="4" s="1"/>
  <c r="EM67" i="4"/>
  <c r="EM59" i="4" s="1"/>
  <c r="EE67" i="4"/>
  <c r="EE59" i="4" s="1"/>
  <c r="DW67" i="4"/>
  <c r="DW59" i="4" s="1"/>
  <c r="DO67" i="4"/>
  <c r="DO59" i="4" s="1"/>
  <c r="DF67" i="4"/>
  <c r="DF59" i="4" s="1"/>
  <c r="CX67" i="4"/>
  <c r="CX59" i="4" s="1"/>
  <c r="CP67" i="4"/>
  <c r="CP59" i="4" s="1"/>
  <c r="CH67" i="4"/>
  <c r="CH59" i="4" s="1"/>
  <c r="BZ67" i="4"/>
  <c r="BZ59" i="4" s="1"/>
  <c r="BR67" i="4"/>
  <c r="BR59" i="4" s="1"/>
  <c r="BJ67" i="4"/>
  <c r="BJ59" i="4" s="1"/>
  <c r="BB67" i="4"/>
  <c r="BB59" i="4" s="1"/>
  <c r="AT67" i="4"/>
  <c r="AT59" i="4" s="1"/>
  <c r="AL67" i="4"/>
  <c r="AL59" i="4" s="1"/>
  <c r="AD67" i="4"/>
  <c r="AD59" i="4" s="1"/>
  <c r="V67" i="4"/>
  <c r="V59" i="4" s="1"/>
  <c r="N67" i="4"/>
  <c r="N59" i="4" s="1"/>
  <c r="F67" i="4"/>
  <c r="F59" i="4" s="1"/>
  <c r="GO67" i="4"/>
  <c r="GO59" i="4" s="1"/>
  <c r="EO67" i="4"/>
  <c r="EO59" i="4" s="1"/>
  <c r="CB67" i="4"/>
  <c r="CB59" i="4" s="1"/>
  <c r="P67" i="4"/>
  <c r="P59" i="4" s="1"/>
  <c r="HZ67" i="4"/>
  <c r="HZ59" i="4" s="1"/>
  <c r="HR67" i="4"/>
  <c r="HR59" i="4" s="1"/>
  <c r="HJ67" i="4"/>
  <c r="HJ59" i="4" s="1"/>
  <c r="HB67" i="4"/>
  <c r="HB59" i="4" s="1"/>
  <c r="GT67" i="4"/>
  <c r="GT59" i="4" s="1"/>
  <c r="GJ67" i="4"/>
  <c r="GJ59" i="4" s="1"/>
  <c r="GB67" i="4"/>
  <c r="GB59" i="4" s="1"/>
  <c r="FT67" i="4"/>
  <c r="FT59" i="4" s="1"/>
  <c r="FL67" i="4"/>
  <c r="FL59" i="4" s="1"/>
  <c r="FD67" i="4"/>
  <c r="FD59" i="4" s="1"/>
  <c r="ET67" i="4"/>
  <c r="ET59" i="4" s="1"/>
  <c r="EL67" i="4"/>
  <c r="EL59" i="4" s="1"/>
  <c r="ED67" i="4"/>
  <c r="ED59" i="4" s="1"/>
  <c r="DV67" i="4"/>
  <c r="DV59" i="4" s="1"/>
  <c r="DN67" i="4"/>
  <c r="DN59" i="4" s="1"/>
  <c r="DE67" i="4"/>
  <c r="DE59" i="4" s="1"/>
  <c r="CW67" i="4"/>
  <c r="CW59" i="4" s="1"/>
  <c r="CO67" i="4"/>
  <c r="CO59" i="4" s="1"/>
  <c r="CG67" i="4"/>
  <c r="CG59" i="4" s="1"/>
  <c r="BY67" i="4"/>
  <c r="BY59" i="4" s="1"/>
  <c r="BQ67" i="4"/>
  <c r="BQ59" i="4" s="1"/>
  <c r="BI67" i="4"/>
  <c r="BI59" i="4" s="1"/>
  <c r="BA67" i="4"/>
  <c r="BA59" i="4" s="1"/>
  <c r="AS67" i="4"/>
  <c r="AS59" i="4" s="1"/>
  <c r="AK67" i="4"/>
  <c r="AK59" i="4" s="1"/>
  <c r="AC67" i="4"/>
  <c r="AC59" i="4" s="1"/>
  <c r="U67" i="4"/>
  <c r="U59" i="4" s="1"/>
  <c r="M67" i="4"/>
  <c r="M59" i="4" s="1"/>
  <c r="E67" i="4"/>
  <c r="E59" i="4" s="1"/>
  <c r="GW67" i="4"/>
  <c r="GW59" i="4" s="1"/>
  <c r="CZ67" i="4"/>
  <c r="CZ59" i="4" s="1"/>
  <c r="X67" i="4"/>
  <c r="X59" i="4" s="1"/>
  <c r="HY67" i="4"/>
  <c r="HY59" i="4" s="1"/>
  <c r="HQ67" i="4"/>
  <c r="HQ59" i="4" s="1"/>
  <c r="HI67" i="4"/>
  <c r="HI59" i="4" s="1"/>
  <c r="HA67" i="4"/>
  <c r="HA59" i="4" s="1"/>
  <c r="GS67" i="4"/>
  <c r="GS59" i="4" s="1"/>
  <c r="GI67" i="4"/>
  <c r="GI59" i="4" s="1"/>
  <c r="GA67" i="4"/>
  <c r="GA59" i="4" s="1"/>
  <c r="FS67" i="4"/>
  <c r="FS59" i="4" s="1"/>
  <c r="FK67" i="4"/>
  <c r="FK59" i="4" s="1"/>
  <c r="FC67" i="4"/>
  <c r="FC59" i="4" s="1"/>
  <c r="ES67" i="4"/>
  <c r="ES59" i="4" s="1"/>
  <c r="EK67" i="4"/>
  <c r="EK59" i="4" s="1"/>
  <c r="EC67" i="4"/>
  <c r="EC59" i="4" s="1"/>
  <c r="DU67" i="4"/>
  <c r="DU59" i="4" s="1"/>
  <c r="DM67" i="4"/>
  <c r="DM59" i="4" s="1"/>
  <c r="DD67" i="4"/>
  <c r="DD59" i="4" s="1"/>
  <c r="CV67" i="4"/>
  <c r="CV59" i="4" s="1"/>
  <c r="CN67" i="4"/>
  <c r="CN59" i="4" s="1"/>
  <c r="CF67" i="4"/>
  <c r="CF59" i="4" s="1"/>
  <c r="BX67" i="4"/>
  <c r="BX59" i="4" s="1"/>
  <c r="BP67" i="4"/>
  <c r="BP59" i="4" s="1"/>
  <c r="BH67" i="4"/>
  <c r="BH59" i="4" s="1"/>
  <c r="AZ67" i="4"/>
  <c r="AZ59" i="4" s="1"/>
  <c r="AR67" i="4"/>
  <c r="AR59" i="4" s="1"/>
  <c r="AJ67" i="4"/>
  <c r="AJ59" i="4" s="1"/>
  <c r="AB67" i="4"/>
  <c r="AB59" i="4" s="1"/>
  <c r="T67" i="4"/>
  <c r="T59" i="4" s="1"/>
  <c r="L67" i="4"/>
  <c r="L59" i="4" s="1"/>
  <c r="D67" i="4"/>
  <c r="D59" i="4" s="1"/>
  <c r="HE67" i="4"/>
  <c r="HE59" i="4" s="1"/>
  <c r="FW67" i="4"/>
  <c r="FW59" i="4" s="1"/>
  <c r="FG67" i="4"/>
  <c r="FG59" i="4" s="1"/>
  <c r="EG67" i="4"/>
  <c r="EG59" i="4" s="1"/>
  <c r="CJ67" i="4"/>
  <c r="CJ59" i="4" s="1"/>
  <c r="AV67" i="4"/>
  <c r="AV59" i="4" s="1"/>
  <c r="HX67" i="4"/>
  <c r="HX59" i="4" s="1"/>
  <c r="HP67" i="4"/>
  <c r="HP59" i="4" s="1"/>
  <c r="HH67" i="4"/>
  <c r="HH59" i="4" s="1"/>
  <c r="GZ67" i="4"/>
  <c r="GZ59" i="4" s="1"/>
  <c r="GR67" i="4"/>
  <c r="GR59" i="4" s="1"/>
  <c r="GH67" i="4"/>
  <c r="GH59" i="4" s="1"/>
  <c r="FZ67" i="4"/>
  <c r="FZ59" i="4" s="1"/>
  <c r="FR67" i="4"/>
  <c r="FR59" i="4" s="1"/>
  <c r="FJ67" i="4"/>
  <c r="FJ59" i="4" s="1"/>
  <c r="FB67" i="4"/>
  <c r="FB59" i="4" s="1"/>
  <c r="ER67" i="4"/>
  <c r="ER59" i="4" s="1"/>
  <c r="EJ67" i="4"/>
  <c r="EJ59" i="4" s="1"/>
  <c r="EB67" i="4"/>
  <c r="EB59" i="4" s="1"/>
  <c r="DT67" i="4"/>
  <c r="DT59" i="4" s="1"/>
  <c r="DL67" i="4"/>
  <c r="DL59" i="4" s="1"/>
  <c r="DC67" i="4"/>
  <c r="DC59" i="4" s="1"/>
  <c r="CU67" i="4"/>
  <c r="CU59" i="4" s="1"/>
  <c r="CM67" i="4"/>
  <c r="CM59" i="4" s="1"/>
  <c r="CE67" i="4"/>
  <c r="CE59" i="4" s="1"/>
  <c r="BW67" i="4"/>
  <c r="BW59" i="4" s="1"/>
  <c r="BO67" i="4"/>
  <c r="BO59" i="4" s="1"/>
  <c r="BG67" i="4"/>
  <c r="BG59" i="4" s="1"/>
  <c r="AY67" i="4"/>
  <c r="AY59" i="4" s="1"/>
  <c r="AQ67" i="4"/>
  <c r="AQ59" i="4" s="1"/>
  <c r="AI67" i="4"/>
  <c r="AI59" i="4" s="1"/>
  <c r="AA67" i="4"/>
  <c r="AA59" i="4" s="1"/>
  <c r="S67" i="4"/>
  <c r="S59" i="4" s="1"/>
  <c r="K67" i="4"/>
  <c r="K59" i="4" s="1"/>
  <c r="C67" i="4"/>
  <c r="C59" i="4" s="1"/>
  <c r="HM67" i="4"/>
  <c r="HM59" i="4" s="1"/>
  <c r="CR67" i="4"/>
  <c r="CR59" i="4" s="1"/>
  <c r="AF67" i="4"/>
  <c r="AF59" i="4" s="1"/>
  <c r="HW67" i="4"/>
  <c r="HW59" i="4" s="1"/>
  <c r="HO67" i="4"/>
  <c r="HO59" i="4" s="1"/>
  <c r="HG67" i="4"/>
  <c r="HG59" i="4" s="1"/>
  <c r="GY67" i="4"/>
  <c r="GY59" i="4" s="1"/>
  <c r="GQ67" i="4"/>
  <c r="GQ59" i="4" s="1"/>
  <c r="GG67" i="4"/>
  <c r="GG59" i="4" s="1"/>
  <c r="FY67" i="4"/>
  <c r="FY59" i="4" s="1"/>
  <c r="FQ67" i="4"/>
  <c r="FQ59" i="4" s="1"/>
  <c r="FI67" i="4"/>
  <c r="FI59" i="4" s="1"/>
  <c r="FA67" i="4"/>
  <c r="FA59" i="4" s="1"/>
  <c r="EQ67" i="4"/>
  <c r="EQ59" i="4" s="1"/>
  <c r="EI67" i="4"/>
  <c r="EI59" i="4" s="1"/>
  <c r="EA67" i="4"/>
  <c r="EA59" i="4" s="1"/>
  <c r="DS67" i="4"/>
  <c r="DS59" i="4" s="1"/>
  <c r="DK67" i="4"/>
  <c r="DK59" i="4" s="1"/>
  <c r="DB67" i="4"/>
  <c r="DB59" i="4" s="1"/>
  <c r="CT67" i="4"/>
  <c r="CT59" i="4" s="1"/>
  <c r="CL67" i="4"/>
  <c r="CL59" i="4" s="1"/>
  <c r="CD67" i="4"/>
  <c r="CD59" i="4" s="1"/>
  <c r="BV67" i="4"/>
  <c r="BV59" i="4" s="1"/>
  <c r="BN67" i="4"/>
  <c r="BN59" i="4" s="1"/>
  <c r="BF67" i="4"/>
  <c r="BF59" i="4" s="1"/>
  <c r="AX67" i="4"/>
  <c r="AX59" i="4" s="1"/>
  <c r="AP67" i="4"/>
  <c r="AP59" i="4" s="1"/>
  <c r="AH67" i="4"/>
  <c r="AH59" i="4" s="1"/>
  <c r="Z67" i="4"/>
  <c r="Z59" i="4" s="1"/>
  <c r="R67" i="4"/>
  <c r="R59" i="4" s="1"/>
  <c r="J67" i="4"/>
  <c r="J59" i="4" s="1"/>
  <c r="HU67" i="4"/>
  <c r="HU59" i="4" s="1"/>
  <c r="DQ67" i="4"/>
  <c r="DQ59" i="4" s="1"/>
  <c r="BD67" i="4"/>
  <c r="BD59" i="4" s="1"/>
  <c r="HV67" i="4"/>
  <c r="HV59" i="4" s="1"/>
  <c r="HN67" i="4"/>
  <c r="HN59" i="4" s="1"/>
  <c r="HF67" i="4"/>
  <c r="HF59" i="4" s="1"/>
  <c r="GX67" i="4"/>
  <c r="GX59" i="4" s="1"/>
  <c r="GP67" i="4"/>
  <c r="GP59" i="4" s="1"/>
  <c r="GF67" i="4"/>
  <c r="GF59" i="4" s="1"/>
  <c r="FX67" i="4"/>
  <c r="FX59" i="4" s="1"/>
  <c r="FP67" i="4"/>
  <c r="FP59" i="4" s="1"/>
  <c r="FH67" i="4"/>
  <c r="FH59" i="4" s="1"/>
  <c r="EZ67" i="4"/>
  <c r="EZ59" i="4" s="1"/>
  <c r="EP67" i="4"/>
  <c r="EP59" i="4" s="1"/>
  <c r="EH67" i="4"/>
  <c r="EH59" i="4" s="1"/>
  <c r="DZ67" i="4"/>
  <c r="DZ59" i="4" s="1"/>
  <c r="DR67" i="4"/>
  <c r="DR59" i="4" s="1"/>
  <c r="DJ67" i="4"/>
  <c r="DJ59" i="4" s="1"/>
  <c r="DA67" i="4"/>
  <c r="DA59" i="4" s="1"/>
  <c r="CS67" i="4"/>
  <c r="CS59" i="4" s="1"/>
  <c r="CK67" i="4"/>
  <c r="CK59" i="4" s="1"/>
  <c r="CC67" i="4"/>
  <c r="CC59" i="4" s="1"/>
  <c r="BU67" i="4"/>
  <c r="BU59" i="4" s="1"/>
  <c r="BM67" i="4"/>
  <c r="BM59" i="4" s="1"/>
  <c r="BE67" i="4"/>
  <c r="BE59" i="4" s="1"/>
  <c r="AW67" i="4"/>
  <c r="AW59" i="4" s="1"/>
  <c r="AO67" i="4"/>
  <c r="AO59" i="4" s="1"/>
  <c r="AG67" i="4"/>
  <c r="AG59" i="4" s="1"/>
  <c r="Y67" i="4"/>
  <c r="Y59" i="4" s="1"/>
  <c r="Q67" i="4"/>
  <c r="Q59" i="4" s="1"/>
  <c r="I67" i="4"/>
  <c r="I59" i="4" s="1"/>
  <c r="IE67" i="4"/>
  <c r="IE59" i="4" s="1"/>
  <c r="FO67" i="4"/>
  <c r="FO59" i="4" s="1"/>
  <c r="EY67" i="4"/>
  <c r="EY59" i="4" s="1"/>
  <c r="DH67" i="4"/>
  <c r="DH59" i="4" s="1"/>
  <c r="BT67" i="4"/>
  <c r="BT59" i="4" s="1"/>
  <c r="AN67" i="4"/>
  <c r="AN59" i="4" s="1"/>
  <c r="M10" i="10"/>
  <c r="M11" i="11"/>
  <c r="C36" i="11"/>
  <c r="G60" i="11" s="1"/>
  <c r="F28" i="10"/>
  <c r="F30" i="10" s="1"/>
  <c r="F23" i="10"/>
  <c r="M8" i="9"/>
  <c r="M9" i="9"/>
  <c r="M10" i="9"/>
  <c r="M9" i="8"/>
  <c r="M10" i="8"/>
  <c r="ER51" i="4" l="1"/>
  <c r="DD51" i="4"/>
  <c r="H57" i="10"/>
  <c r="H59" i="10" s="1"/>
  <c r="HV54" i="4" s="1"/>
  <c r="E30" i="10"/>
  <c r="E36" i="10"/>
  <c r="E38" i="10" s="1"/>
  <c r="DD52" i="4" s="1"/>
  <c r="W167" i="5"/>
  <c r="ER35" i="4"/>
  <c r="ER40" i="4" s="1"/>
  <c r="AC175" i="5"/>
  <c r="J20" i="12" s="1"/>
  <c r="N20" i="12" s="1"/>
  <c r="AC139" i="2"/>
  <c r="F10" i="16"/>
  <c r="G10" i="16"/>
  <c r="H10" i="16"/>
  <c r="EX59" i="4"/>
  <c r="EX61" i="4" s="1"/>
  <c r="EX62" i="4" s="1"/>
  <c r="EX69" i="4"/>
  <c r="EX70" i="4" s="1"/>
  <c r="EX71" i="4" s="1"/>
  <c r="GM59" i="4"/>
  <c r="GM61" i="4" s="1"/>
  <c r="GM62" i="4" s="1"/>
  <c r="GM69" i="4"/>
  <c r="GM70" i="4" s="1"/>
  <c r="F10" i="15"/>
  <c r="G10" i="15"/>
  <c r="H10" i="15"/>
  <c r="IB59" i="4"/>
  <c r="IB61" i="4" s="1"/>
  <c r="IB62" i="4" s="1"/>
  <c r="IB69" i="4"/>
  <c r="IB70" i="4" s="1"/>
  <c r="IB71" i="4" s="1"/>
  <c r="AC300" i="2"/>
  <c r="L15" i="18" s="1"/>
  <c r="AC246" i="2"/>
  <c r="K15" i="18" s="1"/>
  <c r="AC192" i="2"/>
  <c r="J15" i="18" s="1"/>
  <c r="H61" i="11"/>
  <c r="H62" i="11"/>
  <c r="F59" i="11"/>
  <c r="F60" i="11"/>
  <c r="G61" i="11"/>
  <c r="G59" i="11"/>
  <c r="H60" i="11"/>
  <c r="E59" i="11"/>
  <c r="E63" i="11" s="1"/>
  <c r="E65" i="11" s="1"/>
  <c r="E67" i="11" s="1"/>
  <c r="DE54" i="4" s="1"/>
  <c r="H59" i="11"/>
  <c r="F38" i="11"/>
  <c r="ES51" i="4"/>
  <c r="DE51" i="4"/>
  <c r="G23" i="10"/>
  <c r="G28" i="10"/>
  <c r="G30" i="10" s="1"/>
  <c r="G63" i="11" l="1"/>
  <c r="DD35" i="4"/>
  <c r="DD40" i="4" s="1"/>
  <c r="W122" i="5"/>
  <c r="GG51" i="4"/>
  <c r="AA122" i="5"/>
  <c r="G8" i="10"/>
  <c r="W213" i="5"/>
  <c r="GG35" i="4"/>
  <c r="GG40" i="4" s="1"/>
  <c r="F36" i="10"/>
  <c r="F8" i="10"/>
  <c r="N15" i="18"/>
  <c r="GM71" i="4"/>
  <c r="F63" i="11"/>
  <c r="H63" i="11"/>
  <c r="F65" i="11"/>
  <c r="F67" i="11" s="1"/>
  <c r="ES54" i="4" s="1"/>
  <c r="ES35" i="4"/>
  <c r="ES40" i="4" s="1"/>
  <c r="W169" i="5"/>
  <c r="Y169" i="5" s="1"/>
  <c r="P169" i="5" s="1"/>
  <c r="G38" i="11"/>
  <c r="G9" i="11" s="1"/>
  <c r="G36" i="10"/>
  <c r="F38" i="10"/>
  <c r="E38" i="11"/>
  <c r="E44" i="11"/>
  <c r="H28" i="10"/>
  <c r="H30" i="10" s="1"/>
  <c r="H23" i="10"/>
  <c r="G65" i="11" l="1"/>
  <c r="G67" i="11" s="1"/>
  <c r="GH54" i="4" s="1"/>
  <c r="HV51" i="4"/>
  <c r="ER52" i="4"/>
  <c r="AA167" i="5"/>
  <c r="H8" i="10"/>
  <c r="HV35" i="4"/>
  <c r="HV40" i="4" s="1"/>
  <c r="W259" i="5"/>
  <c r="F9" i="10"/>
  <c r="F10" i="10" s="1"/>
  <c r="H65" i="11"/>
  <c r="H67" i="11" s="1"/>
  <c r="HW54" i="4" s="1"/>
  <c r="F9" i="11"/>
  <c r="W124" i="5"/>
  <c r="Y124" i="5" s="1"/>
  <c r="P124" i="5" s="1"/>
  <c r="DE35" i="4"/>
  <c r="DE40" i="4" s="1"/>
  <c r="G38" i="10"/>
  <c r="H36" i="10"/>
  <c r="H38" i="10" s="1"/>
  <c r="HV52" i="4" s="1"/>
  <c r="H38" i="11"/>
  <c r="H9" i="11" s="1"/>
  <c r="E46" i="11"/>
  <c r="F44" i="11"/>
  <c r="GG52" i="4" l="1"/>
  <c r="G9" i="10"/>
  <c r="G10" i="10" s="1"/>
  <c r="AA213" i="5"/>
  <c r="AA259" i="5"/>
  <c r="H9" i="10"/>
  <c r="H10" i="10" s="1"/>
  <c r="AA124" i="5"/>
  <c r="R124" i="5" s="1"/>
  <c r="T124" i="5" s="1"/>
  <c r="AC124" i="5" s="1"/>
  <c r="DE52" i="4"/>
  <c r="F46" i="11"/>
  <c r="F10" i="11" s="1"/>
  <c r="F11" i="11" s="1"/>
  <c r="G44" i="11"/>
  <c r="AA169" i="5" l="1"/>
  <c r="R169" i="5" s="1"/>
  <c r="T169" i="5" s="1"/>
  <c r="AC169" i="5" s="1"/>
  <c r="J16" i="12" s="1"/>
  <c r="ES52" i="4"/>
  <c r="G46" i="11"/>
  <c r="H44" i="11"/>
  <c r="H46" i="11" s="1"/>
  <c r="G10" i="11" l="1"/>
  <c r="G11" i="11" s="1"/>
  <c r="GH52" i="4"/>
  <c r="AA215" i="5"/>
  <c r="R215" i="5" s="1"/>
  <c r="T215" i="5" s="1"/>
  <c r="AC215" i="5" s="1"/>
  <c r="K16" i="12" s="1"/>
  <c r="H10" i="11"/>
  <c r="H11" i="11" s="1"/>
  <c r="HW52" i="4"/>
  <c r="AA261" i="5"/>
  <c r="R261" i="5" s="1"/>
  <c r="T261" i="5" s="1"/>
  <c r="AC261" i="5" s="1"/>
  <c r="L16" i="12" s="1"/>
  <c r="F19" i="9"/>
  <c r="E19" i="9"/>
  <c r="N16" i="12" l="1"/>
  <c r="G53" i="9"/>
  <c r="F53" i="9"/>
  <c r="H53" i="9"/>
  <c r="E20" i="9"/>
  <c r="E52" i="9"/>
  <c r="E56" i="9" s="1"/>
  <c r="E58" i="9" s="1"/>
  <c r="E60" i="9" s="1"/>
  <c r="DI55" i="4" s="1"/>
  <c r="G52" i="9"/>
  <c r="F52" i="9"/>
  <c r="H52" i="9"/>
  <c r="E19" i="8"/>
  <c r="G19" i="9"/>
  <c r="H19" i="9"/>
  <c r="H55" i="9" s="1"/>
  <c r="G19" i="8"/>
  <c r="F56" i="9" l="1"/>
  <c r="F20" i="9"/>
  <c r="E22" i="9"/>
  <c r="F22" i="9"/>
  <c r="F19" i="8"/>
  <c r="G54" i="8"/>
  <c r="H54" i="8"/>
  <c r="H52" i="8"/>
  <c r="E52" i="8"/>
  <c r="E56" i="8" s="1"/>
  <c r="E58" i="8" s="1"/>
  <c r="E60" i="8" s="1"/>
  <c r="EH54" i="14" s="1"/>
  <c r="EK54" i="14" s="1"/>
  <c r="EL54" i="14" s="1"/>
  <c r="G52" i="8"/>
  <c r="F52" i="8"/>
  <c r="E20" i="8"/>
  <c r="F58" i="9"/>
  <c r="F60" i="9" s="1"/>
  <c r="EW54" i="4" s="1"/>
  <c r="G54" i="9"/>
  <c r="G56" i="9" s="1"/>
  <c r="G58" i="9" s="1"/>
  <c r="G60" i="9" s="1"/>
  <c r="GL54" i="4" s="1"/>
  <c r="H54" i="9"/>
  <c r="H56" i="9" s="1"/>
  <c r="H19" i="8"/>
  <c r="H55" i="8" s="1"/>
  <c r="F53" i="8" l="1"/>
  <c r="F56" i="8" s="1"/>
  <c r="F58" i="8" s="1"/>
  <c r="F60" i="8" s="1"/>
  <c r="GE54" i="14" s="1"/>
  <c r="G53" i="8"/>
  <c r="G56" i="8" s="1"/>
  <c r="H53" i="8"/>
  <c r="H56" i="8" s="1"/>
  <c r="F22" i="8"/>
  <c r="F20" i="8"/>
  <c r="E22" i="8"/>
  <c r="H58" i="9"/>
  <c r="H60" i="9" s="1"/>
  <c r="IA54" i="4" s="1"/>
  <c r="F29" i="9"/>
  <c r="F24" i="9"/>
  <c r="EW51" i="4" s="1"/>
  <c r="E24" i="9"/>
  <c r="DI51" i="4" s="1"/>
  <c r="E29" i="9"/>
  <c r="G22" i="9"/>
  <c r="G20" i="9"/>
  <c r="G58" i="8" l="1"/>
  <c r="G60" i="8" s="1"/>
  <c r="IC54" i="14" s="1"/>
  <c r="H22" i="9"/>
  <c r="H20" i="9"/>
  <c r="G24" i="9"/>
  <c r="GL51" i="4" s="1"/>
  <c r="G29" i="9"/>
  <c r="G31" i="9" s="1"/>
  <c r="G22" i="8"/>
  <c r="G20" i="8"/>
  <c r="E31" i="9"/>
  <c r="DI35" i="4" s="1"/>
  <c r="E37" i="9"/>
  <c r="E29" i="8"/>
  <c r="E24" i="8"/>
  <c r="F31" i="9"/>
  <c r="EW35" i="4" s="1"/>
  <c r="F29" i="8"/>
  <c r="F24" i="8"/>
  <c r="GE51" i="14" s="1"/>
  <c r="H58" i="8" l="1"/>
  <c r="H60" i="8" s="1"/>
  <c r="KA54" i="14" s="1"/>
  <c r="EW40" i="4"/>
  <c r="EW42" i="4" s="1"/>
  <c r="EW44" i="4" s="1"/>
  <c r="W174" i="5"/>
  <c r="Y174" i="5" s="1"/>
  <c r="P174" i="5" s="1"/>
  <c r="EH51" i="14"/>
  <c r="DI40" i="4"/>
  <c r="DI42" i="4" s="1"/>
  <c r="DI44" i="4" s="1"/>
  <c r="W129" i="5"/>
  <c r="Y129" i="5" s="1"/>
  <c r="P129" i="5" s="1"/>
  <c r="GI51" i="14"/>
  <c r="G8" i="9"/>
  <c r="GL35" i="4"/>
  <c r="H20" i="8"/>
  <c r="H22" i="8"/>
  <c r="E39" i="9"/>
  <c r="DI53" i="4" s="1"/>
  <c r="DI57" i="4" s="1"/>
  <c r="F37" i="9"/>
  <c r="F8" i="9"/>
  <c r="G24" i="8"/>
  <c r="IC51" i="14" s="1"/>
  <c r="G29" i="8"/>
  <c r="G31" i="8" s="1"/>
  <c r="F31" i="8"/>
  <c r="GE35" i="14" s="1"/>
  <c r="E37" i="8"/>
  <c r="E31" i="8"/>
  <c r="EH35" i="14" s="1"/>
  <c r="H24" i="9"/>
  <c r="IA51" i="4" s="1"/>
  <c r="H29" i="9"/>
  <c r="H31" i="9" s="1"/>
  <c r="IA35" i="4" s="1"/>
  <c r="DI80" i="4" l="1"/>
  <c r="DI69" i="4"/>
  <c r="DI70" i="4" s="1"/>
  <c r="DI61" i="4"/>
  <c r="DI62" i="4" s="1"/>
  <c r="EK51" i="14"/>
  <c r="EH40" i="14"/>
  <c r="W153" i="2"/>
  <c r="Y153" i="2" s="1"/>
  <c r="P153" i="2" s="1"/>
  <c r="EK35" i="14"/>
  <c r="EW80" i="4"/>
  <c r="W206" i="2"/>
  <c r="Y206" i="2" s="1"/>
  <c r="P206" i="2" s="1"/>
  <c r="GE40" i="14"/>
  <c r="GI35" i="14"/>
  <c r="G8" i="8"/>
  <c r="IC35" i="14"/>
  <c r="W220" i="5"/>
  <c r="Y220" i="5" s="1"/>
  <c r="P220" i="5" s="1"/>
  <c r="GL40" i="4"/>
  <c r="GL42" i="4" s="1"/>
  <c r="GL44" i="4" s="1"/>
  <c r="IG51" i="14"/>
  <c r="H8" i="9"/>
  <c r="AA129" i="5"/>
  <c r="DI46" i="4"/>
  <c r="DI81" i="4" s="1"/>
  <c r="F39" i="9"/>
  <c r="G37" i="9"/>
  <c r="E39" i="8"/>
  <c r="F37" i="8"/>
  <c r="H29" i="8"/>
  <c r="H31" i="8" s="1"/>
  <c r="H24" i="8"/>
  <c r="KA51" i="14" s="1"/>
  <c r="F8" i="8"/>
  <c r="R129" i="5" l="1"/>
  <c r="T129" i="5" s="1"/>
  <c r="AC129" i="5" s="1"/>
  <c r="Y95" i="5"/>
  <c r="CC40" i="4" s="1"/>
  <c r="IA40" i="4"/>
  <c r="IA42" i="4" s="1"/>
  <c r="IA44" i="4" s="1"/>
  <c r="W266" i="5"/>
  <c r="Y266" i="5" s="1"/>
  <c r="P266" i="5" s="1"/>
  <c r="GL80" i="4"/>
  <c r="F9" i="9"/>
  <c r="F10" i="9" s="1"/>
  <c r="EW52" i="4"/>
  <c r="EW57" i="4" s="1"/>
  <c r="KE51" i="14"/>
  <c r="H8" i="8"/>
  <c r="KA35" i="14"/>
  <c r="IC40" i="14"/>
  <c r="W260" i="2"/>
  <c r="Y260" i="2" s="1"/>
  <c r="P260" i="2" s="1"/>
  <c r="IC42" i="14"/>
  <c r="IC44" i="14" s="1"/>
  <c r="IG35" i="14"/>
  <c r="EL51" i="14"/>
  <c r="EL35" i="14"/>
  <c r="GJ35" i="14" s="1"/>
  <c r="DI71" i="4"/>
  <c r="EH52" i="14"/>
  <c r="GE42" i="14"/>
  <c r="GE44" i="14" s="1"/>
  <c r="EH42" i="14"/>
  <c r="EH44" i="14" s="1"/>
  <c r="F39" i="8"/>
  <c r="GE52" i="14" s="1"/>
  <c r="G37" i="8"/>
  <c r="G39" i="9"/>
  <c r="H37" i="9"/>
  <c r="H39" i="9" s="1"/>
  <c r="IH35" i="14" l="1"/>
  <c r="GI52" i="14"/>
  <c r="GE57" i="14"/>
  <c r="EH80" i="14"/>
  <c r="EH83" i="14" s="1"/>
  <c r="KA40" i="14"/>
  <c r="W315" i="2"/>
  <c r="Y315" i="2" s="1"/>
  <c r="P315" i="2" s="1"/>
  <c r="KE35" i="14"/>
  <c r="F9" i="8"/>
  <c r="F10" i="8" s="1"/>
  <c r="EK52" i="14"/>
  <c r="EH57" i="14"/>
  <c r="H9" i="9"/>
  <c r="H10" i="9" s="1"/>
  <c r="IA52" i="4"/>
  <c r="IA57" i="4" s="1"/>
  <c r="IA69" i="4" s="1"/>
  <c r="IA70" i="4" s="1"/>
  <c r="IA80" i="4"/>
  <c r="GJ51" i="14"/>
  <c r="G9" i="9"/>
  <c r="G10" i="9" s="1"/>
  <c r="GL52" i="4"/>
  <c r="GL57" i="4" s="1"/>
  <c r="EW46" i="4"/>
  <c r="EW81" i="4" s="1"/>
  <c r="AA174" i="5"/>
  <c r="EW61" i="4"/>
  <c r="EW62" i="4" s="1"/>
  <c r="EW69" i="4"/>
  <c r="EW70" i="4" s="1"/>
  <c r="H37" i="8"/>
  <c r="H39" i="8" s="1"/>
  <c r="G39" i="8"/>
  <c r="R174" i="5" l="1"/>
  <c r="T174" i="5" s="1"/>
  <c r="AC174" i="5" s="1"/>
  <c r="Y140" i="5"/>
  <c r="DQ40" i="4" s="1"/>
  <c r="KF35" i="14"/>
  <c r="KA42" i="14"/>
  <c r="KA44" i="14" s="1"/>
  <c r="KA80" i="14" s="1"/>
  <c r="KA83" i="14" s="1"/>
  <c r="IA61" i="4"/>
  <c r="IA62" i="4" s="1"/>
  <c r="IA71" i="4" s="1"/>
  <c r="G9" i="8"/>
  <c r="G10" i="8" s="1"/>
  <c r="IC52" i="14"/>
  <c r="EH46" i="14"/>
  <c r="EH81" i="14" s="1"/>
  <c r="EH84" i="14" s="1"/>
  <c r="AA153" i="2"/>
  <c r="H9" i="8"/>
  <c r="H10" i="8" s="1"/>
  <c r="KA52" i="14"/>
  <c r="GL46" i="4"/>
  <c r="GL81" i="4" s="1"/>
  <c r="AA220" i="5"/>
  <c r="GL61" i="4"/>
  <c r="GL62" i="4" s="1"/>
  <c r="GL69" i="4"/>
  <c r="GL70" i="4" s="1"/>
  <c r="IA46" i="4"/>
  <c r="IA81" i="4" s="1"/>
  <c r="AA266" i="5"/>
  <c r="EL52" i="14"/>
  <c r="EK57" i="14"/>
  <c r="GE46" i="14"/>
  <c r="GE72" i="14" s="1"/>
  <c r="AA206" i="2"/>
  <c r="EW71" i="4"/>
  <c r="IH51" i="14"/>
  <c r="W78" i="2"/>
  <c r="R220" i="5" l="1"/>
  <c r="T220" i="5" s="1"/>
  <c r="AC220" i="5" s="1"/>
  <c r="Y186" i="5"/>
  <c r="FF40" i="4" s="1"/>
  <c r="R266" i="5"/>
  <c r="T266" i="5" s="1"/>
  <c r="AC266" i="5" s="1"/>
  <c r="Y232" i="5"/>
  <c r="GU40" i="4" s="1"/>
  <c r="J14" i="12"/>
  <c r="R206" i="2"/>
  <c r="R153" i="2"/>
  <c r="EK46" i="14"/>
  <c r="EK81" i="14" s="1"/>
  <c r="EK84" i="14" s="1"/>
  <c r="KE52" i="14"/>
  <c r="KA57" i="14"/>
  <c r="IG52" i="14"/>
  <c r="IC57" i="14"/>
  <c r="EH72" i="14"/>
  <c r="KF51" i="14"/>
  <c r="GJ52" i="14"/>
  <c r="EL57" i="14"/>
  <c r="GL71" i="4"/>
  <c r="L14" i="12" l="1"/>
  <c r="K14" i="12"/>
  <c r="N14" i="12" s="1"/>
  <c r="EK72" i="14"/>
  <c r="KA46" i="14"/>
  <c r="AA315" i="2"/>
  <c r="EL46" i="14"/>
  <c r="EL72" i="14" s="1"/>
  <c r="IH52" i="14"/>
  <c r="IC46" i="14"/>
  <c r="IC72" i="14" s="1"/>
  <c r="AA260" i="2"/>
  <c r="R315" i="2" l="1"/>
  <c r="R260" i="2"/>
  <c r="KA72" i="14"/>
  <c r="KA81" i="14"/>
  <c r="EL81" i="14"/>
  <c r="EL84" i="14" s="1"/>
  <c r="KF52" i="14"/>
  <c r="Y264" i="5"/>
  <c r="Y262" i="5"/>
  <c r="Y260" i="5"/>
  <c r="Y259" i="5"/>
  <c r="Y258" i="5"/>
  <c r="Y257" i="5"/>
  <c r="Y256" i="5"/>
  <c r="Y255" i="5"/>
  <c r="Y254" i="5"/>
  <c r="Y253" i="5"/>
  <c r="Y252" i="5"/>
  <c r="Y251" i="5"/>
  <c r="Y250" i="5"/>
  <c r="Y248" i="5"/>
  <c r="Y247" i="5"/>
  <c r="Y246" i="5"/>
  <c r="Y245" i="5"/>
  <c r="Y244" i="5"/>
  <c r="Y243" i="5"/>
  <c r="Y242" i="5"/>
  <c r="Y241" i="5"/>
  <c r="Y240" i="5"/>
  <c r="Y239" i="5"/>
  <c r="Y238" i="5"/>
  <c r="Y237" i="5"/>
  <c r="Y236" i="5"/>
  <c r="Y235" i="5"/>
  <c r="Y234" i="5"/>
  <c r="Y233" i="5"/>
  <c r="Y231" i="5"/>
  <c r="Y230" i="5"/>
  <c r="Y229" i="5"/>
  <c r="Y228" i="5"/>
  <c r="Y218" i="5"/>
  <c r="Y216" i="5"/>
  <c r="Y214" i="5"/>
  <c r="Y213" i="5"/>
  <c r="Y212" i="5"/>
  <c r="Y211" i="5"/>
  <c r="Y210" i="5"/>
  <c r="Y209" i="5"/>
  <c r="Y208" i="5"/>
  <c r="Y207" i="5"/>
  <c r="Y206" i="5"/>
  <c r="Y205" i="5"/>
  <c r="Y204" i="5"/>
  <c r="Y202" i="5"/>
  <c r="Y201" i="5"/>
  <c r="Y200" i="5"/>
  <c r="Y199" i="5"/>
  <c r="Y198" i="5"/>
  <c r="Y197" i="5"/>
  <c r="Y196" i="5"/>
  <c r="Y195" i="5"/>
  <c r="Y194" i="5"/>
  <c r="Y193" i="5"/>
  <c r="Y192" i="5"/>
  <c r="Y191" i="5"/>
  <c r="Y190" i="5"/>
  <c r="Y189" i="5"/>
  <c r="Y188" i="5"/>
  <c r="Y187" i="5"/>
  <c r="Y185" i="5"/>
  <c r="Y184" i="5"/>
  <c r="Y183" i="5"/>
  <c r="Y182" i="5"/>
  <c r="Y172" i="5"/>
  <c r="Y171" i="5"/>
  <c r="Y170" i="5"/>
  <c r="Y168" i="5"/>
  <c r="Y167" i="5"/>
  <c r="Y166" i="5"/>
  <c r="Y165" i="5"/>
  <c r="Y164" i="5"/>
  <c r="Y163" i="5"/>
  <c r="Y162" i="5"/>
  <c r="Y161" i="5"/>
  <c r="Y160" i="5"/>
  <c r="Y159" i="5"/>
  <c r="Y158" i="5"/>
  <c r="Y156" i="5"/>
  <c r="Y155" i="5"/>
  <c r="Y154" i="5"/>
  <c r="Y153" i="5"/>
  <c r="Y152" i="5"/>
  <c r="Y151" i="5"/>
  <c r="Y150" i="5"/>
  <c r="Y149" i="5"/>
  <c r="Y148" i="5"/>
  <c r="Y147" i="5"/>
  <c r="Y146" i="5"/>
  <c r="Y145" i="5"/>
  <c r="Y144" i="5"/>
  <c r="Y143" i="5"/>
  <c r="Y142" i="5"/>
  <c r="Y141" i="5"/>
  <c r="Y139" i="5"/>
  <c r="Y138" i="5"/>
  <c r="Y137" i="5"/>
  <c r="Y136" i="5"/>
  <c r="Y128" i="5"/>
  <c r="Y127" i="5"/>
  <c r="Y126" i="5"/>
  <c r="Y125" i="5"/>
  <c r="Y123" i="5"/>
  <c r="Y122" i="5"/>
  <c r="Y121" i="5"/>
  <c r="Y120" i="5"/>
  <c r="Y119" i="5"/>
  <c r="Y118" i="5"/>
  <c r="Y116" i="5"/>
  <c r="Y115" i="5"/>
  <c r="Y114" i="5"/>
  <c r="Y113" i="5"/>
  <c r="Y112" i="5"/>
  <c r="Y111" i="5"/>
  <c r="Y110" i="5"/>
  <c r="Y109" i="5"/>
  <c r="Y108" i="5"/>
  <c r="Y107" i="5"/>
  <c r="Y106" i="5"/>
  <c r="Y105" i="5"/>
  <c r="Y104" i="5"/>
  <c r="Y103" i="5"/>
  <c r="Y102" i="5"/>
  <c r="Y101" i="5"/>
  <c r="Y100" i="5"/>
  <c r="Y99" i="5"/>
  <c r="Y98" i="5"/>
  <c r="Y97" i="5"/>
  <c r="Y96" i="5"/>
  <c r="Y94" i="5"/>
  <c r="Y93" i="5"/>
  <c r="Y92" i="5"/>
  <c r="Y91" i="5"/>
  <c r="Y84" i="5"/>
  <c r="Y83" i="5"/>
  <c r="Y81" i="5"/>
  <c r="Y80" i="5"/>
  <c r="Y79" i="5"/>
  <c r="Y78" i="5"/>
  <c r="Y77" i="5"/>
  <c r="Y76" i="5"/>
  <c r="Y75" i="5"/>
  <c r="Y74" i="5"/>
  <c r="Y73" i="5"/>
  <c r="Y72" i="5"/>
  <c r="Y71" i="5"/>
  <c r="Y70" i="5"/>
  <c r="Y69" i="5"/>
  <c r="Y68" i="5"/>
  <c r="Y67" i="5"/>
  <c r="Y66" i="5"/>
  <c r="Y65" i="5"/>
  <c r="Y64" i="5"/>
  <c r="Y63" i="5"/>
  <c r="Y62" i="5"/>
  <c r="Y61" i="5"/>
  <c r="Y60" i="5"/>
  <c r="Y59" i="5"/>
  <c r="Y58" i="5"/>
  <c r="Y57" i="5"/>
  <c r="Y56" i="5"/>
  <c r="Y55" i="5"/>
  <c r="Y54" i="5"/>
  <c r="Y53" i="5"/>
  <c r="Y52" i="5"/>
  <c r="Y50" i="5"/>
  <c r="Y49" i="5"/>
  <c r="Y48" i="5"/>
  <c r="Y47" i="5"/>
  <c r="AA43" i="5"/>
  <c r="AA87" i="5" s="1"/>
  <c r="AA132" i="5" s="1"/>
  <c r="AA178" i="5" s="1"/>
  <c r="AA224" i="5" s="1"/>
  <c r="AA270" i="5" s="1"/>
  <c r="W43" i="5"/>
  <c r="W87" i="5" s="1"/>
  <c r="W132" i="5" s="1"/>
  <c r="Y40" i="5"/>
  <c r="Y39" i="5"/>
  <c r="Y38" i="5"/>
  <c r="Y37" i="5"/>
  <c r="Y36" i="5"/>
  <c r="Y35" i="5"/>
  <c r="Y34" i="5"/>
  <c r="Y33" i="5"/>
  <c r="Y32" i="5"/>
  <c r="Y31" i="5"/>
  <c r="Y30" i="5"/>
  <c r="Y29" i="5"/>
  <c r="Y28" i="5"/>
  <c r="Y27" i="5"/>
  <c r="Y26" i="5"/>
  <c r="Y25" i="5"/>
  <c r="Y24" i="5"/>
  <c r="Y23" i="5"/>
  <c r="Y22" i="5"/>
  <c r="Y21" i="5"/>
  <c r="Y20" i="5"/>
  <c r="Y19" i="5"/>
  <c r="Y18" i="5"/>
  <c r="Y17" i="5"/>
  <c r="Y16" i="5"/>
  <c r="Y15" i="5"/>
  <c r="Y14" i="5"/>
  <c r="Y13" i="5"/>
  <c r="Y12" i="5"/>
  <c r="Y11" i="5"/>
  <c r="Y10" i="5"/>
  <c r="B10" i="5"/>
  <c r="AL20" i="2"/>
  <c r="AJ21" i="2"/>
  <c r="AL21" i="2" s="1"/>
  <c r="Y100" i="2"/>
  <c r="Y99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299" i="2"/>
  <c r="Y298" i="2"/>
  <c r="Y297" i="2"/>
  <c r="Y296" i="2"/>
  <c r="Y295" i="2"/>
  <c r="Y294" i="2"/>
  <c r="Y293" i="2"/>
  <c r="Y292" i="2"/>
  <c r="Y291" i="2"/>
  <c r="Y290" i="2"/>
  <c r="Y289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0" i="2"/>
  <c r="Y269" i="2"/>
  <c r="Y268" i="2"/>
  <c r="Y267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5" i="2"/>
  <c r="Y244" i="2"/>
  <c r="Y243" i="2"/>
  <c r="Y242" i="2"/>
  <c r="Y241" i="2"/>
  <c r="Y240" i="2"/>
  <c r="Y238" i="2"/>
  <c r="Y237" i="2"/>
  <c r="Y236" i="2"/>
  <c r="Y235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6" i="2"/>
  <c r="Y215" i="2"/>
  <c r="Y214" i="2"/>
  <c r="Y213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1" i="2"/>
  <c r="Y190" i="2"/>
  <c r="Y189" i="2"/>
  <c r="Y188" i="2"/>
  <c r="Y187" i="2"/>
  <c r="Y186" i="2"/>
  <c r="Y185" i="2"/>
  <c r="Y184" i="2"/>
  <c r="Y183" i="2"/>
  <c r="Y182" i="2"/>
  <c r="Y181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2" i="2"/>
  <c r="Y161" i="2"/>
  <c r="Y160" i="2"/>
  <c r="Y159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08" i="2"/>
  <c r="Y107" i="2"/>
  <c r="Y106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8" i="2"/>
  <c r="Y57" i="2"/>
  <c r="Y56" i="2"/>
  <c r="Y55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Y31" i="2"/>
  <c r="Y32" i="2"/>
  <c r="Y33" i="2"/>
  <c r="Y34" i="2"/>
  <c r="Y35" i="2"/>
  <c r="Y36" i="2"/>
  <c r="Y37" i="2"/>
  <c r="Y38" i="2"/>
  <c r="Y39" i="2"/>
  <c r="Y40" i="2"/>
  <c r="Y41" i="2"/>
  <c r="Y42" i="2"/>
  <c r="Y43" i="2"/>
  <c r="Y44" i="2"/>
  <c r="Y45" i="2"/>
  <c r="Y46" i="2"/>
  <c r="Y47" i="2"/>
  <c r="Y48" i="2"/>
  <c r="Y10" i="2"/>
  <c r="A64" i="4"/>
  <c r="A63" i="4"/>
  <c r="A62" i="4"/>
  <c r="A61" i="4"/>
  <c r="A60" i="4"/>
  <c r="A59" i="4"/>
  <c r="A58" i="4"/>
  <c r="HZ57" i="4"/>
  <c r="HP57" i="4"/>
  <c r="HP46" i="4" s="1"/>
  <c r="HP81" i="4" s="1"/>
  <c r="HP84" i="4" s="1"/>
  <c r="HL57" i="4"/>
  <c r="HL46" i="4" s="1"/>
  <c r="HL81" i="4" s="1"/>
  <c r="HL84" i="4" s="1"/>
  <c r="HK57" i="4"/>
  <c r="HK46" i="4" s="1"/>
  <c r="HK81" i="4" s="1"/>
  <c r="HK84" i="4" s="1"/>
  <c r="HJ57" i="4"/>
  <c r="HJ46" i="4" s="1"/>
  <c r="HJ81" i="4" s="1"/>
  <c r="HJ84" i="4" s="1"/>
  <c r="HI57" i="4"/>
  <c r="HI46" i="4" s="1"/>
  <c r="HI81" i="4" s="1"/>
  <c r="HI84" i="4" s="1"/>
  <c r="HH57" i="4"/>
  <c r="HG57" i="4"/>
  <c r="HF57" i="4"/>
  <c r="HF46" i="4" s="1"/>
  <c r="HF81" i="4" s="1"/>
  <c r="HF84" i="4" s="1"/>
  <c r="HE57" i="4"/>
  <c r="HE46" i="4" s="1"/>
  <c r="HE81" i="4" s="1"/>
  <c r="HE84" i="4" s="1"/>
  <c r="HD57" i="4"/>
  <c r="HD46" i="4" s="1"/>
  <c r="HD81" i="4" s="1"/>
  <c r="HD84" i="4" s="1"/>
  <c r="HC57" i="4"/>
  <c r="HC46" i="4" s="1"/>
  <c r="HC81" i="4" s="1"/>
  <c r="HC84" i="4" s="1"/>
  <c r="HB57" i="4"/>
  <c r="HA57" i="4"/>
  <c r="HA46" i="4" s="1"/>
  <c r="HA81" i="4" s="1"/>
  <c r="HA84" i="4" s="1"/>
  <c r="GZ57" i="4"/>
  <c r="GZ46" i="4" s="1"/>
  <c r="GZ81" i="4" s="1"/>
  <c r="GZ84" i="4" s="1"/>
  <c r="GY57" i="4"/>
  <c r="GX57" i="4"/>
  <c r="GX46" i="4" s="1"/>
  <c r="GX81" i="4" s="1"/>
  <c r="GX84" i="4" s="1"/>
  <c r="GW57" i="4"/>
  <c r="GV57" i="4"/>
  <c r="GV46" i="4" s="1"/>
  <c r="GV81" i="4" s="1"/>
  <c r="GV84" i="4" s="1"/>
  <c r="GU57" i="4"/>
  <c r="GU46" i="4" s="1"/>
  <c r="GU81" i="4" s="1"/>
  <c r="GU84" i="4" s="1"/>
  <c r="GS57" i="4"/>
  <c r="GS46" i="4" s="1"/>
  <c r="GS81" i="4" s="1"/>
  <c r="GS84" i="4" s="1"/>
  <c r="GR57" i="4"/>
  <c r="GR46" i="4" s="1"/>
  <c r="GR81" i="4" s="1"/>
  <c r="GR84" i="4" s="1"/>
  <c r="GQ57" i="4"/>
  <c r="GQ46" i="4" s="1"/>
  <c r="GQ81" i="4" s="1"/>
  <c r="GQ84" i="4" s="1"/>
  <c r="GA57" i="4"/>
  <c r="FW57" i="4"/>
  <c r="FV57" i="4"/>
  <c r="FV46" i="4" s="1"/>
  <c r="FV81" i="4" s="1"/>
  <c r="FV84" i="4" s="1"/>
  <c r="FU57" i="4"/>
  <c r="FU46" i="4" s="1"/>
  <c r="FU81" i="4" s="1"/>
  <c r="FU84" i="4" s="1"/>
  <c r="FT57" i="4"/>
  <c r="FT46" i="4" s="1"/>
  <c r="FT81" i="4" s="1"/>
  <c r="FT84" i="4" s="1"/>
  <c r="FS57" i="4"/>
  <c r="FS46" i="4" s="1"/>
  <c r="FS81" i="4" s="1"/>
  <c r="FS84" i="4" s="1"/>
  <c r="FR57" i="4"/>
  <c r="FR46" i="4" s="1"/>
  <c r="FR81" i="4" s="1"/>
  <c r="FR84" i="4" s="1"/>
  <c r="FQ57" i="4"/>
  <c r="FQ46" i="4" s="1"/>
  <c r="FQ81" i="4" s="1"/>
  <c r="FQ84" i="4" s="1"/>
  <c r="FP57" i="4"/>
  <c r="FO57" i="4"/>
  <c r="FO46" i="4" s="1"/>
  <c r="FO81" i="4" s="1"/>
  <c r="FO84" i="4" s="1"/>
  <c r="FN57" i="4"/>
  <c r="FN46" i="4" s="1"/>
  <c r="FN81" i="4" s="1"/>
  <c r="FN84" i="4" s="1"/>
  <c r="FM57" i="4"/>
  <c r="FM46" i="4" s="1"/>
  <c r="FM81" i="4" s="1"/>
  <c r="FM84" i="4" s="1"/>
  <c r="FL57" i="4"/>
  <c r="FL46" i="4" s="1"/>
  <c r="FL81" i="4" s="1"/>
  <c r="FL84" i="4" s="1"/>
  <c r="FK57" i="4"/>
  <c r="FJ57" i="4"/>
  <c r="FJ46" i="4" s="1"/>
  <c r="FJ81" i="4" s="1"/>
  <c r="FJ84" i="4" s="1"/>
  <c r="FI57" i="4"/>
  <c r="FI46" i="4" s="1"/>
  <c r="FI81" i="4" s="1"/>
  <c r="FI84" i="4" s="1"/>
  <c r="FH57" i="4"/>
  <c r="FG57" i="4"/>
  <c r="FF57" i="4"/>
  <c r="FF46" i="4" s="1"/>
  <c r="FF81" i="4" s="1"/>
  <c r="FF84" i="4" s="1"/>
  <c r="FD57" i="4"/>
  <c r="FD46" i="4" s="1"/>
  <c r="FD81" i="4" s="1"/>
  <c r="FD84" i="4" s="1"/>
  <c r="FC57" i="4"/>
  <c r="FC46" i="4" s="1"/>
  <c r="FC81" i="4" s="1"/>
  <c r="FC84" i="4" s="1"/>
  <c r="FB57" i="4"/>
  <c r="FB46" i="4" s="1"/>
  <c r="FB81" i="4" s="1"/>
  <c r="FB84" i="4" s="1"/>
  <c r="EL57" i="4"/>
  <c r="EL46" i="4" s="1"/>
  <c r="EL81" i="4" s="1"/>
  <c r="EL84" i="4" s="1"/>
  <c r="EH57" i="4"/>
  <c r="EH46" i="4" s="1"/>
  <c r="EH81" i="4" s="1"/>
  <c r="EH84" i="4" s="1"/>
  <c r="EG57" i="4"/>
  <c r="EF57" i="4"/>
  <c r="EF46" i="4" s="1"/>
  <c r="EF81" i="4" s="1"/>
  <c r="EF84" i="4" s="1"/>
  <c r="EE57" i="4"/>
  <c r="EE46" i="4" s="1"/>
  <c r="EE81" i="4" s="1"/>
  <c r="EE84" i="4" s="1"/>
  <c r="ED57" i="4"/>
  <c r="ED46" i="4" s="1"/>
  <c r="ED81" i="4" s="1"/>
  <c r="ED84" i="4" s="1"/>
  <c r="EC57" i="4"/>
  <c r="EC46" i="4" s="1"/>
  <c r="EC81" i="4" s="1"/>
  <c r="EC84" i="4" s="1"/>
  <c r="EB57" i="4"/>
  <c r="EB46" i="4" s="1"/>
  <c r="EB81" i="4" s="1"/>
  <c r="EB84" i="4" s="1"/>
  <c r="EA57" i="4"/>
  <c r="EA46" i="4" s="1"/>
  <c r="EA81" i="4" s="1"/>
  <c r="EA84" i="4" s="1"/>
  <c r="DZ57" i="4"/>
  <c r="DZ46" i="4" s="1"/>
  <c r="DZ81" i="4" s="1"/>
  <c r="DZ84" i="4" s="1"/>
  <c r="DY57" i="4"/>
  <c r="DX57" i="4"/>
  <c r="DW57" i="4"/>
  <c r="DV57" i="4"/>
  <c r="DV46" i="4" s="1"/>
  <c r="DV81" i="4" s="1"/>
  <c r="DV84" i="4" s="1"/>
  <c r="DU57" i="4"/>
  <c r="DU46" i="4" s="1"/>
  <c r="DU81" i="4" s="1"/>
  <c r="DU84" i="4" s="1"/>
  <c r="DT57" i="4"/>
  <c r="DT46" i="4" s="1"/>
  <c r="DT81" i="4" s="1"/>
  <c r="DT84" i="4" s="1"/>
  <c r="DS57" i="4"/>
  <c r="DS46" i="4" s="1"/>
  <c r="DS81" i="4" s="1"/>
  <c r="DS84" i="4" s="1"/>
  <c r="DR57" i="4"/>
  <c r="DQ57" i="4"/>
  <c r="DO57" i="4"/>
  <c r="DN57" i="4"/>
  <c r="DN46" i="4" s="1"/>
  <c r="DN81" i="4" s="1"/>
  <c r="DN84" i="4" s="1"/>
  <c r="DM57" i="4"/>
  <c r="DM46" i="4" s="1"/>
  <c r="DM81" i="4" s="1"/>
  <c r="DM84" i="4" s="1"/>
  <c r="DJ57" i="4"/>
  <c r="DJ46" i="4" s="1"/>
  <c r="DJ81" i="4" s="1"/>
  <c r="DJ84" i="4" s="1"/>
  <c r="DG57" i="4"/>
  <c r="DG46" i="4" s="1"/>
  <c r="DG81" i="4" s="1"/>
  <c r="DG84" i="4" s="1"/>
  <c r="CX57" i="4"/>
  <c r="CX46" i="4" s="1"/>
  <c r="CX81" i="4" s="1"/>
  <c r="CX84" i="4" s="1"/>
  <c r="CU57" i="4"/>
  <c r="CU46" i="4" s="1"/>
  <c r="CU81" i="4" s="1"/>
  <c r="CU84" i="4" s="1"/>
  <c r="CT57" i="4"/>
  <c r="CS57" i="4"/>
  <c r="CS46" i="4" s="1"/>
  <c r="CS81" i="4" s="1"/>
  <c r="CS84" i="4" s="1"/>
  <c r="CR57" i="4"/>
  <c r="CR46" i="4" s="1"/>
  <c r="CR81" i="4" s="1"/>
  <c r="CR84" i="4" s="1"/>
  <c r="CQ57" i="4"/>
  <c r="CQ46" i="4" s="1"/>
  <c r="CQ81" i="4" s="1"/>
  <c r="CQ84" i="4" s="1"/>
  <c r="CP57" i="4"/>
  <c r="CP46" i="4" s="1"/>
  <c r="CP81" i="4" s="1"/>
  <c r="CP84" i="4" s="1"/>
  <c r="CO57" i="4"/>
  <c r="CO46" i="4" s="1"/>
  <c r="CO81" i="4" s="1"/>
  <c r="CO84" i="4" s="1"/>
  <c r="CN57" i="4"/>
  <c r="CN46" i="4" s="1"/>
  <c r="CN81" i="4" s="1"/>
  <c r="CN84" i="4" s="1"/>
  <c r="CM57" i="4"/>
  <c r="CL57" i="4"/>
  <c r="CK57" i="4"/>
  <c r="CJ57" i="4"/>
  <c r="CI57" i="4"/>
  <c r="CI46" i="4" s="1"/>
  <c r="CI81" i="4" s="1"/>
  <c r="CI84" i="4" s="1"/>
  <c r="CH57" i="4"/>
  <c r="CH46" i="4" s="1"/>
  <c r="CH81" i="4" s="1"/>
  <c r="CH84" i="4" s="1"/>
  <c r="CG57" i="4"/>
  <c r="CG46" i="4" s="1"/>
  <c r="CG81" i="4" s="1"/>
  <c r="CG84" i="4" s="1"/>
  <c r="CF57" i="4"/>
  <c r="CF46" i="4" s="1"/>
  <c r="CF81" i="4" s="1"/>
  <c r="CF84" i="4" s="1"/>
  <c r="CE57" i="4"/>
  <c r="CD57" i="4"/>
  <c r="CC57" i="4"/>
  <c r="CC46" i="4" s="1"/>
  <c r="CC81" i="4" s="1"/>
  <c r="CC84" i="4" s="1"/>
  <c r="CA57" i="4"/>
  <c r="CA46" i="4" s="1"/>
  <c r="CA81" i="4" s="1"/>
  <c r="CA84" i="4" s="1"/>
  <c r="BZ57" i="4"/>
  <c r="BZ46" i="4" s="1"/>
  <c r="BZ81" i="4" s="1"/>
  <c r="BZ84" i="4" s="1"/>
  <c r="BY57" i="4"/>
  <c r="BY46" i="4" s="1"/>
  <c r="BY81" i="4" s="1"/>
  <c r="BY84" i="4" s="1"/>
  <c r="BV57" i="4"/>
  <c r="BS57" i="4"/>
  <c r="BS46" i="4" s="1"/>
  <c r="BS81" i="4" s="1"/>
  <c r="BS84" i="4" s="1"/>
  <c r="BJ57" i="4"/>
  <c r="BJ46" i="4" s="1"/>
  <c r="BJ81" i="4" s="1"/>
  <c r="BJ84" i="4" s="1"/>
  <c r="BG57" i="4"/>
  <c r="BF57" i="4"/>
  <c r="BE57" i="4"/>
  <c r="BE46" i="4" s="1"/>
  <c r="BE81" i="4" s="1"/>
  <c r="BE84" i="4" s="1"/>
  <c r="BD57" i="4"/>
  <c r="BD46" i="4" s="1"/>
  <c r="BD81" i="4" s="1"/>
  <c r="BD84" i="4" s="1"/>
  <c r="BC57" i="4"/>
  <c r="BC46" i="4" s="1"/>
  <c r="BC81" i="4" s="1"/>
  <c r="BC84" i="4" s="1"/>
  <c r="BB57" i="4"/>
  <c r="BA57" i="4"/>
  <c r="BA46" i="4" s="1"/>
  <c r="BA81" i="4" s="1"/>
  <c r="BA84" i="4" s="1"/>
  <c r="AZ57" i="4"/>
  <c r="AY57" i="4"/>
  <c r="AX57" i="4"/>
  <c r="AX46" i="4" s="1"/>
  <c r="AX81" i="4" s="1"/>
  <c r="AX84" i="4" s="1"/>
  <c r="AW57" i="4"/>
  <c r="AW46" i="4" s="1"/>
  <c r="AW81" i="4" s="1"/>
  <c r="AW84" i="4" s="1"/>
  <c r="AV57" i="4"/>
  <c r="AV46" i="4" s="1"/>
  <c r="AV81" i="4" s="1"/>
  <c r="AV84" i="4" s="1"/>
  <c r="AU57" i="4"/>
  <c r="AU46" i="4" s="1"/>
  <c r="AU81" i="4" s="1"/>
  <c r="AU84" i="4" s="1"/>
  <c r="AT57" i="4"/>
  <c r="AT46" i="4" s="1"/>
  <c r="AT81" i="4" s="1"/>
  <c r="AT84" i="4" s="1"/>
  <c r="AS57" i="4"/>
  <c r="AS46" i="4" s="1"/>
  <c r="AS81" i="4" s="1"/>
  <c r="AS84" i="4" s="1"/>
  <c r="AR57" i="4"/>
  <c r="AQ57" i="4"/>
  <c r="AP57" i="4"/>
  <c r="AO57" i="4"/>
  <c r="AM57" i="4"/>
  <c r="AM46" i="4" s="1"/>
  <c r="AM81" i="4" s="1"/>
  <c r="AM84" i="4" s="1"/>
  <c r="AL57" i="4"/>
  <c r="AL46" i="4" s="1"/>
  <c r="AL81" i="4" s="1"/>
  <c r="AL84" i="4" s="1"/>
  <c r="AK57" i="4"/>
  <c r="AH57" i="4"/>
  <c r="AH46" i="4" s="1"/>
  <c r="AH81" i="4" s="1"/>
  <c r="AH84" i="4" s="1"/>
  <c r="AE57" i="4"/>
  <c r="AD57" i="4"/>
  <c r="AC57" i="4"/>
  <c r="AC46" i="4" s="1"/>
  <c r="AC81" i="4" s="1"/>
  <c r="AC84" i="4" s="1"/>
  <c r="AB57" i="4"/>
  <c r="AB46" i="4" s="1"/>
  <c r="AB81" i="4" s="1"/>
  <c r="AB84" i="4" s="1"/>
  <c r="Z57" i="4"/>
  <c r="Z46" i="4" s="1"/>
  <c r="Z81" i="4" s="1"/>
  <c r="Z84" i="4" s="1"/>
  <c r="Y57" i="4"/>
  <c r="Y46" i="4" s="1"/>
  <c r="Y81" i="4" s="1"/>
  <c r="Y84" i="4" s="1"/>
  <c r="X57" i="4"/>
  <c r="X46" i="4" s="1"/>
  <c r="X81" i="4" s="1"/>
  <c r="X84" i="4" s="1"/>
  <c r="U57" i="4"/>
  <c r="U46" i="4" s="1"/>
  <c r="U81" i="4" s="1"/>
  <c r="U84" i="4" s="1"/>
  <c r="T57" i="4"/>
  <c r="T46" i="4" s="1"/>
  <c r="T81" i="4" s="1"/>
  <c r="T84" i="4" s="1"/>
  <c r="S57" i="4"/>
  <c r="R57" i="4"/>
  <c r="Q57" i="4"/>
  <c r="P57" i="4"/>
  <c r="P46" i="4" s="1"/>
  <c r="P81" i="4" s="1"/>
  <c r="P84" i="4" s="1"/>
  <c r="O57" i="4"/>
  <c r="O46" i="4" s="1"/>
  <c r="O81" i="4" s="1"/>
  <c r="O84" i="4" s="1"/>
  <c r="N57" i="4"/>
  <c r="N46" i="4" s="1"/>
  <c r="N81" i="4" s="1"/>
  <c r="N84" i="4" s="1"/>
  <c r="M57" i="4"/>
  <c r="M46" i="4" s="1"/>
  <c r="M81" i="4" s="1"/>
  <c r="M84" i="4" s="1"/>
  <c r="L57" i="4"/>
  <c r="L46" i="4" s="1"/>
  <c r="L81" i="4" s="1"/>
  <c r="L84" i="4" s="1"/>
  <c r="K57" i="4"/>
  <c r="J57" i="4"/>
  <c r="J46" i="4" s="1"/>
  <c r="J81" i="4" s="1"/>
  <c r="J84" i="4" s="1"/>
  <c r="I57" i="4"/>
  <c r="I46" i="4" s="1"/>
  <c r="I81" i="4" s="1"/>
  <c r="I84" i="4" s="1"/>
  <c r="H57" i="4"/>
  <c r="H46" i="4" s="1"/>
  <c r="H81" i="4" s="1"/>
  <c r="H84" i="4" s="1"/>
  <c r="G57" i="4"/>
  <c r="G46" i="4" s="1"/>
  <c r="G81" i="4" s="1"/>
  <c r="G84" i="4" s="1"/>
  <c r="F57" i="4"/>
  <c r="E57" i="4"/>
  <c r="E46" i="4" s="1"/>
  <c r="E81" i="4" s="1"/>
  <c r="E84" i="4" s="1"/>
  <c r="D57" i="4"/>
  <c r="D46" i="4" s="1"/>
  <c r="D81" i="4" s="1"/>
  <c r="D84" i="4" s="1"/>
  <c r="A57" i="4"/>
  <c r="ID56" i="4"/>
  <c r="GO56" i="4"/>
  <c r="EZ56" i="4"/>
  <c r="DK56" i="4"/>
  <c r="BW56" i="4"/>
  <c r="AI56" i="4"/>
  <c r="A56" i="4"/>
  <c r="ID55" i="4"/>
  <c r="GO55" i="4"/>
  <c r="EZ55" i="4"/>
  <c r="DK55" i="4"/>
  <c r="BW55" i="4"/>
  <c r="AI55" i="4"/>
  <c r="A55" i="4"/>
  <c r="GT57" i="4"/>
  <c r="GT46" i="4" s="1"/>
  <c r="GT81" i="4" s="1"/>
  <c r="GT84" i="4" s="1"/>
  <c r="FE57" i="4"/>
  <c r="DP57" i="4"/>
  <c r="DP46" i="4" s="1"/>
  <c r="DP81" i="4" s="1"/>
  <c r="DP84" i="4" s="1"/>
  <c r="CB57" i="4"/>
  <c r="CB46" i="4" s="1"/>
  <c r="AN57" i="4"/>
  <c r="AN46" i="4" s="1"/>
  <c r="AN81" i="4" s="1"/>
  <c r="AN84" i="4" s="1"/>
  <c r="A54" i="4"/>
  <c r="DH57" i="4"/>
  <c r="DH46" i="4" s="1"/>
  <c r="DH81" i="4" s="1"/>
  <c r="DH84" i="4" s="1"/>
  <c r="AI53" i="4"/>
  <c r="A53" i="4"/>
  <c r="BK57" i="4"/>
  <c r="BK46" i="4" s="1"/>
  <c r="BK81" i="4" s="1"/>
  <c r="BK84" i="4" s="1"/>
  <c r="A52" i="4"/>
  <c r="HT57" i="4"/>
  <c r="HT46" i="4" s="1"/>
  <c r="HT81" i="4" s="1"/>
  <c r="HT84" i="4" s="1"/>
  <c r="GE57" i="4"/>
  <c r="GE46" i="4" s="1"/>
  <c r="GE81" i="4" s="1"/>
  <c r="GE84" i="4" s="1"/>
  <c r="CZ57" i="4"/>
  <c r="CZ46" i="4" s="1"/>
  <c r="CZ81" i="4" s="1"/>
  <c r="CZ84" i="4" s="1"/>
  <c r="BT57" i="4"/>
  <c r="BT81" i="4" s="1"/>
  <c r="BT84" i="4" s="1"/>
  <c r="BL57" i="4"/>
  <c r="BL46" i="4" s="1"/>
  <c r="BL81" i="4" s="1"/>
  <c r="BL84" i="4" s="1"/>
  <c r="A51" i="4"/>
  <c r="A50" i="4"/>
  <c r="A49" i="4"/>
  <c r="A48" i="4"/>
  <c r="A47" i="4"/>
  <c r="HZ46" i="4"/>
  <c r="HZ81" i="4" s="1"/>
  <c r="HZ84" i="4" s="1"/>
  <c r="HG46" i="4"/>
  <c r="HG81" i="4" s="1"/>
  <c r="HG84" i="4" s="1"/>
  <c r="HB46" i="4"/>
  <c r="HB81" i="4" s="1"/>
  <c r="HB84" i="4" s="1"/>
  <c r="GY46" i="4"/>
  <c r="GY81" i="4" s="1"/>
  <c r="GY84" i="4" s="1"/>
  <c r="GW46" i="4"/>
  <c r="GW81" i="4" s="1"/>
  <c r="GW84" i="4" s="1"/>
  <c r="GA46" i="4"/>
  <c r="GA81" i="4" s="1"/>
  <c r="GA84" i="4" s="1"/>
  <c r="FW46" i="4"/>
  <c r="FW81" i="4" s="1"/>
  <c r="FW84" i="4" s="1"/>
  <c r="FP46" i="4"/>
  <c r="FP81" i="4" s="1"/>
  <c r="FP84" i="4" s="1"/>
  <c r="FK46" i="4"/>
  <c r="FK81" i="4" s="1"/>
  <c r="FK84" i="4" s="1"/>
  <c r="FH46" i="4"/>
  <c r="FH81" i="4" s="1"/>
  <c r="FH84" i="4" s="1"/>
  <c r="FG46" i="4"/>
  <c r="FG81" i="4" s="1"/>
  <c r="FG84" i="4" s="1"/>
  <c r="FE46" i="4"/>
  <c r="FE81" i="4" s="1"/>
  <c r="FE84" i="4" s="1"/>
  <c r="EG46" i="4"/>
  <c r="EG81" i="4" s="1"/>
  <c r="EG84" i="4" s="1"/>
  <c r="DY46" i="4"/>
  <c r="DY81" i="4" s="1"/>
  <c r="DY84" i="4" s="1"/>
  <c r="DX46" i="4"/>
  <c r="DX81" i="4" s="1"/>
  <c r="DX84" i="4" s="1"/>
  <c r="DW46" i="4"/>
  <c r="DW81" i="4" s="1"/>
  <c r="DW84" i="4" s="1"/>
  <c r="DQ46" i="4"/>
  <c r="DQ81" i="4" s="1"/>
  <c r="DQ84" i="4" s="1"/>
  <c r="DO46" i="4"/>
  <c r="DO81" i="4" s="1"/>
  <c r="DO84" i="4" s="1"/>
  <c r="CT46" i="4"/>
  <c r="CT81" i="4" s="1"/>
  <c r="CT84" i="4" s="1"/>
  <c r="CL46" i="4"/>
  <c r="CL81" i="4" s="1"/>
  <c r="CL84" i="4" s="1"/>
  <c r="CK46" i="4"/>
  <c r="CK81" i="4" s="1"/>
  <c r="CK84" i="4" s="1"/>
  <c r="CJ46" i="4"/>
  <c r="CJ81" i="4" s="1"/>
  <c r="CJ84" i="4" s="1"/>
  <c r="CD46" i="4"/>
  <c r="CD81" i="4" s="1"/>
  <c r="CD84" i="4" s="1"/>
  <c r="BV46" i="4"/>
  <c r="BV81" i="4" s="1"/>
  <c r="BV84" i="4" s="1"/>
  <c r="BG46" i="4"/>
  <c r="BG81" i="4" s="1"/>
  <c r="BG84" i="4" s="1"/>
  <c r="BF46" i="4"/>
  <c r="BF81" i="4" s="1"/>
  <c r="BF84" i="4" s="1"/>
  <c r="BB46" i="4"/>
  <c r="BB81" i="4" s="1"/>
  <c r="BB84" i="4" s="1"/>
  <c r="AY46" i="4"/>
  <c r="AY81" i="4" s="1"/>
  <c r="AY84" i="4" s="1"/>
  <c r="AQ46" i="4"/>
  <c r="AQ81" i="4" s="1"/>
  <c r="AQ84" i="4" s="1"/>
  <c r="AP46" i="4"/>
  <c r="AP81" i="4" s="1"/>
  <c r="AP84" i="4" s="1"/>
  <c r="AO46" i="4"/>
  <c r="AO81" i="4" s="1"/>
  <c r="AO84" i="4" s="1"/>
  <c r="AK46" i="4"/>
  <c r="AK81" i="4" s="1"/>
  <c r="AK84" i="4" s="1"/>
  <c r="AD46" i="4"/>
  <c r="AD81" i="4" s="1"/>
  <c r="AD84" i="4" s="1"/>
  <c r="S46" i="4"/>
  <c r="S81" i="4" s="1"/>
  <c r="S84" i="4" s="1"/>
  <c r="R46" i="4"/>
  <c r="R81" i="4" s="1"/>
  <c r="R84" i="4" s="1"/>
  <c r="Q46" i="4"/>
  <c r="Q81" i="4" s="1"/>
  <c r="Q84" i="4" s="1"/>
  <c r="K46" i="4"/>
  <c r="K81" i="4" s="1"/>
  <c r="K84" i="4" s="1"/>
  <c r="F46" i="4"/>
  <c r="F81" i="4" s="1"/>
  <c r="F84" i="4" s="1"/>
  <c r="A46" i="4"/>
  <c r="A45" i="4"/>
  <c r="A44" i="4"/>
  <c r="AO43" i="4"/>
  <c r="AN43" i="4"/>
  <c r="A43" i="4"/>
  <c r="A42" i="4"/>
  <c r="ID41" i="4"/>
  <c r="GO41" i="4"/>
  <c r="EZ41" i="4"/>
  <c r="DK41" i="4"/>
  <c r="BW41" i="4"/>
  <c r="AI41" i="4"/>
  <c r="A41" i="4"/>
  <c r="A40" i="4"/>
  <c r="A39" i="4"/>
  <c r="DK38" i="4"/>
  <c r="A38" i="4"/>
  <c r="ID37" i="4"/>
  <c r="GO37" i="4"/>
  <c r="EZ37" i="4"/>
  <c r="DK37" i="4"/>
  <c r="BW37" i="4"/>
  <c r="AI37" i="4"/>
  <c r="AJ37" i="4" s="1"/>
  <c r="A37" i="4"/>
  <c r="A36" i="4"/>
  <c r="A35" i="4"/>
  <c r="A34" i="4"/>
  <c r="DK33" i="4"/>
  <c r="BW33" i="4"/>
  <c r="AI33" i="4"/>
  <c r="A33" i="4"/>
  <c r="DK32" i="4"/>
  <c r="BW32" i="4"/>
  <c r="A32" i="4"/>
  <c r="A31" i="4"/>
  <c r="DK30" i="4"/>
  <c r="BW30" i="4"/>
  <c r="A30" i="4"/>
  <c r="DK29" i="4"/>
  <c r="BW29" i="4"/>
  <c r="A29" i="4"/>
  <c r="DK28" i="4"/>
  <c r="BW28" i="4"/>
  <c r="AI28" i="4"/>
  <c r="A28" i="4"/>
  <c r="A27" i="4"/>
  <c r="IC26" i="4"/>
  <c r="IC42" i="4" s="1"/>
  <c r="HZ26" i="4"/>
  <c r="HZ42" i="4" s="1"/>
  <c r="HY26" i="4"/>
  <c r="HY42" i="4" s="1"/>
  <c r="HX26" i="4"/>
  <c r="HW26" i="4"/>
  <c r="HV26" i="4"/>
  <c r="HU26" i="4"/>
  <c r="HT26" i="4"/>
  <c r="HS26" i="4"/>
  <c r="HR26" i="4"/>
  <c r="HR42" i="4" s="1"/>
  <c r="HQ26" i="4"/>
  <c r="HQ42" i="4" s="1"/>
  <c r="HP26" i="4"/>
  <c r="HP42" i="4" s="1"/>
  <c r="HO26" i="4"/>
  <c r="HO42" i="4" s="1"/>
  <c r="HN26" i="4"/>
  <c r="HM26" i="4"/>
  <c r="HM42" i="4" s="1"/>
  <c r="HL26" i="4"/>
  <c r="HK26" i="4"/>
  <c r="HK42" i="4" s="1"/>
  <c r="HJ26" i="4"/>
  <c r="HJ42" i="4" s="1"/>
  <c r="HI26" i="4"/>
  <c r="HI42" i="4" s="1"/>
  <c r="HH26" i="4"/>
  <c r="HH42" i="4" s="1"/>
  <c r="HG26" i="4"/>
  <c r="HG42" i="4" s="1"/>
  <c r="HF26" i="4"/>
  <c r="HF42" i="4" s="1"/>
  <c r="HE26" i="4"/>
  <c r="HD26" i="4"/>
  <c r="HD42" i="4" s="1"/>
  <c r="HC26" i="4"/>
  <c r="HC42" i="4" s="1"/>
  <c r="HB26" i="4"/>
  <c r="HB42" i="4" s="1"/>
  <c r="HA26" i="4"/>
  <c r="GZ26" i="4"/>
  <c r="GZ42" i="4" s="1"/>
  <c r="GY26" i="4"/>
  <c r="GY42" i="4" s="1"/>
  <c r="GX26" i="4"/>
  <c r="GX42" i="4" s="1"/>
  <c r="GW26" i="4"/>
  <c r="GW42" i="4" s="1"/>
  <c r="GV26" i="4"/>
  <c r="GV42" i="4" s="1"/>
  <c r="GU26" i="4"/>
  <c r="GT26" i="4"/>
  <c r="GS26" i="4"/>
  <c r="GS42" i="4" s="1"/>
  <c r="GR26" i="4"/>
  <c r="GR42" i="4" s="1"/>
  <c r="GQ26" i="4"/>
  <c r="GN26" i="4"/>
  <c r="GN42" i="4" s="1"/>
  <c r="GK26" i="4"/>
  <c r="GJ26" i="4"/>
  <c r="GJ42" i="4" s="1"/>
  <c r="GI26" i="4"/>
  <c r="GH26" i="4"/>
  <c r="GG26" i="4"/>
  <c r="GF26" i="4"/>
  <c r="GE26" i="4"/>
  <c r="GD26" i="4"/>
  <c r="GC26" i="4"/>
  <c r="GC42" i="4" s="1"/>
  <c r="GB26" i="4"/>
  <c r="GA26" i="4"/>
  <c r="GA42" i="4" s="1"/>
  <c r="FZ26" i="4"/>
  <c r="FZ42" i="4" s="1"/>
  <c r="FY26" i="4"/>
  <c r="FY42" i="4" s="1"/>
  <c r="FX26" i="4"/>
  <c r="FW26" i="4"/>
  <c r="FV26" i="4"/>
  <c r="FV42" i="4" s="1"/>
  <c r="FU26" i="4"/>
  <c r="FU42" i="4" s="1"/>
  <c r="FT26" i="4"/>
  <c r="FT42" i="4" s="1"/>
  <c r="FS26" i="4"/>
  <c r="FS42" i="4" s="1"/>
  <c r="FR26" i="4"/>
  <c r="FR42" i="4" s="1"/>
  <c r="FQ26" i="4"/>
  <c r="FQ42" i="4" s="1"/>
  <c r="FP26" i="4"/>
  <c r="FP42" i="4" s="1"/>
  <c r="FO26" i="4"/>
  <c r="FO42" i="4" s="1"/>
  <c r="FN26" i="4"/>
  <c r="FN42" i="4" s="1"/>
  <c r="FM26" i="4"/>
  <c r="FM42" i="4" s="1"/>
  <c r="FL26" i="4"/>
  <c r="FK26" i="4"/>
  <c r="FK42" i="4" s="1"/>
  <c r="FJ26" i="4"/>
  <c r="FJ42" i="4" s="1"/>
  <c r="FI26" i="4"/>
  <c r="FI42" i="4" s="1"/>
  <c r="FH26" i="4"/>
  <c r="FH42" i="4" s="1"/>
  <c r="FG26" i="4"/>
  <c r="FG42" i="4" s="1"/>
  <c r="FF26" i="4"/>
  <c r="FE26" i="4"/>
  <c r="FD26" i="4"/>
  <c r="FD42" i="4" s="1"/>
  <c r="FC26" i="4"/>
  <c r="FC42" i="4" s="1"/>
  <c r="FB26" i="4"/>
  <c r="EY26" i="4"/>
  <c r="EV26" i="4"/>
  <c r="EU26" i="4"/>
  <c r="EU42" i="4" s="1"/>
  <c r="ET26" i="4"/>
  <c r="ES26" i="4"/>
  <c r="ER26" i="4"/>
  <c r="EQ26" i="4"/>
  <c r="EP26" i="4"/>
  <c r="EO26" i="4"/>
  <c r="EN26" i="4"/>
  <c r="EN42" i="4" s="1"/>
  <c r="EM26" i="4"/>
  <c r="EL26" i="4"/>
  <c r="EK26" i="4"/>
  <c r="EJ26" i="4"/>
  <c r="EJ42" i="4" s="1"/>
  <c r="EI26" i="4"/>
  <c r="EH26" i="4"/>
  <c r="EG26" i="4"/>
  <c r="EG42" i="4" s="1"/>
  <c r="EF26" i="4"/>
  <c r="EF42" i="4" s="1"/>
  <c r="EE26" i="4"/>
  <c r="EE42" i="4" s="1"/>
  <c r="ED26" i="4"/>
  <c r="ED42" i="4" s="1"/>
  <c r="EC26" i="4"/>
  <c r="EC42" i="4" s="1"/>
  <c r="EB26" i="4"/>
  <c r="EB42" i="4" s="1"/>
  <c r="EA26" i="4"/>
  <c r="DZ26" i="4"/>
  <c r="DZ42" i="4" s="1"/>
  <c r="DY26" i="4"/>
  <c r="DY42" i="4" s="1"/>
  <c r="DX26" i="4"/>
  <c r="DX42" i="4" s="1"/>
  <c r="DW26" i="4"/>
  <c r="DV26" i="4"/>
  <c r="DV42" i="4" s="1"/>
  <c r="DU26" i="4"/>
  <c r="DU42" i="4" s="1"/>
  <c r="DT26" i="4"/>
  <c r="DT42" i="4" s="1"/>
  <c r="DS26" i="4"/>
  <c r="DS42" i="4" s="1"/>
  <c r="DR26" i="4"/>
  <c r="DR42" i="4" s="1"/>
  <c r="DQ26" i="4"/>
  <c r="DP26" i="4"/>
  <c r="DP42" i="4" s="1"/>
  <c r="DO26" i="4"/>
  <c r="DO42" i="4" s="1"/>
  <c r="DN26" i="4"/>
  <c r="DN42" i="4" s="1"/>
  <c r="DM26" i="4"/>
  <c r="DJ26" i="4"/>
  <c r="DJ42" i="4" s="1"/>
  <c r="DH26" i="4"/>
  <c r="DH42" i="4" s="1"/>
  <c r="DG26" i="4"/>
  <c r="DG42" i="4" s="1"/>
  <c r="DF26" i="4"/>
  <c r="DE26" i="4"/>
  <c r="DD26" i="4"/>
  <c r="DC26" i="4"/>
  <c r="DB26" i="4"/>
  <c r="DB42" i="4" s="1"/>
  <c r="DA26" i="4"/>
  <c r="CZ26" i="4"/>
  <c r="CZ42" i="4" s="1"/>
  <c r="CY26" i="4"/>
  <c r="CY42" i="4" s="1"/>
  <c r="CX26" i="4"/>
  <c r="CX42" i="4" s="1"/>
  <c r="CW26" i="4"/>
  <c r="CW42" i="4" s="1"/>
  <c r="CV26" i="4"/>
  <c r="CV42" i="4" s="1"/>
  <c r="CU26" i="4"/>
  <c r="CU42" i="4" s="1"/>
  <c r="CT26" i="4"/>
  <c r="CT42" i="4" s="1"/>
  <c r="CS26" i="4"/>
  <c r="CS42" i="4" s="1"/>
  <c r="CR26" i="4"/>
  <c r="CR42" i="4" s="1"/>
  <c r="CQ26" i="4"/>
  <c r="CQ42" i="4" s="1"/>
  <c r="CP26" i="4"/>
  <c r="CP42" i="4" s="1"/>
  <c r="CO26" i="4"/>
  <c r="CO42" i="4" s="1"/>
  <c r="CN26" i="4"/>
  <c r="CN42" i="4" s="1"/>
  <c r="CM26" i="4"/>
  <c r="CM42" i="4" s="1"/>
  <c r="CL26" i="4"/>
  <c r="CL42" i="4" s="1"/>
  <c r="CK26" i="4"/>
  <c r="CK42" i="4" s="1"/>
  <c r="CJ26" i="4"/>
  <c r="CJ42" i="4" s="1"/>
  <c r="CI26" i="4"/>
  <c r="CH26" i="4"/>
  <c r="CH42" i="4" s="1"/>
  <c r="CG26" i="4"/>
  <c r="CG42" i="4" s="1"/>
  <c r="CF26" i="4"/>
  <c r="CF42" i="4" s="1"/>
  <c r="CE26" i="4"/>
  <c r="CE42" i="4" s="1"/>
  <c r="CD26" i="4"/>
  <c r="CD42" i="4" s="1"/>
  <c r="CC26" i="4"/>
  <c r="CB26" i="4"/>
  <c r="CA26" i="4"/>
  <c r="CA42" i="4" s="1"/>
  <c r="BZ26" i="4"/>
  <c r="BZ42" i="4" s="1"/>
  <c r="BY26" i="4"/>
  <c r="BV26" i="4"/>
  <c r="BV42" i="4" s="1"/>
  <c r="BU26" i="4"/>
  <c r="BT26" i="4"/>
  <c r="BT42" i="4" s="1"/>
  <c r="BS26" i="4"/>
  <c r="BS42" i="4" s="1"/>
  <c r="BR26" i="4"/>
  <c r="BQ26" i="4"/>
  <c r="BP26" i="4"/>
  <c r="BO26" i="4"/>
  <c r="BN26" i="4"/>
  <c r="BM26" i="4"/>
  <c r="BL26" i="4"/>
  <c r="BL42" i="4" s="1"/>
  <c r="BK26" i="4"/>
  <c r="BK42" i="4" s="1"/>
  <c r="BJ26" i="4"/>
  <c r="BJ42" i="4" s="1"/>
  <c r="BI26" i="4"/>
  <c r="BH26" i="4"/>
  <c r="BG26" i="4"/>
  <c r="BG42" i="4" s="1"/>
  <c r="BF26" i="4"/>
  <c r="BF42" i="4" s="1"/>
  <c r="BE26" i="4"/>
  <c r="BE42" i="4" s="1"/>
  <c r="BD26" i="4"/>
  <c r="BD42" i="4" s="1"/>
  <c r="BC26" i="4"/>
  <c r="BC42" i="4" s="1"/>
  <c r="BB26" i="4"/>
  <c r="BB42" i="4" s="1"/>
  <c r="BA26" i="4"/>
  <c r="AZ26" i="4"/>
  <c r="AZ42" i="4" s="1"/>
  <c r="AY26" i="4"/>
  <c r="AY42" i="4" s="1"/>
  <c r="AX26" i="4"/>
  <c r="AX42" i="4" s="1"/>
  <c r="AW26" i="4"/>
  <c r="AW42" i="4" s="1"/>
  <c r="AV26" i="4"/>
  <c r="AV42" i="4" s="1"/>
  <c r="AU26" i="4"/>
  <c r="AT26" i="4"/>
  <c r="AT42" i="4" s="1"/>
  <c r="AS26" i="4"/>
  <c r="AR26" i="4"/>
  <c r="AR42" i="4" s="1"/>
  <c r="AQ26" i="4"/>
  <c r="AQ42" i="4" s="1"/>
  <c r="AP26" i="4"/>
  <c r="AP42" i="4" s="1"/>
  <c r="AO26" i="4"/>
  <c r="AN26" i="4"/>
  <c r="AN42" i="4" s="1"/>
  <c r="AM26" i="4"/>
  <c r="AL26" i="4"/>
  <c r="AL42" i="4" s="1"/>
  <c r="AH26" i="4"/>
  <c r="AH42" i="4" s="1"/>
  <c r="AG26" i="4"/>
  <c r="AF26" i="4"/>
  <c r="AF42" i="4" s="1"/>
  <c r="AE26" i="4"/>
  <c r="AE42" i="4" s="1"/>
  <c r="AD26" i="4"/>
  <c r="AD42" i="4" s="1"/>
  <c r="AC26" i="4"/>
  <c r="AB26" i="4"/>
  <c r="AB42" i="4" s="1"/>
  <c r="AA26" i="4"/>
  <c r="Z26" i="4"/>
  <c r="Z42" i="4" s="1"/>
  <c r="Y26" i="4"/>
  <c r="Y42" i="4" s="1"/>
  <c r="X26" i="4"/>
  <c r="W26" i="4"/>
  <c r="V26" i="4"/>
  <c r="V42" i="4" s="1"/>
  <c r="U26" i="4"/>
  <c r="T26" i="4"/>
  <c r="S26" i="4"/>
  <c r="R26" i="4"/>
  <c r="Q26" i="4"/>
  <c r="P26" i="4"/>
  <c r="P42" i="4" s="1"/>
  <c r="O26" i="4"/>
  <c r="N26" i="4"/>
  <c r="M26" i="4"/>
  <c r="L26" i="4"/>
  <c r="L42" i="4" s="1"/>
  <c r="K26" i="4"/>
  <c r="K42" i="4" s="1"/>
  <c r="J26" i="4"/>
  <c r="I26" i="4"/>
  <c r="H26" i="4"/>
  <c r="G26" i="4"/>
  <c r="F26" i="4"/>
  <c r="A26" i="4"/>
  <c r="ID25" i="4"/>
  <c r="GO25" i="4"/>
  <c r="EZ25" i="4"/>
  <c r="DK25" i="4"/>
  <c r="BW25" i="4"/>
  <c r="AI25" i="4"/>
  <c r="AJ25" i="4" s="1"/>
  <c r="A25" i="4"/>
  <c r="ID24" i="4"/>
  <c r="GO24" i="4"/>
  <c r="EZ24" i="4"/>
  <c r="DK24" i="4"/>
  <c r="BW24" i="4"/>
  <c r="AI24" i="4"/>
  <c r="AJ24" i="4" s="1"/>
  <c r="A24" i="4"/>
  <c r="ID23" i="4"/>
  <c r="GO23" i="4"/>
  <c r="EZ23" i="4"/>
  <c r="DK23" i="4"/>
  <c r="A23" i="4"/>
  <c r="ID22" i="4"/>
  <c r="GO22" i="4"/>
  <c r="EZ22" i="4"/>
  <c r="DK22" i="4"/>
  <c r="BW22" i="4"/>
  <c r="AI22" i="4"/>
  <c r="A22" i="4"/>
  <c r="A21" i="4"/>
  <c r="A20" i="4"/>
  <c r="A19" i="4"/>
  <c r="A18" i="4"/>
  <c r="IC17" i="4"/>
  <c r="HZ17" i="4"/>
  <c r="HY17" i="4"/>
  <c r="HX17" i="4"/>
  <c r="HW17" i="4"/>
  <c r="HV17" i="4"/>
  <c r="HU17" i="4"/>
  <c r="HT17" i="4"/>
  <c r="HS17" i="4"/>
  <c r="HR17" i="4"/>
  <c r="HQ17" i="4"/>
  <c r="HP17" i="4"/>
  <c r="HO17" i="4"/>
  <c r="HM17" i="4"/>
  <c r="HL17" i="4"/>
  <c r="HK17" i="4"/>
  <c r="HJ17" i="4"/>
  <c r="HI17" i="4"/>
  <c r="HH17" i="4"/>
  <c r="HG17" i="4"/>
  <c r="HF17" i="4"/>
  <c r="HE17" i="4"/>
  <c r="HD17" i="4"/>
  <c r="HC17" i="4"/>
  <c r="HB17" i="4"/>
  <c r="HA17" i="4"/>
  <c r="GZ17" i="4"/>
  <c r="GY17" i="4"/>
  <c r="GX17" i="4"/>
  <c r="GW17" i="4"/>
  <c r="GV17" i="4"/>
  <c r="GU17" i="4"/>
  <c r="GT17" i="4"/>
  <c r="GS17" i="4"/>
  <c r="GR17" i="4"/>
  <c r="GN17" i="4"/>
  <c r="GK17" i="4"/>
  <c r="GJ17" i="4"/>
  <c r="GI17" i="4"/>
  <c r="GH17" i="4"/>
  <c r="GG17" i="4"/>
  <c r="GF17" i="4"/>
  <c r="GE17" i="4"/>
  <c r="GD17" i="4"/>
  <c r="GC17" i="4"/>
  <c r="GB17" i="4"/>
  <c r="GA17" i="4"/>
  <c r="FZ17" i="4"/>
  <c r="FX17" i="4"/>
  <c r="FW17" i="4"/>
  <c r="FV17" i="4"/>
  <c r="FU17" i="4"/>
  <c r="FT17" i="4"/>
  <c r="FS17" i="4"/>
  <c r="FR17" i="4"/>
  <c r="FQ17" i="4"/>
  <c r="FP17" i="4"/>
  <c r="FO17" i="4"/>
  <c r="FN17" i="4"/>
  <c r="FM17" i="4"/>
  <c r="FL17" i="4"/>
  <c r="FK17" i="4"/>
  <c r="FJ17" i="4"/>
  <c r="FI17" i="4"/>
  <c r="FH17" i="4"/>
  <c r="FG17" i="4"/>
  <c r="FF17" i="4"/>
  <c r="FE17" i="4"/>
  <c r="FD17" i="4"/>
  <c r="FC17" i="4"/>
  <c r="EV17" i="4"/>
  <c r="ET17" i="4"/>
  <c r="ES17" i="4"/>
  <c r="ER17" i="4"/>
  <c r="EQ17" i="4"/>
  <c r="EP17" i="4"/>
  <c r="EO17" i="4"/>
  <c r="EN17" i="4"/>
  <c r="EM17" i="4"/>
  <c r="EL17" i="4"/>
  <c r="EK17" i="4"/>
  <c r="EI17" i="4"/>
  <c r="EH17" i="4"/>
  <c r="EG17" i="4"/>
  <c r="EF17" i="4"/>
  <c r="EE17" i="4"/>
  <c r="ED17" i="4"/>
  <c r="ED44" i="4" s="1"/>
  <c r="EC17" i="4"/>
  <c r="EC44" i="4" s="1"/>
  <c r="EB17" i="4"/>
  <c r="EB44" i="4" s="1"/>
  <c r="EA17" i="4"/>
  <c r="DZ17" i="4"/>
  <c r="DZ44" i="4" s="1"/>
  <c r="DY17" i="4"/>
  <c r="DX17" i="4"/>
  <c r="DW17" i="4"/>
  <c r="DV17" i="4"/>
  <c r="DU17" i="4"/>
  <c r="DU44" i="4" s="1"/>
  <c r="DT17" i="4"/>
  <c r="DT44" i="4" s="1"/>
  <c r="DS17" i="4"/>
  <c r="DS44" i="4" s="1"/>
  <c r="DR17" i="4"/>
  <c r="DR44" i="4" s="1"/>
  <c r="DQ17" i="4"/>
  <c r="DP17" i="4"/>
  <c r="DO17" i="4"/>
  <c r="DN17" i="4"/>
  <c r="DN44" i="4" s="1"/>
  <c r="DJ17" i="4"/>
  <c r="DH17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L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A17" i="4"/>
  <c r="ID16" i="4"/>
  <c r="HN17" i="4"/>
  <c r="FY17" i="4"/>
  <c r="EY17" i="4"/>
  <c r="EU17" i="4"/>
  <c r="EJ17" i="4"/>
  <c r="DK16" i="4"/>
  <c r="A16" i="4"/>
  <c r="ID15" i="4"/>
  <c r="GO15" i="4"/>
  <c r="EZ15" i="4"/>
  <c r="DK15" i="4"/>
  <c r="BW15" i="4"/>
  <c r="AI15" i="4"/>
  <c r="AJ15" i="4" s="1"/>
  <c r="A15" i="4"/>
  <c r="ID14" i="4"/>
  <c r="GO14" i="4"/>
  <c r="EZ14" i="4"/>
  <c r="DK14" i="4"/>
  <c r="BW14" i="4"/>
  <c r="AI14" i="4"/>
  <c r="AJ14" i="4" s="1"/>
  <c r="A14" i="4"/>
  <c r="AM17" i="4"/>
  <c r="F17" i="4"/>
  <c r="A13" i="4"/>
  <c r="A12" i="4"/>
  <c r="DC10" i="4"/>
  <c r="EQ10" i="4" s="1"/>
  <c r="EQ4" i="4" s="1"/>
  <c r="DF10" i="4"/>
  <c r="ET10" i="4" s="1"/>
  <c r="DE10" i="4"/>
  <c r="DD10" i="4"/>
  <c r="DB10" i="4"/>
  <c r="EP10" i="4" s="1"/>
  <c r="GE10" i="4" s="1"/>
  <c r="HT10" i="4" s="1"/>
  <c r="HT4" i="4" s="1"/>
  <c r="DA10" i="4"/>
  <c r="EO10" i="4" s="1"/>
  <c r="EO4" i="4" s="1"/>
  <c r="CZ10" i="4"/>
  <c r="CZ4" i="4" s="1"/>
  <c r="CS10" i="4"/>
  <c r="EG10" i="4" s="1"/>
  <c r="FV10" i="4" s="1"/>
  <c r="HK10" i="4" s="1"/>
  <c r="HK4" i="4" s="1"/>
  <c r="BV10" i="4"/>
  <c r="AG4" i="4"/>
  <c r="BT10" i="4"/>
  <c r="BS10" i="4"/>
  <c r="BS4" i="4" s="1"/>
  <c r="BK10" i="4"/>
  <c r="CY10" i="4" s="1"/>
  <c r="EM10" i="4" s="1"/>
  <c r="GB10" i="4" s="1"/>
  <c r="HQ10" i="4" s="1"/>
  <c r="BJ10" i="4"/>
  <c r="CX10" i="4" s="1"/>
  <c r="EL10" i="4" s="1"/>
  <c r="BI10" i="4"/>
  <c r="BI4" i="4" s="1"/>
  <c r="BH10" i="4"/>
  <c r="BG10" i="4"/>
  <c r="BG4" i="4" s="1"/>
  <c r="Y4" i="4"/>
  <c r="X4" i="4"/>
  <c r="BD10" i="4"/>
  <c r="BC10" i="4"/>
  <c r="CQ10" i="4" s="1"/>
  <c r="EE10" i="4" s="1"/>
  <c r="FT10" i="4" s="1"/>
  <c r="HI10" i="4" s="1"/>
  <c r="HI4" i="4" s="1"/>
  <c r="BB10" i="4"/>
  <c r="CP10" i="4" s="1"/>
  <c r="ED10" i="4" s="1"/>
  <c r="BA10" i="4"/>
  <c r="CO10" i="4" s="1"/>
  <c r="S4" i="4"/>
  <c r="AY10" i="4"/>
  <c r="Q4" i="4"/>
  <c r="AW10" i="4"/>
  <c r="AV10" i="4"/>
  <c r="CJ10" i="4" s="1"/>
  <c r="CJ4" i="4" s="1"/>
  <c r="AU10" i="4"/>
  <c r="CI10" i="4" s="1"/>
  <c r="DW10" i="4" s="1"/>
  <c r="FL10" i="4" s="1"/>
  <c r="HA10" i="4" s="1"/>
  <c r="HA4" i="4" s="1"/>
  <c r="AT10" i="4"/>
  <c r="CH10" i="4" s="1"/>
  <c r="DV10" i="4" s="1"/>
  <c r="FK10" i="4" s="1"/>
  <c r="FK4" i="4" s="1"/>
  <c r="AS10" i="4"/>
  <c r="CG10" i="4" s="1"/>
  <c r="DU10" i="4" s="1"/>
  <c r="AR10" i="4"/>
  <c r="AQ10" i="4"/>
  <c r="AP10" i="4"/>
  <c r="AO10" i="4"/>
  <c r="G4" i="4"/>
  <c r="AM10" i="4"/>
  <c r="CA10" i="4" s="1"/>
  <c r="DO10" i="4" s="1"/>
  <c r="FD10" i="4" s="1"/>
  <c r="GS10" i="4" s="1"/>
  <c r="GS4" i="4" s="1"/>
  <c r="AL10" i="4"/>
  <c r="BZ10" i="4" s="1"/>
  <c r="DN10" i="4" s="1"/>
  <c r="AK10" i="4"/>
  <c r="BY10" i="4" s="1"/>
  <c r="HQ4" i="4"/>
  <c r="GB4" i="4"/>
  <c r="EM4" i="4"/>
  <c r="EG4" i="4"/>
  <c r="CA4" i="4"/>
  <c r="BO4" i="4"/>
  <c r="BM4" i="4"/>
  <c r="BJ4" i="4"/>
  <c r="BB4" i="4"/>
  <c r="BA4" i="4"/>
  <c r="AU4" i="4"/>
  <c r="AS4" i="4"/>
  <c r="AD4" i="4"/>
  <c r="Z4" i="4"/>
  <c r="T4" i="4"/>
  <c r="O4" i="4"/>
  <c r="N4" i="4"/>
  <c r="L4" i="4"/>
  <c r="HB44" i="4" l="1"/>
  <c r="HJ44" i="4"/>
  <c r="GR44" i="4"/>
  <c r="CW44" i="4"/>
  <c r="AQ44" i="4"/>
  <c r="AQ61" i="4" s="1"/>
  <c r="AQ62" i="4" s="1"/>
  <c r="BG44" i="4"/>
  <c r="BG69" i="4" s="1"/>
  <c r="BG70" i="4" s="1"/>
  <c r="CG44" i="4"/>
  <c r="CG80" i="4" s="1"/>
  <c r="CG83" i="4" s="1"/>
  <c r="AF44" i="4"/>
  <c r="AF80" i="4" s="1"/>
  <c r="AF83" i="4" s="1"/>
  <c r="FH44" i="4"/>
  <c r="FH80" i="4" s="1"/>
  <c r="FH83" i="4" s="1"/>
  <c r="FP44" i="4"/>
  <c r="FP69" i="4" s="1"/>
  <c r="FP70" i="4" s="1"/>
  <c r="HP44" i="4"/>
  <c r="BX25" i="4"/>
  <c r="CM44" i="4"/>
  <c r="CM80" i="4" s="1"/>
  <c r="CM83" i="4" s="1"/>
  <c r="CF44" i="4"/>
  <c r="CF80" i="4" s="1"/>
  <c r="CF83" i="4" s="1"/>
  <c r="CN44" i="4"/>
  <c r="CV44" i="4"/>
  <c r="CV80" i="4" s="1"/>
  <c r="CV83" i="4" s="1"/>
  <c r="GX44" i="4"/>
  <c r="GX61" i="4" s="1"/>
  <c r="GX62" i="4" s="1"/>
  <c r="HF44" i="4"/>
  <c r="HF69" i="4" s="1"/>
  <c r="HF70" i="4" s="1"/>
  <c r="AW44" i="4"/>
  <c r="AW80" i="4" s="1"/>
  <c r="AW83" i="4" s="1"/>
  <c r="BE44" i="4"/>
  <c r="BE69" i="4" s="1"/>
  <c r="BE70" i="4" s="1"/>
  <c r="BV44" i="4"/>
  <c r="BV61" i="4" s="1"/>
  <c r="BV62" i="4" s="1"/>
  <c r="CU44" i="4"/>
  <c r="CU61" i="4" s="1"/>
  <c r="CU62" i="4" s="1"/>
  <c r="V44" i="4"/>
  <c r="AP44" i="4"/>
  <c r="AP80" i="4" s="1"/>
  <c r="AP83" i="4" s="1"/>
  <c r="BF44" i="4"/>
  <c r="BF61" i="4" s="1"/>
  <c r="BF62" i="4" s="1"/>
  <c r="AE44" i="4"/>
  <c r="AE80" i="4" s="1"/>
  <c r="AE83" i="4" s="1"/>
  <c r="FG44" i="4"/>
  <c r="FG69" i="4" s="1"/>
  <c r="FG70" i="4" s="1"/>
  <c r="BX15" i="4"/>
  <c r="DL15" i="4" s="1"/>
  <c r="FA15" i="4" s="1"/>
  <c r="GP15" i="4" s="1"/>
  <c r="IE15" i="4" s="1"/>
  <c r="ID26" i="4"/>
  <c r="EU44" i="4"/>
  <c r="CL44" i="4"/>
  <c r="CT44" i="4"/>
  <c r="DJ44" i="4"/>
  <c r="DJ69" i="4" s="1"/>
  <c r="DJ70" i="4" s="1"/>
  <c r="BL44" i="4"/>
  <c r="BL69" i="4" s="1"/>
  <c r="BL70" i="4" s="1"/>
  <c r="GJ44" i="4"/>
  <c r="GJ80" i="4" s="1"/>
  <c r="GJ83" i="4" s="1"/>
  <c r="CK44" i="4"/>
  <c r="CK69" i="4" s="1"/>
  <c r="CK70" i="4" s="1"/>
  <c r="AV44" i="4"/>
  <c r="AV80" i="4" s="1"/>
  <c r="AV83" i="4" s="1"/>
  <c r="BD44" i="4"/>
  <c r="BD69" i="4" s="1"/>
  <c r="BD70" i="4" s="1"/>
  <c r="CS44" i="4"/>
  <c r="HH44" i="4"/>
  <c r="HH80" i="4" s="1"/>
  <c r="HH83" i="4" s="1"/>
  <c r="HQ44" i="4"/>
  <c r="HQ80" i="4" s="1"/>
  <c r="HQ83" i="4" s="1"/>
  <c r="HY44" i="4"/>
  <c r="HY80" i="4" s="1"/>
  <c r="HY83" i="4" s="1"/>
  <c r="GS44" i="4"/>
  <c r="GS80" i="4" s="1"/>
  <c r="GS83" i="4" s="1"/>
  <c r="HI44" i="4"/>
  <c r="HI61" i="4" s="1"/>
  <c r="HI62" i="4" s="1"/>
  <c r="CJ44" i="4"/>
  <c r="CJ61" i="4" s="1"/>
  <c r="CJ62" i="4" s="1"/>
  <c r="DH44" i="4"/>
  <c r="DH61" i="4" s="1"/>
  <c r="DH62" i="4" s="1"/>
  <c r="AR44" i="4"/>
  <c r="AR69" i="4" s="1"/>
  <c r="AR70" i="4" s="1"/>
  <c r="AZ44" i="4"/>
  <c r="DK26" i="4"/>
  <c r="Y44" i="4"/>
  <c r="Y80" i="4" s="1"/>
  <c r="Y83" i="4" s="1"/>
  <c r="CR44" i="4"/>
  <c r="CR69" i="4" s="1"/>
  <c r="CR70" i="4" s="1"/>
  <c r="DR46" i="4"/>
  <c r="DR81" i="4" s="1"/>
  <c r="DR84" i="4" s="1"/>
  <c r="FZ44" i="4"/>
  <c r="FZ80" i="4" s="1"/>
  <c r="FZ83" i="4" s="1"/>
  <c r="HM44" i="4"/>
  <c r="HM80" i="4" s="1"/>
  <c r="HM83" i="4" s="1"/>
  <c r="AZ46" i="4"/>
  <c r="AZ81" i="4" s="1"/>
  <c r="AZ84" i="4" s="1"/>
  <c r="CE46" i="4"/>
  <c r="CE81" i="4" s="1"/>
  <c r="CE84" i="4" s="1"/>
  <c r="CM46" i="4"/>
  <c r="CM81" i="4" s="1"/>
  <c r="CM84" i="4" s="1"/>
  <c r="HR44" i="4"/>
  <c r="HR80" i="4" s="1"/>
  <c r="HR83" i="4" s="1"/>
  <c r="Z44" i="4"/>
  <c r="Z80" i="4" s="1"/>
  <c r="Z83" i="4" s="1"/>
  <c r="AH44" i="4"/>
  <c r="AH80" i="4" s="1"/>
  <c r="AH83" i="4" s="1"/>
  <c r="AT44" i="4"/>
  <c r="AT80" i="4" s="1"/>
  <c r="AT83" i="4" s="1"/>
  <c r="BB44" i="4"/>
  <c r="BB80" i="4" s="1"/>
  <c r="BB83" i="4" s="1"/>
  <c r="CD44" i="4"/>
  <c r="CD69" i="4" s="1"/>
  <c r="CD70" i="4" s="1"/>
  <c r="DV44" i="4"/>
  <c r="DV80" i="4" s="1"/>
  <c r="DV83" i="4" s="1"/>
  <c r="GA44" i="4"/>
  <c r="GA80" i="4" s="1"/>
  <c r="GA83" i="4" s="1"/>
  <c r="AR46" i="4"/>
  <c r="AR81" i="4" s="1"/>
  <c r="AR84" i="4" s="1"/>
  <c r="K44" i="4"/>
  <c r="K3" i="4" s="1"/>
  <c r="AL44" i="4"/>
  <c r="AL80" i="4" s="1"/>
  <c r="AL83" i="4" s="1"/>
  <c r="CE44" i="4"/>
  <c r="CE80" i="4" s="1"/>
  <c r="CE83" i="4" s="1"/>
  <c r="FC44" i="4"/>
  <c r="FC69" i="4" s="1"/>
  <c r="FC70" i="4" s="1"/>
  <c r="FK44" i="4"/>
  <c r="FK61" i="4" s="1"/>
  <c r="FK62" i="4" s="1"/>
  <c r="FS44" i="4"/>
  <c r="FS80" i="4" s="1"/>
  <c r="FS83" i="4" s="1"/>
  <c r="GW44" i="4"/>
  <c r="AE46" i="4"/>
  <c r="AE81" i="4" s="1"/>
  <c r="AE84" i="4" s="1"/>
  <c r="L44" i="4"/>
  <c r="L80" i="4" s="1"/>
  <c r="L83" i="4" s="1"/>
  <c r="AB44" i="4"/>
  <c r="AB80" i="4" s="1"/>
  <c r="AB83" i="4" s="1"/>
  <c r="GZ44" i="4"/>
  <c r="GZ80" i="4" s="1"/>
  <c r="GZ83" i="4" s="1"/>
  <c r="HH46" i="4"/>
  <c r="HH81" i="4" s="1"/>
  <c r="HH84" i="4" s="1"/>
  <c r="FO44" i="4"/>
  <c r="FO80" i="4" s="1"/>
  <c r="FO83" i="4" s="1"/>
  <c r="CO44" i="4"/>
  <c r="EG44" i="4"/>
  <c r="FJ44" i="4"/>
  <c r="FJ80" i="4" s="1"/>
  <c r="FJ83" i="4" s="1"/>
  <c r="EP57" i="4"/>
  <c r="EP46" i="4" s="1"/>
  <c r="EP81" i="4" s="1"/>
  <c r="EP84" i="4" s="1"/>
  <c r="D4" i="4"/>
  <c r="AC4" i="4"/>
  <c r="CS4" i="4"/>
  <c r="FT4" i="4"/>
  <c r="AS42" i="4"/>
  <c r="EV42" i="4"/>
  <c r="GT42" i="4"/>
  <c r="GT44" i="4" s="1"/>
  <c r="GK42" i="4"/>
  <c r="GK44" i="4" s="1"/>
  <c r="HN57" i="4"/>
  <c r="HN46" i="4" s="1"/>
  <c r="HN81" i="4" s="1"/>
  <c r="HN84" i="4" s="1"/>
  <c r="AG57" i="4"/>
  <c r="AG46" i="4" s="1"/>
  <c r="AG81" i="4" s="1"/>
  <c r="AG84" i="4" s="1"/>
  <c r="GB57" i="4"/>
  <c r="GB46" i="4" s="1"/>
  <c r="GB81" i="4" s="1"/>
  <c r="GB84" i="4" s="1"/>
  <c r="AB4" i="4"/>
  <c r="CQ4" i="4"/>
  <c r="BP4" i="4"/>
  <c r="CX4" i="4"/>
  <c r="J4" i="4"/>
  <c r="V4" i="4"/>
  <c r="AH4" i="4"/>
  <c r="BC4" i="4"/>
  <c r="BQ4" i="4"/>
  <c r="DA4" i="4"/>
  <c r="GO16" i="4"/>
  <c r="HT42" i="4"/>
  <c r="HT44" i="4" s="1"/>
  <c r="EY57" i="4"/>
  <c r="EY46" i="4" s="1"/>
  <c r="EY81" i="4" s="1"/>
  <c r="EY84" i="4" s="1"/>
  <c r="E4" i="4"/>
  <c r="F13" i="5" s="1"/>
  <c r="CW10" i="4"/>
  <c r="EK10" i="4" s="1"/>
  <c r="FZ10" i="4" s="1"/>
  <c r="DB44" i="4"/>
  <c r="BN57" i="4"/>
  <c r="BN46" i="4" s="1"/>
  <c r="BN81" i="4" s="1"/>
  <c r="BN84" i="4" s="1"/>
  <c r="K4" i="4"/>
  <c r="W4" i="4"/>
  <c r="AK4" i="4"/>
  <c r="BZ4" i="4"/>
  <c r="EE4" i="4"/>
  <c r="P44" i="4"/>
  <c r="P61" i="4" s="1"/>
  <c r="P62" i="4" s="1"/>
  <c r="AA42" i="4"/>
  <c r="CB42" i="4"/>
  <c r="CB44" i="4" s="1"/>
  <c r="EA42" i="4"/>
  <c r="EA44" i="4" s="1"/>
  <c r="DB57" i="4"/>
  <c r="DB46" i="4" s="1"/>
  <c r="DB81" i="4" s="1"/>
  <c r="DB84" i="4" s="1"/>
  <c r="GN57" i="4"/>
  <c r="GN46" i="4" s="1"/>
  <c r="GN81" i="4" s="1"/>
  <c r="GN84" i="4" s="1"/>
  <c r="AJ33" i="4"/>
  <c r="BX33" i="4" s="1"/>
  <c r="DL33" i="4" s="1"/>
  <c r="B11" i="5"/>
  <c r="B12" i="5" s="1"/>
  <c r="B13" i="5" s="1"/>
  <c r="B14" i="5" s="1"/>
  <c r="BH57" i="4"/>
  <c r="BH46" i="4" s="1"/>
  <c r="BH81" i="4" s="1"/>
  <c r="BH84" i="4" s="1"/>
  <c r="CV57" i="4"/>
  <c r="CV46" i="4" s="1"/>
  <c r="EJ57" i="4"/>
  <c r="EJ46" i="4" s="1"/>
  <c r="EJ81" i="4" s="1"/>
  <c r="EJ84" i="4" s="1"/>
  <c r="AJ56" i="4"/>
  <c r="BX56" i="4" s="1"/>
  <c r="DL56" i="4" s="1"/>
  <c r="FA56" i="4" s="1"/>
  <c r="GP56" i="4" s="1"/>
  <c r="IE56" i="4" s="1"/>
  <c r="AJ55" i="4"/>
  <c r="BX55" i="4" s="1"/>
  <c r="DL55" i="4" s="1"/>
  <c r="FA55" i="4" s="1"/>
  <c r="GP55" i="4" s="1"/>
  <c r="IE55" i="4" s="1"/>
  <c r="GA10" i="4"/>
  <c r="GA4" i="4" s="1"/>
  <c r="EL4" i="4"/>
  <c r="U4" i="4"/>
  <c r="BX14" i="4"/>
  <c r="DL14" i="4" s="1"/>
  <c r="FA14" i="4" s="1"/>
  <c r="GP14" i="4" s="1"/>
  <c r="IE14" i="4" s="1"/>
  <c r="AA44" i="4"/>
  <c r="AA80" i="4" s="1"/>
  <c r="AA83" i="4" s="1"/>
  <c r="F42" i="4"/>
  <c r="F44" i="4" s="1"/>
  <c r="X42" i="4"/>
  <c r="AM42" i="4"/>
  <c r="AM44" i="4" s="1"/>
  <c r="FL42" i="4"/>
  <c r="FL44" i="4" s="1"/>
  <c r="C26" i="4"/>
  <c r="C42" i="4" s="1"/>
  <c r="DL25" i="4"/>
  <c r="FA25" i="4" s="1"/>
  <c r="GP25" i="4" s="1"/>
  <c r="IE25" i="4" s="1"/>
  <c r="M42" i="4"/>
  <c r="M44" i="4" s="1"/>
  <c r="EY42" i="4"/>
  <c r="EY44" i="4" s="1"/>
  <c r="AI32" i="4"/>
  <c r="AJ32" i="4" s="1"/>
  <c r="BX32" i="4" s="1"/>
  <c r="DL32" i="4" s="1"/>
  <c r="BK4" i="4"/>
  <c r="CY4" i="4"/>
  <c r="EJ44" i="4"/>
  <c r="EJ80" i="4" s="1"/>
  <c r="EJ83" i="4" s="1"/>
  <c r="N42" i="4"/>
  <c r="N44" i="4" s="1"/>
  <c r="T42" i="4"/>
  <c r="T44" i="4" s="1"/>
  <c r="AU42" i="4"/>
  <c r="AU44" i="4" s="1"/>
  <c r="BA42" i="4"/>
  <c r="BA44" i="4" s="1"/>
  <c r="EL42" i="4"/>
  <c r="EL44" i="4" s="1"/>
  <c r="HN42" i="4"/>
  <c r="HN44" i="4" s="1"/>
  <c r="AI30" i="4"/>
  <c r="AJ30" i="4" s="1"/>
  <c r="BX30" i="4" s="1"/>
  <c r="DL30" i="4" s="1"/>
  <c r="AC42" i="4"/>
  <c r="AC44" i="4" s="1"/>
  <c r="AI51" i="4"/>
  <c r="AJ51" i="4" s="1"/>
  <c r="EN57" i="4"/>
  <c r="EN46" i="4" s="1"/>
  <c r="EN81" i="4" s="1"/>
  <c r="EN84" i="4" s="1"/>
  <c r="GC57" i="4"/>
  <c r="GC46" i="4" s="1"/>
  <c r="GC81" i="4" s="1"/>
  <c r="GC84" i="4" s="1"/>
  <c r="HM57" i="4"/>
  <c r="HM46" i="4" s="1"/>
  <c r="HM81" i="4" s="1"/>
  <c r="HM84" i="4" s="1"/>
  <c r="CY57" i="4"/>
  <c r="CY46" i="4" s="1"/>
  <c r="CY81" i="4" s="1"/>
  <c r="CY84" i="4" s="1"/>
  <c r="X44" i="4"/>
  <c r="X69" i="4" s="1"/>
  <c r="X70" i="4" s="1"/>
  <c r="F4" i="4"/>
  <c r="R4" i="4"/>
  <c r="AA4" i="4"/>
  <c r="AL4" i="4"/>
  <c r="BN4" i="4"/>
  <c r="CI4" i="4"/>
  <c r="DO4" i="4"/>
  <c r="FL4" i="4"/>
  <c r="J42" i="4"/>
  <c r="J44" i="4" s="1"/>
  <c r="CI42" i="4"/>
  <c r="CI44" i="4" s="1"/>
  <c r="GB42" i="4"/>
  <c r="GB44" i="4" s="1"/>
  <c r="AI29" i="4"/>
  <c r="AJ29" i="4" s="1"/>
  <c r="BX29" i="4" s="1"/>
  <c r="DL29" i="4" s="1"/>
  <c r="S42" i="4"/>
  <c r="S44" i="4" s="1"/>
  <c r="AM4" i="4"/>
  <c r="BE4" i="4"/>
  <c r="DW4" i="4"/>
  <c r="DW42" i="4"/>
  <c r="DW44" i="4" s="1"/>
  <c r="EI42" i="4"/>
  <c r="EI44" i="4" s="1"/>
  <c r="EI80" i="4" s="1"/>
  <c r="EI83" i="4" s="1"/>
  <c r="FE42" i="4"/>
  <c r="FE44" i="4" s="1"/>
  <c r="C57" i="4"/>
  <c r="K7" i="5" s="1"/>
  <c r="R7" i="5" s="1"/>
  <c r="CM10" i="4"/>
  <c r="EA10" i="4" s="1"/>
  <c r="AY4" i="4"/>
  <c r="ES10" i="4"/>
  <c r="GH10" i="4" s="1"/>
  <c r="DE4" i="4"/>
  <c r="ER10" i="4"/>
  <c r="GG10" i="4" s="1"/>
  <c r="DD4" i="4"/>
  <c r="CV10" i="4"/>
  <c r="BH4" i="4"/>
  <c r="CB81" i="4"/>
  <c r="CB84" i="4" s="1"/>
  <c r="AR4" i="4"/>
  <c r="CF10" i="4"/>
  <c r="DJ10" i="4"/>
  <c r="BV4" i="4"/>
  <c r="R11" i="5"/>
  <c r="BL4" i="4"/>
  <c r="BR4" i="4"/>
  <c r="CH4" i="4"/>
  <c r="AZ10" i="4"/>
  <c r="AX44" i="4"/>
  <c r="AI38" i="4"/>
  <c r="AJ38" i="4" s="1"/>
  <c r="GO38" i="4"/>
  <c r="M4" i="4"/>
  <c r="AV4" i="4"/>
  <c r="CW4" i="4"/>
  <c r="DF4" i="4"/>
  <c r="EZ16" i="4"/>
  <c r="C17" i="4"/>
  <c r="AY44" i="4"/>
  <c r="AN10" i="4"/>
  <c r="AN44" i="4"/>
  <c r="AN80" i="4" s="1"/>
  <c r="AN83" i="4" s="1"/>
  <c r="ID38" i="4"/>
  <c r="AJ41" i="4"/>
  <c r="BX41" i="4" s="1"/>
  <c r="DL41" i="4" s="1"/>
  <c r="FA41" i="4" s="1"/>
  <c r="GP41" i="4" s="1"/>
  <c r="IE41" i="4" s="1"/>
  <c r="HR57" i="4"/>
  <c r="IC57" i="4"/>
  <c r="IC81" i="4" s="1"/>
  <c r="IC84" i="4" s="1"/>
  <c r="AE4" i="4"/>
  <c r="CP4" i="4"/>
  <c r="BX37" i="4"/>
  <c r="DL37" i="4" s="1"/>
  <c r="FA37" i="4" s="1"/>
  <c r="GP37" i="4" s="1"/>
  <c r="IE37" i="4" s="1"/>
  <c r="AJ53" i="4"/>
  <c r="BU57" i="4"/>
  <c r="BU46" i="4" s="1"/>
  <c r="BU81" i="4" s="1"/>
  <c r="BU84" i="4" s="1"/>
  <c r="EV57" i="4"/>
  <c r="EV46" i="4" s="1"/>
  <c r="EV81" i="4" s="1"/>
  <c r="EV84" i="4" s="1"/>
  <c r="AJ28" i="4"/>
  <c r="BX28" i="4" s="1"/>
  <c r="DL28" i="4" s="1"/>
  <c r="FX57" i="4"/>
  <c r="FX46" i="4" s="1"/>
  <c r="FX81" i="4" s="1"/>
  <c r="FX84" i="4" s="1"/>
  <c r="AF57" i="4"/>
  <c r="AF46" i="4" s="1"/>
  <c r="AT4" i="4"/>
  <c r="EN10" i="4"/>
  <c r="GC10" i="4" s="1"/>
  <c r="HR10" i="4" s="1"/>
  <c r="HR4" i="4" s="1"/>
  <c r="I42" i="4"/>
  <c r="I44" i="4" s="1"/>
  <c r="I3" i="4" s="1"/>
  <c r="Y43" i="5"/>
  <c r="Y87" i="5" s="1"/>
  <c r="Y132" i="5" s="1"/>
  <c r="W52" i="2"/>
  <c r="Y52" i="2"/>
  <c r="FC10" i="4"/>
  <c r="DN4" i="4"/>
  <c r="FS10" i="4"/>
  <c r="ED4" i="4"/>
  <c r="GC4" i="4"/>
  <c r="CC10" i="4"/>
  <c r="AO4" i="4"/>
  <c r="CD10" i="4"/>
  <c r="AP4" i="4"/>
  <c r="GI10" i="4"/>
  <c r="ET4" i="4"/>
  <c r="CR10" i="4"/>
  <c r="BD4" i="4"/>
  <c r="CK10" i="4"/>
  <c r="AW4" i="4"/>
  <c r="DG10" i="4"/>
  <c r="BT4" i="4"/>
  <c r="AQ4" i="4"/>
  <c r="CE10" i="4"/>
  <c r="EK4" i="4"/>
  <c r="DM10" i="4"/>
  <c r="BY4" i="4"/>
  <c r="CO4" i="4"/>
  <c r="EC10" i="4"/>
  <c r="FJ10" i="4"/>
  <c r="DU4" i="4"/>
  <c r="ER4" i="4"/>
  <c r="CU10" i="4"/>
  <c r="GD10" i="4"/>
  <c r="AQ69" i="4"/>
  <c r="AQ70" i="4" s="1"/>
  <c r="AY61" i="4"/>
  <c r="AY62" i="4" s="1"/>
  <c r="AY69" i="4"/>
  <c r="AY70" i="4" s="1"/>
  <c r="BG80" i="4"/>
  <c r="BG83" i="4" s="1"/>
  <c r="BG61" i="4"/>
  <c r="BG62" i="4" s="1"/>
  <c r="CU80" i="4"/>
  <c r="CU83" i="4" s="1"/>
  <c r="BF10" i="4"/>
  <c r="GF10" i="4"/>
  <c r="FJ61" i="4"/>
  <c r="FJ62" i="4" s="1"/>
  <c r="FJ69" i="4"/>
  <c r="FJ70" i="4" s="1"/>
  <c r="H4" i="4"/>
  <c r="P4" i="4"/>
  <c r="AF4" i="4"/>
  <c r="CG4" i="4"/>
  <c r="AX10" i="4"/>
  <c r="BU10" i="4"/>
  <c r="DX10" i="4"/>
  <c r="CL80" i="4"/>
  <c r="CL83" i="4" s="1"/>
  <c r="CL69" i="4"/>
  <c r="CL70" i="4" s="1"/>
  <c r="CL61" i="4"/>
  <c r="CL62" i="4" s="1"/>
  <c r="CT80" i="4"/>
  <c r="CT83" i="4" s="1"/>
  <c r="CT61" i="4"/>
  <c r="CT62" i="4" s="1"/>
  <c r="CT69" i="4"/>
  <c r="CT70" i="4" s="1"/>
  <c r="DT80" i="4"/>
  <c r="DT83" i="4" s="1"/>
  <c r="DT61" i="4"/>
  <c r="DT62" i="4" s="1"/>
  <c r="DT69" i="4"/>
  <c r="DT70" i="4" s="1"/>
  <c r="EB80" i="4"/>
  <c r="EB83" i="4" s="1"/>
  <c r="EB61" i="4"/>
  <c r="EB62" i="4" s="1"/>
  <c r="EB69" i="4"/>
  <c r="EB70" i="4" s="1"/>
  <c r="FH61" i="4"/>
  <c r="FH62" i="4" s="1"/>
  <c r="FP80" i="4"/>
  <c r="FP83" i="4" s="1"/>
  <c r="HB80" i="4"/>
  <c r="HB83" i="4" s="1"/>
  <c r="HB61" i="4"/>
  <c r="HB62" i="4" s="1"/>
  <c r="HB69" i="4"/>
  <c r="HB70" i="4" s="1"/>
  <c r="HJ80" i="4"/>
  <c r="HJ83" i="4" s="1"/>
  <c r="HJ61" i="4"/>
  <c r="HJ62" i="4" s="1"/>
  <c r="HJ69" i="4"/>
  <c r="HJ70" i="4" s="1"/>
  <c r="I4" i="4"/>
  <c r="DV4" i="4"/>
  <c r="EN4" i="4"/>
  <c r="CM69" i="4"/>
  <c r="CM70" i="4" s="1"/>
  <c r="DU80" i="4"/>
  <c r="DU83" i="4" s="1"/>
  <c r="DU61" i="4"/>
  <c r="DU62" i="4" s="1"/>
  <c r="DU69" i="4"/>
  <c r="DU70" i="4" s="1"/>
  <c r="EC80" i="4"/>
  <c r="EC83" i="4" s="1"/>
  <c r="EC61" i="4"/>
  <c r="EC62" i="4" s="1"/>
  <c r="EC69" i="4"/>
  <c r="EC70" i="4" s="1"/>
  <c r="DB4" i="4"/>
  <c r="BV80" i="4"/>
  <c r="BV83" i="4" s="1"/>
  <c r="DV61" i="4"/>
  <c r="DV62" i="4" s="1"/>
  <c r="DV69" i="4"/>
  <c r="DV70" i="4" s="1"/>
  <c r="AV69" i="4"/>
  <c r="AV70" i="4" s="1"/>
  <c r="GX80" i="4"/>
  <c r="GX83" i="4" s="1"/>
  <c r="GX69" i="4"/>
  <c r="GX70" i="4" s="1"/>
  <c r="DC4" i="4"/>
  <c r="EP4" i="4"/>
  <c r="FD4" i="4"/>
  <c r="FV4" i="4"/>
  <c r="GE4" i="4"/>
  <c r="GZ10" i="4"/>
  <c r="GZ4" i="4" s="1"/>
  <c r="X80" i="4"/>
  <c r="X83" i="4" s="1"/>
  <c r="AP61" i="4"/>
  <c r="AP62" i="4" s="1"/>
  <c r="AX80" i="4"/>
  <c r="AX83" i="4" s="1"/>
  <c r="AX69" i="4"/>
  <c r="AX70" i="4" s="1"/>
  <c r="AX61" i="4"/>
  <c r="AX62" i="4" s="1"/>
  <c r="BF80" i="4"/>
  <c r="BF83" i="4" s="1"/>
  <c r="FK69" i="4"/>
  <c r="FK70" i="4" s="1"/>
  <c r="EU80" i="4"/>
  <c r="EU83" i="4" s="1"/>
  <c r="BT44" i="4"/>
  <c r="CZ44" i="4"/>
  <c r="DR80" i="4"/>
  <c r="DR83" i="4" s="1"/>
  <c r="DR69" i="4"/>
  <c r="DR70" i="4" s="1"/>
  <c r="DR61" i="4"/>
  <c r="DR62" i="4" s="1"/>
  <c r="DZ80" i="4"/>
  <c r="DZ83" i="4" s="1"/>
  <c r="DZ69" i="4"/>
  <c r="DZ70" i="4" s="1"/>
  <c r="DZ61" i="4"/>
  <c r="DZ62" i="4" s="1"/>
  <c r="GR80" i="4"/>
  <c r="GR83" i="4" s="1"/>
  <c r="GR69" i="4"/>
  <c r="GR70" i="4" s="1"/>
  <c r="GR61" i="4"/>
  <c r="GR62" i="4" s="1"/>
  <c r="G42" i="4"/>
  <c r="G44" i="4" s="1"/>
  <c r="P13" i="5" s="1"/>
  <c r="BN42" i="4"/>
  <c r="BN44" i="4" s="1"/>
  <c r="EM42" i="4"/>
  <c r="EM44" i="4" s="1"/>
  <c r="GE42" i="4"/>
  <c r="GE44" i="4" s="1"/>
  <c r="CS80" i="4"/>
  <c r="CS83" i="4" s="1"/>
  <c r="CS69" i="4"/>
  <c r="CS70" i="4" s="1"/>
  <c r="CS61" i="4"/>
  <c r="CS62" i="4" s="1"/>
  <c r="DS80" i="4"/>
  <c r="DS83" i="4" s="1"/>
  <c r="DS61" i="4"/>
  <c r="DS62" i="4" s="1"/>
  <c r="DS69" i="4"/>
  <c r="DS70" i="4" s="1"/>
  <c r="HZ44" i="4"/>
  <c r="R42" i="4"/>
  <c r="R44" i="4" s="1"/>
  <c r="FY44" i="4"/>
  <c r="AR61" i="4"/>
  <c r="AR62" i="4" s="1"/>
  <c r="AZ80" i="4"/>
  <c r="AZ83" i="4" s="1"/>
  <c r="AZ69" i="4"/>
  <c r="AZ70" i="4" s="1"/>
  <c r="AZ61" i="4"/>
  <c r="AZ62" i="4" s="1"/>
  <c r="CN80" i="4"/>
  <c r="CN83" i="4" s="1"/>
  <c r="CN69" i="4"/>
  <c r="CN70" i="4" s="1"/>
  <c r="CN61" i="4"/>
  <c r="CN62" i="4" s="1"/>
  <c r="DN80" i="4"/>
  <c r="DN83" i="4" s="1"/>
  <c r="DN61" i="4"/>
  <c r="DN62" i="4" s="1"/>
  <c r="DN69" i="4"/>
  <c r="DN70" i="4" s="1"/>
  <c r="ED61" i="4"/>
  <c r="ED62" i="4" s="1"/>
  <c r="ED80" i="4"/>
  <c r="ED83" i="4" s="1"/>
  <c r="ED69" i="4"/>
  <c r="ED70" i="4" s="1"/>
  <c r="FR44" i="4"/>
  <c r="AS44" i="4"/>
  <c r="CO80" i="4"/>
  <c r="CO83" i="4" s="1"/>
  <c r="CO61" i="4"/>
  <c r="CO62" i="4" s="1"/>
  <c r="CO69" i="4"/>
  <c r="CO70" i="4" s="1"/>
  <c r="CW80" i="4"/>
  <c r="CW83" i="4" s="1"/>
  <c r="GW69" i="4"/>
  <c r="GW70" i="4" s="1"/>
  <c r="GW80" i="4"/>
  <c r="GW83" i="4" s="1"/>
  <c r="GW61" i="4"/>
  <c r="GW62" i="4" s="1"/>
  <c r="EZ26" i="4"/>
  <c r="DH69" i="4"/>
  <c r="DH70" i="4" s="1"/>
  <c r="V80" i="4"/>
  <c r="V83" i="4" s="1"/>
  <c r="AD44" i="4"/>
  <c r="BJ44" i="4"/>
  <c r="BZ44" i="4"/>
  <c r="CH44" i="4"/>
  <c r="CP44" i="4"/>
  <c r="CX44" i="4"/>
  <c r="FD44" i="4"/>
  <c r="FT44" i="4"/>
  <c r="BX24" i="4"/>
  <c r="DL24" i="4" s="1"/>
  <c r="FA24" i="4" s="1"/>
  <c r="GP24" i="4" s="1"/>
  <c r="IE24" i="4" s="1"/>
  <c r="U42" i="4"/>
  <c r="U44" i="4" s="1"/>
  <c r="HE42" i="4"/>
  <c r="HE44" i="4" s="1"/>
  <c r="DJ80" i="4"/>
  <c r="DJ83" i="4" s="1"/>
  <c r="BC44" i="4"/>
  <c r="BK44" i="4"/>
  <c r="BS44" i="4"/>
  <c r="CA44" i="4"/>
  <c r="CQ44" i="4"/>
  <c r="CY44" i="4"/>
  <c r="DG44" i="4"/>
  <c r="DY44" i="4"/>
  <c r="EG80" i="4"/>
  <c r="EG83" i="4" s="1"/>
  <c r="EG69" i="4"/>
  <c r="EG70" i="4" s="1"/>
  <c r="EG61" i="4"/>
  <c r="EG62" i="4" s="1"/>
  <c r="HP80" i="4"/>
  <c r="HP83" i="4" s="1"/>
  <c r="HP69" i="4"/>
  <c r="HP70" i="4" s="1"/>
  <c r="HP61" i="4"/>
  <c r="HP62" i="4" s="1"/>
  <c r="FI44" i="4"/>
  <c r="FQ44" i="4"/>
  <c r="GY44" i="4"/>
  <c r="HG44" i="4"/>
  <c r="HO44" i="4"/>
  <c r="HA42" i="4"/>
  <c r="HA44" i="4" s="1"/>
  <c r="DO44" i="4"/>
  <c r="EE44" i="4"/>
  <c r="FM44" i="4"/>
  <c r="FU44" i="4"/>
  <c r="GC44" i="4"/>
  <c r="HC44" i="4"/>
  <c r="HK44" i="4"/>
  <c r="IC44" i="4"/>
  <c r="GO26" i="4"/>
  <c r="HY57" i="4"/>
  <c r="HY46" i="4" s="1"/>
  <c r="HY81" i="4" s="1"/>
  <c r="HY84" i="4" s="1"/>
  <c r="DP44" i="4"/>
  <c r="DX44" i="4"/>
  <c r="EF44" i="4"/>
  <c r="EN44" i="4"/>
  <c r="EV44" i="4"/>
  <c r="FN44" i="4"/>
  <c r="FV44" i="4"/>
  <c r="GN44" i="4"/>
  <c r="GV44" i="4"/>
  <c r="HD44" i="4"/>
  <c r="Q42" i="4"/>
  <c r="Q44" i="4" s="1"/>
  <c r="AG42" i="4"/>
  <c r="AG44" i="4" s="1"/>
  <c r="BU42" i="4"/>
  <c r="BU44" i="4" s="1"/>
  <c r="EP42" i="4"/>
  <c r="EP44" i="4" s="1"/>
  <c r="FX42" i="4"/>
  <c r="FX44" i="4" s="1"/>
  <c r="AJ22" i="4"/>
  <c r="GK57" i="4"/>
  <c r="GK46" i="4" s="1"/>
  <c r="GK81" i="4" s="1"/>
  <c r="GK84" i="4" s="1"/>
  <c r="V57" i="4"/>
  <c r="V46" i="4" s="1"/>
  <c r="EI57" i="4"/>
  <c r="EI46" i="4" s="1"/>
  <c r="AA57" i="4"/>
  <c r="AA46" i="4" s="1"/>
  <c r="AA81" i="4" s="1"/>
  <c r="AA84" i="4" s="1"/>
  <c r="EM57" i="4"/>
  <c r="EM46" i="4" s="1"/>
  <c r="FY57" i="4"/>
  <c r="FY46" i="4" s="1"/>
  <c r="FY81" i="4" s="1"/>
  <c r="FY84" i="4" s="1"/>
  <c r="EU57" i="4"/>
  <c r="EU46" i="4" s="1"/>
  <c r="GJ57" i="4"/>
  <c r="GJ46" i="4" s="1"/>
  <c r="HQ57" i="4"/>
  <c r="HQ46" i="4" s="1"/>
  <c r="K80" i="4" l="1"/>
  <c r="K83" i="4" s="1"/>
  <c r="AE69" i="4"/>
  <c r="AE70" i="4" s="1"/>
  <c r="HR61" i="4"/>
  <c r="HR62" i="4" s="1"/>
  <c r="HF61" i="4"/>
  <c r="HF62" i="4" s="1"/>
  <c r="CR80" i="4"/>
  <c r="CR83" i="4" s="1"/>
  <c r="CG69" i="4"/>
  <c r="CG70" i="4" s="1"/>
  <c r="BE61" i="4"/>
  <c r="BE62" i="4" s="1"/>
  <c r="AQ80" i="4"/>
  <c r="AQ83" i="4" s="1"/>
  <c r="AE61" i="4"/>
  <c r="AE62" i="4" s="1"/>
  <c r="CG61" i="4"/>
  <c r="CG62" i="4" s="1"/>
  <c r="FS69" i="4"/>
  <c r="FS70" i="4" s="1"/>
  <c r="GA61" i="4"/>
  <c r="GA62" i="4" s="1"/>
  <c r="FG80" i="4"/>
  <c r="FG83" i="4" s="1"/>
  <c r="Y61" i="4"/>
  <c r="Y62" i="4" s="1"/>
  <c r="HH61" i="4"/>
  <c r="HH62" i="4" s="1"/>
  <c r="BL61" i="4"/>
  <c r="BL62" i="4" s="1"/>
  <c r="BL71" i="4" s="1"/>
  <c r="AP69" i="4"/>
  <c r="AP70" i="4" s="1"/>
  <c r="AP71" i="4" s="1"/>
  <c r="DJ61" i="4"/>
  <c r="DJ62" i="4" s="1"/>
  <c r="HF80" i="4"/>
  <c r="HF83" i="4" s="1"/>
  <c r="FS61" i="4"/>
  <c r="FS62" i="4" s="1"/>
  <c r="GA69" i="4"/>
  <c r="GA70" i="4" s="1"/>
  <c r="L69" i="4"/>
  <c r="L70" i="4" s="1"/>
  <c r="L71" i="4" s="1"/>
  <c r="Y69" i="4"/>
  <c r="Y70" i="4" s="1"/>
  <c r="HH69" i="4"/>
  <c r="HH70" i="4" s="1"/>
  <c r="HH71" i="4" s="1"/>
  <c r="BL80" i="4"/>
  <c r="BL83" i="4" s="1"/>
  <c r="BF69" i="4"/>
  <c r="BF70" i="4" s="1"/>
  <c r="DB69" i="4"/>
  <c r="DB70" i="4" s="1"/>
  <c r="CR61" i="4"/>
  <c r="CR62" i="4" s="1"/>
  <c r="L61" i="4"/>
  <c r="L62" i="4" s="1"/>
  <c r="HR69" i="4"/>
  <c r="HR70" i="4" s="1"/>
  <c r="CM61" i="4"/>
  <c r="CM62" i="4" s="1"/>
  <c r="FH69" i="4"/>
  <c r="FH70" i="4" s="1"/>
  <c r="FH71" i="4" s="1"/>
  <c r="R13" i="5"/>
  <c r="CF69" i="4"/>
  <c r="CF70" i="4" s="1"/>
  <c r="BB61" i="4"/>
  <c r="BB62" i="4" s="1"/>
  <c r="CF61" i="4"/>
  <c r="CF62" i="4" s="1"/>
  <c r="AT61" i="4"/>
  <c r="AT62" i="4" s="1"/>
  <c r="BD61" i="4"/>
  <c r="BD62" i="4" s="1"/>
  <c r="BV69" i="4"/>
  <c r="BV70" i="4" s="1"/>
  <c r="FP61" i="4"/>
  <c r="FP62" i="4" s="1"/>
  <c r="FP71" i="4" s="1"/>
  <c r="CU69" i="4"/>
  <c r="CU70" i="4" s="1"/>
  <c r="CU71" i="4" s="1"/>
  <c r="P80" i="4"/>
  <c r="P83" i="4" s="1"/>
  <c r="AL61" i="4"/>
  <c r="AL62" i="4" s="1"/>
  <c r="HI80" i="4"/>
  <c r="HI83" i="4" s="1"/>
  <c r="BE80" i="4"/>
  <c r="BE83" i="4" s="1"/>
  <c r="GS61" i="4"/>
  <c r="GS62" i="4" s="1"/>
  <c r="AW61" i="4"/>
  <c r="AW62" i="4" s="1"/>
  <c r="GS69" i="4"/>
  <c r="GS70" i="4" s="1"/>
  <c r="AW69" i="4"/>
  <c r="AW70" i="4" s="1"/>
  <c r="AH61" i="4"/>
  <c r="AH62" i="4" s="1"/>
  <c r="HI69" i="4"/>
  <c r="HI70" i="4" s="1"/>
  <c r="HI71" i="4" s="1"/>
  <c r="Z61" i="4"/>
  <c r="Z62" i="4" s="1"/>
  <c r="Z71" i="4" s="1"/>
  <c r="FG61" i="4"/>
  <c r="FG62" i="4" s="1"/>
  <c r="FG71" i="4" s="1"/>
  <c r="K69" i="4"/>
  <c r="K70" i="4" s="1"/>
  <c r="Z69" i="4"/>
  <c r="Z70" i="4" s="1"/>
  <c r="CK80" i="4"/>
  <c r="CK83" i="4" s="1"/>
  <c r="K61" i="4"/>
  <c r="K62" i="4" s="1"/>
  <c r="BD80" i="4"/>
  <c r="BD83" i="4" s="1"/>
  <c r="AL69" i="4"/>
  <c r="AL70" i="4" s="1"/>
  <c r="AB61" i="4"/>
  <c r="AB62" i="4" s="1"/>
  <c r="AN61" i="4"/>
  <c r="AN62" i="4" s="1"/>
  <c r="CJ69" i="4"/>
  <c r="CJ70" i="4" s="1"/>
  <c r="CJ71" i="4" s="1"/>
  <c r="AH69" i="4"/>
  <c r="AH70" i="4" s="1"/>
  <c r="F10" i="5"/>
  <c r="AB69" i="4"/>
  <c r="AB70" i="4" s="1"/>
  <c r="AN69" i="4"/>
  <c r="AN70" i="4" s="1"/>
  <c r="CJ80" i="4"/>
  <c r="CJ83" i="4" s="1"/>
  <c r="GX71" i="4"/>
  <c r="GZ69" i="4"/>
  <c r="GZ70" i="4" s="1"/>
  <c r="CK61" i="4"/>
  <c r="CK62" i="4" s="1"/>
  <c r="CK71" i="4" s="1"/>
  <c r="AV61" i="4"/>
  <c r="AV62" i="4" s="1"/>
  <c r="AV71" i="4" s="1"/>
  <c r="DH80" i="4"/>
  <c r="DH83" i="4" s="1"/>
  <c r="AR80" i="4"/>
  <c r="AR83" i="4" s="1"/>
  <c r="FK80" i="4"/>
  <c r="FK83" i="4" s="1"/>
  <c r="DB61" i="4"/>
  <c r="DB62" i="4" s="1"/>
  <c r="CD61" i="4"/>
  <c r="CD62" i="4" s="1"/>
  <c r="CD71" i="4" s="1"/>
  <c r="CD80" i="4"/>
  <c r="CD83" i="4" s="1"/>
  <c r="FO61" i="4"/>
  <c r="FO62" i="4" s="1"/>
  <c r="FO69" i="4"/>
  <c r="FO70" i="4" s="1"/>
  <c r="M80" i="4"/>
  <c r="M83" i="4" s="1"/>
  <c r="M61" i="4"/>
  <c r="M62" i="4" s="1"/>
  <c r="M69" i="4"/>
  <c r="M70" i="4" s="1"/>
  <c r="DB80" i="4"/>
  <c r="DB83" i="4" s="1"/>
  <c r="AY80" i="4"/>
  <c r="AY83" i="4" s="1"/>
  <c r="AT69" i="4"/>
  <c r="AT70" i="4" s="1"/>
  <c r="AT71" i="4" s="1"/>
  <c r="CS71" i="4"/>
  <c r="HM61" i="4"/>
  <c r="HM62" i="4" s="1"/>
  <c r="C46" i="4"/>
  <c r="C81" i="4" s="1"/>
  <c r="C84" i="4" s="1"/>
  <c r="EG71" i="4"/>
  <c r="CE69" i="4"/>
  <c r="CE70" i="4" s="1"/>
  <c r="HM69" i="4"/>
  <c r="HM70" i="4" s="1"/>
  <c r="FC61" i="4"/>
  <c r="FC62" i="4" s="1"/>
  <c r="FC71" i="4" s="1"/>
  <c r="GZ61" i="4"/>
  <c r="GZ62" i="4" s="1"/>
  <c r="CE61" i="4"/>
  <c r="CE62" i="4" s="1"/>
  <c r="BB69" i="4"/>
  <c r="BB70" i="4" s="1"/>
  <c r="BB71" i="4" s="1"/>
  <c r="FC80" i="4"/>
  <c r="FC83" i="4" s="1"/>
  <c r="P69" i="4"/>
  <c r="P70" i="4" s="1"/>
  <c r="P71" i="4" s="1"/>
  <c r="GT61" i="4"/>
  <c r="GT62" i="4" s="1"/>
  <c r="GT69" i="4"/>
  <c r="GT70" i="4" s="1"/>
  <c r="GT80" i="4"/>
  <c r="GT83" i="4" s="1"/>
  <c r="EL69" i="4"/>
  <c r="EL70" i="4" s="1"/>
  <c r="CB69" i="4"/>
  <c r="CB70" i="4" s="1"/>
  <c r="CB80" i="4"/>
  <c r="CB83" i="4" s="1"/>
  <c r="CB61" i="4"/>
  <c r="CB62" i="4" s="1"/>
  <c r="EA61" i="4"/>
  <c r="EA62" i="4" s="1"/>
  <c r="EA69" i="4"/>
  <c r="EA70" i="4" s="1"/>
  <c r="EA80" i="4"/>
  <c r="EA83" i="4" s="1"/>
  <c r="N61" i="4"/>
  <c r="N62" i="4" s="1"/>
  <c r="I61" i="4"/>
  <c r="I62" i="4" s="1"/>
  <c r="N69" i="4"/>
  <c r="N70" i="4" s="1"/>
  <c r="CV61" i="4"/>
  <c r="CV62" i="4" s="1"/>
  <c r="I69" i="4"/>
  <c r="I70" i="4" s="1"/>
  <c r="ES4" i="4"/>
  <c r="F11" i="5"/>
  <c r="N80" i="4"/>
  <c r="N83" i="4" s="1"/>
  <c r="EJ69" i="4"/>
  <c r="EJ70" i="4" s="1"/>
  <c r="I80" i="4"/>
  <c r="I83" i="4" s="1"/>
  <c r="F12" i="5"/>
  <c r="R12" i="5"/>
  <c r="AF61" i="4"/>
  <c r="AF62" i="4" s="1"/>
  <c r="X61" i="4"/>
  <c r="X62" i="4" s="1"/>
  <c r="X71" i="4" s="1"/>
  <c r="EJ61" i="4"/>
  <c r="EJ62" i="4" s="1"/>
  <c r="R10" i="5"/>
  <c r="CV69" i="4"/>
  <c r="CV70" i="4" s="1"/>
  <c r="CR71" i="4"/>
  <c r="AF69" i="4"/>
  <c r="AF70" i="4" s="1"/>
  <c r="HP10" i="4"/>
  <c r="HP4" i="4" s="1"/>
  <c r="C44" i="4"/>
  <c r="I7" i="5" s="1"/>
  <c r="P7" i="5" s="1"/>
  <c r="T7" i="5" s="1"/>
  <c r="CV81" i="4"/>
  <c r="CV84" i="4" s="1"/>
  <c r="J3" i="4"/>
  <c r="J80" i="4"/>
  <c r="J83" i="4" s="1"/>
  <c r="J61" i="4"/>
  <c r="J62" i="4" s="1"/>
  <c r="J69" i="4"/>
  <c r="J70" i="4" s="1"/>
  <c r="EY69" i="4"/>
  <c r="EY70" i="4" s="1"/>
  <c r="EY61" i="4"/>
  <c r="EY62" i="4" s="1"/>
  <c r="EY80" i="4"/>
  <c r="EY83" i="4" s="1"/>
  <c r="HN80" i="4"/>
  <c r="HN83" i="4" s="1"/>
  <c r="HN69" i="4"/>
  <c r="HN70" i="4" s="1"/>
  <c r="HN61" i="4"/>
  <c r="HN62" i="4" s="1"/>
  <c r="P12" i="5"/>
  <c r="F69" i="4"/>
  <c r="F70" i="4" s="1"/>
  <c r="F3" i="4"/>
  <c r="F80" i="4"/>
  <c r="F83" i="4" s="1"/>
  <c r="F61" i="4"/>
  <c r="F62" i="4" s="1"/>
  <c r="GB69" i="4"/>
  <c r="GB70" i="4" s="1"/>
  <c r="GB80" i="4"/>
  <c r="GB83" i="4" s="1"/>
  <c r="GB61" i="4"/>
  <c r="GB62" i="4" s="1"/>
  <c r="T69" i="4"/>
  <c r="T70" i="4" s="1"/>
  <c r="T80" i="4"/>
  <c r="T83" i="4" s="1"/>
  <c r="T61" i="4"/>
  <c r="T62" i="4" s="1"/>
  <c r="S61" i="4"/>
  <c r="S62" i="4" s="1"/>
  <c r="S80" i="4"/>
  <c r="S83" i="4" s="1"/>
  <c r="S69" i="4"/>
  <c r="S70" i="4" s="1"/>
  <c r="EB71" i="4"/>
  <c r="P32" i="5"/>
  <c r="HF71" i="4"/>
  <c r="AX71" i="4"/>
  <c r="EL61" i="4"/>
  <c r="EL62" i="4" s="1"/>
  <c r="EL80" i="4"/>
  <c r="EL83" i="4" s="1"/>
  <c r="CM4" i="4"/>
  <c r="FS71" i="4"/>
  <c r="EC71" i="4"/>
  <c r="AZ71" i="4"/>
  <c r="HR71" i="4"/>
  <c r="BD71" i="4"/>
  <c r="GJ69" i="4"/>
  <c r="GJ70" i="4" s="1"/>
  <c r="CL71" i="4"/>
  <c r="AF81" i="4"/>
  <c r="AF84" i="4" s="1"/>
  <c r="V61" i="4"/>
  <c r="V62" i="4" s="1"/>
  <c r="DS71" i="4"/>
  <c r="DU71" i="4"/>
  <c r="AA61" i="4"/>
  <c r="AA62" i="4" s="1"/>
  <c r="DT71" i="4"/>
  <c r="CT71" i="4"/>
  <c r="BF71" i="4"/>
  <c r="HB71" i="4"/>
  <c r="BG71" i="4"/>
  <c r="AQ71" i="4"/>
  <c r="P40" i="5"/>
  <c r="P20" i="5"/>
  <c r="F47" i="5"/>
  <c r="R22" i="5"/>
  <c r="R34" i="5"/>
  <c r="P28" i="5"/>
  <c r="R16" i="5"/>
  <c r="R30" i="5"/>
  <c r="F15" i="5"/>
  <c r="F27" i="5"/>
  <c r="F39" i="5"/>
  <c r="F48" i="5"/>
  <c r="P33" i="5"/>
  <c r="R15" i="5"/>
  <c r="R27" i="5"/>
  <c r="R39" i="5"/>
  <c r="F18" i="5"/>
  <c r="F30" i="5"/>
  <c r="P16" i="5"/>
  <c r="P30" i="5"/>
  <c r="R18" i="5"/>
  <c r="R32" i="5"/>
  <c r="F17" i="5"/>
  <c r="F29" i="5"/>
  <c r="P23" i="5"/>
  <c r="P35" i="5"/>
  <c r="R17" i="5"/>
  <c r="F49" i="5"/>
  <c r="F20" i="5"/>
  <c r="F32" i="5"/>
  <c r="P38" i="5"/>
  <c r="P34" i="5"/>
  <c r="P18" i="5"/>
  <c r="R20" i="5"/>
  <c r="R36" i="5"/>
  <c r="F19" i="5"/>
  <c r="F31" i="5"/>
  <c r="P25" i="5"/>
  <c r="P37" i="5"/>
  <c r="R19" i="5"/>
  <c r="R31" i="5"/>
  <c r="R47" i="5"/>
  <c r="F22" i="5"/>
  <c r="F34" i="5"/>
  <c r="P22" i="5"/>
  <c r="R48" i="5"/>
  <c r="R24" i="5"/>
  <c r="R38" i="5"/>
  <c r="P48" i="5"/>
  <c r="F21" i="5"/>
  <c r="F33" i="5"/>
  <c r="P15" i="5"/>
  <c r="P27" i="5"/>
  <c r="P39" i="5"/>
  <c r="P49" i="5"/>
  <c r="R21" i="5"/>
  <c r="R33" i="5"/>
  <c r="F24" i="5"/>
  <c r="F36" i="5"/>
  <c r="P24" i="5"/>
  <c r="R26" i="5"/>
  <c r="R40" i="5"/>
  <c r="F23" i="5"/>
  <c r="F35" i="5"/>
  <c r="P17" i="5"/>
  <c r="R23" i="5"/>
  <c r="R35" i="5"/>
  <c r="F14" i="5"/>
  <c r="F26" i="5"/>
  <c r="F38" i="5"/>
  <c r="P36" i="5"/>
  <c r="P26" i="5"/>
  <c r="R28" i="5"/>
  <c r="F25" i="5"/>
  <c r="F37" i="5"/>
  <c r="R49" i="5"/>
  <c r="P19" i="5"/>
  <c r="P31" i="5"/>
  <c r="R25" i="5"/>
  <c r="R37" i="5"/>
  <c r="F16" i="5"/>
  <c r="F28" i="5"/>
  <c r="F40" i="5"/>
  <c r="HR46" i="4"/>
  <c r="AZ4" i="4"/>
  <c r="CN10" i="4"/>
  <c r="EJ10" i="4"/>
  <c r="CV4" i="4"/>
  <c r="HV10" i="4"/>
  <c r="HV4" i="4" s="1"/>
  <c r="GG4" i="4"/>
  <c r="CB10" i="4"/>
  <c r="AN4" i="4"/>
  <c r="DT10" i="4"/>
  <c r="CF4" i="4"/>
  <c r="HW10" i="4"/>
  <c r="HW4" i="4" s="1"/>
  <c r="GH4" i="4"/>
  <c r="EY10" i="4"/>
  <c r="DJ4" i="4"/>
  <c r="T13" i="5"/>
  <c r="M12" i="5"/>
  <c r="M13" i="5"/>
  <c r="B15" i="5"/>
  <c r="B16" i="5" s="1"/>
  <c r="HA80" i="4"/>
  <c r="HA83" i="4" s="1"/>
  <c r="HA69" i="4"/>
  <c r="HA70" i="4" s="1"/>
  <c r="HA61" i="4"/>
  <c r="HA62" i="4" s="1"/>
  <c r="GE80" i="4"/>
  <c r="GE83" i="4" s="1"/>
  <c r="GE69" i="4"/>
  <c r="GE70" i="4" s="1"/>
  <c r="GE61" i="4"/>
  <c r="GE62" i="4" s="1"/>
  <c r="C80" i="4"/>
  <c r="C83" i="4" s="1"/>
  <c r="C61" i="4"/>
  <c r="C62" i="4" s="1"/>
  <c r="C69" i="4"/>
  <c r="C70" i="4" s="1"/>
  <c r="U80" i="4"/>
  <c r="U83" i="4" s="1"/>
  <c r="U61" i="4"/>
  <c r="U62" i="4" s="1"/>
  <c r="U69" i="4"/>
  <c r="U70" i="4" s="1"/>
  <c r="BN80" i="4"/>
  <c r="BN83" i="4" s="1"/>
  <c r="BN69" i="4"/>
  <c r="BN70" i="4" s="1"/>
  <c r="BN61" i="4"/>
  <c r="BN62" i="4" s="1"/>
  <c r="HE80" i="4"/>
  <c r="HE83" i="4" s="1"/>
  <c r="HE69" i="4"/>
  <c r="HE70" i="4" s="1"/>
  <c r="HE61" i="4"/>
  <c r="HE62" i="4" s="1"/>
  <c r="AG80" i="4"/>
  <c r="AG83" i="4" s="1"/>
  <c r="AG69" i="4"/>
  <c r="AG70" i="4" s="1"/>
  <c r="AG61" i="4"/>
  <c r="AG62" i="4" s="1"/>
  <c r="Q80" i="4"/>
  <c r="Q83" i="4" s="1"/>
  <c r="Q69" i="4"/>
  <c r="Q70" i="4" s="1"/>
  <c r="Q61" i="4"/>
  <c r="Q62" i="4" s="1"/>
  <c r="R80" i="4"/>
  <c r="R83" i="4" s="1"/>
  <c r="R61" i="4"/>
  <c r="R62" i="4" s="1"/>
  <c r="R69" i="4"/>
  <c r="R70" i="4" s="1"/>
  <c r="HC61" i="4"/>
  <c r="HC62" i="4" s="1"/>
  <c r="HC80" i="4"/>
  <c r="HC83" i="4" s="1"/>
  <c r="HC69" i="4"/>
  <c r="HC70" i="4" s="1"/>
  <c r="HS10" i="4"/>
  <c r="HS4" i="4" s="1"/>
  <c r="GD4" i="4"/>
  <c r="FR10" i="4"/>
  <c r="EC4" i="4"/>
  <c r="CR4" i="4"/>
  <c r="EF10" i="4"/>
  <c r="EM81" i="4"/>
  <c r="EM84" i="4" s="1"/>
  <c r="HT69" i="4"/>
  <c r="HT70" i="4" s="1"/>
  <c r="HT80" i="4"/>
  <c r="HT83" i="4" s="1"/>
  <c r="HT61" i="4"/>
  <c r="HT62" i="4" s="1"/>
  <c r="DW80" i="4"/>
  <c r="DW83" i="4" s="1"/>
  <c r="DW61" i="4"/>
  <c r="DW62" i="4" s="1"/>
  <c r="DW69" i="4"/>
  <c r="DW70" i="4" s="1"/>
  <c r="HG69" i="4"/>
  <c r="HG70" i="4" s="1"/>
  <c r="HG80" i="4"/>
  <c r="HG83" i="4" s="1"/>
  <c r="HG61" i="4"/>
  <c r="HG62" i="4" s="1"/>
  <c r="HP71" i="4"/>
  <c r="DG80" i="4"/>
  <c r="DG83" i="4" s="1"/>
  <c r="DG61" i="4"/>
  <c r="DG62" i="4" s="1"/>
  <c r="DG69" i="4"/>
  <c r="DG70" i="4" s="1"/>
  <c r="AU80" i="4"/>
  <c r="AU83" i="4" s="1"/>
  <c r="AU61" i="4"/>
  <c r="AU62" i="4" s="1"/>
  <c r="AU69" i="4"/>
  <c r="AU70" i="4" s="1"/>
  <c r="DJ71" i="4"/>
  <c r="FT80" i="4"/>
  <c r="FT83" i="4" s="1"/>
  <c r="FT61" i="4"/>
  <c r="FT62" i="4" s="1"/>
  <c r="FT69" i="4"/>
  <c r="FT70" i="4" s="1"/>
  <c r="BZ80" i="4"/>
  <c r="BZ83" i="4" s="1"/>
  <c r="BZ61" i="4"/>
  <c r="BZ62" i="4" s="1"/>
  <c r="BZ69" i="4"/>
  <c r="BZ70" i="4" s="1"/>
  <c r="V69" i="4"/>
  <c r="V70" i="4" s="1"/>
  <c r="DH71" i="4"/>
  <c r="GW71" i="4"/>
  <c r="DN71" i="4"/>
  <c r="AR71" i="4"/>
  <c r="DZ71" i="4"/>
  <c r="DV71" i="4"/>
  <c r="DB71" i="4"/>
  <c r="FJ71" i="4"/>
  <c r="EI10" i="4"/>
  <c r="CU4" i="4"/>
  <c r="DS10" i="4"/>
  <c r="CE4" i="4"/>
  <c r="CH80" i="4"/>
  <c r="CH83" i="4" s="1"/>
  <c r="CH61" i="4"/>
  <c r="CH62" i="4" s="1"/>
  <c r="CH69" i="4"/>
  <c r="CH70" i="4" s="1"/>
  <c r="GK80" i="4"/>
  <c r="GK83" i="4" s="1"/>
  <c r="GK61" i="4"/>
  <c r="GK62" i="4" s="1"/>
  <c r="GK69" i="4"/>
  <c r="GK70" i="4" s="1"/>
  <c r="CY80" i="4"/>
  <c r="CY83" i="4" s="1"/>
  <c r="CY69" i="4"/>
  <c r="CY70" i="4" s="1"/>
  <c r="CY61" i="4"/>
  <c r="CY62" i="4" s="1"/>
  <c r="HZ80" i="4"/>
  <c r="HZ83" i="4" s="1"/>
  <c r="HZ61" i="4"/>
  <c r="HZ62" i="4" s="1"/>
  <c r="HZ69" i="4"/>
  <c r="HZ70" i="4" s="1"/>
  <c r="GA71" i="4"/>
  <c r="GJ61" i="4"/>
  <c r="GJ62" i="4" s="1"/>
  <c r="FB10" i="4"/>
  <c r="DM4" i="4"/>
  <c r="EA4" i="4"/>
  <c r="FP10" i="4"/>
  <c r="EE61" i="4"/>
  <c r="EE62" i="4" s="1"/>
  <c r="EE80" i="4"/>
  <c r="EE83" i="4" s="1"/>
  <c r="EE69" i="4"/>
  <c r="EE70" i="4" s="1"/>
  <c r="EU61" i="4"/>
  <c r="EU62" i="4" s="1"/>
  <c r="FX80" i="4"/>
  <c r="FX83" i="4" s="1"/>
  <c r="FX69" i="4"/>
  <c r="FX70" i="4" s="1"/>
  <c r="FX61" i="4"/>
  <c r="FX62" i="4" s="1"/>
  <c r="EN80" i="4"/>
  <c r="EN83" i="4" s="1"/>
  <c r="EN69" i="4"/>
  <c r="EN70" i="4" s="1"/>
  <c r="EN61" i="4"/>
  <c r="EN62" i="4" s="1"/>
  <c r="EP80" i="4"/>
  <c r="EP83" i="4" s="1"/>
  <c r="EP69" i="4"/>
  <c r="EP70" i="4" s="1"/>
  <c r="EP61" i="4"/>
  <c r="EP62" i="4" s="1"/>
  <c r="G80" i="4"/>
  <c r="G83" i="4" s="1"/>
  <c r="G69" i="4"/>
  <c r="G70" i="4" s="1"/>
  <c r="G61" i="4"/>
  <c r="G62" i="4" s="1"/>
  <c r="G3" i="4"/>
  <c r="FD80" i="4"/>
  <c r="FD83" i="4" s="1"/>
  <c r="FD61" i="4"/>
  <c r="FD62" i="4" s="1"/>
  <c r="FD69" i="4"/>
  <c r="FD70" i="4" s="1"/>
  <c r="GV69" i="4"/>
  <c r="GV70" i="4" s="1"/>
  <c r="GV61" i="4"/>
  <c r="GV62" i="4" s="1"/>
  <c r="GV80" i="4"/>
  <c r="GV83" i="4" s="1"/>
  <c r="EF80" i="4"/>
  <c r="EF83" i="4" s="1"/>
  <c r="EF61" i="4"/>
  <c r="EF62" i="4" s="1"/>
  <c r="EF69" i="4"/>
  <c r="EF70" i="4" s="1"/>
  <c r="FU80" i="4"/>
  <c r="FU83" i="4" s="1"/>
  <c r="FU61" i="4"/>
  <c r="FU62" i="4" s="1"/>
  <c r="FU69" i="4"/>
  <c r="FU70" i="4" s="1"/>
  <c r="FQ80" i="4"/>
  <c r="FQ83" i="4" s="1"/>
  <c r="FQ69" i="4"/>
  <c r="FQ70" i="4" s="1"/>
  <c r="FQ61" i="4"/>
  <c r="FQ62" i="4" s="1"/>
  <c r="CI80" i="4"/>
  <c r="CI83" i="4" s="1"/>
  <c r="CI61" i="4"/>
  <c r="CI62" i="4" s="1"/>
  <c r="CI69" i="4"/>
  <c r="CI70" i="4" s="1"/>
  <c r="AS80" i="4"/>
  <c r="AS83" i="4" s="1"/>
  <c r="AS61" i="4"/>
  <c r="AS62" i="4" s="1"/>
  <c r="AS69" i="4"/>
  <c r="AS70" i="4" s="1"/>
  <c r="GR71" i="4"/>
  <c r="DR71" i="4"/>
  <c r="FK71" i="4"/>
  <c r="AW71" i="4"/>
  <c r="CM71" i="4"/>
  <c r="EU10" i="4"/>
  <c r="DG4" i="4"/>
  <c r="DR10" i="4"/>
  <c r="CD4" i="4"/>
  <c r="BC80" i="4"/>
  <c r="BC83" i="4" s="1"/>
  <c r="BC61" i="4"/>
  <c r="BC62" i="4" s="1"/>
  <c r="BC69" i="4"/>
  <c r="BC70" i="4" s="1"/>
  <c r="FL61" i="4"/>
  <c r="FL62" i="4" s="1"/>
  <c r="FL80" i="4"/>
  <c r="FL83" i="4" s="1"/>
  <c r="FL69" i="4"/>
  <c r="FL70" i="4" s="1"/>
  <c r="HD80" i="4"/>
  <c r="HD83" i="4" s="1"/>
  <c r="HD69" i="4"/>
  <c r="HD70" i="4" s="1"/>
  <c r="HD61" i="4"/>
  <c r="HD62" i="4" s="1"/>
  <c r="GC61" i="4"/>
  <c r="GC62" i="4" s="1"/>
  <c r="GC80" i="4"/>
  <c r="GC83" i="4" s="1"/>
  <c r="GC69" i="4"/>
  <c r="GC70" i="4" s="1"/>
  <c r="CQ80" i="4"/>
  <c r="CQ83" i="4" s="1"/>
  <c r="CQ61" i="4"/>
  <c r="CQ62" i="4" s="1"/>
  <c r="CQ69" i="4"/>
  <c r="CQ70" i="4" s="1"/>
  <c r="BA80" i="4"/>
  <c r="BA83" i="4" s="1"/>
  <c r="BA69" i="4"/>
  <c r="BA70" i="4" s="1"/>
  <c r="BA61" i="4"/>
  <c r="BA62" i="4" s="1"/>
  <c r="HQ81" i="4"/>
  <c r="HQ84" i="4" s="1"/>
  <c r="GN80" i="4"/>
  <c r="GN83" i="4" s="1"/>
  <c r="GN61" i="4"/>
  <c r="GN62" i="4" s="1"/>
  <c r="GN69" i="4"/>
  <c r="GN70" i="4" s="1"/>
  <c r="DX80" i="4"/>
  <c r="DX83" i="4" s="1"/>
  <c r="DX61" i="4"/>
  <c r="DX62" i="4" s="1"/>
  <c r="DX69" i="4"/>
  <c r="DX70" i="4" s="1"/>
  <c r="IC80" i="4"/>
  <c r="IC83" i="4" s="1"/>
  <c r="IC61" i="4"/>
  <c r="IC62" i="4" s="1"/>
  <c r="IC69" i="4"/>
  <c r="IC70" i="4" s="1"/>
  <c r="FM61" i="4"/>
  <c r="FM62" i="4" s="1"/>
  <c r="FM80" i="4"/>
  <c r="FM83" i="4" s="1"/>
  <c r="FM69" i="4"/>
  <c r="FM70" i="4" s="1"/>
  <c r="FI80" i="4"/>
  <c r="FI83" i="4" s="1"/>
  <c r="FI61" i="4"/>
  <c r="FI62" i="4" s="1"/>
  <c r="FI69" i="4"/>
  <c r="FI70" i="4" s="1"/>
  <c r="CA69" i="4"/>
  <c r="CA70" i="4" s="1"/>
  <c r="CA80" i="4"/>
  <c r="CA83" i="4" s="1"/>
  <c r="CA61" i="4"/>
  <c r="CA62" i="4" s="1"/>
  <c r="BJ80" i="4"/>
  <c r="BJ83" i="4" s="1"/>
  <c r="BJ69" i="4"/>
  <c r="BJ70" i="4" s="1"/>
  <c r="BJ61" i="4"/>
  <c r="BJ62" i="4" s="1"/>
  <c r="AL71" i="4"/>
  <c r="FR80" i="4"/>
  <c r="FR83" i="4" s="1"/>
  <c r="FR61" i="4"/>
  <c r="FR62" i="4" s="1"/>
  <c r="FR69" i="4"/>
  <c r="FR70" i="4" s="1"/>
  <c r="FY80" i="4"/>
  <c r="FY83" i="4" s="1"/>
  <c r="FY69" i="4"/>
  <c r="FY70" i="4" s="1"/>
  <c r="FY61" i="4"/>
  <c r="FY62" i="4" s="1"/>
  <c r="EI69" i="4"/>
  <c r="EI70" i="4" s="1"/>
  <c r="Y71" i="4"/>
  <c r="HQ61" i="4"/>
  <c r="HQ62" i="4" s="1"/>
  <c r="BT80" i="4"/>
  <c r="BT83" i="4" s="1"/>
  <c r="BT69" i="4"/>
  <c r="BT70" i="4" s="1"/>
  <c r="BT61" i="4"/>
  <c r="BT62" i="4" s="1"/>
  <c r="DX4" i="4"/>
  <c r="FM10" i="4"/>
  <c r="HY61" i="4"/>
  <c r="HY62" i="4" s="1"/>
  <c r="HU10" i="4"/>
  <c r="HU4" i="4" s="1"/>
  <c r="GF4" i="4"/>
  <c r="AY71" i="4"/>
  <c r="FS4" i="4"/>
  <c r="HH10" i="4"/>
  <c r="HH4" i="4" s="1"/>
  <c r="EU81" i="4"/>
  <c r="EU84" i="4" s="1"/>
  <c r="FN80" i="4"/>
  <c r="FN83" i="4" s="1"/>
  <c r="FN69" i="4"/>
  <c r="FN70" i="4" s="1"/>
  <c r="FN61" i="4"/>
  <c r="FN62" i="4" s="1"/>
  <c r="HO80" i="4"/>
  <c r="HO83" i="4" s="1"/>
  <c r="AC80" i="4"/>
  <c r="AC83" i="4" s="1"/>
  <c r="AC61" i="4"/>
  <c r="AC62" i="4" s="1"/>
  <c r="AC69" i="4"/>
  <c r="AC70" i="4" s="1"/>
  <c r="EV80" i="4"/>
  <c r="EV83" i="4" s="1"/>
  <c r="EV61" i="4"/>
  <c r="EV62" i="4" s="1"/>
  <c r="EV69" i="4"/>
  <c r="EV70" i="4" s="1"/>
  <c r="GY69" i="4"/>
  <c r="GY70" i="4" s="1"/>
  <c r="GY80" i="4"/>
  <c r="GY83" i="4" s="1"/>
  <c r="GY61" i="4"/>
  <c r="GY62" i="4" s="1"/>
  <c r="BU80" i="4"/>
  <c r="BU83" i="4" s="1"/>
  <c r="BU69" i="4"/>
  <c r="BU70" i="4" s="1"/>
  <c r="BU61" i="4"/>
  <c r="BU62" i="4" s="1"/>
  <c r="GI4" i="4"/>
  <c r="HX10" i="4"/>
  <c r="HX4" i="4" s="1"/>
  <c r="GJ81" i="4"/>
  <c r="GJ84" i="4" s="1"/>
  <c r="EI81" i="4"/>
  <c r="EI84" i="4" s="1"/>
  <c r="DP80" i="4"/>
  <c r="DP83" i="4" s="1"/>
  <c r="DP61" i="4"/>
  <c r="DP62" i="4" s="1"/>
  <c r="DP69" i="4"/>
  <c r="DP70" i="4" s="1"/>
  <c r="FE80" i="4"/>
  <c r="FE83" i="4" s="1"/>
  <c r="FE61" i="4"/>
  <c r="FE62" i="4" s="1"/>
  <c r="FE69" i="4"/>
  <c r="FE70" i="4" s="1"/>
  <c r="BS80" i="4"/>
  <c r="BS83" i="4" s="1"/>
  <c r="BS69" i="4"/>
  <c r="BS70" i="4" s="1"/>
  <c r="BS61" i="4"/>
  <c r="BS62" i="4" s="1"/>
  <c r="CX61" i="4"/>
  <c r="CX62" i="4" s="1"/>
  <c r="CX80" i="4"/>
  <c r="CX83" i="4" s="1"/>
  <c r="CX69" i="4"/>
  <c r="CX70" i="4" s="1"/>
  <c r="ED71" i="4"/>
  <c r="CN71" i="4"/>
  <c r="EI61" i="4"/>
  <c r="EI62" i="4" s="1"/>
  <c r="BE71" i="4"/>
  <c r="HQ69" i="4"/>
  <c r="HQ70" i="4" s="1"/>
  <c r="CZ80" i="4"/>
  <c r="CZ83" i="4" s="1"/>
  <c r="CZ69" i="4"/>
  <c r="CZ70" i="4" s="1"/>
  <c r="CZ61" i="4"/>
  <c r="CZ62" i="4" s="1"/>
  <c r="EU69" i="4"/>
  <c r="EU70" i="4" s="1"/>
  <c r="AA69" i="4"/>
  <c r="AA70" i="4" s="1"/>
  <c r="DH10" i="4"/>
  <c r="BU4" i="4"/>
  <c r="HY69" i="4"/>
  <c r="HY70" i="4" s="1"/>
  <c r="DY10" i="4"/>
  <c r="CK4" i="4"/>
  <c r="DO61" i="4"/>
  <c r="DO62" i="4" s="1"/>
  <c r="DO80" i="4"/>
  <c r="DO83" i="4" s="1"/>
  <c r="DO69" i="4"/>
  <c r="DO70" i="4" s="1"/>
  <c r="V81" i="4"/>
  <c r="V84" i="4" s="1"/>
  <c r="BX22" i="4"/>
  <c r="FV80" i="4"/>
  <c r="FV83" i="4" s="1"/>
  <c r="FV61" i="4"/>
  <c r="FV62" i="4" s="1"/>
  <c r="FV69" i="4"/>
  <c r="FV70" i="4" s="1"/>
  <c r="HK80" i="4"/>
  <c r="HK83" i="4" s="1"/>
  <c r="HK61" i="4"/>
  <c r="HK62" i="4" s="1"/>
  <c r="HK69" i="4"/>
  <c r="HK70" i="4" s="1"/>
  <c r="EM80" i="4"/>
  <c r="EM83" i="4" s="1"/>
  <c r="EM61" i="4"/>
  <c r="EM62" i="4" s="1"/>
  <c r="EM69" i="4"/>
  <c r="EM70" i="4" s="1"/>
  <c r="DY69" i="4"/>
  <c r="DY70" i="4" s="1"/>
  <c r="DY80" i="4"/>
  <c r="DY83" i="4" s="1"/>
  <c r="DY61" i="4"/>
  <c r="DY62" i="4" s="1"/>
  <c r="BK80" i="4"/>
  <c r="BK83" i="4" s="1"/>
  <c r="BK69" i="4"/>
  <c r="BK70" i="4" s="1"/>
  <c r="BK61" i="4"/>
  <c r="BK62" i="4" s="1"/>
  <c r="CP61" i="4"/>
  <c r="CP62" i="4" s="1"/>
  <c r="CP69" i="4"/>
  <c r="CP70" i="4" s="1"/>
  <c r="CP80" i="4"/>
  <c r="CP83" i="4" s="1"/>
  <c r="AD80" i="4"/>
  <c r="AD83" i="4" s="1"/>
  <c r="AD69" i="4"/>
  <c r="AD70" i="4" s="1"/>
  <c r="AD61" i="4"/>
  <c r="AD62" i="4" s="1"/>
  <c r="CO71" i="4"/>
  <c r="CG71" i="4"/>
  <c r="BV71" i="4"/>
  <c r="AM80" i="4"/>
  <c r="AM83" i="4" s="1"/>
  <c r="AM69" i="4"/>
  <c r="AM70" i="4" s="1"/>
  <c r="AM61" i="4"/>
  <c r="AM62" i="4" s="1"/>
  <c r="HJ71" i="4"/>
  <c r="CL10" i="4"/>
  <c r="AX4" i="4"/>
  <c r="CT10" i="4"/>
  <c r="BF4" i="4"/>
  <c r="GY10" i="4"/>
  <c r="GY4" i="4" s="1"/>
  <c r="FJ4" i="4"/>
  <c r="HO10" i="4"/>
  <c r="HO4" i="4" s="1"/>
  <c r="FZ4" i="4"/>
  <c r="DQ10" i="4"/>
  <c r="CC4" i="4"/>
  <c r="FC4" i="4"/>
  <c r="GR10" i="4"/>
  <c r="GR4" i="4" s="1"/>
  <c r="GS71" i="4" l="1"/>
  <c r="CF71" i="4"/>
  <c r="AE71" i="4"/>
  <c r="AN71" i="4"/>
  <c r="GZ71" i="4"/>
  <c r="AB71" i="4"/>
  <c r="CV71" i="4"/>
  <c r="HM71" i="4"/>
  <c r="AH71" i="4"/>
  <c r="K71" i="4"/>
  <c r="FO71" i="4"/>
  <c r="CE71" i="4"/>
  <c r="N71" i="4"/>
  <c r="FV71" i="4"/>
  <c r="M71" i="4"/>
  <c r="AF71" i="4"/>
  <c r="GT71" i="4"/>
  <c r="V71" i="4"/>
  <c r="T71" i="4"/>
  <c r="C48" i="4"/>
  <c r="DX71" i="4"/>
  <c r="BZ71" i="4"/>
  <c r="HN71" i="4"/>
  <c r="EJ71" i="4"/>
  <c r="FY71" i="4"/>
  <c r="CA71" i="4"/>
  <c r="EL71" i="4"/>
  <c r="I71" i="4"/>
  <c r="EA71" i="4"/>
  <c r="CB71" i="4"/>
  <c r="M7" i="5"/>
  <c r="T28" i="5"/>
  <c r="T40" i="5"/>
  <c r="T49" i="5"/>
  <c r="T12" i="5"/>
  <c r="HA71" i="4"/>
  <c r="M48" i="5"/>
  <c r="AA71" i="4"/>
  <c r="F71" i="4"/>
  <c r="FN71" i="4"/>
  <c r="HE71" i="4"/>
  <c r="HY71" i="4"/>
  <c r="GJ71" i="4"/>
  <c r="HG71" i="4"/>
  <c r="T22" i="5"/>
  <c r="S71" i="4"/>
  <c r="HT71" i="4"/>
  <c r="R71" i="4"/>
  <c r="P64" i="5"/>
  <c r="J71" i="4"/>
  <c r="T15" i="5"/>
  <c r="T16" i="5"/>
  <c r="M15" i="5"/>
  <c r="M24" i="5"/>
  <c r="T35" i="5"/>
  <c r="T32" i="5"/>
  <c r="T38" i="5"/>
  <c r="T30" i="5"/>
  <c r="T36" i="5"/>
  <c r="M30" i="5"/>
  <c r="M37" i="5"/>
  <c r="T31" i="5"/>
  <c r="T24" i="5"/>
  <c r="T20" i="5"/>
  <c r="M32" i="5"/>
  <c r="M28" i="5"/>
  <c r="M16" i="5"/>
  <c r="T33" i="5"/>
  <c r="T37" i="5"/>
  <c r="T19" i="5"/>
  <c r="T23" i="5"/>
  <c r="T27" i="5"/>
  <c r="M38" i="5"/>
  <c r="M20" i="5"/>
  <c r="T48" i="5"/>
  <c r="M34" i="5"/>
  <c r="M36" i="5"/>
  <c r="M49" i="5"/>
  <c r="AC49" i="5" s="1"/>
  <c r="M33" i="5"/>
  <c r="M23" i="5"/>
  <c r="T39" i="5"/>
  <c r="T26" i="5"/>
  <c r="T25" i="5"/>
  <c r="T17" i="5"/>
  <c r="T18" i="5"/>
  <c r="T34" i="5"/>
  <c r="C71" i="4"/>
  <c r="M40" i="5"/>
  <c r="M31" i="5"/>
  <c r="M17" i="5"/>
  <c r="DY71" i="4"/>
  <c r="DO71" i="4"/>
  <c r="AC71" i="4"/>
  <c r="M39" i="5"/>
  <c r="GB71" i="4"/>
  <c r="EY71" i="4"/>
  <c r="HQ71" i="4"/>
  <c r="M27" i="5"/>
  <c r="M22" i="5"/>
  <c r="M25" i="5"/>
  <c r="BS71" i="4"/>
  <c r="FR71" i="4"/>
  <c r="DG71" i="4"/>
  <c r="M35" i="5"/>
  <c r="M26" i="5"/>
  <c r="M18" i="5"/>
  <c r="CP71" i="4"/>
  <c r="EU71" i="4"/>
  <c r="BJ71" i="4"/>
  <c r="IC71" i="4"/>
  <c r="CI71" i="4"/>
  <c r="FQ71" i="4"/>
  <c r="FU71" i="4"/>
  <c r="EF71" i="4"/>
  <c r="G71" i="4"/>
  <c r="FI10" i="4"/>
  <c r="DT4" i="4"/>
  <c r="F77" i="5"/>
  <c r="F84" i="5"/>
  <c r="F65" i="5"/>
  <c r="P62" i="5"/>
  <c r="F66" i="5"/>
  <c r="P58" i="5"/>
  <c r="P59" i="5"/>
  <c r="P73" i="5"/>
  <c r="F58" i="5"/>
  <c r="F71" i="5"/>
  <c r="F54" i="5"/>
  <c r="P67" i="5"/>
  <c r="F64" i="5"/>
  <c r="F76" i="5"/>
  <c r="P68" i="5"/>
  <c r="F56" i="5"/>
  <c r="P81" i="5"/>
  <c r="P57" i="5"/>
  <c r="F57" i="5"/>
  <c r="P55" i="5"/>
  <c r="F83" i="5"/>
  <c r="P66" i="5"/>
  <c r="F55" i="5"/>
  <c r="F60" i="5"/>
  <c r="P61" i="5"/>
  <c r="F52" i="5"/>
  <c r="P50" i="5"/>
  <c r="P65" i="5"/>
  <c r="F82" i="5"/>
  <c r="P72" i="5"/>
  <c r="F93" i="5"/>
  <c r="F50" i="5"/>
  <c r="P76" i="5"/>
  <c r="P63" i="5"/>
  <c r="F51" i="5"/>
  <c r="F53" i="5"/>
  <c r="P54" i="5"/>
  <c r="P56" i="5"/>
  <c r="F59" i="5"/>
  <c r="F81" i="5"/>
  <c r="P84" i="5"/>
  <c r="F62" i="5"/>
  <c r="F78" i="5"/>
  <c r="F72" i="5"/>
  <c r="P52" i="5"/>
  <c r="P82" i="5"/>
  <c r="P92" i="5"/>
  <c r="F68" i="5"/>
  <c r="F74" i="5"/>
  <c r="F91" i="5"/>
  <c r="P74" i="5"/>
  <c r="P83" i="5"/>
  <c r="F92" i="5"/>
  <c r="F75" i="5"/>
  <c r="F67" i="5"/>
  <c r="P93" i="5"/>
  <c r="P69" i="5"/>
  <c r="F63" i="5"/>
  <c r="P53" i="5"/>
  <c r="F73" i="5"/>
  <c r="F80" i="5"/>
  <c r="FY10" i="4"/>
  <c r="EJ4" i="4"/>
  <c r="HK71" i="4"/>
  <c r="FM71" i="4"/>
  <c r="EE71" i="4"/>
  <c r="HZ71" i="4"/>
  <c r="DW71" i="4"/>
  <c r="M19" i="5"/>
  <c r="GN10" i="4"/>
  <c r="EY4" i="4"/>
  <c r="CB4" i="4"/>
  <c r="F94" i="5" s="1"/>
  <c r="DP10" i="4"/>
  <c r="EB10" i="4"/>
  <c r="CN4" i="4"/>
  <c r="R14" i="5"/>
  <c r="FL71" i="4"/>
  <c r="F69" i="5"/>
  <c r="EP71" i="4"/>
  <c r="GK71" i="4"/>
  <c r="AU71" i="4"/>
  <c r="F61" i="5"/>
  <c r="HR81" i="4"/>
  <c r="HR84" i="4" s="1"/>
  <c r="F70" i="5"/>
  <c r="P60" i="5"/>
  <c r="F79" i="5"/>
  <c r="AC12" i="5"/>
  <c r="AC13" i="5"/>
  <c r="B17" i="5"/>
  <c r="HG10" i="4"/>
  <c r="HG4" i="4" s="1"/>
  <c r="FR4" i="4"/>
  <c r="FN10" i="4"/>
  <c r="DY4" i="4"/>
  <c r="EM71" i="4"/>
  <c r="DH4" i="4"/>
  <c r="EV10" i="4"/>
  <c r="CX71" i="4"/>
  <c r="BA71" i="4"/>
  <c r="BC71" i="4"/>
  <c r="FG10" i="4"/>
  <c r="DR4" i="4"/>
  <c r="FD71" i="4"/>
  <c r="GQ10" i="4"/>
  <c r="GQ4" i="4" s="1"/>
  <c r="FB4" i="4"/>
  <c r="CY71" i="4"/>
  <c r="AG71" i="4"/>
  <c r="EI71" i="4"/>
  <c r="HD71" i="4"/>
  <c r="BN71" i="4"/>
  <c r="FF10" i="4"/>
  <c r="DQ4" i="4"/>
  <c r="AD71" i="4"/>
  <c r="BK71" i="4"/>
  <c r="CZ71" i="4"/>
  <c r="FE71" i="4"/>
  <c r="DP71" i="4"/>
  <c r="BU71" i="4"/>
  <c r="GY71" i="4"/>
  <c r="FI71" i="4"/>
  <c r="CQ71" i="4"/>
  <c r="CH71" i="4"/>
  <c r="DS4" i="4"/>
  <c r="FH10" i="4"/>
  <c r="FT71" i="4"/>
  <c r="EF4" i="4"/>
  <c r="FU10" i="4"/>
  <c r="AM71" i="4"/>
  <c r="GJ10" i="4"/>
  <c r="EU4" i="4"/>
  <c r="DZ10" i="4"/>
  <c r="CL4" i="4"/>
  <c r="GC71" i="4"/>
  <c r="FP4" i="4"/>
  <c r="HE10" i="4"/>
  <c r="HE4" i="4" s="1"/>
  <c r="HC71" i="4"/>
  <c r="GE71" i="4"/>
  <c r="EH10" i="4"/>
  <c r="CT4" i="4"/>
  <c r="GV71" i="4"/>
  <c r="FX71" i="4"/>
  <c r="DL22" i="4"/>
  <c r="EV71" i="4"/>
  <c r="HB10" i="4"/>
  <c r="HB4" i="4" s="1"/>
  <c r="FM4" i="4"/>
  <c r="BT71" i="4"/>
  <c r="GN71" i="4"/>
  <c r="AS71" i="4"/>
  <c r="EN71" i="4"/>
  <c r="EI4" i="4"/>
  <c r="FX10" i="4"/>
  <c r="Q71" i="4"/>
  <c r="U71" i="4"/>
  <c r="F129" i="5" l="1"/>
  <c r="AC28" i="5"/>
  <c r="AC40" i="5"/>
  <c r="AC18" i="5"/>
  <c r="AC48" i="5"/>
  <c r="AC16" i="5"/>
  <c r="AC15" i="5"/>
  <c r="AC31" i="5"/>
  <c r="AC22" i="5"/>
  <c r="AC32" i="5"/>
  <c r="AC30" i="5"/>
  <c r="AC24" i="5"/>
  <c r="AC23" i="5"/>
  <c r="AC27" i="5"/>
  <c r="AC38" i="5"/>
  <c r="AC35" i="5"/>
  <c r="AC36" i="5"/>
  <c r="AC39" i="5"/>
  <c r="AC26" i="5"/>
  <c r="AC20" i="5"/>
  <c r="AC19" i="5"/>
  <c r="AC34" i="5"/>
  <c r="AC25" i="5"/>
  <c r="AC33" i="5"/>
  <c r="AC17" i="5"/>
  <c r="R102" i="5"/>
  <c r="F120" i="5"/>
  <c r="R95" i="5"/>
  <c r="F104" i="5"/>
  <c r="P97" i="5"/>
  <c r="R111" i="5"/>
  <c r="P105" i="5"/>
  <c r="F118" i="5"/>
  <c r="F97" i="5"/>
  <c r="R116" i="5"/>
  <c r="F121" i="5"/>
  <c r="F102" i="5"/>
  <c r="F107" i="5"/>
  <c r="F100" i="5"/>
  <c r="FQ10" i="4"/>
  <c r="EB4" i="4"/>
  <c r="R62" i="5"/>
  <c r="T62" i="5" s="1"/>
  <c r="M62" i="5"/>
  <c r="R51" i="5"/>
  <c r="R91" i="5"/>
  <c r="F125" i="5"/>
  <c r="P127" i="5"/>
  <c r="F108" i="5"/>
  <c r="R69" i="5"/>
  <c r="T69" i="5" s="1"/>
  <c r="M69" i="5"/>
  <c r="F103" i="5"/>
  <c r="F127" i="5"/>
  <c r="R50" i="5"/>
  <c r="T50" i="5" s="1"/>
  <c r="M50" i="5"/>
  <c r="F123" i="5"/>
  <c r="F106" i="5"/>
  <c r="GX10" i="4"/>
  <c r="GX4" i="4" s="1"/>
  <c r="FI4" i="4"/>
  <c r="F137" i="5"/>
  <c r="R54" i="5"/>
  <c r="T54" i="5" s="1"/>
  <c r="M54" i="5"/>
  <c r="R58" i="5"/>
  <c r="T58" i="5" s="1"/>
  <c r="M58" i="5"/>
  <c r="R82" i="5"/>
  <c r="T82" i="5" s="1"/>
  <c r="AC82" i="5" s="1"/>
  <c r="M82" i="5"/>
  <c r="F101" i="5"/>
  <c r="R92" i="5"/>
  <c r="T92" i="5" s="1"/>
  <c r="M92" i="5"/>
  <c r="F95" i="5"/>
  <c r="F109" i="5"/>
  <c r="P110" i="5"/>
  <c r="P106" i="5"/>
  <c r="F119" i="5"/>
  <c r="P112" i="5"/>
  <c r="R67" i="5"/>
  <c r="T67" i="5" s="1"/>
  <c r="M67" i="5"/>
  <c r="F112" i="5"/>
  <c r="P111" i="5"/>
  <c r="R70" i="5"/>
  <c r="F122" i="5"/>
  <c r="P128" i="5"/>
  <c r="FE10" i="4"/>
  <c r="DP4" i="4"/>
  <c r="F143" i="5" s="1"/>
  <c r="R94" i="5"/>
  <c r="P137" i="5"/>
  <c r="R76" i="5"/>
  <c r="T76" i="5" s="1"/>
  <c r="M76" i="5"/>
  <c r="R57" i="5"/>
  <c r="T57" i="5" s="1"/>
  <c r="M57" i="5"/>
  <c r="R56" i="5"/>
  <c r="T56" i="5" s="1"/>
  <c r="M56" i="5"/>
  <c r="F116" i="5"/>
  <c r="P115" i="5"/>
  <c r="R65" i="5"/>
  <c r="T65" i="5" s="1"/>
  <c r="M65" i="5"/>
  <c r="R55" i="5"/>
  <c r="T55" i="5" s="1"/>
  <c r="M55" i="5"/>
  <c r="F110" i="5"/>
  <c r="P103" i="5"/>
  <c r="P94" i="5"/>
  <c r="P120" i="5"/>
  <c r="R64" i="5"/>
  <c r="T64" i="5" s="1"/>
  <c r="M64" i="5"/>
  <c r="P113" i="5"/>
  <c r="R74" i="5"/>
  <c r="T74" i="5" s="1"/>
  <c r="M74" i="5"/>
  <c r="P108" i="5"/>
  <c r="R73" i="5"/>
  <c r="T73" i="5" s="1"/>
  <c r="M73" i="5"/>
  <c r="F113" i="5"/>
  <c r="P109" i="5"/>
  <c r="F128" i="5"/>
  <c r="F98" i="5"/>
  <c r="P114" i="5"/>
  <c r="R83" i="5"/>
  <c r="T83" i="5" s="1"/>
  <c r="M83" i="5"/>
  <c r="R63" i="5"/>
  <c r="T63" i="5" s="1"/>
  <c r="M63" i="5"/>
  <c r="IC10" i="4"/>
  <c r="IC4" i="4" s="1"/>
  <c r="GN4" i="4"/>
  <c r="HN10" i="4"/>
  <c r="HN4" i="4" s="1"/>
  <c r="FY4" i="4"/>
  <c r="R68" i="5"/>
  <c r="T68" i="5" s="1"/>
  <c r="M68" i="5"/>
  <c r="F115" i="5"/>
  <c r="P107" i="5"/>
  <c r="F96" i="5"/>
  <c r="P98" i="5"/>
  <c r="P100" i="5"/>
  <c r="F126" i="5"/>
  <c r="P118" i="5"/>
  <c r="F114" i="5"/>
  <c r="R61" i="5"/>
  <c r="T61" i="5" s="1"/>
  <c r="M61" i="5"/>
  <c r="R60" i="5"/>
  <c r="T60" i="5" s="1"/>
  <c r="M60" i="5"/>
  <c r="F136" i="5"/>
  <c r="P147" i="5"/>
  <c r="P138" i="5"/>
  <c r="R93" i="5"/>
  <c r="T93" i="5" s="1"/>
  <c r="M93" i="5"/>
  <c r="R81" i="5"/>
  <c r="T81" i="5" s="1"/>
  <c r="M81" i="5"/>
  <c r="R66" i="5"/>
  <c r="T66" i="5" s="1"/>
  <c r="M66" i="5"/>
  <c r="R53" i="5"/>
  <c r="T53" i="5" s="1"/>
  <c r="M53" i="5"/>
  <c r="F138" i="5"/>
  <c r="F99" i="5"/>
  <c r="P104" i="5"/>
  <c r="P99" i="5"/>
  <c r="P145" i="5"/>
  <c r="P102" i="5"/>
  <c r="P96" i="5"/>
  <c r="R72" i="5"/>
  <c r="T72" i="5" s="1"/>
  <c r="M72" i="5"/>
  <c r="P126" i="5"/>
  <c r="F105" i="5"/>
  <c r="P116" i="5"/>
  <c r="R52" i="5"/>
  <c r="T52" i="5" s="1"/>
  <c r="M52" i="5"/>
  <c r="F111" i="5"/>
  <c r="R59" i="5"/>
  <c r="T59" i="5" s="1"/>
  <c r="M59" i="5"/>
  <c r="P101" i="5"/>
  <c r="R84" i="5"/>
  <c r="T84" i="5" s="1"/>
  <c r="M84" i="5"/>
  <c r="B18" i="5"/>
  <c r="GV10" i="4"/>
  <c r="GV4" i="4" s="1"/>
  <c r="FG4" i="4"/>
  <c r="GK10" i="4"/>
  <c r="EV4" i="4"/>
  <c r="FA22" i="4"/>
  <c r="HY10" i="4"/>
  <c r="HY4" i="4" s="1"/>
  <c r="GJ4" i="4"/>
  <c r="HC10" i="4"/>
  <c r="HC4" i="4" s="1"/>
  <c r="FN4" i="4"/>
  <c r="GU10" i="4"/>
  <c r="GU4" i="4" s="1"/>
  <c r="FF4" i="4"/>
  <c r="HJ10" i="4"/>
  <c r="HJ4" i="4" s="1"/>
  <c r="FU4" i="4"/>
  <c r="FX4" i="4"/>
  <c r="HM10" i="4"/>
  <c r="HM4" i="4" s="1"/>
  <c r="GW10" i="4"/>
  <c r="GW4" i="4" s="1"/>
  <c r="FH4" i="4"/>
  <c r="FW10" i="4"/>
  <c r="EH4" i="4"/>
  <c r="FO10" i="4"/>
  <c r="DZ4" i="4"/>
  <c r="F140" i="5" l="1"/>
  <c r="F174" i="5"/>
  <c r="F145" i="5"/>
  <c r="AC83" i="5"/>
  <c r="AC58" i="5"/>
  <c r="AC63" i="5"/>
  <c r="AC65" i="5"/>
  <c r="M111" i="5"/>
  <c r="T111" i="5"/>
  <c r="M116" i="5"/>
  <c r="AC69" i="5"/>
  <c r="AC76" i="5"/>
  <c r="AC50" i="5"/>
  <c r="P139" i="5"/>
  <c r="AC73" i="5"/>
  <c r="R141" i="5"/>
  <c r="R143" i="5"/>
  <c r="P144" i="5"/>
  <c r="P141" i="5"/>
  <c r="AC57" i="5"/>
  <c r="AC67" i="5"/>
  <c r="AC59" i="5"/>
  <c r="AC72" i="5"/>
  <c r="F147" i="5"/>
  <c r="R147" i="5"/>
  <c r="T147" i="5" s="1"/>
  <c r="AC68" i="5"/>
  <c r="P146" i="5"/>
  <c r="F142" i="5"/>
  <c r="AC54" i="5"/>
  <c r="P142" i="5"/>
  <c r="AC62" i="5"/>
  <c r="AC84" i="5"/>
  <c r="R104" i="5"/>
  <c r="T104" i="5" s="1"/>
  <c r="M104" i="5"/>
  <c r="T116" i="5"/>
  <c r="P173" i="5"/>
  <c r="F155" i="5"/>
  <c r="P161" i="5"/>
  <c r="AC93" i="5"/>
  <c r="F171" i="5"/>
  <c r="R108" i="5"/>
  <c r="T108" i="5" s="1"/>
  <c r="M108" i="5"/>
  <c r="F162" i="5"/>
  <c r="F173" i="5"/>
  <c r="R100" i="5"/>
  <c r="T100" i="5" s="1"/>
  <c r="M100" i="5"/>
  <c r="AC56" i="5"/>
  <c r="F141" i="5"/>
  <c r="R110" i="5"/>
  <c r="T110" i="5" s="1"/>
  <c r="M110" i="5"/>
  <c r="M102" i="5"/>
  <c r="F160" i="5"/>
  <c r="F153" i="5"/>
  <c r="P150" i="5"/>
  <c r="P152" i="5"/>
  <c r="P184" i="5"/>
  <c r="R127" i="5"/>
  <c r="T127" i="5" s="1"/>
  <c r="M127" i="5"/>
  <c r="P172" i="5"/>
  <c r="F159" i="5"/>
  <c r="R105" i="5"/>
  <c r="T105" i="5" s="1"/>
  <c r="M105" i="5"/>
  <c r="F149" i="5"/>
  <c r="P154" i="5"/>
  <c r="R138" i="5"/>
  <c r="T138" i="5" s="1"/>
  <c r="M138" i="5"/>
  <c r="R101" i="5"/>
  <c r="T101" i="5" s="1"/>
  <c r="M101" i="5"/>
  <c r="R96" i="5"/>
  <c r="T96" i="5" s="1"/>
  <c r="M96" i="5"/>
  <c r="P163" i="5"/>
  <c r="T102" i="5"/>
  <c r="R98" i="5"/>
  <c r="T98" i="5" s="1"/>
  <c r="M98" i="5"/>
  <c r="AC52" i="5"/>
  <c r="AC53" i="5"/>
  <c r="AC81" i="5"/>
  <c r="AC60" i="5"/>
  <c r="P151" i="5"/>
  <c r="R103" i="5"/>
  <c r="T103" i="5" s="1"/>
  <c r="M103" i="5"/>
  <c r="P156" i="5"/>
  <c r="F183" i="5"/>
  <c r="AC55" i="5"/>
  <c r="R99" i="5"/>
  <c r="T99" i="5" s="1"/>
  <c r="M99" i="5"/>
  <c r="M94" i="5"/>
  <c r="F152" i="5"/>
  <c r="R107" i="5"/>
  <c r="T107" i="5" s="1"/>
  <c r="M107" i="5"/>
  <c r="F167" i="5"/>
  <c r="AC92" i="5"/>
  <c r="F165" i="5"/>
  <c r="R113" i="5"/>
  <c r="T113" i="5" s="1"/>
  <c r="M113" i="5"/>
  <c r="F154" i="5"/>
  <c r="P159" i="5"/>
  <c r="F164" i="5"/>
  <c r="HF10" i="4"/>
  <c r="HF4" i="4" s="1"/>
  <c r="FQ4" i="4"/>
  <c r="R97" i="5"/>
  <c r="T97" i="5" s="1"/>
  <c r="M97" i="5"/>
  <c r="R144" i="5"/>
  <c r="F168" i="5"/>
  <c r="P149" i="5"/>
  <c r="P165" i="5"/>
  <c r="P155" i="5"/>
  <c r="R136" i="5"/>
  <c r="R137" i="5"/>
  <c r="T137" i="5" s="1"/>
  <c r="M137" i="5"/>
  <c r="R140" i="5"/>
  <c r="F157" i="5"/>
  <c r="T94" i="5"/>
  <c r="F144" i="5"/>
  <c r="F182" i="5"/>
  <c r="F156" i="5"/>
  <c r="P158" i="5"/>
  <c r="F148" i="5"/>
  <c r="R120" i="5"/>
  <c r="T120" i="5" s="1"/>
  <c r="M120" i="5"/>
  <c r="F163" i="5"/>
  <c r="F150" i="5"/>
  <c r="F146" i="5"/>
  <c r="P143" i="5"/>
  <c r="F184" i="5"/>
  <c r="P171" i="5"/>
  <c r="F170" i="5"/>
  <c r="F151" i="5"/>
  <c r="R126" i="5"/>
  <c r="T126" i="5" s="1"/>
  <c r="M126" i="5"/>
  <c r="R148" i="5"/>
  <c r="AC66" i="5"/>
  <c r="AC61" i="5"/>
  <c r="R112" i="5"/>
  <c r="T112" i="5" s="1"/>
  <c r="M112" i="5"/>
  <c r="AC74" i="5"/>
  <c r="AC64" i="5"/>
  <c r="R118" i="5"/>
  <c r="T118" i="5" s="1"/>
  <c r="M118" i="5"/>
  <c r="P183" i="5"/>
  <c r="R109" i="5"/>
  <c r="T109" i="5" s="1"/>
  <c r="M109" i="5"/>
  <c r="P153" i="5"/>
  <c r="F166" i="5"/>
  <c r="F158" i="5"/>
  <c r="F172" i="5"/>
  <c r="R106" i="5"/>
  <c r="T106" i="5" s="1"/>
  <c r="M106" i="5"/>
  <c r="GT10" i="4"/>
  <c r="GT4" i="4" s="1"/>
  <c r="FE4" i="4"/>
  <c r="R114" i="5"/>
  <c r="T114" i="5" s="1"/>
  <c r="M114" i="5"/>
  <c r="R128" i="5"/>
  <c r="T128" i="5" s="1"/>
  <c r="M128" i="5"/>
  <c r="P148" i="5"/>
  <c r="F161" i="5"/>
  <c r="P162" i="5"/>
  <c r="F139" i="5"/>
  <c r="B19" i="5"/>
  <c r="HL10" i="4"/>
  <c r="HL4" i="4" s="1"/>
  <c r="FW4" i="4"/>
  <c r="GP22" i="4"/>
  <c r="HZ10" i="4"/>
  <c r="HZ4" i="4" s="1"/>
  <c r="GK4" i="4"/>
  <c r="HD10" i="4"/>
  <c r="HD4" i="4" s="1"/>
  <c r="FO4" i="4"/>
  <c r="H21" i="12" l="1"/>
  <c r="F266" i="5"/>
  <c r="F220" i="5"/>
  <c r="F237" i="5"/>
  <c r="F192" i="5"/>
  <c r="M147" i="5"/>
  <c r="AC147" i="5" s="1"/>
  <c r="AC111" i="5"/>
  <c r="F186" i="5"/>
  <c r="F197" i="5"/>
  <c r="AC102" i="5"/>
  <c r="AC127" i="5"/>
  <c r="M142" i="5"/>
  <c r="AC116" i="5"/>
  <c r="AC107" i="5"/>
  <c r="R142" i="5"/>
  <c r="T142" i="5" s="1"/>
  <c r="AC126" i="5"/>
  <c r="AC96" i="5"/>
  <c r="T141" i="5"/>
  <c r="AC118" i="5"/>
  <c r="AC101" i="5"/>
  <c r="M141" i="5"/>
  <c r="AC138" i="5"/>
  <c r="AC114" i="5"/>
  <c r="R244" i="5"/>
  <c r="P205" i="5"/>
  <c r="T144" i="5"/>
  <c r="P194" i="5"/>
  <c r="P195" i="5"/>
  <c r="AC112" i="5"/>
  <c r="AC105" i="5"/>
  <c r="AC110" i="5"/>
  <c r="P230" i="5"/>
  <c r="AC106" i="5"/>
  <c r="AC109" i="5"/>
  <c r="AC94" i="5"/>
  <c r="P202" i="5"/>
  <c r="M144" i="5"/>
  <c r="R189" i="5"/>
  <c r="F246" i="5"/>
  <c r="F245" i="5"/>
  <c r="P188" i="5"/>
  <c r="P187" i="5"/>
  <c r="F191" i="5"/>
  <c r="F256" i="5"/>
  <c r="P236" i="5"/>
  <c r="F241" i="5"/>
  <c r="F239" i="5"/>
  <c r="F232" i="5"/>
  <c r="P234" i="5"/>
  <c r="P206" i="5"/>
  <c r="P252" i="5"/>
  <c r="T143" i="5"/>
  <c r="F194" i="5"/>
  <c r="R162" i="5"/>
  <c r="T162" i="5" s="1"/>
  <c r="M162" i="5"/>
  <c r="F216" i="5"/>
  <c r="F249" i="5"/>
  <c r="P237" i="5"/>
  <c r="F219" i="5"/>
  <c r="F254" i="5"/>
  <c r="F248" i="5"/>
  <c r="P247" i="5"/>
  <c r="F262" i="5"/>
  <c r="F250" i="5"/>
  <c r="F205" i="5"/>
  <c r="R161" i="5"/>
  <c r="T161" i="5" s="1"/>
  <c r="M161" i="5"/>
  <c r="F211" i="5"/>
  <c r="R156" i="5"/>
  <c r="T156" i="5" s="1"/>
  <c r="M156" i="5"/>
  <c r="F260" i="5"/>
  <c r="F206" i="5"/>
  <c r="F213" i="5"/>
  <c r="R165" i="5"/>
  <c r="T165" i="5" s="1"/>
  <c r="M165" i="5"/>
  <c r="F251" i="5"/>
  <c r="P190" i="5"/>
  <c r="F196" i="5"/>
  <c r="R173" i="5"/>
  <c r="T173" i="5" s="1"/>
  <c r="AC173" i="5" s="1"/>
  <c r="M173" i="5"/>
  <c r="AC120" i="5"/>
  <c r="R139" i="5"/>
  <c r="T139" i="5" s="1"/>
  <c r="M139" i="5"/>
  <c r="P243" i="5"/>
  <c r="F188" i="5"/>
  <c r="P238" i="5"/>
  <c r="AC97" i="5"/>
  <c r="P197" i="5"/>
  <c r="AC99" i="5"/>
  <c r="P199" i="5"/>
  <c r="P248" i="5"/>
  <c r="F229" i="5"/>
  <c r="F207" i="5"/>
  <c r="F265" i="5"/>
  <c r="R154" i="5"/>
  <c r="T154" i="5" s="1"/>
  <c r="M154" i="5"/>
  <c r="P219" i="5"/>
  <c r="F259" i="5"/>
  <c r="R191" i="5"/>
  <c r="P251" i="5"/>
  <c r="AC128" i="5"/>
  <c r="P254" i="5"/>
  <c r="R155" i="5"/>
  <c r="T155" i="5" s="1"/>
  <c r="M155" i="5"/>
  <c r="F247" i="5"/>
  <c r="F257" i="5"/>
  <c r="R184" i="5"/>
  <c r="T184" i="5" s="1"/>
  <c r="M184" i="5"/>
  <c r="F210" i="5"/>
  <c r="M148" i="5"/>
  <c r="F264" i="5"/>
  <c r="F195" i="5"/>
  <c r="F258" i="5"/>
  <c r="R159" i="5"/>
  <c r="T159" i="5" s="1"/>
  <c r="M159" i="5"/>
  <c r="F217" i="5"/>
  <c r="P245" i="5"/>
  <c r="P211" i="5"/>
  <c r="P189" i="5"/>
  <c r="F189" i="5"/>
  <c r="P240" i="5"/>
  <c r="AC103" i="5"/>
  <c r="F231" i="5"/>
  <c r="P207" i="5"/>
  <c r="F243" i="5"/>
  <c r="F190" i="5"/>
  <c r="F252" i="5"/>
  <c r="F201" i="5"/>
  <c r="R172" i="5"/>
  <c r="T172" i="5" s="1"/>
  <c r="M172" i="5"/>
  <c r="P263" i="5"/>
  <c r="F209" i="5"/>
  <c r="P235" i="5"/>
  <c r="P250" i="5"/>
  <c r="R146" i="5"/>
  <c r="T146" i="5" s="1"/>
  <c r="M146" i="5"/>
  <c r="F238" i="5"/>
  <c r="F240" i="5"/>
  <c r="R157" i="5"/>
  <c r="P208" i="5"/>
  <c r="R153" i="5"/>
  <c r="T153" i="5" s="1"/>
  <c r="M153" i="5"/>
  <c r="F255" i="5"/>
  <c r="F200" i="5"/>
  <c r="R171" i="5"/>
  <c r="T171" i="5" s="1"/>
  <c r="M171" i="5"/>
  <c r="P246" i="5"/>
  <c r="R183" i="5"/>
  <c r="T183" i="5" s="1"/>
  <c r="M183" i="5"/>
  <c r="P193" i="5"/>
  <c r="F253" i="5"/>
  <c r="F193" i="5"/>
  <c r="F234" i="5"/>
  <c r="T148" i="5"/>
  <c r="P209" i="5"/>
  <c r="P241" i="5"/>
  <c r="P198" i="5"/>
  <c r="P218" i="5"/>
  <c r="F236" i="5"/>
  <c r="AC137" i="5"/>
  <c r="P192" i="5"/>
  <c r="P255" i="5"/>
  <c r="AC113" i="5"/>
  <c r="F202" i="5"/>
  <c r="F235" i="5"/>
  <c r="F233" i="5"/>
  <c r="P201" i="5"/>
  <c r="AC98" i="5"/>
  <c r="R145" i="5"/>
  <c r="T145" i="5" s="1"/>
  <c r="M145" i="5"/>
  <c r="F228" i="5"/>
  <c r="P264" i="5"/>
  <c r="F263" i="5"/>
  <c r="F204" i="5"/>
  <c r="F244" i="5"/>
  <c r="P244" i="5"/>
  <c r="R152" i="5"/>
  <c r="T152" i="5" s="1"/>
  <c r="M152" i="5"/>
  <c r="P253" i="5"/>
  <c r="R150" i="5"/>
  <c r="T150" i="5" s="1"/>
  <c r="M150" i="5"/>
  <c r="AC100" i="5"/>
  <c r="P191" i="5"/>
  <c r="AC104" i="5"/>
  <c r="R158" i="5"/>
  <c r="T158" i="5" s="1"/>
  <c r="M158" i="5"/>
  <c r="P239" i="5"/>
  <c r="P242" i="5"/>
  <c r="R182" i="5"/>
  <c r="F214" i="5"/>
  <c r="R151" i="5"/>
  <c r="T151" i="5" s="1"/>
  <c r="M151" i="5"/>
  <c r="P196" i="5"/>
  <c r="P265" i="5"/>
  <c r="P257" i="5"/>
  <c r="F199" i="5"/>
  <c r="P231" i="5"/>
  <c r="F208" i="5"/>
  <c r="P185" i="5"/>
  <c r="F203" i="5"/>
  <c r="R163" i="5"/>
  <c r="T163" i="5" s="1"/>
  <c r="M163" i="5"/>
  <c r="P204" i="5"/>
  <c r="F242" i="5"/>
  <c r="F212" i="5"/>
  <c r="R149" i="5"/>
  <c r="T149" i="5" s="1"/>
  <c r="M149" i="5"/>
  <c r="P200" i="5"/>
  <c r="M143" i="5"/>
  <c r="P229" i="5"/>
  <c r="F185" i="5"/>
  <c r="F230" i="5"/>
  <c r="F198" i="5"/>
  <c r="P217" i="5"/>
  <c r="F187" i="5"/>
  <c r="F218" i="5"/>
  <c r="AC108" i="5"/>
  <c r="P233" i="5"/>
  <c r="B20" i="5"/>
  <c r="IE22" i="4"/>
  <c r="AC142" i="5" l="1"/>
  <c r="AC148" i="5"/>
  <c r="AC162" i="5"/>
  <c r="AC158" i="5"/>
  <c r="AC183" i="5"/>
  <c r="AC141" i="5"/>
  <c r="AC156" i="5"/>
  <c r="AC139" i="5"/>
  <c r="AC165" i="5"/>
  <c r="AC172" i="5"/>
  <c r="AC144" i="5"/>
  <c r="AC151" i="5"/>
  <c r="AC150" i="5"/>
  <c r="R241" i="5"/>
  <c r="T241" i="5" s="1"/>
  <c r="M241" i="5"/>
  <c r="R201" i="5"/>
  <c r="T201" i="5" s="1"/>
  <c r="M201" i="5"/>
  <c r="R230" i="5"/>
  <c r="T230" i="5" s="1"/>
  <c r="M230" i="5"/>
  <c r="T191" i="5"/>
  <c r="R187" i="5"/>
  <c r="T187" i="5" s="1"/>
  <c r="M187" i="5"/>
  <c r="R195" i="5"/>
  <c r="T195" i="5" s="1"/>
  <c r="M195" i="5"/>
  <c r="R242" i="5"/>
  <c r="T242" i="5" s="1"/>
  <c r="M242" i="5"/>
  <c r="R197" i="5"/>
  <c r="T197" i="5" s="1"/>
  <c r="M197" i="5"/>
  <c r="R196" i="5"/>
  <c r="T196" i="5" s="1"/>
  <c r="M196" i="5"/>
  <c r="R217" i="5"/>
  <c r="T217" i="5" s="1"/>
  <c r="AC217" i="5" s="1"/>
  <c r="M217" i="5"/>
  <c r="R194" i="5"/>
  <c r="T194" i="5" s="1"/>
  <c r="M194" i="5"/>
  <c r="R231" i="5"/>
  <c r="T231" i="5" s="1"/>
  <c r="M231" i="5"/>
  <c r="R246" i="5"/>
  <c r="T246" i="5" s="1"/>
  <c r="M246" i="5"/>
  <c r="R247" i="5"/>
  <c r="T247" i="5" s="1"/>
  <c r="M247" i="5"/>
  <c r="R234" i="5"/>
  <c r="T234" i="5" s="1"/>
  <c r="M234" i="5"/>
  <c r="AC161" i="5"/>
  <c r="R229" i="5"/>
  <c r="T229" i="5" s="1"/>
  <c r="M229" i="5"/>
  <c r="R209" i="5"/>
  <c r="T209" i="5" s="1"/>
  <c r="M209" i="5"/>
  <c r="R239" i="5"/>
  <c r="T239" i="5" s="1"/>
  <c r="M239" i="5"/>
  <c r="R233" i="5"/>
  <c r="T233" i="5" s="1"/>
  <c r="M233" i="5"/>
  <c r="R193" i="5"/>
  <c r="T193" i="5" s="1"/>
  <c r="M193" i="5"/>
  <c r="AC163" i="5"/>
  <c r="R251" i="5"/>
  <c r="T251" i="5" s="1"/>
  <c r="M251" i="5"/>
  <c r="R254" i="5"/>
  <c r="T254" i="5" s="1"/>
  <c r="M254" i="5"/>
  <c r="R207" i="5"/>
  <c r="T207" i="5" s="1"/>
  <c r="M207" i="5"/>
  <c r="R248" i="5"/>
  <c r="T248" i="5" s="1"/>
  <c r="M248" i="5"/>
  <c r="AC159" i="5"/>
  <c r="AC154" i="5"/>
  <c r="R232" i="5"/>
  <c r="R238" i="5"/>
  <c r="T238" i="5" s="1"/>
  <c r="M238" i="5"/>
  <c r="R263" i="5"/>
  <c r="T263" i="5" s="1"/>
  <c r="AC263" i="5" s="1"/>
  <c r="M263" i="5"/>
  <c r="R205" i="5"/>
  <c r="T205" i="5" s="1"/>
  <c r="M205" i="5"/>
  <c r="M244" i="5"/>
  <c r="R219" i="5"/>
  <c r="T219" i="5" s="1"/>
  <c r="AC219" i="5" s="1"/>
  <c r="M219" i="5"/>
  <c r="AC145" i="5"/>
  <c r="AC171" i="5"/>
  <c r="AC153" i="5"/>
  <c r="R185" i="5"/>
  <c r="T185" i="5" s="1"/>
  <c r="M185" i="5"/>
  <c r="R249" i="5"/>
  <c r="R240" i="5"/>
  <c r="T240" i="5" s="1"/>
  <c r="M240" i="5"/>
  <c r="R192" i="5"/>
  <c r="T192" i="5" s="1"/>
  <c r="M192" i="5"/>
  <c r="R200" i="5"/>
  <c r="T200" i="5" s="1"/>
  <c r="M200" i="5"/>
  <c r="R264" i="5"/>
  <c r="T264" i="5" s="1"/>
  <c r="M264" i="5"/>
  <c r="R202" i="5"/>
  <c r="T202" i="5" s="1"/>
  <c r="M202" i="5"/>
  <c r="R235" i="5"/>
  <c r="T235" i="5" s="1"/>
  <c r="M235" i="5"/>
  <c r="AC143" i="5"/>
  <c r="R204" i="5"/>
  <c r="T204" i="5" s="1"/>
  <c r="M204" i="5"/>
  <c r="T244" i="5"/>
  <c r="R199" i="5"/>
  <c r="T199" i="5" s="1"/>
  <c r="M199" i="5"/>
  <c r="R253" i="5"/>
  <c r="T253" i="5" s="1"/>
  <c r="M253" i="5"/>
  <c r="R190" i="5"/>
  <c r="T190" i="5" s="1"/>
  <c r="M190" i="5"/>
  <c r="R257" i="5"/>
  <c r="T257" i="5" s="1"/>
  <c r="M257" i="5"/>
  <c r="R237" i="5"/>
  <c r="T237" i="5" s="1"/>
  <c r="M237" i="5"/>
  <c r="R250" i="5"/>
  <c r="T250" i="5" s="1"/>
  <c r="M250" i="5"/>
  <c r="M189" i="5"/>
  <c r="R188" i="5"/>
  <c r="T188" i="5" s="1"/>
  <c r="M188" i="5"/>
  <c r="R218" i="5"/>
  <c r="T218" i="5" s="1"/>
  <c r="M218" i="5"/>
  <c r="R208" i="5"/>
  <c r="T208" i="5" s="1"/>
  <c r="M208" i="5"/>
  <c r="R255" i="5"/>
  <c r="T255" i="5" s="1"/>
  <c r="M255" i="5"/>
  <c r="R245" i="5"/>
  <c r="T245" i="5" s="1"/>
  <c r="M245" i="5"/>
  <c r="R198" i="5"/>
  <c r="T198" i="5" s="1"/>
  <c r="M198" i="5"/>
  <c r="AC149" i="5"/>
  <c r="AC152" i="5"/>
  <c r="R228" i="5"/>
  <c r="AC146" i="5"/>
  <c r="AC184" i="5"/>
  <c r="AC155" i="5"/>
  <c r="M191" i="5"/>
  <c r="R203" i="5"/>
  <c r="R243" i="5"/>
  <c r="T243" i="5" s="1"/>
  <c r="M243" i="5"/>
  <c r="R265" i="5"/>
  <c r="T265" i="5" s="1"/>
  <c r="AC265" i="5" s="1"/>
  <c r="M265" i="5"/>
  <c r="T189" i="5"/>
  <c r="R186" i="5"/>
  <c r="R211" i="5"/>
  <c r="T211" i="5" s="1"/>
  <c r="M211" i="5"/>
  <c r="R236" i="5"/>
  <c r="T236" i="5" s="1"/>
  <c r="M236" i="5"/>
  <c r="B21" i="5"/>
  <c r="B22" i="5" s="1"/>
  <c r="B23" i="5" s="1"/>
  <c r="B24" i="5" s="1"/>
  <c r="J21" i="12" l="1"/>
  <c r="AC244" i="5"/>
  <c r="AC236" i="5"/>
  <c r="AC208" i="5"/>
  <c r="AC204" i="5"/>
  <c r="AC205" i="5"/>
  <c r="AC201" i="5"/>
  <c r="AC207" i="5"/>
  <c r="AC202" i="5"/>
  <c r="AC192" i="5"/>
  <c r="AC218" i="5"/>
  <c r="AC199" i="5"/>
  <c r="AC235" i="5"/>
  <c r="AC264" i="5"/>
  <c r="AC240" i="5"/>
  <c r="AC185" i="5"/>
  <c r="AC233" i="5"/>
  <c r="AC229" i="5"/>
  <c r="AC250" i="5"/>
  <c r="AC255" i="5"/>
  <c r="AC238" i="5"/>
  <c r="AC251" i="5"/>
  <c r="AC230" i="5"/>
  <c r="AC241" i="5"/>
  <c r="AC190" i="5"/>
  <c r="AC243" i="5"/>
  <c r="AC198" i="5"/>
  <c r="AC188" i="5"/>
  <c r="AC237" i="5"/>
  <c r="AC239" i="5"/>
  <c r="AC189" i="5"/>
  <c r="AC200" i="5"/>
  <c r="AC234" i="5"/>
  <c r="AC246" i="5"/>
  <c r="AC197" i="5"/>
  <c r="AC195" i="5"/>
  <c r="AC231" i="5"/>
  <c r="AC245" i="5"/>
  <c r="AC257" i="5"/>
  <c r="AC253" i="5"/>
  <c r="AC193" i="5"/>
  <c r="AC209" i="5"/>
  <c r="AC187" i="5"/>
  <c r="AC211" i="5"/>
  <c r="AC248" i="5"/>
  <c r="AC254" i="5"/>
  <c r="AC247" i="5"/>
  <c r="AC191" i="5"/>
  <c r="AC194" i="5"/>
  <c r="AC196" i="5"/>
  <c r="AC242" i="5"/>
  <c r="B25" i="5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K21" i="12" l="1"/>
  <c r="L21" i="12"/>
  <c r="N21" i="12"/>
  <c r="B38" i="5"/>
  <c r="B39" i="5" s="1"/>
  <c r="B40" i="5" s="1"/>
  <c r="B47" i="5" s="1"/>
  <c r="B48" i="5" s="1"/>
  <c r="B49" i="5" s="1"/>
  <c r="B50" i="5" s="1"/>
  <c r="B51" i="5" s="1"/>
  <c r="B52" i="5" s="1"/>
  <c r="B53" i="5" s="1"/>
  <c r="B54" i="5" s="1"/>
  <c r="B55" i="5" s="1"/>
  <c r="B56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B68" i="5" s="1"/>
  <c r="B69" i="5" s="1"/>
  <c r="B70" i="5" s="1"/>
  <c r="B71" i="5" s="1"/>
  <c r="B72" i="5" s="1"/>
  <c r="B73" i="5" s="1"/>
  <c r="B74" i="5" s="1"/>
  <c r="B75" i="5" s="1"/>
  <c r="B76" i="5" s="1"/>
  <c r="B77" i="5" s="1"/>
  <c r="B78" i="5" s="1"/>
  <c r="B79" i="5" s="1"/>
  <c r="B80" i="5" s="1"/>
  <c r="B81" i="5" s="1"/>
  <c r="B82" i="5" s="1"/>
  <c r="B83" i="5" s="1"/>
  <c r="B84" i="5" s="1"/>
  <c r="B87" i="5" l="1"/>
  <c r="B91" i="5" l="1"/>
  <c r="B92" i="5" s="1"/>
  <c r="B93" i="5" s="1"/>
  <c r="B94" i="5" s="1"/>
  <c r="B95" i="5" s="1"/>
  <c r="B96" i="5" s="1"/>
  <c r="B97" i="5" s="1"/>
  <c r="B98" i="5" s="1"/>
  <c r="B99" i="5" s="1"/>
  <c r="B100" i="5" s="1"/>
  <c r="B101" i="5" s="1"/>
  <c r="B102" i="5" s="1"/>
  <c r="B103" i="5" s="1"/>
  <c r="B104" i="5" s="1"/>
  <c r="B105" i="5" s="1"/>
  <c r="B106" i="5" s="1"/>
  <c r="B107" i="5" s="1"/>
  <c r="B108" i="5" s="1"/>
  <c r="B109" i="5" s="1"/>
  <c r="B110" i="5" s="1"/>
  <c r="B111" i="5" s="1"/>
  <c r="B112" i="5" s="1"/>
  <c r="B113" i="5" s="1"/>
  <c r="B114" i="5" s="1"/>
  <c r="B115" i="5" s="1"/>
  <c r="B116" i="5" s="1"/>
  <c r="B117" i="5" s="1"/>
  <c r="AL14" i="2"/>
  <c r="Y59" i="2" l="1"/>
  <c r="AX40" i="14" s="1"/>
  <c r="Y110" i="2"/>
  <c r="CT40" i="14" s="1"/>
  <c r="B118" i="5"/>
  <c r="B119" i="5" s="1"/>
  <c r="B120" i="5" s="1"/>
  <c r="B121" i="5" s="1"/>
  <c r="B122" i="5" s="1"/>
  <c r="B123" i="5" s="1"/>
  <c r="CT42" i="14" l="1"/>
  <c r="CT44" i="14" s="1"/>
  <c r="EK40" i="14"/>
  <c r="AX42" i="14"/>
  <c r="AX44" i="14" s="1"/>
  <c r="CN40" i="14"/>
  <c r="B124" i="5"/>
  <c r="B125" i="5" s="1"/>
  <c r="B126" i="5" s="1"/>
  <c r="B127" i="5" s="1"/>
  <c r="B128" i="5" s="1"/>
  <c r="P100" i="2"/>
  <c r="R56" i="2"/>
  <c r="R59" i="2"/>
  <c r="R61" i="2"/>
  <c r="P66" i="2"/>
  <c r="R80" i="2"/>
  <c r="R55" i="2"/>
  <c r="R15" i="2"/>
  <c r="R18" i="2"/>
  <c r="R21" i="2"/>
  <c r="P24" i="2"/>
  <c r="R30" i="2"/>
  <c r="R32" i="2"/>
  <c r="R35" i="2"/>
  <c r="P38" i="2"/>
  <c r="R40" i="2"/>
  <c r="R42" i="2"/>
  <c r="R44" i="2"/>
  <c r="R46" i="2"/>
  <c r="R48" i="2"/>
  <c r="P64" i="2"/>
  <c r="R66" i="2"/>
  <c r="P75" i="2"/>
  <c r="R13" i="2"/>
  <c r="R24" i="2"/>
  <c r="R27" i="2"/>
  <c r="R38" i="2"/>
  <c r="P57" i="2"/>
  <c r="P60" i="2"/>
  <c r="P62" i="2"/>
  <c r="R64" i="2"/>
  <c r="R71" i="2"/>
  <c r="R16" i="2"/>
  <c r="R19" i="2"/>
  <c r="R22" i="2"/>
  <c r="P31" i="2"/>
  <c r="P33" i="2"/>
  <c r="P36" i="2"/>
  <c r="P41" i="2"/>
  <c r="P43" i="2"/>
  <c r="P45" i="2"/>
  <c r="P47" i="2"/>
  <c r="R57" i="2"/>
  <c r="R60" i="2"/>
  <c r="R62" i="2"/>
  <c r="P67" i="2"/>
  <c r="R11" i="2"/>
  <c r="R14" i="2"/>
  <c r="R25" i="2"/>
  <c r="P28" i="2"/>
  <c r="R31" i="2"/>
  <c r="P39" i="2"/>
  <c r="R41" i="2"/>
  <c r="R43" i="2"/>
  <c r="R45" i="2"/>
  <c r="R47" i="2"/>
  <c r="R65" i="2"/>
  <c r="R67" i="2"/>
  <c r="P76" i="2"/>
  <c r="R17" i="2"/>
  <c r="R20" i="2"/>
  <c r="R23" i="2"/>
  <c r="P34" i="2"/>
  <c r="R37" i="2"/>
  <c r="R39" i="2"/>
  <c r="P56" i="2"/>
  <c r="P61" i="2"/>
  <c r="R63" i="2"/>
  <c r="R72" i="2"/>
  <c r="R12" i="2"/>
  <c r="P15" i="2"/>
  <c r="R26" i="2"/>
  <c r="P32" i="2"/>
  <c r="P42" i="2"/>
  <c r="P44" i="2"/>
  <c r="P46" i="2"/>
  <c r="P48" i="2"/>
  <c r="P37" i="2"/>
  <c r="CO40" i="14" l="1"/>
  <c r="CO42" i="14" s="1"/>
  <c r="CO44" i="14" s="1"/>
  <c r="CN42" i="14"/>
  <c r="CN44" i="14" s="1"/>
  <c r="AX80" i="14"/>
  <c r="AX83" i="14" s="1"/>
  <c r="EL40" i="14"/>
  <c r="EL42" i="14" s="1"/>
  <c r="EL44" i="14" s="1"/>
  <c r="EK42" i="14"/>
  <c r="EK44" i="14" s="1"/>
  <c r="EK80" i="14" s="1"/>
  <c r="EK83" i="14" s="1"/>
  <c r="CT80" i="14"/>
  <c r="CT83" i="14" s="1"/>
  <c r="B129" i="5"/>
  <c r="B132" i="5" s="1"/>
  <c r="B136" i="5" s="1"/>
  <c r="B137" i="5" s="1"/>
  <c r="B138" i="5" s="1"/>
  <c r="B139" i="5" s="1"/>
  <c r="B140" i="5" s="1"/>
  <c r="B141" i="5" s="1"/>
  <c r="B142" i="5" s="1"/>
  <c r="B143" i="5" s="1"/>
  <c r="B144" i="5" s="1"/>
  <c r="B145" i="5" s="1"/>
  <c r="B146" i="5" s="1"/>
  <c r="B147" i="5" s="1"/>
  <c r="B148" i="5" s="1"/>
  <c r="B149" i="5" s="1"/>
  <c r="B150" i="5" s="1"/>
  <c r="B151" i="5" s="1"/>
  <c r="B152" i="5" s="1"/>
  <c r="B153" i="5" s="1"/>
  <c r="B154" i="5" s="1"/>
  <c r="B155" i="5" s="1"/>
  <c r="B156" i="5" s="1"/>
  <c r="B157" i="5" s="1"/>
  <c r="B158" i="5" s="1"/>
  <c r="B159" i="5" s="1"/>
  <c r="B160" i="5" s="1"/>
  <c r="B161" i="5" s="1"/>
  <c r="B162" i="5" s="1"/>
  <c r="B163" i="5" s="1"/>
  <c r="B164" i="5" s="1"/>
  <c r="B165" i="5" s="1"/>
  <c r="B166" i="5" s="1"/>
  <c r="B167" i="5" s="1"/>
  <c r="B168" i="5" s="1"/>
  <c r="P70" i="2"/>
  <c r="P74" i="2"/>
  <c r="P69" i="2"/>
  <c r="P98" i="2"/>
  <c r="P73" i="2"/>
  <c r="R100" i="2"/>
  <c r="P72" i="2"/>
  <c r="R91" i="2"/>
  <c r="P81" i="2"/>
  <c r="R95" i="2"/>
  <c r="R90" i="2"/>
  <c r="P99" i="2"/>
  <c r="R96" i="2"/>
  <c r="R94" i="2"/>
  <c r="R89" i="2"/>
  <c r="R77" i="2"/>
  <c r="R93" i="2"/>
  <c r="R99" i="2"/>
  <c r="R76" i="2"/>
  <c r="R92" i="2"/>
  <c r="P82" i="2"/>
  <c r="P96" i="2"/>
  <c r="R75" i="2"/>
  <c r="P91" i="2"/>
  <c r="P95" i="2"/>
  <c r="R70" i="2"/>
  <c r="R74" i="2"/>
  <c r="P90" i="2"/>
  <c r="P94" i="2"/>
  <c r="R69" i="2"/>
  <c r="R98" i="2"/>
  <c r="R73" i="2"/>
  <c r="P89" i="2"/>
  <c r="P77" i="2"/>
  <c r="P93" i="2"/>
  <c r="R68" i="2"/>
  <c r="R114" i="2"/>
  <c r="P107" i="2"/>
  <c r="P113" i="2"/>
  <c r="P117" i="2"/>
  <c r="R110" i="2"/>
  <c r="R116" i="2"/>
  <c r="R115" i="2"/>
  <c r="R106" i="2"/>
  <c r="P108" i="2"/>
  <c r="R107" i="2"/>
  <c r="P114" i="2"/>
  <c r="R113" i="2"/>
  <c r="P111" i="2"/>
  <c r="P112" i="2"/>
  <c r="P118" i="2"/>
  <c r="R111" i="2"/>
  <c r="R117" i="2"/>
  <c r="P132" i="2"/>
  <c r="R112" i="2"/>
  <c r="R118" i="2"/>
  <c r="P141" i="2"/>
  <c r="P128" i="2"/>
  <c r="R108" i="2"/>
  <c r="P146" i="2"/>
  <c r="R127" i="2"/>
  <c r="P115" i="2"/>
  <c r="EL80" i="14" l="1"/>
  <c r="EL83" i="14" s="1"/>
  <c r="EL48" i="14"/>
  <c r="CN80" i="14"/>
  <c r="CN83" i="14" s="1"/>
  <c r="CO80" i="14"/>
  <c r="CO83" i="14" s="1"/>
  <c r="CO48" i="14"/>
  <c r="B169" i="5"/>
  <c r="B170" i="5" s="1"/>
  <c r="B171" i="5" s="1"/>
  <c r="B172" i="5" s="1"/>
  <c r="B173" i="5" s="1"/>
  <c r="R170" i="2"/>
  <c r="P161" i="2"/>
  <c r="R144" i="2"/>
  <c r="R126" i="2"/>
  <c r="R163" i="2"/>
  <c r="R141" i="2"/>
  <c r="R169" i="2"/>
  <c r="P133" i="2"/>
  <c r="R120" i="2"/>
  <c r="P142" i="2"/>
  <c r="R164" i="2"/>
  <c r="P119" i="2"/>
  <c r="R166" i="2"/>
  <c r="P166" i="2"/>
  <c r="R119" i="2"/>
  <c r="P145" i="2"/>
  <c r="P127" i="2"/>
  <c r="P165" i="2"/>
  <c r="P124" i="2"/>
  <c r="P151" i="2"/>
  <c r="P121" i="2"/>
  <c r="R148" i="2"/>
  <c r="P148" i="2"/>
  <c r="P150" i="2"/>
  <c r="R131" i="2"/>
  <c r="R168" i="2"/>
  <c r="P120" i="2"/>
  <c r="P170" i="2"/>
  <c r="R128" i="2"/>
  <c r="P129" i="2"/>
  <c r="P168" i="2"/>
  <c r="R165" i="2"/>
  <c r="R147" i="2"/>
  <c r="R123" i="2"/>
  <c r="P160" i="2"/>
  <c r="R150" i="2"/>
  <c r="R160" i="2"/>
  <c r="R184" i="2"/>
  <c r="P164" i="2"/>
  <c r="R146" i="2"/>
  <c r="P147" i="2"/>
  <c r="P205" i="2"/>
  <c r="R161" i="2"/>
  <c r="R125" i="2"/>
  <c r="P126" i="2"/>
  <c r="R152" i="2"/>
  <c r="R143" i="2"/>
  <c r="R171" i="2"/>
  <c r="P130" i="2"/>
  <c r="R124" i="2"/>
  <c r="P125" i="2"/>
  <c r="R151" i="2"/>
  <c r="R159" i="2"/>
  <c r="R121" i="2"/>
  <c r="R201" i="2"/>
  <c r="P144" i="2"/>
  <c r="R203" i="2"/>
  <c r="P176" i="2"/>
  <c r="R122" i="2"/>
  <c r="P123" i="2"/>
  <c r="R198" i="2"/>
  <c r="R142" i="2"/>
  <c r="P143" i="2"/>
  <c r="R175" i="2"/>
  <c r="P152" i="2"/>
  <c r="P122" i="2"/>
  <c r="R167" i="2"/>
  <c r="P171" i="2"/>
  <c r="R145" i="2"/>
  <c r="P167" i="2"/>
  <c r="AC37" i="5"/>
  <c r="B174" i="5" l="1"/>
  <c r="B175" i="5" s="1"/>
  <c r="P198" i="2"/>
  <c r="P172" i="2"/>
  <c r="P203" i="2"/>
  <c r="R195" i="2"/>
  <c r="R197" i="2"/>
  <c r="R176" i="2"/>
  <c r="P177" i="2"/>
  <c r="R173" i="2"/>
  <c r="R179" i="2"/>
  <c r="R194" i="2"/>
  <c r="P178" i="2"/>
  <c r="AA182" i="2"/>
  <c r="R205" i="2"/>
  <c r="P173" i="2"/>
  <c r="P204" i="2"/>
  <c r="P174" i="2"/>
  <c r="R217" i="2"/>
  <c r="R178" i="2"/>
  <c r="R180" i="2"/>
  <c r="R172" i="2"/>
  <c r="P222" i="2"/>
  <c r="P218" i="2"/>
  <c r="R199" i="2"/>
  <c r="P221" i="2"/>
  <c r="P179" i="2"/>
  <c r="R174" i="2"/>
  <c r="P225" i="2"/>
  <c r="P215" i="2"/>
  <c r="P196" i="2"/>
  <c r="P199" i="2"/>
  <c r="P219" i="2"/>
  <c r="P175" i="2"/>
  <c r="R177" i="2"/>
  <c r="R196" i="2"/>
  <c r="R204" i="2"/>
  <c r="P201" i="2"/>
  <c r="P214" i="2"/>
  <c r="R223" i="2"/>
  <c r="P224" i="2"/>
  <c r="P200" i="2"/>
  <c r="P195" i="2"/>
  <c r="R213" i="2"/>
  <c r="P220" i="2"/>
  <c r="P233" i="2"/>
  <c r="P186" i="2"/>
  <c r="R182" i="2" l="1"/>
  <c r="B178" i="5"/>
  <c r="B182" i="5" s="1"/>
  <c r="B183" i="5" s="1"/>
  <c r="B184" i="5" s="1"/>
  <c r="B185" i="5" s="1"/>
  <c r="B186" i="5" s="1"/>
  <c r="B187" i="5" s="1"/>
  <c r="B188" i="5" s="1"/>
  <c r="B189" i="5" s="1"/>
  <c r="B190" i="5" s="1"/>
  <c r="B191" i="5" s="1"/>
  <c r="B192" i="5" s="1"/>
  <c r="B193" i="5" s="1"/>
  <c r="B194" i="5" s="1"/>
  <c r="B195" i="5" s="1"/>
  <c r="B196" i="5" s="1"/>
  <c r="B197" i="5" s="1"/>
  <c r="B198" i="5" s="1"/>
  <c r="B199" i="5" s="1"/>
  <c r="B200" i="5" s="1"/>
  <c r="B201" i="5" s="1"/>
  <c r="B202" i="5" s="1"/>
  <c r="B203" i="5" s="1"/>
  <c r="B204" i="5" s="1"/>
  <c r="B205" i="5" s="1"/>
  <c r="B206" i="5" s="1"/>
  <c r="B207" i="5" s="1"/>
  <c r="B208" i="5" s="1"/>
  <c r="B209" i="5" s="1"/>
  <c r="B210" i="5" s="1"/>
  <c r="B211" i="5" s="1"/>
  <c r="B212" i="5" s="1"/>
  <c r="B213" i="5" s="1"/>
  <c r="B214" i="5" s="1"/>
  <c r="P252" i="2"/>
  <c r="R312" i="2"/>
  <c r="P304" i="2"/>
  <c r="P314" i="2"/>
  <c r="P286" i="2"/>
  <c r="P268" i="2"/>
  <c r="P276" i="2"/>
  <c r="R220" i="2"/>
  <c r="T220" i="2" s="1"/>
  <c r="M220" i="2"/>
  <c r="P269" i="2"/>
  <c r="R225" i="2"/>
  <c r="T225" i="2" s="1"/>
  <c r="M225" i="2"/>
  <c r="P228" i="2"/>
  <c r="R215" i="2"/>
  <c r="T215" i="2" s="1"/>
  <c r="M215" i="2"/>
  <c r="R303" i="2"/>
  <c r="P275" i="2"/>
  <c r="P229" i="2"/>
  <c r="P287" i="2"/>
  <c r="R273" i="2"/>
  <c r="P278" i="2"/>
  <c r="R234" i="2"/>
  <c r="P305" i="2"/>
  <c r="P249" i="2"/>
  <c r="P282" i="2"/>
  <c r="P272" i="2"/>
  <c r="P251" i="2"/>
  <c r="P285" i="2"/>
  <c r="P253" i="2"/>
  <c r="R257" i="2"/>
  <c r="P313" i="2"/>
  <c r="P312" i="2"/>
  <c r="P237" i="2"/>
  <c r="P258" i="2"/>
  <c r="P257" i="2"/>
  <c r="P240" i="2"/>
  <c r="P309" i="2"/>
  <c r="P227" i="2"/>
  <c r="R253" i="2"/>
  <c r="P255" i="2"/>
  <c r="R221" i="2"/>
  <c r="T221" i="2" s="1"/>
  <c r="M221" i="2"/>
  <c r="P226" i="2"/>
  <c r="R238" i="2"/>
  <c r="P306" i="2"/>
  <c r="R218" i="2"/>
  <c r="T218" i="2" s="1"/>
  <c r="M218" i="2"/>
  <c r="P308" i="2"/>
  <c r="P281" i="2"/>
  <c r="P274" i="2"/>
  <c r="P250" i="2"/>
  <c r="P291" i="2"/>
  <c r="R219" i="2"/>
  <c r="T219" i="2" s="1"/>
  <c r="M219" i="2"/>
  <c r="R308" i="2"/>
  <c r="M308" i="2"/>
  <c r="R267" i="2"/>
  <c r="P259" i="2"/>
  <c r="P279" i="2"/>
  <c r="P284" i="2"/>
  <c r="P232" i="2"/>
  <c r="R214" i="2"/>
  <c r="T214" i="2" s="1"/>
  <c r="M214" i="2"/>
  <c r="P254" i="2"/>
  <c r="R224" i="2"/>
  <c r="T224" i="2" s="1"/>
  <c r="M224" i="2"/>
  <c r="P283" i="2"/>
  <c r="P230" i="2"/>
  <c r="R222" i="2"/>
  <c r="T222" i="2" s="1"/>
  <c r="M222" i="2"/>
  <c r="P280" i="2"/>
  <c r="P310" i="2"/>
  <c r="P294" i="2"/>
  <c r="P231" i="2"/>
  <c r="R248" i="2"/>
  <c r="R307" i="2"/>
  <c r="B215" i="5" l="1"/>
  <c r="B216" i="5" s="1"/>
  <c r="B217" i="5" s="1"/>
  <c r="B218" i="5" s="1"/>
  <c r="B219" i="5" s="1"/>
  <c r="T257" i="2"/>
  <c r="T308" i="2"/>
  <c r="M253" i="2"/>
  <c r="R233" i="2"/>
  <c r="T233" i="2" s="1"/>
  <c r="M233" i="2"/>
  <c r="R258" i="2"/>
  <c r="T258" i="2" s="1"/>
  <c r="M258" i="2"/>
  <c r="M285" i="2"/>
  <c r="R285" i="2"/>
  <c r="T285" i="2" s="1"/>
  <c r="R259" i="2"/>
  <c r="T259" i="2" s="1"/>
  <c r="M259" i="2"/>
  <c r="R232" i="2"/>
  <c r="T232" i="2" s="1"/>
  <c r="M232" i="2"/>
  <c r="R304" i="2"/>
  <c r="T304" i="2" s="1"/>
  <c r="M304" i="2"/>
  <c r="R283" i="2"/>
  <c r="T283" i="2" s="1"/>
  <c r="M283" i="2"/>
  <c r="R231" i="2"/>
  <c r="T231" i="2" s="1"/>
  <c r="M231" i="2"/>
  <c r="M276" i="2"/>
  <c r="R276" i="2"/>
  <c r="T276" i="2" s="1"/>
  <c r="M310" i="2"/>
  <c r="R310" i="2"/>
  <c r="T310" i="2" s="1"/>
  <c r="R251" i="2"/>
  <c r="T251" i="2" s="1"/>
  <c r="M251" i="2"/>
  <c r="R292" i="2"/>
  <c r="M312" i="2"/>
  <c r="M309" i="2"/>
  <c r="M284" i="2"/>
  <c r="R284" i="2"/>
  <c r="T284" i="2" s="1"/>
  <c r="R226" i="2"/>
  <c r="T226" i="2" s="1"/>
  <c r="M226" i="2"/>
  <c r="R255" i="2"/>
  <c r="T255" i="2" s="1"/>
  <c r="M255" i="2"/>
  <c r="M279" i="2"/>
  <c r="R279" i="2"/>
  <c r="T279" i="2" s="1"/>
  <c r="R269" i="2"/>
  <c r="T269" i="2" s="1"/>
  <c r="M269" i="2"/>
  <c r="T312" i="2"/>
  <c r="R306" i="2"/>
  <c r="T306" i="2" s="1"/>
  <c r="M306" i="2"/>
  <c r="R280" i="2"/>
  <c r="T280" i="2" s="1"/>
  <c r="M280" i="2"/>
  <c r="R229" i="2"/>
  <c r="T229" i="2" s="1"/>
  <c r="M229" i="2"/>
  <c r="M268" i="2"/>
  <c r="R268" i="2"/>
  <c r="T268" i="2" s="1"/>
  <c r="R305" i="2"/>
  <c r="T305" i="2" s="1"/>
  <c r="M305" i="2"/>
  <c r="R250" i="2"/>
  <c r="T250" i="2" s="1"/>
  <c r="M250" i="2"/>
  <c r="R249" i="2"/>
  <c r="T249" i="2" s="1"/>
  <c r="M249" i="2"/>
  <c r="M273" i="2"/>
  <c r="P273" i="2"/>
  <c r="T273" i="2" s="1"/>
  <c r="R271" i="2"/>
  <c r="M254" i="2"/>
  <c r="R274" i="2"/>
  <c r="T274" i="2" s="1"/>
  <c r="M274" i="2"/>
  <c r="M257" i="2"/>
  <c r="R314" i="2"/>
  <c r="T314" i="2" s="1"/>
  <c r="M314" i="2"/>
  <c r="R288" i="2"/>
  <c r="R281" i="2"/>
  <c r="T281" i="2" s="1"/>
  <c r="M281" i="2"/>
  <c r="R275" i="2"/>
  <c r="T275" i="2" s="1"/>
  <c r="M275" i="2"/>
  <c r="M307" i="2"/>
  <c r="P307" i="2"/>
  <c r="T307" i="2" s="1"/>
  <c r="R228" i="2"/>
  <c r="T228" i="2" s="1"/>
  <c r="M228" i="2"/>
  <c r="R252" i="2"/>
  <c r="T252" i="2" s="1"/>
  <c r="M252" i="2"/>
  <c r="M313" i="2"/>
  <c r="R313" i="2"/>
  <c r="T313" i="2" s="1"/>
  <c r="R230" i="2"/>
  <c r="T230" i="2" s="1"/>
  <c r="M230" i="2"/>
  <c r="R272" i="2"/>
  <c r="T272" i="2" s="1"/>
  <c r="M272" i="2"/>
  <c r="R282" i="2"/>
  <c r="T282" i="2" s="1"/>
  <c r="M282" i="2"/>
  <c r="R277" i="2"/>
  <c r="R286" i="2"/>
  <c r="T286" i="2" s="1"/>
  <c r="M286" i="2"/>
  <c r="R227" i="2"/>
  <c r="T227" i="2" s="1"/>
  <c r="M227" i="2"/>
  <c r="R278" i="2"/>
  <c r="T278" i="2" s="1"/>
  <c r="M278" i="2"/>
  <c r="T253" i="2"/>
  <c r="M287" i="2"/>
  <c r="R287" i="2"/>
  <c r="T287" i="2" s="1"/>
  <c r="B220" i="5" l="1"/>
  <c r="B221" i="5" l="1"/>
  <c r="B224" i="5" s="1"/>
  <c r="B228" i="5" l="1"/>
  <c r="B229" i="5" s="1"/>
  <c r="B230" i="5" s="1"/>
  <c r="B231" i="5" s="1"/>
  <c r="B232" i="5" s="1"/>
  <c r="B233" i="5" s="1"/>
  <c r="B234" i="5" s="1"/>
  <c r="B235" i="5" s="1"/>
  <c r="B236" i="5" s="1"/>
  <c r="B237" i="5" s="1"/>
  <c r="B238" i="5" s="1"/>
  <c r="B239" i="5" s="1"/>
  <c r="B240" i="5" s="1"/>
  <c r="B241" i="5" s="1"/>
  <c r="B242" i="5" s="1"/>
  <c r="B243" i="5" s="1"/>
  <c r="B244" i="5" s="1"/>
  <c r="B245" i="5" s="1"/>
  <c r="B246" i="5" s="1"/>
  <c r="B247" i="5" s="1"/>
  <c r="B248" i="5" s="1"/>
  <c r="B249" i="5" s="1"/>
  <c r="B250" i="5" s="1"/>
  <c r="B251" i="5" s="1"/>
  <c r="B252" i="5" s="1"/>
  <c r="B253" i="5" s="1"/>
  <c r="B254" i="5" s="1"/>
  <c r="B255" i="5" s="1"/>
  <c r="B256" i="5" s="1"/>
  <c r="B257" i="5" s="1"/>
  <c r="B258" i="5" s="1"/>
  <c r="B259" i="5" s="1"/>
  <c r="B260" i="5" s="1"/>
  <c r="B261" i="5" l="1"/>
  <c r="B262" i="5" s="1"/>
  <c r="B263" i="5" s="1"/>
  <c r="B264" i="5" s="1"/>
  <c r="B265" i="5" s="1"/>
  <c r="B266" i="5" l="1"/>
  <c r="R186" i="2"/>
  <c r="R133" i="2"/>
  <c r="B267" i="5" l="1"/>
  <c r="B270" i="5" s="1"/>
  <c r="R240" i="2"/>
  <c r="T240" i="2" s="1"/>
  <c r="M240" i="2"/>
  <c r="R82" i="2"/>
  <c r="P109" i="2" l="1"/>
  <c r="R58" i="2"/>
  <c r="P270" i="2" l="1"/>
  <c r="P162" i="2"/>
  <c r="P58" i="2" l="1"/>
  <c r="P216" i="2" l="1"/>
  <c r="R235" i="2" l="1"/>
  <c r="R181" i="2" l="1"/>
  <c r="P181" i="2"/>
  <c r="P235" i="2" l="1"/>
  <c r="T235" i="2" s="1"/>
  <c r="M235" i="2"/>
  <c r="R36" i="2" l="1"/>
  <c r="P184" i="2" l="1"/>
  <c r="P238" i="2" l="1"/>
  <c r="T238" i="2" s="1"/>
  <c r="M238" i="2"/>
  <c r="R129" i="2" l="1"/>
  <c r="P92" i="2" l="1"/>
  <c r="P40" i="2"/>
  <c r="P22" i="2" l="1"/>
  <c r="P35" i="2" l="1"/>
  <c r="P19" i="2" l="1"/>
  <c r="P236" i="2" l="1"/>
  <c r="W103" i="2" l="1"/>
  <c r="W156" i="2" s="1"/>
  <c r="Y103" i="2"/>
  <c r="Y156" i="2" s="1"/>
  <c r="P78" i="2"/>
  <c r="P25" i="2" l="1"/>
  <c r="P80" i="2" l="1"/>
  <c r="P131" i="2" l="1"/>
  <c r="P71" i="2" l="1"/>
  <c r="P26" i="2" l="1"/>
  <c r="R81" i="2" l="1"/>
  <c r="R132" i="2" l="1"/>
  <c r="R185" i="2" l="1"/>
  <c r="R239" i="2" l="1"/>
  <c r="P185" i="2" l="1"/>
  <c r="P239" i="2" l="1"/>
  <c r="T239" i="2" s="1"/>
  <c r="M239" i="2"/>
  <c r="P197" i="2" l="1"/>
  <c r="P248" i="2" l="1"/>
  <c r="T248" i="2" s="1"/>
  <c r="M248" i="2"/>
  <c r="R162" i="2" l="1"/>
  <c r="R109" i="2"/>
  <c r="R216" i="2" l="1"/>
  <c r="T216" i="2" s="1"/>
  <c r="M216" i="2"/>
  <c r="P182" i="2" l="1"/>
  <c r="R236" i="2" l="1"/>
  <c r="T236" i="2" s="1"/>
  <c r="M236" i="2"/>
  <c r="P23" i="2" l="1"/>
  <c r="P68" i="2" l="1"/>
  <c r="P30" i="2" l="1"/>
  <c r="R242" i="2" l="1"/>
  <c r="R188" i="2"/>
  <c r="R135" i="2"/>
  <c r="R84" i="2"/>
  <c r="P84" i="2" l="1"/>
  <c r="P135" i="2"/>
  <c r="P188" i="2"/>
  <c r="P242" i="2" l="1"/>
  <c r="T242" i="2" s="1"/>
  <c r="M242" i="2"/>
  <c r="P17" i="2"/>
  <c r="P16" i="2"/>
  <c r="R28" i="2" l="1"/>
  <c r="P27" i="2" l="1"/>
  <c r="P20" i="2" l="1"/>
  <c r="P116" i="2"/>
  <c r="P65" i="2"/>
  <c r="P169" i="2" l="1"/>
  <c r="P223" i="2" l="1"/>
  <c r="T223" i="2" s="1"/>
  <c r="M223" i="2"/>
  <c r="R78" i="2" l="1"/>
  <c r="AA52" i="2" l="1"/>
  <c r="AA103" i="2" s="1"/>
  <c r="AA156" i="2" s="1"/>
  <c r="R33" i="2" l="1"/>
  <c r="P18" i="2" l="1"/>
  <c r="P63" i="2" l="1"/>
  <c r="P13" i="2" l="1"/>
  <c r="P194" i="2" l="1"/>
  <c r="R289" i="2" l="1"/>
  <c r="R290" i="2"/>
  <c r="R293" i="2"/>
  <c r="R296" i="2"/>
  <c r="R294" i="2"/>
  <c r="T294" i="2" s="1"/>
  <c r="M294" i="2"/>
  <c r="R270" i="2"/>
  <c r="T270" i="2" s="1"/>
  <c r="M270" i="2"/>
  <c r="P289" i="2" l="1"/>
  <c r="T289" i="2" s="1"/>
  <c r="M289" i="2"/>
  <c r="M303" i="2"/>
  <c r="P303" i="2"/>
  <c r="T303" i="2" s="1"/>
  <c r="P296" i="2"/>
  <c r="T296" i="2" s="1"/>
  <c r="M296" i="2"/>
  <c r="P290" i="2"/>
  <c r="T290" i="2" s="1"/>
  <c r="M290" i="2"/>
  <c r="P292" i="2"/>
  <c r="T292" i="2" s="1"/>
  <c r="M292" i="2"/>
  <c r="P293" i="2"/>
  <c r="T293" i="2" s="1"/>
  <c r="M293" i="2"/>
  <c r="P277" i="2"/>
  <c r="T277" i="2" s="1"/>
  <c r="M277" i="2"/>
  <c r="AL15" i="2" l="1"/>
  <c r="R10" i="2"/>
  <c r="B10" i="2"/>
  <c r="R7" i="2"/>
  <c r="P7" i="2"/>
  <c r="AL22" i="2" l="1"/>
  <c r="AL16" i="2"/>
  <c r="B11" i="2"/>
  <c r="M49" i="2" l="1"/>
  <c r="T49" i="2"/>
  <c r="AC49" i="2" s="1"/>
  <c r="H20" i="18" s="1"/>
  <c r="N20" i="18" s="1"/>
  <c r="M207" i="2"/>
  <c r="AP67" i="14"/>
  <c r="M316" i="2"/>
  <c r="M261" i="2"/>
  <c r="T207" i="2"/>
  <c r="AC207" i="2" s="1"/>
  <c r="J18" i="18" s="1"/>
  <c r="T316" i="2"/>
  <c r="AC316" i="2" s="1"/>
  <c r="L18" i="18" s="1"/>
  <c r="T261" i="2"/>
  <c r="ID67" i="14"/>
  <c r="GF67" i="14"/>
  <c r="KB67" i="14"/>
  <c r="M315" i="2"/>
  <c r="T153" i="2"/>
  <c r="T315" i="2"/>
  <c r="AC315" i="2" s="1"/>
  <c r="L14" i="18" s="1"/>
  <c r="IC67" i="14"/>
  <c r="GE67" i="14"/>
  <c r="M260" i="2"/>
  <c r="KA67" i="14"/>
  <c r="T260" i="2"/>
  <c r="M153" i="2"/>
  <c r="KF67" i="14"/>
  <c r="KF59" i="14" s="1"/>
  <c r="JV67" i="14"/>
  <c r="JN67" i="14"/>
  <c r="JF67" i="14"/>
  <c r="IX67" i="14"/>
  <c r="IP67" i="14"/>
  <c r="IH67" i="14"/>
  <c r="IH59" i="14" s="1"/>
  <c r="HX67" i="14"/>
  <c r="HP67" i="14"/>
  <c r="HH67" i="14"/>
  <c r="GZ67" i="14"/>
  <c r="GR67" i="14"/>
  <c r="GJ67" i="14"/>
  <c r="GJ59" i="14" s="1"/>
  <c r="FZ67" i="14"/>
  <c r="FR67" i="14"/>
  <c r="FJ67" i="14"/>
  <c r="FB67" i="14"/>
  <c r="ET67" i="14"/>
  <c r="EL67" i="14"/>
  <c r="EL59" i="14" s="1"/>
  <c r="EC67" i="14"/>
  <c r="DU67" i="14"/>
  <c r="DM67" i="14"/>
  <c r="DE67" i="14"/>
  <c r="CW67" i="14"/>
  <c r="CO67" i="14"/>
  <c r="CO59" i="14" s="1"/>
  <c r="CG67" i="14"/>
  <c r="BY67" i="14"/>
  <c r="BQ67" i="14"/>
  <c r="BI67" i="14"/>
  <c r="BA67" i="14"/>
  <c r="AS67" i="14"/>
  <c r="AS59" i="14" s="1"/>
  <c r="AJ67" i="14"/>
  <c r="AB67" i="14"/>
  <c r="T67" i="14"/>
  <c r="L67" i="14"/>
  <c r="D67" i="14"/>
  <c r="HN67" i="14"/>
  <c r="GH67" i="14"/>
  <c r="FH67" i="14"/>
  <c r="EJ67" i="14"/>
  <c r="DS67" i="14"/>
  <c r="CU67" i="14"/>
  <c r="CE67" i="14"/>
  <c r="BO67" i="14"/>
  <c r="AQ67" i="14"/>
  <c r="Z67" i="14"/>
  <c r="J67" i="14"/>
  <c r="KE67" i="14"/>
  <c r="JU67" i="14"/>
  <c r="JM67" i="14"/>
  <c r="JE67" i="14"/>
  <c r="IW67" i="14"/>
  <c r="IO67" i="14"/>
  <c r="IG67" i="14"/>
  <c r="HW67" i="14"/>
  <c r="HO67" i="14"/>
  <c r="HG67" i="14"/>
  <c r="GY67" i="14"/>
  <c r="GQ67" i="14"/>
  <c r="GI67" i="14"/>
  <c r="FY67" i="14"/>
  <c r="FQ67" i="14"/>
  <c r="FI67" i="14"/>
  <c r="FA67" i="14"/>
  <c r="ES67" i="14"/>
  <c r="EK67" i="14"/>
  <c r="EB67" i="14"/>
  <c r="DT67" i="14"/>
  <c r="DL67" i="14"/>
  <c r="DD67" i="14"/>
  <c r="CV67" i="14"/>
  <c r="CN67" i="14"/>
  <c r="CF67" i="14"/>
  <c r="BX67" i="14"/>
  <c r="BP67" i="14"/>
  <c r="BH67" i="14"/>
  <c r="AZ67" i="14"/>
  <c r="AR67" i="14"/>
  <c r="AI67" i="14"/>
  <c r="AA67" i="14"/>
  <c r="S67" i="14"/>
  <c r="K67" i="14"/>
  <c r="C67" i="14"/>
  <c r="C59" i="14" s="1"/>
  <c r="HF67" i="14"/>
  <c r="FX67" i="14"/>
  <c r="EZ67" i="14"/>
  <c r="EA67" i="14"/>
  <c r="DK67" i="14"/>
  <c r="CM67" i="14"/>
  <c r="BW67" i="14"/>
  <c r="BG67" i="14"/>
  <c r="AH67" i="14"/>
  <c r="R67" i="14"/>
  <c r="EH67" i="14"/>
  <c r="KD67" i="14"/>
  <c r="JT67" i="14"/>
  <c r="JL67" i="14"/>
  <c r="JD67" i="14"/>
  <c r="IV67" i="14"/>
  <c r="IN67" i="14"/>
  <c r="IF67" i="14"/>
  <c r="HV67" i="14"/>
  <c r="GX67" i="14"/>
  <c r="GP67" i="14"/>
  <c r="FP67" i="14"/>
  <c r="ER67" i="14"/>
  <c r="DC67" i="14"/>
  <c r="AY67" i="14"/>
  <c r="KC67" i="14"/>
  <c r="JS67" i="14"/>
  <c r="JK67" i="14"/>
  <c r="JC67" i="14"/>
  <c r="IU67" i="14"/>
  <c r="IM67" i="14"/>
  <c r="IE67" i="14"/>
  <c r="HU67" i="14"/>
  <c r="HM67" i="14"/>
  <c r="HE67" i="14"/>
  <c r="GW67" i="14"/>
  <c r="GO67" i="14"/>
  <c r="GG67" i="14"/>
  <c r="FW67" i="14"/>
  <c r="FO67" i="14"/>
  <c r="FG67" i="14"/>
  <c r="EY67" i="14"/>
  <c r="EQ67" i="14"/>
  <c r="EI67" i="14"/>
  <c r="DZ67" i="14"/>
  <c r="DR67" i="14"/>
  <c r="DJ67" i="14"/>
  <c r="DB67" i="14"/>
  <c r="CT67" i="14"/>
  <c r="CL67" i="14"/>
  <c r="CD67" i="14"/>
  <c r="BV67" i="14"/>
  <c r="BN67" i="14"/>
  <c r="BF67" i="14"/>
  <c r="AX67" i="14"/>
  <c r="AO67" i="14"/>
  <c r="AG67" i="14"/>
  <c r="Y67" i="14"/>
  <c r="Q67" i="14"/>
  <c r="I67" i="14"/>
  <c r="JW67" i="14"/>
  <c r="II67" i="14"/>
  <c r="GS67" i="14"/>
  <c r="GA67" i="14"/>
  <c r="EU67" i="14"/>
  <c r="DF67" i="14"/>
  <c r="CH67" i="14"/>
  <c r="BB67" i="14"/>
  <c r="U67" i="14"/>
  <c r="JZ67" i="14"/>
  <c r="JR67" i="14"/>
  <c r="JJ67" i="14"/>
  <c r="JB67" i="14"/>
  <c r="IT67" i="14"/>
  <c r="IL67" i="14"/>
  <c r="IB67" i="14"/>
  <c r="HT67" i="14"/>
  <c r="HL67" i="14"/>
  <c r="HD67" i="14"/>
  <c r="GV67" i="14"/>
  <c r="GN67" i="14"/>
  <c r="GD67" i="14"/>
  <c r="FV67" i="14"/>
  <c r="FN67" i="14"/>
  <c r="FF67" i="14"/>
  <c r="EX67" i="14"/>
  <c r="EP67" i="14"/>
  <c r="EG67" i="14"/>
  <c r="DY67" i="14"/>
  <c r="DQ67" i="14"/>
  <c r="DI67" i="14"/>
  <c r="DA67" i="14"/>
  <c r="CS67" i="14"/>
  <c r="CK67" i="14"/>
  <c r="CC67" i="14"/>
  <c r="BU67" i="14"/>
  <c r="BM67" i="14"/>
  <c r="BE67" i="14"/>
  <c r="AW67" i="14"/>
  <c r="AN67" i="14"/>
  <c r="AF67" i="14"/>
  <c r="X67" i="14"/>
  <c r="P67" i="14"/>
  <c r="H67" i="14"/>
  <c r="JO67" i="14"/>
  <c r="IY67" i="14"/>
  <c r="HQ67" i="14"/>
  <c r="GK67" i="14"/>
  <c r="FC67" i="14"/>
  <c r="DV67" i="14"/>
  <c r="CP67" i="14"/>
  <c r="BJ67" i="14"/>
  <c r="AC67" i="14"/>
  <c r="JY67" i="14"/>
  <c r="JQ67" i="14"/>
  <c r="JI67" i="14"/>
  <c r="JA67" i="14"/>
  <c r="IS67" i="14"/>
  <c r="IK67" i="14"/>
  <c r="IA67" i="14"/>
  <c r="HS67" i="14"/>
  <c r="HK67" i="14"/>
  <c r="HC67" i="14"/>
  <c r="GU67" i="14"/>
  <c r="GM67" i="14"/>
  <c r="GC67" i="14"/>
  <c r="FU67" i="14"/>
  <c r="FM67" i="14"/>
  <c r="FE67" i="14"/>
  <c r="EW67" i="14"/>
  <c r="EO67" i="14"/>
  <c r="EF67" i="14"/>
  <c r="DX67" i="14"/>
  <c r="DP67" i="14"/>
  <c r="DH67" i="14"/>
  <c r="CZ67" i="14"/>
  <c r="CR67" i="14"/>
  <c r="CJ67" i="14"/>
  <c r="CB67" i="14"/>
  <c r="BT67" i="14"/>
  <c r="BL67" i="14"/>
  <c r="BD67" i="14"/>
  <c r="AV67" i="14"/>
  <c r="AM67" i="14"/>
  <c r="AE67" i="14"/>
  <c r="W67" i="14"/>
  <c r="O67" i="14"/>
  <c r="G67" i="14"/>
  <c r="IQ67" i="14"/>
  <c r="HI67" i="14"/>
  <c r="FK67" i="14"/>
  <c r="ED67" i="14"/>
  <c r="CX67" i="14"/>
  <c r="BR67" i="14"/>
  <c r="AK67" i="14"/>
  <c r="E67" i="14"/>
  <c r="JX67" i="14"/>
  <c r="JP67" i="14"/>
  <c r="JH67" i="14"/>
  <c r="IZ67" i="14"/>
  <c r="IR67" i="14"/>
  <c r="IJ67" i="14"/>
  <c r="HZ67" i="14"/>
  <c r="HR67" i="14"/>
  <c r="HJ67" i="14"/>
  <c r="HB67" i="14"/>
  <c r="GT67" i="14"/>
  <c r="GL67" i="14"/>
  <c r="GB67" i="14"/>
  <c r="FT67" i="14"/>
  <c r="FL67" i="14"/>
  <c r="FD67" i="14"/>
  <c r="EV67" i="14"/>
  <c r="EN67" i="14"/>
  <c r="EE67" i="14"/>
  <c r="DW67" i="14"/>
  <c r="DO67" i="14"/>
  <c r="DG67" i="14"/>
  <c r="CY67" i="14"/>
  <c r="CQ67" i="14"/>
  <c r="CI67" i="14"/>
  <c r="CA67" i="14"/>
  <c r="BS67" i="14"/>
  <c r="BK67" i="14"/>
  <c r="BC67" i="14"/>
  <c r="AU67" i="14"/>
  <c r="AL67" i="14"/>
  <c r="AD67" i="14"/>
  <c r="V67" i="14"/>
  <c r="N67" i="14"/>
  <c r="F67" i="14"/>
  <c r="JG67" i="14"/>
  <c r="HY67" i="14"/>
  <c r="HA67" i="14"/>
  <c r="FS67" i="14"/>
  <c r="EM67" i="14"/>
  <c r="DN67" i="14"/>
  <c r="BZ67" i="14"/>
  <c r="AT67" i="14"/>
  <c r="M67" i="14"/>
  <c r="M206" i="2"/>
  <c r="T206" i="2"/>
  <c r="T170" i="2"/>
  <c r="M100" i="2"/>
  <c r="T100" i="2"/>
  <c r="T99" i="2"/>
  <c r="M99" i="2"/>
  <c r="T205" i="2"/>
  <c r="T171" i="2"/>
  <c r="T197" i="2"/>
  <c r="T199" i="2"/>
  <c r="T168" i="2"/>
  <c r="T167" i="2"/>
  <c r="T196" i="2"/>
  <c r="T175" i="2"/>
  <c r="T172" i="2"/>
  <c r="T174" i="2"/>
  <c r="T195" i="2"/>
  <c r="T164" i="2"/>
  <c r="T160" i="2"/>
  <c r="T177" i="2"/>
  <c r="T201" i="2"/>
  <c r="T173" i="2"/>
  <c r="T204" i="2"/>
  <c r="T169" i="2"/>
  <c r="T176" i="2"/>
  <c r="T161" i="2"/>
  <c r="T198" i="2"/>
  <c r="T166" i="2"/>
  <c r="T184" i="2"/>
  <c r="T165" i="2"/>
  <c r="T182" i="2"/>
  <c r="T179" i="2"/>
  <c r="T178" i="2"/>
  <c r="T203" i="2"/>
  <c r="T48" i="2"/>
  <c r="T64" i="2"/>
  <c r="T115" i="2"/>
  <c r="T118" i="2"/>
  <c r="T66" i="2"/>
  <c r="T47" i="2"/>
  <c r="T90" i="2"/>
  <c r="T38" i="2"/>
  <c r="T46" i="2"/>
  <c r="T127" i="2"/>
  <c r="T150" i="2"/>
  <c r="T62" i="2"/>
  <c r="T151" i="2"/>
  <c r="T117" i="2"/>
  <c r="T131" i="2"/>
  <c r="T43" i="2"/>
  <c r="T61" i="2"/>
  <c r="T73" i="2"/>
  <c r="T42" i="2"/>
  <c r="T63" i="2"/>
  <c r="T44" i="2"/>
  <c r="T145" i="2"/>
  <c r="T122" i="2"/>
  <c r="T144" i="2"/>
  <c r="T71" i="2"/>
  <c r="T68" i="2"/>
  <c r="T40" i="2"/>
  <c r="T89" i="2"/>
  <c r="T67" i="2"/>
  <c r="T17" i="2"/>
  <c r="T39" i="2"/>
  <c r="T96" i="2"/>
  <c r="T24" i="2"/>
  <c r="T128" i="2"/>
  <c r="T74" i="2"/>
  <c r="T31" i="2"/>
  <c r="T119" i="2"/>
  <c r="T124" i="2"/>
  <c r="T15" i="2"/>
  <c r="T142" i="2"/>
  <c r="T114" i="2"/>
  <c r="T37" i="2"/>
  <c r="T94" i="2"/>
  <c r="T32" i="2"/>
  <c r="T148" i="2"/>
  <c r="T20" i="2"/>
  <c r="T125" i="2"/>
  <c r="T107" i="2"/>
  <c r="T56" i="2"/>
  <c r="T30" i="2"/>
  <c r="T121" i="2"/>
  <c r="T152" i="2"/>
  <c r="T57" i="2"/>
  <c r="T13" i="2"/>
  <c r="T143" i="2"/>
  <c r="T77" i="2"/>
  <c r="T120" i="2"/>
  <c r="T116" i="2"/>
  <c r="T76" i="2"/>
  <c r="T95" i="2"/>
  <c r="T22" i="2"/>
  <c r="T113" i="2"/>
  <c r="T146" i="2"/>
  <c r="T91" i="2"/>
  <c r="T75" i="2"/>
  <c r="T60" i="2"/>
  <c r="T98" i="2"/>
  <c r="T80" i="2"/>
  <c r="T45" i="2"/>
  <c r="T141" i="2"/>
  <c r="T126" i="2"/>
  <c r="T72" i="2"/>
  <c r="T112" i="2"/>
  <c r="T70" i="2"/>
  <c r="T25" i="2"/>
  <c r="T123" i="2"/>
  <c r="T69" i="2"/>
  <c r="T108" i="2"/>
  <c r="T93" i="2"/>
  <c r="T41" i="2"/>
  <c r="T111" i="2"/>
  <c r="T147" i="2"/>
  <c r="T92" i="2"/>
  <c r="T186" i="2"/>
  <c r="T133" i="2"/>
  <c r="T82" i="2"/>
  <c r="T58" i="2"/>
  <c r="T181" i="2"/>
  <c r="T36" i="2"/>
  <c r="T129" i="2"/>
  <c r="T35" i="2"/>
  <c r="T19" i="2"/>
  <c r="T26" i="2"/>
  <c r="T81" i="2"/>
  <c r="T132" i="2"/>
  <c r="T185" i="2"/>
  <c r="T109" i="2"/>
  <c r="T162" i="2"/>
  <c r="T23" i="2"/>
  <c r="T135" i="2"/>
  <c r="T188" i="2"/>
  <c r="T84" i="2"/>
  <c r="T16" i="2"/>
  <c r="T28" i="2"/>
  <c r="T27" i="2"/>
  <c r="T65" i="2"/>
  <c r="T78" i="2"/>
  <c r="T33" i="2"/>
  <c r="T18" i="2"/>
  <c r="T194" i="2"/>
  <c r="M173" i="2"/>
  <c r="M165" i="2"/>
  <c r="M185" i="2"/>
  <c r="M181" i="2"/>
  <c r="M161" i="2"/>
  <c r="M174" i="2"/>
  <c r="M201" i="2"/>
  <c r="M198" i="2"/>
  <c r="M205" i="2"/>
  <c r="M184" i="2"/>
  <c r="M194" i="2"/>
  <c r="M199" i="2"/>
  <c r="M188" i="2"/>
  <c r="M168" i="2"/>
  <c r="M177" i="2"/>
  <c r="M176" i="2"/>
  <c r="M186" i="2"/>
  <c r="M200" i="2"/>
  <c r="M178" i="2"/>
  <c r="M196" i="2"/>
  <c r="M162" i="2"/>
  <c r="M195" i="2"/>
  <c r="M203" i="2"/>
  <c r="M167" i="2"/>
  <c r="M172" i="2"/>
  <c r="M175" i="2"/>
  <c r="M204" i="2"/>
  <c r="M171" i="2"/>
  <c r="M182" i="2"/>
  <c r="M170" i="2"/>
  <c r="M164" i="2"/>
  <c r="M179" i="2"/>
  <c r="M160" i="2"/>
  <c r="M166" i="2"/>
  <c r="M197" i="2"/>
  <c r="M169" i="2"/>
  <c r="M151" i="2"/>
  <c r="M126" i="2"/>
  <c r="M141" i="2"/>
  <c r="M118" i="2"/>
  <c r="M124" i="2"/>
  <c r="M147" i="2"/>
  <c r="M109" i="2"/>
  <c r="M108" i="2"/>
  <c r="M122" i="2"/>
  <c r="M142" i="2"/>
  <c r="M150" i="2"/>
  <c r="M146" i="2"/>
  <c r="M143" i="2"/>
  <c r="M127" i="2"/>
  <c r="M132" i="2"/>
  <c r="M135" i="2"/>
  <c r="M123" i="2"/>
  <c r="M117" i="2"/>
  <c r="M120" i="2"/>
  <c r="M112" i="2"/>
  <c r="M144" i="2"/>
  <c r="M115" i="2"/>
  <c r="M131" i="2"/>
  <c r="M107" i="2"/>
  <c r="M116" i="2"/>
  <c r="M121" i="2"/>
  <c r="M133" i="2"/>
  <c r="M125" i="2"/>
  <c r="M145" i="2"/>
  <c r="M111" i="2"/>
  <c r="M129" i="2"/>
  <c r="M128" i="2"/>
  <c r="M148" i="2"/>
  <c r="M114" i="2"/>
  <c r="M152" i="2"/>
  <c r="M113" i="2"/>
  <c r="M119" i="2"/>
  <c r="M98" i="2"/>
  <c r="M92" i="2"/>
  <c r="M89" i="2"/>
  <c r="M84" i="2"/>
  <c r="M94" i="2"/>
  <c r="M91" i="2"/>
  <c r="M93" i="2"/>
  <c r="M95" i="2"/>
  <c r="M96" i="2"/>
  <c r="M90" i="2"/>
  <c r="M71" i="2"/>
  <c r="M75" i="2"/>
  <c r="M73" i="2"/>
  <c r="M61" i="2"/>
  <c r="M78" i="2"/>
  <c r="M69" i="2"/>
  <c r="M65" i="2"/>
  <c r="M80" i="2"/>
  <c r="M64" i="2"/>
  <c r="M74" i="2"/>
  <c r="M62" i="2"/>
  <c r="M58" i="2"/>
  <c r="M77" i="2"/>
  <c r="M76" i="2"/>
  <c r="M60" i="2"/>
  <c r="M57" i="2"/>
  <c r="M72" i="2"/>
  <c r="M68" i="2"/>
  <c r="M70" i="2"/>
  <c r="M82" i="2"/>
  <c r="M56" i="2"/>
  <c r="M63" i="2"/>
  <c r="M66" i="2"/>
  <c r="M67" i="2"/>
  <c r="M81" i="2"/>
  <c r="M45" i="2"/>
  <c r="M37" i="2"/>
  <c r="M31" i="2"/>
  <c r="M39" i="2"/>
  <c r="M47" i="2"/>
  <c r="M46" i="2"/>
  <c r="M28" i="2"/>
  <c r="M43" i="2"/>
  <c r="M27" i="2"/>
  <c r="M35" i="2"/>
  <c r="M25" i="2"/>
  <c r="M44" i="2"/>
  <c r="M42" i="2"/>
  <c r="M38" i="2"/>
  <c r="M41" i="2"/>
  <c r="M48" i="2"/>
  <c r="M30" i="2"/>
  <c r="M36" i="2"/>
  <c r="M26" i="2"/>
  <c r="M40" i="2"/>
  <c r="M33" i="2"/>
  <c r="M24" i="2"/>
  <c r="M32" i="2"/>
  <c r="M7" i="2"/>
  <c r="T7" i="2"/>
  <c r="M22" i="2"/>
  <c r="M17" i="2"/>
  <c r="M23" i="2"/>
  <c r="M13" i="2"/>
  <c r="M16" i="2"/>
  <c r="M19" i="2"/>
  <c r="M20" i="2"/>
  <c r="M18" i="2"/>
  <c r="M15" i="2"/>
  <c r="B12" i="2"/>
  <c r="AC261" i="2" l="1"/>
  <c r="K18" i="18" s="1"/>
  <c r="N18" i="18" s="1"/>
  <c r="AC260" i="2"/>
  <c r="K14" i="18" s="1"/>
  <c r="AP59" i="14"/>
  <c r="AP61" i="14" s="1"/>
  <c r="AP62" i="14" s="1"/>
  <c r="AP69" i="14"/>
  <c r="AP70" i="14" s="1"/>
  <c r="KB59" i="14"/>
  <c r="KB61" i="14" s="1"/>
  <c r="KB62" i="14" s="1"/>
  <c r="KB69" i="14"/>
  <c r="KB70" i="14" s="1"/>
  <c r="GF59" i="14"/>
  <c r="GF61" i="14" s="1"/>
  <c r="GF62" i="14" s="1"/>
  <c r="GF69" i="14"/>
  <c r="GF70" i="14" s="1"/>
  <c r="ID59" i="14"/>
  <c r="ID61" i="14" s="1"/>
  <c r="ID62" i="14" s="1"/>
  <c r="ID69" i="14"/>
  <c r="ID70" i="14" s="1"/>
  <c r="AC153" i="2"/>
  <c r="AC206" i="2"/>
  <c r="FS69" i="14"/>
  <c r="FS70" i="14" s="1"/>
  <c r="FS59" i="14"/>
  <c r="FS61" i="14" s="1"/>
  <c r="FS62" i="14" s="1"/>
  <c r="HZ69" i="14"/>
  <c r="HZ70" i="14" s="1"/>
  <c r="HZ59" i="14"/>
  <c r="HZ61" i="14" s="1"/>
  <c r="HZ62" i="14" s="1"/>
  <c r="JQ69" i="14"/>
  <c r="JQ70" i="14" s="1"/>
  <c r="JQ59" i="14"/>
  <c r="JQ61" i="14" s="1"/>
  <c r="JQ62" i="14" s="1"/>
  <c r="Q69" i="14"/>
  <c r="Q70" i="14" s="1"/>
  <c r="Q59" i="14"/>
  <c r="Q61" i="14" s="1"/>
  <c r="Q62" i="14" s="1"/>
  <c r="IP69" i="14"/>
  <c r="IP70" i="14" s="1"/>
  <c r="IP59" i="14"/>
  <c r="IP61" i="14" s="1"/>
  <c r="IP62" i="14" s="1"/>
  <c r="HY59" i="14"/>
  <c r="BC69" i="14"/>
  <c r="BC70" i="14" s="1"/>
  <c r="BC59" i="14"/>
  <c r="BC61" i="14" s="1"/>
  <c r="BC62" i="14" s="1"/>
  <c r="DO69" i="14"/>
  <c r="DO70" i="14" s="1"/>
  <c r="DO59" i="14"/>
  <c r="DO61" i="14" s="1"/>
  <c r="DO62" i="14" s="1"/>
  <c r="GB69" i="14"/>
  <c r="GB70" i="14" s="1"/>
  <c r="GB59" i="14"/>
  <c r="GB61" i="14" s="1"/>
  <c r="GB62" i="14" s="1"/>
  <c r="IR69" i="14"/>
  <c r="IR70" i="14" s="1"/>
  <c r="IR59" i="14"/>
  <c r="IR61" i="14" s="1"/>
  <c r="IR62" i="14" s="1"/>
  <c r="CX69" i="14"/>
  <c r="CX70" i="14" s="1"/>
  <c r="CX59" i="14"/>
  <c r="CX61" i="14" s="1"/>
  <c r="CX62" i="14" s="1"/>
  <c r="AE69" i="14"/>
  <c r="AE70" i="14" s="1"/>
  <c r="AE59" i="14"/>
  <c r="AE61" i="14" s="1"/>
  <c r="AE62" i="14" s="1"/>
  <c r="CR69" i="14"/>
  <c r="CR70" i="14" s="1"/>
  <c r="CR59" i="14"/>
  <c r="CR61" i="14" s="1"/>
  <c r="CR62" i="14" s="1"/>
  <c r="FE69" i="14"/>
  <c r="FE70" i="14" s="1"/>
  <c r="FE59" i="14"/>
  <c r="FE61" i="14" s="1"/>
  <c r="FE62" i="14" s="1"/>
  <c r="HS69" i="14"/>
  <c r="HS70" i="14" s="1"/>
  <c r="HS59" i="14"/>
  <c r="HS61" i="14" s="1"/>
  <c r="HS62" i="14" s="1"/>
  <c r="AC69" i="14"/>
  <c r="AC70" i="14" s="1"/>
  <c r="AC59" i="14"/>
  <c r="AC61" i="14" s="1"/>
  <c r="AC62" i="14" s="1"/>
  <c r="JO69" i="14"/>
  <c r="JO70" i="14" s="1"/>
  <c r="JO59" i="14"/>
  <c r="JO61" i="14" s="1"/>
  <c r="JO62" i="14" s="1"/>
  <c r="BM69" i="14"/>
  <c r="BM70" i="14" s="1"/>
  <c r="BM59" i="14"/>
  <c r="BM61" i="14" s="1"/>
  <c r="BM62" i="14" s="1"/>
  <c r="DY69" i="14"/>
  <c r="DY70" i="14" s="1"/>
  <c r="DY59" i="14"/>
  <c r="DY61" i="14" s="1"/>
  <c r="DY62" i="14" s="1"/>
  <c r="GN69" i="14"/>
  <c r="GN70" i="14" s="1"/>
  <c r="GN59" i="14"/>
  <c r="GN61" i="14" s="1"/>
  <c r="GN62" i="14" s="1"/>
  <c r="JB69" i="14"/>
  <c r="JB70" i="14" s="1"/>
  <c r="JB59" i="14"/>
  <c r="JB61" i="14" s="1"/>
  <c r="JB62" i="14" s="1"/>
  <c r="EU69" i="14"/>
  <c r="EU70" i="14" s="1"/>
  <c r="EU59" i="14"/>
  <c r="EU61" i="14" s="1"/>
  <c r="EU62" i="14" s="1"/>
  <c r="AG69" i="14"/>
  <c r="AG70" i="14" s="1"/>
  <c r="AG59" i="14"/>
  <c r="AG61" i="14" s="1"/>
  <c r="AG62" i="14" s="1"/>
  <c r="CT69" i="14"/>
  <c r="CT70" i="14" s="1"/>
  <c r="CT59" i="14"/>
  <c r="CT61" i="14" s="1"/>
  <c r="CT62" i="14" s="1"/>
  <c r="FG69" i="14"/>
  <c r="FG70" i="14" s="1"/>
  <c r="FG59" i="14"/>
  <c r="FG61" i="14" s="1"/>
  <c r="FG62" i="14" s="1"/>
  <c r="HU69" i="14"/>
  <c r="HU70" i="14" s="1"/>
  <c r="HU59" i="14"/>
  <c r="HU61" i="14" s="1"/>
  <c r="HU62" i="14" s="1"/>
  <c r="AY69" i="14"/>
  <c r="AY70" i="14" s="1"/>
  <c r="AY59" i="14"/>
  <c r="AY61" i="14" s="1"/>
  <c r="AY62" i="14" s="1"/>
  <c r="IN69" i="14"/>
  <c r="IN70" i="14" s="1"/>
  <c r="IN59" i="14"/>
  <c r="IN61" i="14" s="1"/>
  <c r="IN62" i="14" s="1"/>
  <c r="AH69" i="14"/>
  <c r="AH70" i="14" s="1"/>
  <c r="AH59" i="14"/>
  <c r="AH61" i="14" s="1"/>
  <c r="AH62" i="14" s="1"/>
  <c r="HF69" i="14"/>
  <c r="HF70" i="14" s="1"/>
  <c r="HF59" i="14"/>
  <c r="HF61" i="14" s="1"/>
  <c r="HF62" i="14" s="1"/>
  <c r="BH69" i="14"/>
  <c r="BH70" i="14" s="1"/>
  <c r="BH59" i="14"/>
  <c r="BH61" i="14" s="1"/>
  <c r="BH62" i="14" s="1"/>
  <c r="DT69" i="14"/>
  <c r="DT70" i="14" s="1"/>
  <c r="DT59" i="14"/>
  <c r="DT61" i="14" s="1"/>
  <c r="DT62" i="14" s="1"/>
  <c r="GI59" i="14"/>
  <c r="IW69" i="14"/>
  <c r="IW70" i="14" s="1"/>
  <c r="IW59" i="14"/>
  <c r="IW61" i="14" s="1"/>
  <c r="IW62" i="14" s="1"/>
  <c r="BO69" i="14"/>
  <c r="BO70" i="14" s="1"/>
  <c r="BO59" i="14"/>
  <c r="BO61" i="14" s="1"/>
  <c r="BO62" i="14" s="1"/>
  <c r="D69" i="14"/>
  <c r="D70" i="14" s="1"/>
  <c r="D59" i="14"/>
  <c r="D61" i="14" s="1"/>
  <c r="BQ69" i="14"/>
  <c r="BQ70" i="14" s="1"/>
  <c r="BQ59" i="14"/>
  <c r="BQ61" i="14" s="1"/>
  <c r="BQ62" i="14" s="1"/>
  <c r="EC69" i="14"/>
  <c r="EC70" i="14" s="1"/>
  <c r="EC59" i="14"/>
  <c r="EC61" i="14" s="1"/>
  <c r="EC62" i="14" s="1"/>
  <c r="GR69" i="14"/>
  <c r="GR70" i="14" s="1"/>
  <c r="GR59" i="14"/>
  <c r="GR61" i="14" s="1"/>
  <c r="GR62" i="14" s="1"/>
  <c r="JF69" i="14"/>
  <c r="JF70" i="14" s="1"/>
  <c r="JF59" i="14"/>
  <c r="JF61" i="14" s="1"/>
  <c r="JF62" i="14" s="1"/>
  <c r="CY69" i="14"/>
  <c r="CY70" i="14" s="1"/>
  <c r="CY59" i="14"/>
  <c r="CY61" i="14" s="1"/>
  <c r="CY62" i="14" s="1"/>
  <c r="HC69" i="14"/>
  <c r="HC70" i="14" s="1"/>
  <c r="HC59" i="14"/>
  <c r="HC61" i="14" s="1"/>
  <c r="HC62" i="14" s="1"/>
  <c r="IL69" i="14"/>
  <c r="IL70" i="14" s="1"/>
  <c r="IL59" i="14"/>
  <c r="IL61" i="14" s="1"/>
  <c r="IL62" i="14" s="1"/>
  <c r="HV69" i="14"/>
  <c r="HV70" i="14" s="1"/>
  <c r="HV59" i="14"/>
  <c r="HV61" i="14" s="1"/>
  <c r="HV62" i="14" s="1"/>
  <c r="BA69" i="14"/>
  <c r="BA70" i="14" s="1"/>
  <c r="BA59" i="14"/>
  <c r="BA61" i="14" s="1"/>
  <c r="BA62" i="14" s="1"/>
  <c r="DG69" i="14"/>
  <c r="DG70" i="14" s="1"/>
  <c r="DG59" i="14"/>
  <c r="DG61" i="14" s="1"/>
  <c r="DG62" i="14" s="1"/>
  <c r="CJ69" i="14"/>
  <c r="CJ70" i="14" s="1"/>
  <c r="CJ59" i="14"/>
  <c r="CJ61" i="14" s="1"/>
  <c r="CJ62" i="14" s="1"/>
  <c r="JY69" i="14"/>
  <c r="JY70" i="14" s="1"/>
  <c r="JY59" i="14"/>
  <c r="JY61" i="14" s="1"/>
  <c r="JY62" i="14" s="1"/>
  <c r="DQ69" i="14"/>
  <c r="DQ70" i="14" s="1"/>
  <c r="DQ59" i="14"/>
  <c r="DQ61" i="14" s="1"/>
  <c r="DQ62" i="14" s="1"/>
  <c r="CL69" i="14"/>
  <c r="CL70" i="14" s="1"/>
  <c r="CL59" i="14"/>
  <c r="CL61" i="14" s="1"/>
  <c r="CL62" i="14" s="1"/>
  <c r="KC69" i="14"/>
  <c r="KC70" i="14" s="1"/>
  <c r="KC59" i="14"/>
  <c r="KC61" i="14" s="1"/>
  <c r="KC62" i="14" s="1"/>
  <c r="FX69" i="14"/>
  <c r="FX70" i="14" s="1"/>
  <c r="FX59" i="14"/>
  <c r="FX61" i="14" s="1"/>
  <c r="FX62" i="14" s="1"/>
  <c r="DL69" i="14"/>
  <c r="DL70" i="14" s="1"/>
  <c r="DL59" i="14"/>
  <c r="DL61" i="14" s="1"/>
  <c r="DL62" i="14" s="1"/>
  <c r="IO69" i="14"/>
  <c r="IO70" i="14" s="1"/>
  <c r="IO59" i="14"/>
  <c r="IO61" i="14" s="1"/>
  <c r="IO62" i="14" s="1"/>
  <c r="HN69" i="14"/>
  <c r="HN70" i="14" s="1"/>
  <c r="HN59" i="14"/>
  <c r="HN61" i="14" s="1"/>
  <c r="HN62" i="14" s="1"/>
  <c r="IX69" i="14"/>
  <c r="IX70" i="14" s="1"/>
  <c r="IX59" i="14"/>
  <c r="IX61" i="14" s="1"/>
  <c r="IX62" i="14" s="1"/>
  <c r="M69" i="14"/>
  <c r="M70" i="14" s="1"/>
  <c r="M59" i="14"/>
  <c r="M61" i="14" s="1"/>
  <c r="M62" i="14" s="1"/>
  <c r="JG69" i="14"/>
  <c r="JG70" i="14" s="1"/>
  <c r="JG59" i="14"/>
  <c r="JG61" i="14" s="1"/>
  <c r="JG62" i="14" s="1"/>
  <c r="BK69" i="14"/>
  <c r="BK70" i="14" s="1"/>
  <c r="BK59" i="14"/>
  <c r="BK61" i="14" s="1"/>
  <c r="BK62" i="14" s="1"/>
  <c r="DW69" i="14"/>
  <c r="DW70" i="14" s="1"/>
  <c r="DW59" i="14"/>
  <c r="DW61" i="14" s="1"/>
  <c r="DW62" i="14" s="1"/>
  <c r="GL69" i="14"/>
  <c r="GL70" i="14" s="1"/>
  <c r="GL59" i="14"/>
  <c r="GL61" i="14" s="1"/>
  <c r="GL62" i="14" s="1"/>
  <c r="IZ69" i="14"/>
  <c r="IZ70" i="14" s="1"/>
  <c r="IZ59" i="14"/>
  <c r="IZ61" i="14" s="1"/>
  <c r="IZ62" i="14" s="1"/>
  <c r="ED69" i="14"/>
  <c r="ED70" i="14" s="1"/>
  <c r="ED59" i="14"/>
  <c r="ED61" i="14" s="1"/>
  <c r="ED62" i="14" s="1"/>
  <c r="AM69" i="14"/>
  <c r="AM70" i="14" s="1"/>
  <c r="AM59" i="14"/>
  <c r="AM61" i="14" s="1"/>
  <c r="AM62" i="14" s="1"/>
  <c r="CZ69" i="14"/>
  <c r="CZ70" i="14" s="1"/>
  <c r="CZ59" i="14"/>
  <c r="CZ61" i="14" s="1"/>
  <c r="CZ62" i="14" s="1"/>
  <c r="FM69" i="14"/>
  <c r="FM70" i="14" s="1"/>
  <c r="FM59" i="14"/>
  <c r="FM61" i="14" s="1"/>
  <c r="FM62" i="14" s="1"/>
  <c r="IA69" i="14"/>
  <c r="IA70" i="14" s="1"/>
  <c r="IA59" i="14"/>
  <c r="IA61" i="14" s="1"/>
  <c r="IA62" i="14" s="1"/>
  <c r="BJ69" i="14"/>
  <c r="BJ70" i="14" s="1"/>
  <c r="BJ59" i="14"/>
  <c r="BJ61" i="14" s="1"/>
  <c r="BJ62" i="14" s="1"/>
  <c r="H69" i="14"/>
  <c r="H70" i="14" s="1"/>
  <c r="H59" i="14"/>
  <c r="H61" i="14" s="1"/>
  <c r="H62" i="14" s="1"/>
  <c r="BU69" i="14"/>
  <c r="BU70" i="14" s="1"/>
  <c r="BU59" i="14"/>
  <c r="BU61" i="14" s="1"/>
  <c r="BU62" i="14" s="1"/>
  <c r="EG69" i="14"/>
  <c r="EG70" i="14" s="1"/>
  <c r="EG59" i="14"/>
  <c r="EG61" i="14" s="1"/>
  <c r="EG62" i="14" s="1"/>
  <c r="GV69" i="14"/>
  <c r="GV70" i="14" s="1"/>
  <c r="GV59" i="14"/>
  <c r="GV61" i="14" s="1"/>
  <c r="GV62" i="14" s="1"/>
  <c r="JJ69" i="14"/>
  <c r="JJ70" i="14" s="1"/>
  <c r="JJ59" i="14"/>
  <c r="JJ61" i="14" s="1"/>
  <c r="JJ62" i="14" s="1"/>
  <c r="GA59" i="14"/>
  <c r="AO69" i="14"/>
  <c r="AO70" i="14" s="1"/>
  <c r="AO59" i="14"/>
  <c r="AO61" i="14" s="1"/>
  <c r="AO62" i="14" s="1"/>
  <c r="DB69" i="14"/>
  <c r="DB70" i="14" s="1"/>
  <c r="DB59" i="14"/>
  <c r="DB61" i="14" s="1"/>
  <c r="DB62" i="14" s="1"/>
  <c r="FO69" i="14"/>
  <c r="FO70" i="14" s="1"/>
  <c r="FO59" i="14"/>
  <c r="FO61" i="14" s="1"/>
  <c r="FO62" i="14" s="1"/>
  <c r="IE69" i="14"/>
  <c r="IE70" i="14" s="1"/>
  <c r="IE59" i="14"/>
  <c r="IE61" i="14" s="1"/>
  <c r="IE62" i="14" s="1"/>
  <c r="DC69" i="14"/>
  <c r="DC70" i="14" s="1"/>
  <c r="DC59" i="14"/>
  <c r="DC61" i="14" s="1"/>
  <c r="DC62" i="14" s="1"/>
  <c r="IV69" i="14"/>
  <c r="IV70" i="14" s="1"/>
  <c r="IV59" i="14"/>
  <c r="IV61" i="14" s="1"/>
  <c r="IV62" i="14" s="1"/>
  <c r="BG69" i="14"/>
  <c r="BG70" i="14" s="1"/>
  <c r="BG59" i="14"/>
  <c r="BG61" i="14" s="1"/>
  <c r="BG62" i="14" s="1"/>
  <c r="BP69" i="14"/>
  <c r="BP70" i="14" s="1"/>
  <c r="BP59" i="14"/>
  <c r="BP61" i="14" s="1"/>
  <c r="BP62" i="14" s="1"/>
  <c r="EB69" i="14"/>
  <c r="EB70" i="14" s="1"/>
  <c r="EB59" i="14"/>
  <c r="EB61" i="14" s="1"/>
  <c r="EB62" i="14" s="1"/>
  <c r="GQ69" i="14"/>
  <c r="GQ70" i="14" s="1"/>
  <c r="GQ59" i="14"/>
  <c r="GQ61" i="14" s="1"/>
  <c r="GQ62" i="14" s="1"/>
  <c r="JE69" i="14"/>
  <c r="JE70" i="14" s="1"/>
  <c r="JE59" i="14"/>
  <c r="JE61" i="14" s="1"/>
  <c r="JE62" i="14" s="1"/>
  <c r="CE69" i="14"/>
  <c r="CE70" i="14" s="1"/>
  <c r="CE59" i="14"/>
  <c r="CE61" i="14" s="1"/>
  <c r="CE62" i="14" s="1"/>
  <c r="L69" i="14"/>
  <c r="L70" i="14" s="1"/>
  <c r="L59" i="14"/>
  <c r="L61" i="14" s="1"/>
  <c r="L62" i="14" s="1"/>
  <c r="BY69" i="14"/>
  <c r="BY70" i="14" s="1"/>
  <c r="BY59" i="14"/>
  <c r="BY61" i="14" s="1"/>
  <c r="BY62" i="14" s="1"/>
  <c r="GZ69" i="14"/>
  <c r="GZ70" i="14" s="1"/>
  <c r="GZ59" i="14"/>
  <c r="GZ61" i="14" s="1"/>
  <c r="GZ62" i="14" s="1"/>
  <c r="JN69" i="14"/>
  <c r="JN70" i="14" s="1"/>
  <c r="JN59" i="14"/>
  <c r="JN61" i="14" s="1"/>
  <c r="JN62" i="14" s="1"/>
  <c r="GE69" i="14"/>
  <c r="GE70" i="14" s="1"/>
  <c r="GE59" i="14"/>
  <c r="GE61" i="14" s="1"/>
  <c r="GE62" i="14" s="1"/>
  <c r="AK69" i="14"/>
  <c r="AK70" i="14" s="1"/>
  <c r="AK59" i="14"/>
  <c r="AK61" i="14" s="1"/>
  <c r="AK62" i="14" s="1"/>
  <c r="EO69" i="14"/>
  <c r="EO70" i="14" s="1"/>
  <c r="EO59" i="14"/>
  <c r="EO61" i="14" s="1"/>
  <c r="EO62" i="14" s="1"/>
  <c r="AW69" i="14"/>
  <c r="AW70" i="14" s="1"/>
  <c r="AW59" i="14"/>
  <c r="AW61" i="14" s="1"/>
  <c r="AW62" i="14" s="1"/>
  <c r="CH69" i="14"/>
  <c r="CH70" i="14" s="1"/>
  <c r="CH59" i="14"/>
  <c r="CH61" i="14" s="1"/>
  <c r="CH62" i="14" s="1"/>
  <c r="HE69" i="14"/>
  <c r="HE70" i="14" s="1"/>
  <c r="HE59" i="14"/>
  <c r="HE61" i="14" s="1"/>
  <c r="HE62" i="14" s="1"/>
  <c r="AR69" i="14"/>
  <c r="AR70" i="14" s="1"/>
  <c r="AR59" i="14"/>
  <c r="GH69" i="14"/>
  <c r="GH70" i="14" s="1"/>
  <c r="GH59" i="14"/>
  <c r="GH61" i="14" s="1"/>
  <c r="GH62" i="14" s="1"/>
  <c r="HA69" i="14"/>
  <c r="HA70" i="14" s="1"/>
  <c r="HA59" i="14"/>
  <c r="HA61" i="14" s="1"/>
  <c r="HA62" i="14" s="1"/>
  <c r="FT69" i="14"/>
  <c r="FT70" i="14" s="1"/>
  <c r="FT59" i="14"/>
  <c r="FT61" i="14" s="1"/>
  <c r="FT62" i="14" s="1"/>
  <c r="EW69" i="14"/>
  <c r="EW70" i="14" s="1"/>
  <c r="EW59" i="14"/>
  <c r="EW61" i="14" s="1"/>
  <c r="EW62" i="14" s="1"/>
  <c r="IY69" i="14"/>
  <c r="IY70" i="14" s="1"/>
  <c r="IY59" i="14"/>
  <c r="IY61" i="14" s="1"/>
  <c r="IY62" i="14" s="1"/>
  <c r="DF69" i="14"/>
  <c r="DF70" i="14" s="1"/>
  <c r="DF59" i="14"/>
  <c r="DF61" i="14" s="1"/>
  <c r="DF62" i="14" s="1"/>
  <c r="EY69" i="14"/>
  <c r="EY70" i="14" s="1"/>
  <c r="EY59" i="14"/>
  <c r="EY61" i="14" s="1"/>
  <c r="EY62" i="14" s="1"/>
  <c r="IF69" i="14"/>
  <c r="IF70" i="14" s="1"/>
  <c r="IF59" i="14"/>
  <c r="IF61" i="14" s="1"/>
  <c r="IF62" i="14" s="1"/>
  <c r="AZ69" i="14"/>
  <c r="AZ70" i="14" s="1"/>
  <c r="AZ59" i="14"/>
  <c r="AZ61" i="14" s="1"/>
  <c r="AZ62" i="14" s="1"/>
  <c r="AQ69" i="14"/>
  <c r="AQ70" i="14" s="1"/>
  <c r="AQ59" i="14"/>
  <c r="AQ61" i="14" s="1"/>
  <c r="AQ62" i="14" s="1"/>
  <c r="KA69" i="14"/>
  <c r="KA70" i="14" s="1"/>
  <c r="KA59" i="14"/>
  <c r="KA61" i="14" s="1"/>
  <c r="KA62" i="14" s="1"/>
  <c r="AT69" i="14"/>
  <c r="AT70" i="14" s="1"/>
  <c r="AT59" i="14"/>
  <c r="AT61" i="14" s="1"/>
  <c r="F69" i="14"/>
  <c r="F70" i="14" s="1"/>
  <c r="F59" i="14"/>
  <c r="F61" i="14" s="1"/>
  <c r="F62" i="14" s="1"/>
  <c r="BS69" i="14"/>
  <c r="BS70" i="14" s="1"/>
  <c r="BS59" i="14"/>
  <c r="BS61" i="14" s="1"/>
  <c r="BS62" i="14" s="1"/>
  <c r="EE69" i="14"/>
  <c r="EE70" i="14" s="1"/>
  <c r="EE59" i="14"/>
  <c r="EE61" i="14" s="1"/>
  <c r="EE62" i="14" s="1"/>
  <c r="GT69" i="14"/>
  <c r="GT70" i="14" s="1"/>
  <c r="GT59" i="14"/>
  <c r="GT61" i="14" s="1"/>
  <c r="GT62" i="14" s="1"/>
  <c r="JH69" i="14"/>
  <c r="JH70" i="14" s="1"/>
  <c r="JH59" i="14"/>
  <c r="JH61" i="14" s="1"/>
  <c r="JH62" i="14" s="1"/>
  <c r="FK69" i="14"/>
  <c r="FK70" i="14" s="1"/>
  <c r="FK59" i="14"/>
  <c r="FK61" i="14" s="1"/>
  <c r="FK62" i="14" s="1"/>
  <c r="AV69" i="14"/>
  <c r="AV70" i="14" s="1"/>
  <c r="AV59" i="14"/>
  <c r="AV61" i="14" s="1"/>
  <c r="AV62" i="14" s="1"/>
  <c r="DH69" i="14"/>
  <c r="DH70" i="14" s="1"/>
  <c r="DH59" i="14"/>
  <c r="DH61" i="14" s="1"/>
  <c r="DH62" i="14" s="1"/>
  <c r="FU69" i="14"/>
  <c r="FU70" i="14" s="1"/>
  <c r="FU59" i="14"/>
  <c r="FU61" i="14" s="1"/>
  <c r="FU62" i="14" s="1"/>
  <c r="IK69" i="14"/>
  <c r="IK70" i="14" s="1"/>
  <c r="IK59" i="14"/>
  <c r="IK61" i="14" s="1"/>
  <c r="IK62" i="14" s="1"/>
  <c r="CP69" i="14"/>
  <c r="CP70" i="14" s="1"/>
  <c r="CP59" i="14"/>
  <c r="CP61" i="14" s="1"/>
  <c r="P69" i="14"/>
  <c r="P70" i="14" s="1"/>
  <c r="P59" i="14"/>
  <c r="P61" i="14" s="1"/>
  <c r="P62" i="14" s="1"/>
  <c r="CC69" i="14"/>
  <c r="CC70" i="14" s="1"/>
  <c r="CC59" i="14"/>
  <c r="CC61" i="14" s="1"/>
  <c r="CC62" i="14" s="1"/>
  <c r="EP69" i="14"/>
  <c r="EP70" i="14" s="1"/>
  <c r="EP59" i="14"/>
  <c r="EP61" i="14" s="1"/>
  <c r="EP62" i="14" s="1"/>
  <c r="HD69" i="14"/>
  <c r="HD70" i="14" s="1"/>
  <c r="HD59" i="14"/>
  <c r="HD61" i="14" s="1"/>
  <c r="HD62" i="14" s="1"/>
  <c r="JR69" i="14"/>
  <c r="JR70" i="14" s="1"/>
  <c r="JR59" i="14"/>
  <c r="JR61" i="14" s="1"/>
  <c r="JR62" i="14" s="1"/>
  <c r="GS69" i="14"/>
  <c r="GS70" i="14" s="1"/>
  <c r="GS59" i="14"/>
  <c r="GS61" i="14" s="1"/>
  <c r="GS62" i="14" s="1"/>
  <c r="AX69" i="14"/>
  <c r="AX70" i="14" s="1"/>
  <c r="AX59" i="14"/>
  <c r="AX61" i="14" s="1"/>
  <c r="AX62" i="14" s="1"/>
  <c r="DJ69" i="14"/>
  <c r="DJ70" i="14" s="1"/>
  <c r="DJ59" i="14"/>
  <c r="DJ61" i="14" s="1"/>
  <c r="DJ62" i="14" s="1"/>
  <c r="FW69" i="14"/>
  <c r="FW70" i="14" s="1"/>
  <c r="FW59" i="14"/>
  <c r="FW61" i="14" s="1"/>
  <c r="FW62" i="14" s="1"/>
  <c r="IM59" i="14"/>
  <c r="ER69" i="14"/>
  <c r="ER70" i="14" s="1"/>
  <c r="ER59" i="14"/>
  <c r="ER61" i="14" s="1"/>
  <c r="ER62" i="14" s="1"/>
  <c r="JD69" i="14"/>
  <c r="JD70" i="14" s="1"/>
  <c r="JD59" i="14"/>
  <c r="JD61" i="14" s="1"/>
  <c r="JD62" i="14" s="1"/>
  <c r="BW69" i="14"/>
  <c r="BW70" i="14" s="1"/>
  <c r="BW59" i="14"/>
  <c r="BW61" i="14" s="1"/>
  <c r="BW62" i="14" s="1"/>
  <c r="K69" i="14"/>
  <c r="K70" i="14" s="1"/>
  <c r="K59" i="14"/>
  <c r="K61" i="14" s="1"/>
  <c r="K62" i="14" s="1"/>
  <c r="BX69" i="14"/>
  <c r="BX70" i="14" s="1"/>
  <c r="BX59" i="14"/>
  <c r="BX61" i="14" s="1"/>
  <c r="BX62" i="14" s="1"/>
  <c r="EK69" i="14"/>
  <c r="EK70" i="14" s="1"/>
  <c r="EK59" i="14"/>
  <c r="GY69" i="14"/>
  <c r="GY70" i="14" s="1"/>
  <c r="GY59" i="14"/>
  <c r="GY61" i="14" s="1"/>
  <c r="GY62" i="14" s="1"/>
  <c r="JM69" i="14"/>
  <c r="JM70" i="14" s="1"/>
  <c r="JM59" i="14"/>
  <c r="JM61" i="14" s="1"/>
  <c r="JM62" i="14" s="1"/>
  <c r="CU69" i="14"/>
  <c r="CU70" i="14" s="1"/>
  <c r="CU59" i="14"/>
  <c r="CU61" i="14" s="1"/>
  <c r="CU62" i="14" s="1"/>
  <c r="T69" i="14"/>
  <c r="T70" i="14" s="1"/>
  <c r="T59" i="14"/>
  <c r="T61" i="14" s="1"/>
  <c r="T62" i="14" s="1"/>
  <c r="CG69" i="14"/>
  <c r="CG70" i="14" s="1"/>
  <c r="CG59" i="14"/>
  <c r="CG61" i="14" s="1"/>
  <c r="CG62" i="14" s="1"/>
  <c r="ET69" i="14"/>
  <c r="ET70" i="14" s="1"/>
  <c r="ET59" i="14"/>
  <c r="ET61" i="14" s="1"/>
  <c r="ET62" i="14" s="1"/>
  <c r="HH69" i="14"/>
  <c r="HH70" i="14" s="1"/>
  <c r="HH59" i="14"/>
  <c r="HH61" i="14" s="1"/>
  <c r="HH62" i="14" s="1"/>
  <c r="JV69" i="14"/>
  <c r="JV70" i="14" s="1"/>
  <c r="JV59" i="14"/>
  <c r="JV61" i="14" s="1"/>
  <c r="JV62" i="14" s="1"/>
  <c r="IC69" i="14"/>
  <c r="IC70" i="14" s="1"/>
  <c r="IC59" i="14"/>
  <c r="IC61" i="14" s="1"/>
  <c r="IC62" i="14" s="1"/>
  <c r="AL69" i="14"/>
  <c r="AL70" i="14" s="1"/>
  <c r="AL59" i="14"/>
  <c r="AL61" i="14" s="1"/>
  <c r="AL62" i="14" s="1"/>
  <c r="O69" i="14"/>
  <c r="O70" i="14" s="1"/>
  <c r="O59" i="14"/>
  <c r="O61" i="14" s="1"/>
  <c r="O62" i="14" s="1"/>
  <c r="DI69" i="14"/>
  <c r="DI70" i="14" s="1"/>
  <c r="DI59" i="14"/>
  <c r="DI61" i="14" s="1"/>
  <c r="DI62" i="14" s="1"/>
  <c r="CD69" i="14"/>
  <c r="CD70" i="14" s="1"/>
  <c r="CD59" i="14"/>
  <c r="CD61" i="14" s="1"/>
  <c r="CD62" i="14" s="1"/>
  <c r="JS69" i="14"/>
  <c r="JS70" i="14" s="1"/>
  <c r="JS59" i="14"/>
  <c r="JS61" i="14" s="1"/>
  <c r="JS62" i="14" s="1"/>
  <c r="EZ69" i="14"/>
  <c r="EZ70" i="14" s="1"/>
  <c r="EZ59" i="14"/>
  <c r="EZ61" i="14" s="1"/>
  <c r="EZ62" i="14" s="1"/>
  <c r="FQ69" i="14"/>
  <c r="FQ70" i="14" s="1"/>
  <c r="FQ59" i="14"/>
  <c r="FQ61" i="14" s="1"/>
  <c r="FQ62" i="14" s="1"/>
  <c r="IG59" i="14"/>
  <c r="FZ69" i="14"/>
  <c r="FZ70" i="14" s="1"/>
  <c r="FZ59" i="14"/>
  <c r="FZ61" i="14" s="1"/>
  <c r="FZ62" i="14" s="1"/>
  <c r="W69" i="14"/>
  <c r="W70" i="14" s="1"/>
  <c r="W59" i="14"/>
  <c r="W61" i="14" s="1"/>
  <c r="W62" i="14" s="1"/>
  <c r="IT69" i="14"/>
  <c r="IT70" i="14" s="1"/>
  <c r="IT59" i="14"/>
  <c r="IT61" i="14" s="1"/>
  <c r="IT62" i="14" s="1"/>
  <c r="BI69" i="14"/>
  <c r="BI70" i="14" s="1"/>
  <c r="BI59" i="14"/>
  <c r="BI61" i="14" s="1"/>
  <c r="BI62" i="14" s="1"/>
  <c r="BZ69" i="14"/>
  <c r="BZ70" i="14" s="1"/>
  <c r="BZ59" i="14"/>
  <c r="BZ61" i="14" s="1"/>
  <c r="BZ62" i="14" s="1"/>
  <c r="N69" i="14"/>
  <c r="N70" i="14" s="1"/>
  <c r="N59" i="14"/>
  <c r="N61" i="14" s="1"/>
  <c r="N62" i="14" s="1"/>
  <c r="CA69" i="14"/>
  <c r="CA70" i="14" s="1"/>
  <c r="CA59" i="14"/>
  <c r="CA61" i="14" s="1"/>
  <c r="CA62" i="14" s="1"/>
  <c r="EN69" i="14"/>
  <c r="EN70" i="14" s="1"/>
  <c r="EN59" i="14"/>
  <c r="EN61" i="14" s="1"/>
  <c r="EN62" i="14" s="1"/>
  <c r="HB69" i="14"/>
  <c r="HB70" i="14" s="1"/>
  <c r="HB59" i="14"/>
  <c r="HB61" i="14" s="1"/>
  <c r="HB62" i="14" s="1"/>
  <c r="JP69" i="14"/>
  <c r="JP70" i="14" s="1"/>
  <c r="JP59" i="14"/>
  <c r="JP61" i="14" s="1"/>
  <c r="JP62" i="14" s="1"/>
  <c r="HI69" i="14"/>
  <c r="HI70" i="14" s="1"/>
  <c r="HI59" i="14"/>
  <c r="HI61" i="14" s="1"/>
  <c r="HI62" i="14" s="1"/>
  <c r="BD69" i="14"/>
  <c r="BD70" i="14" s="1"/>
  <c r="BD59" i="14"/>
  <c r="BD61" i="14" s="1"/>
  <c r="BD62" i="14" s="1"/>
  <c r="DP69" i="14"/>
  <c r="DP70" i="14" s="1"/>
  <c r="DP59" i="14"/>
  <c r="DP61" i="14" s="1"/>
  <c r="DP62" i="14" s="1"/>
  <c r="GC69" i="14"/>
  <c r="GC70" i="14" s="1"/>
  <c r="GC59" i="14"/>
  <c r="GC61" i="14" s="1"/>
  <c r="GC62" i="14" s="1"/>
  <c r="IS69" i="14"/>
  <c r="IS70" i="14" s="1"/>
  <c r="IS59" i="14"/>
  <c r="IS61" i="14" s="1"/>
  <c r="IS62" i="14" s="1"/>
  <c r="DV69" i="14"/>
  <c r="DV70" i="14" s="1"/>
  <c r="DV59" i="14"/>
  <c r="DV61" i="14" s="1"/>
  <c r="DV62" i="14" s="1"/>
  <c r="X69" i="14"/>
  <c r="X70" i="14" s="1"/>
  <c r="X59" i="14"/>
  <c r="X61" i="14" s="1"/>
  <c r="X62" i="14" s="1"/>
  <c r="CK69" i="14"/>
  <c r="CK70" i="14" s="1"/>
  <c r="CK59" i="14"/>
  <c r="CK61" i="14" s="1"/>
  <c r="CK62" i="14" s="1"/>
  <c r="EX69" i="14"/>
  <c r="EX70" i="14" s="1"/>
  <c r="EX59" i="14"/>
  <c r="EX61" i="14" s="1"/>
  <c r="EX62" i="14" s="1"/>
  <c r="HL69" i="14"/>
  <c r="HL70" i="14" s="1"/>
  <c r="HL59" i="14"/>
  <c r="HL61" i="14" s="1"/>
  <c r="HL62" i="14" s="1"/>
  <c r="JZ69" i="14"/>
  <c r="JZ70" i="14" s="1"/>
  <c r="JZ59" i="14"/>
  <c r="JZ61" i="14" s="1"/>
  <c r="JZ62" i="14" s="1"/>
  <c r="II69" i="14"/>
  <c r="II70" i="14" s="1"/>
  <c r="II59" i="14"/>
  <c r="II61" i="14" s="1"/>
  <c r="BF69" i="14"/>
  <c r="BF70" i="14" s="1"/>
  <c r="BF59" i="14"/>
  <c r="BF61" i="14" s="1"/>
  <c r="BF62" i="14" s="1"/>
  <c r="DR69" i="14"/>
  <c r="DR70" i="14" s="1"/>
  <c r="DR59" i="14"/>
  <c r="DR61" i="14" s="1"/>
  <c r="DR62" i="14" s="1"/>
  <c r="GG69" i="14"/>
  <c r="GG70" i="14" s="1"/>
  <c r="GG59" i="14"/>
  <c r="GG61" i="14" s="1"/>
  <c r="GG62" i="14" s="1"/>
  <c r="IU69" i="14"/>
  <c r="IU70" i="14" s="1"/>
  <c r="IU59" i="14"/>
  <c r="IU61" i="14" s="1"/>
  <c r="IU62" i="14" s="1"/>
  <c r="FP69" i="14"/>
  <c r="FP70" i="14" s="1"/>
  <c r="FP59" i="14"/>
  <c r="FP61" i="14" s="1"/>
  <c r="FP62" i="14" s="1"/>
  <c r="JL69" i="14"/>
  <c r="JL70" i="14" s="1"/>
  <c r="JL59" i="14"/>
  <c r="JL61" i="14" s="1"/>
  <c r="JL62" i="14" s="1"/>
  <c r="CM69" i="14"/>
  <c r="CM70" i="14" s="1"/>
  <c r="CM59" i="14"/>
  <c r="CM61" i="14" s="1"/>
  <c r="CM62" i="14" s="1"/>
  <c r="S69" i="14"/>
  <c r="S70" i="14" s="1"/>
  <c r="S59" i="14"/>
  <c r="S61" i="14" s="1"/>
  <c r="S62" i="14" s="1"/>
  <c r="CF69" i="14"/>
  <c r="CF70" i="14" s="1"/>
  <c r="CF59" i="14"/>
  <c r="CF61" i="14" s="1"/>
  <c r="CF62" i="14" s="1"/>
  <c r="ES69" i="14"/>
  <c r="ES70" i="14" s="1"/>
  <c r="ES59" i="14"/>
  <c r="ES61" i="14" s="1"/>
  <c r="ES62" i="14" s="1"/>
  <c r="HG69" i="14"/>
  <c r="HG70" i="14" s="1"/>
  <c r="HG59" i="14"/>
  <c r="HG61" i="14" s="1"/>
  <c r="HG62" i="14" s="1"/>
  <c r="JU69" i="14"/>
  <c r="JU70" i="14" s="1"/>
  <c r="JU59" i="14"/>
  <c r="JU61" i="14" s="1"/>
  <c r="JU62" i="14" s="1"/>
  <c r="DS69" i="14"/>
  <c r="DS70" i="14" s="1"/>
  <c r="DS59" i="14"/>
  <c r="DS61" i="14" s="1"/>
  <c r="DS62" i="14" s="1"/>
  <c r="AB69" i="14"/>
  <c r="AB70" i="14" s="1"/>
  <c r="AB59" i="14"/>
  <c r="AB61" i="14" s="1"/>
  <c r="AB62" i="14" s="1"/>
  <c r="FB69" i="14"/>
  <c r="FB70" i="14" s="1"/>
  <c r="FB59" i="14"/>
  <c r="FB61" i="14" s="1"/>
  <c r="FB62" i="14" s="1"/>
  <c r="HP69" i="14"/>
  <c r="HP70" i="14" s="1"/>
  <c r="HP59" i="14"/>
  <c r="HP61" i="14" s="1"/>
  <c r="HP62" i="14" s="1"/>
  <c r="HQ69" i="14"/>
  <c r="HQ70" i="14" s="1"/>
  <c r="HQ59" i="14"/>
  <c r="HQ61" i="14" s="1"/>
  <c r="HQ62" i="14" s="1"/>
  <c r="AU69" i="14"/>
  <c r="AU70" i="14" s="1"/>
  <c r="AU59" i="14"/>
  <c r="AU61" i="14" s="1"/>
  <c r="AU62" i="14" s="1"/>
  <c r="IJ69" i="14"/>
  <c r="IJ70" i="14" s="1"/>
  <c r="IJ59" i="14"/>
  <c r="IJ61" i="14" s="1"/>
  <c r="IJ62" i="14" s="1"/>
  <c r="HK69" i="14"/>
  <c r="HK70" i="14" s="1"/>
  <c r="HK59" i="14"/>
  <c r="HK61" i="14" s="1"/>
  <c r="HK62" i="14" s="1"/>
  <c r="BE69" i="14"/>
  <c r="BE70" i="14" s="1"/>
  <c r="BE59" i="14"/>
  <c r="BE61" i="14" s="1"/>
  <c r="BE62" i="14" s="1"/>
  <c r="Y69" i="14"/>
  <c r="Y70" i="14" s="1"/>
  <c r="Y59" i="14"/>
  <c r="Y61" i="14" s="1"/>
  <c r="Y62" i="14" s="1"/>
  <c r="HM69" i="14"/>
  <c r="HM70" i="14" s="1"/>
  <c r="HM59" i="14"/>
  <c r="HM61" i="14" s="1"/>
  <c r="HM62" i="14" s="1"/>
  <c r="R69" i="14"/>
  <c r="R70" i="14" s="1"/>
  <c r="R59" i="14"/>
  <c r="R61" i="14" s="1"/>
  <c r="R62" i="14" s="1"/>
  <c r="FY69" i="14"/>
  <c r="FY70" i="14" s="1"/>
  <c r="FY59" i="14"/>
  <c r="FY61" i="14" s="1"/>
  <c r="FY62" i="14" s="1"/>
  <c r="DN69" i="14"/>
  <c r="DN70" i="14" s="1"/>
  <c r="DN59" i="14"/>
  <c r="DN61" i="14" s="1"/>
  <c r="DN62" i="14" s="1"/>
  <c r="V69" i="14"/>
  <c r="V70" i="14" s="1"/>
  <c r="V59" i="14"/>
  <c r="V61" i="14" s="1"/>
  <c r="V62" i="14" s="1"/>
  <c r="CI69" i="14"/>
  <c r="CI70" i="14" s="1"/>
  <c r="CI59" i="14"/>
  <c r="CI61" i="14" s="1"/>
  <c r="CI62" i="14" s="1"/>
  <c r="EV69" i="14"/>
  <c r="EV70" i="14" s="1"/>
  <c r="EV59" i="14"/>
  <c r="EV61" i="14" s="1"/>
  <c r="EV62" i="14" s="1"/>
  <c r="HJ69" i="14"/>
  <c r="HJ70" i="14" s="1"/>
  <c r="HJ59" i="14"/>
  <c r="HJ61" i="14" s="1"/>
  <c r="HJ62" i="14" s="1"/>
  <c r="JX69" i="14"/>
  <c r="JX70" i="14" s="1"/>
  <c r="JX59" i="14"/>
  <c r="JX61" i="14" s="1"/>
  <c r="JX62" i="14" s="1"/>
  <c r="IQ69" i="14"/>
  <c r="IQ70" i="14" s="1"/>
  <c r="IQ59" i="14"/>
  <c r="IQ61" i="14" s="1"/>
  <c r="IQ62" i="14" s="1"/>
  <c r="BL69" i="14"/>
  <c r="BL70" i="14" s="1"/>
  <c r="BL59" i="14"/>
  <c r="BL61" i="14" s="1"/>
  <c r="BL62" i="14" s="1"/>
  <c r="DX69" i="14"/>
  <c r="DX70" i="14" s="1"/>
  <c r="DX59" i="14"/>
  <c r="DX61" i="14" s="1"/>
  <c r="DX62" i="14" s="1"/>
  <c r="GM69" i="14"/>
  <c r="GM70" i="14" s="1"/>
  <c r="GM59" i="14"/>
  <c r="GM61" i="14" s="1"/>
  <c r="GM62" i="14" s="1"/>
  <c r="JA69" i="14"/>
  <c r="JA70" i="14" s="1"/>
  <c r="JA59" i="14"/>
  <c r="JA61" i="14" s="1"/>
  <c r="JA62" i="14" s="1"/>
  <c r="FC69" i="14"/>
  <c r="FC70" i="14" s="1"/>
  <c r="FC59" i="14"/>
  <c r="FC61" i="14" s="1"/>
  <c r="FC62" i="14" s="1"/>
  <c r="AF69" i="14"/>
  <c r="AF70" i="14" s="1"/>
  <c r="AF59" i="14"/>
  <c r="AF61" i="14" s="1"/>
  <c r="AF62" i="14" s="1"/>
  <c r="CS69" i="14"/>
  <c r="CS70" i="14" s="1"/>
  <c r="CS59" i="14"/>
  <c r="CS61" i="14" s="1"/>
  <c r="CS62" i="14" s="1"/>
  <c r="FF69" i="14"/>
  <c r="FF70" i="14" s="1"/>
  <c r="FF59" i="14"/>
  <c r="FF61" i="14" s="1"/>
  <c r="FF62" i="14" s="1"/>
  <c r="HT69" i="14"/>
  <c r="HT70" i="14" s="1"/>
  <c r="HT59" i="14"/>
  <c r="HT61" i="14" s="1"/>
  <c r="HT62" i="14" s="1"/>
  <c r="U69" i="14"/>
  <c r="U70" i="14" s="1"/>
  <c r="U59" i="14"/>
  <c r="U61" i="14" s="1"/>
  <c r="U62" i="14" s="1"/>
  <c r="JW59" i="14"/>
  <c r="BN69" i="14"/>
  <c r="BN70" i="14" s="1"/>
  <c r="BN59" i="14"/>
  <c r="BN61" i="14" s="1"/>
  <c r="BN62" i="14" s="1"/>
  <c r="DZ69" i="14"/>
  <c r="DZ70" i="14" s="1"/>
  <c r="DZ59" i="14"/>
  <c r="DZ61" i="14" s="1"/>
  <c r="DZ62" i="14" s="1"/>
  <c r="GO59" i="14"/>
  <c r="JC69" i="14"/>
  <c r="JC70" i="14" s="1"/>
  <c r="JC59" i="14"/>
  <c r="JC61" i="14" s="1"/>
  <c r="JC62" i="14" s="1"/>
  <c r="GP69" i="14"/>
  <c r="GP70" i="14" s="1"/>
  <c r="GP59" i="14"/>
  <c r="GP61" i="14" s="1"/>
  <c r="GP62" i="14" s="1"/>
  <c r="JT69" i="14"/>
  <c r="JT70" i="14" s="1"/>
  <c r="JT59" i="14"/>
  <c r="JT61" i="14" s="1"/>
  <c r="JT62" i="14" s="1"/>
  <c r="DK69" i="14"/>
  <c r="DK70" i="14" s="1"/>
  <c r="DK59" i="14"/>
  <c r="DK61" i="14" s="1"/>
  <c r="DK62" i="14" s="1"/>
  <c r="AA69" i="14"/>
  <c r="AA70" i="14" s="1"/>
  <c r="AA59" i="14"/>
  <c r="AA61" i="14" s="1"/>
  <c r="AA62" i="14" s="1"/>
  <c r="CN69" i="14"/>
  <c r="CN70" i="14" s="1"/>
  <c r="CN59" i="14"/>
  <c r="FA69" i="14"/>
  <c r="FA70" i="14" s="1"/>
  <c r="FA59" i="14"/>
  <c r="FA61" i="14" s="1"/>
  <c r="FA62" i="14" s="1"/>
  <c r="HO69" i="14"/>
  <c r="HO70" i="14" s="1"/>
  <c r="HO59" i="14"/>
  <c r="HO61" i="14" s="1"/>
  <c r="HO62" i="14" s="1"/>
  <c r="KE59" i="14"/>
  <c r="EJ69" i="14"/>
  <c r="EJ70" i="14" s="1"/>
  <c r="EJ59" i="14"/>
  <c r="EJ61" i="14" s="1"/>
  <c r="EJ62" i="14" s="1"/>
  <c r="AJ69" i="14"/>
  <c r="AJ70" i="14" s="1"/>
  <c r="AJ59" i="14"/>
  <c r="AJ61" i="14" s="1"/>
  <c r="AJ62" i="14" s="1"/>
  <c r="CW69" i="14"/>
  <c r="CW70" i="14" s="1"/>
  <c r="CW59" i="14"/>
  <c r="CW61" i="14" s="1"/>
  <c r="CW62" i="14" s="1"/>
  <c r="FJ69" i="14"/>
  <c r="FJ70" i="14" s="1"/>
  <c r="FJ59" i="14"/>
  <c r="FJ61" i="14" s="1"/>
  <c r="FJ62" i="14" s="1"/>
  <c r="HX69" i="14"/>
  <c r="HX70" i="14" s="1"/>
  <c r="HX59" i="14"/>
  <c r="HX61" i="14" s="1"/>
  <c r="HX62" i="14" s="1"/>
  <c r="FL69" i="14"/>
  <c r="FL70" i="14" s="1"/>
  <c r="FL59" i="14"/>
  <c r="FL61" i="14" s="1"/>
  <c r="FL62" i="14" s="1"/>
  <c r="CB69" i="14"/>
  <c r="CB70" i="14" s="1"/>
  <c r="CB59" i="14"/>
  <c r="CB61" i="14" s="1"/>
  <c r="CB62" i="14" s="1"/>
  <c r="FV69" i="14"/>
  <c r="FV70" i="14" s="1"/>
  <c r="FV59" i="14"/>
  <c r="FV61" i="14" s="1"/>
  <c r="FV62" i="14" s="1"/>
  <c r="EQ59" i="14"/>
  <c r="EH69" i="14"/>
  <c r="EH70" i="14" s="1"/>
  <c r="EH59" i="14"/>
  <c r="EH61" i="14" s="1"/>
  <c r="EH62" i="14" s="1"/>
  <c r="DD69" i="14"/>
  <c r="DD70" i="14" s="1"/>
  <c r="DD59" i="14"/>
  <c r="DD61" i="14" s="1"/>
  <c r="DD62" i="14" s="1"/>
  <c r="Z69" i="14"/>
  <c r="Z70" i="14" s="1"/>
  <c r="Z59" i="14"/>
  <c r="Z61" i="14" s="1"/>
  <c r="Z62" i="14" s="1"/>
  <c r="DM69" i="14"/>
  <c r="DM70" i="14" s="1"/>
  <c r="DM59" i="14"/>
  <c r="DM61" i="14" s="1"/>
  <c r="DM62" i="14" s="1"/>
  <c r="BR69" i="14"/>
  <c r="BR70" i="14" s="1"/>
  <c r="BR59" i="14"/>
  <c r="BR61" i="14" s="1"/>
  <c r="BR62" i="14" s="1"/>
  <c r="GD69" i="14"/>
  <c r="GD70" i="14" s="1"/>
  <c r="GD59" i="14"/>
  <c r="GD61" i="14" s="1"/>
  <c r="GD62" i="14" s="1"/>
  <c r="DU69" i="14"/>
  <c r="DU70" i="14" s="1"/>
  <c r="DU59" i="14"/>
  <c r="DU61" i="14" s="1"/>
  <c r="DU62" i="14" s="1"/>
  <c r="EM69" i="14"/>
  <c r="EM70" i="14" s="1"/>
  <c r="EM59" i="14"/>
  <c r="EM61" i="14" s="1"/>
  <c r="AD69" i="14"/>
  <c r="AD70" i="14" s="1"/>
  <c r="AD59" i="14"/>
  <c r="AD61" i="14" s="1"/>
  <c r="AD62" i="14" s="1"/>
  <c r="CQ69" i="14"/>
  <c r="CQ70" i="14" s="1"/>
  <c r="CQ59" i="14"/>
  <c r="CQ61" i="14" s="1"/>
  <c r="CQ62" i="14" s="1"/>
  <c r="FD69" i="14"/>
  <c r="FD70" i="14" s="1"/>
  <c r="FD59" i="14"/>
  <c r="FD61" i="14" s="1"/>
  <c r="FD62" i="14" s="1"/>
  <c r="HR69" i="14"/>
  <c r="HR70" i="14" s="1"/>
  <c r="HR59" i="14"/>
  <c r="HR61" i="14" s="1"/>
  <c r="HR62" i="14" s="1"/>
  <c r="E69" i="14"/>
  <c r="E70" i="14" s="1"/>
  <c r="E59" i="14"/>
  <c r="E61" i="14" s="1"/>
  <c r="E62" i="14" s="1"/>
  <c r="G69" i="14"/>
  <c r="G70" i="14" s="1"/>
  <c r="G59" i="14"/>
  <c r="G61" i="14" s="1"/>
  <c r="G62" i="14" s="1"/>
  <c r="BT69" i="14"/>
  <c r="BT70" i="14" s="1"/>
  <c r="BT59" i="14"/>
  <c r="BT61" i="14" s="1"/>
  <c r="BT62" i="14" s="1"/>
  <c r="EF69" i="14"/>
  <c r="EF70" i="14" s="1"/>
  <c r="EF59" i="14"/>
  <c r="EF61" i="14" s="1"/>
  <c r="EF62" i="14" s="1"/>
  <c r="GU69" i="14"/>
  <c r="GU70" i="14" s="1"/>
  <c r="GU59" i="14"/>
  <c r="GU61" i="14" s="1"/>
  <c r="GU62" i="14" s="1"/>
  <c r="JI69" i="14"/>
  <c r="JI70" i="14" s="1"/>
  <c r="JI59" i="14"/>
  <c r="JI61" i="14" s="1"/>
  <c r="JI62" i="14" s="1"/>
  <c r="GK69" i="14"/>
  <c r="GK70" i="14" s="1"/>
  <c r="GK59" i="14"/>
  <c r="GK61" i="14" s="1"/>
  <c r="AN69" i="14"/>
  <c r="AN70" i="14" s="1"/>
  <c r="AN59" i="14"/>
  <c r="AN61" i="14" s="1"/>
  <c r="AN62" i="14" s="1"/>
  <c r="DA69" i="14"/>
  <c r="DA70" i="14" s="1"/>
  <c r="DA59" i="14"/>
  <c r="DA61" i="14" s="1"/>
  <c r="DA62" i="14" s="1"/>
  <c r="FN69" i="14"/>
  <c r="FN70" i="14" s="1"/>
  <c r="FN59" i="14"/>
  <c r="FN61" i="14" s="1"/>
  <c r="FN62" i="14" s="1"/>
  <c r="IB69" i="14"/>
  <c r="IB70" i="14" s="1"/>
  <c r="IB59" i="14"/>
  <c r="IB61" i="14" s="1"/>
  <c r="IB62" i="14" s="1"/>
  <c r="BB69" i="14"/>
  <c r="BB70" i="14" s="1"/>
  <c r="BB59" i="14"/>
  <c r="BB61" i="14" s="1"/>
  <c r="BB62" i="14" s="1"/>
  <c r="I69" i="14"/>
  <c r="I70" i="14" s="1"/>
  <c r="I59" i="14"/>
  <c r="I61" i="14" s="1"/>
  <c r="I62" i="14" s="1"/>
  <c r="BV69" i="14"/>
  <c r="BV70" i="14" s="1"/>
  <c r="BV59" i="14"/>
  <c r="BV61" i="14" s="1"/>
  <c r="BV62" i="14" s="1"/>
  <c r="EI69" i="14"/>
  <c r="EI70" i="14" s="1"/>
  <c r="EI59" i="14"/>
  <c r="EI61" i="14" s="1"/>
  <c r="EI62" i="14" s="1"/>
  <c r="GW69" i="14"/>
  <c r="GW70" i="14" s="1"/>
  <c r="GW59" i="14"/>
  <c r="GW61" i="14" s="1"/>
  <c r="GW62" i="14" s="1"/>
  <c r="JK69" i="14"/>
  <c r="JK70" i="14" s="1"/>
  <c r="JK59" i="14"/>
  <c r="JK61" i="14" s="1"/>
  <c r="JK62" i="14" s="1"/>
  <c r="GX69" i="14"/>
  <c r="GX70" i="14" s="1"/>
  <c r="GX59" i="14"/>
  <c r="GX61" i="14" s="1"/>
  <c r="GX62" i="14" s="1"/>
  <c r="KD69" i="14"/>
  <c r="KD70" i="14" s="1"/>
  <c r="KD59" i="14"/>
  <c r="KD61" i="14" s="1"/>
  <c r="KD62" i="14" s="1"/>
  <c r="EA69" i="14"/>
  <c r="EA70" i="14" s="1"/>
  <c r="EA59" i="14"/>
  <c r="EA61" i="14" s="1"/>
  <c r="EA62" i="14" s="1"/>
  <c r="AI69" i="14"/>
  <c r="AI70" i="14" s="1"/>
  <c r="AI59" i="14"/>
  <c r="AI61" i="14" s="1"/>
  <c r="AI62" i="14" s="1"/>
  <c r="CV69" i="14"/>
  <c r="CV70" i="14" s="1"/>
  <c r="CV59" i="14"/>
  <c r="CV61" i="14" s="1"/>
  <c r="CV62" i="14" s="1"/>
  <c r="FI69" i="14"/>
  <c r="FI70" i="14" s="1"/>
  <c r="FI59" i="14"/>
  <c r="FI61" i="14" s="1"/>
  <c r="FI62" i="14" s="1"/>
  <c r="HW69" i="14"/>
  <c r="HW70" i="14" s="1"/>
  <c r="HW59" i="14"/>
  <c r="HW61" i="14" s="1"/>
  <c r="HW62" i="14" s="1"/>
  <c r="J69" i="14"/>
  <c r="J70" i="14" s="1"/>
  <c r="J59" i="14"/>
  <c r="J61" i="14" s="1"/>
  <c r="J62" i="14" s="1"/>
  <c r="FH69" i="14"/>
  <c r="FH70" i="14" s="1"/>
  <c r="FH59" i="14"/>
  <c r="FH61" i="14" s="1"/>
  <c r="FH62" i="14" s="1"/>
  <c r="DE69" i="14"/>
  <c r="DE70" i="14" s="1"/>
  <c r="DE59" i="14"/>
  <c r="DE61" i="14" s="1"/>
  <c r="DE62" i="14" s="1"/>
  <c r="FR69" i="14"/>
  <c r="FR70" i="14" s="1"/>
  <c r="FR59" i="14"/>
  <c r="FR61" i="14" s="1"/>
  <c r="FR62" i="14" s="1"/>
  <c r="AS61" i="14"/>
  <c r="AS62" i="14" s="1"/>
  <c r="AS69" i="14"/>
  <c r="AS70" i="14" s="1"/>
  <c r="C61" i="14"/>
  <c r="C62" i="14" s="1"/>
  <c r="C69" i="14"/>
  <c r="C70" i="14" s="1"/>
  <c r="EL69" i="14"/>
  <c r="EL70" i="14" s="1"/>
  <c r="EL61" i="14"/>
  <c r="EL62" i="14" s="1"/>
  <c r="CO61" i="14"/>
  <c r="CO62" i="14" s="1"/>
  <c r="CO69" i="14"/>
  <c r="CO70" i="14" s="1"/>
  <c r="AC100" i="2"/>
  <c r="AC99" i="2"/>
  <c r="AC33" i="2"/>
  <c r="AC296" i="2"/>
  <c r="AC236" i="2"/>
  <c r="AC239" i="2"/>
  <c r="K22" i="18" s="1"/>
  <c r="AC129" i="2"/>
  <c r="AC186" i="2"/>
  <c r="AC69" i="2"/>
  <c r="AC45" i="2"/>
  <c r="AC22" i="2"/>
  <c r="AC57" i="2"/>
  <c r="AC148" i="2"/>
  <c r="AC15" i="2"/>
  <c r="AC39" i="2"/>
  <c r="AC122" i="2"/>
  <c r="AC61" i="2"/>
  <c r="AC46" i="2"/>
  <c r="AC64" i="2"/>
  <c r="AC253" i="2"/>
  <c r="AC310" i="2"/>
  <c r="AC184" i="2"/>
  <c r="AC161" i="2"/>
  <c r="AC292" i="2"/>
  <c r="AC195" i="2"/>
  <c r="AC279" i="2"/>
  <c r="AC196" i="2"/>
  <c r="AC231" i="2"/>
  <c r="AC307" i="2"/>
  <c r="AC78" i="2"/>
  <c r="AC242" i="2"/>
  <c r="AC162" i="2"/>
  <c r="AC185" i="2"/>
  <c r="AC36" i="2"/>
  <c r="AC240" i="2"/>
  <c r="AC123" i="2"/>
  <c r="AC80" i="2"/>
  <c r="AC95" i="2"/>
  <c r="AC152" i="2"/>
  <c r="AC32" i="2"/>
  <c r="AC124" i="2"/>
  <c r="AC17" i="2"/>
  <c r="AC43" i="2"/>
  <c r="AC38" i="2"/>
  <c r="AC48" i="2"/>
  <c r="AC278" i="2"/>
  <c r="AC230" i="2"/>
  <c r="AC308" i="2"/>
  <c r="AC269" i="2"/>
  <c r="AC255" i="2"/>
  <c r="AC274" i="2"/>
  <c r="AC223" i="2"/>
  <c r="AC175" i="2"/>
  <c r="AC224" i="2"/>
  <c r="AC283" i="2"/>
  <c r="AC170" i="2"/>
  <c r="AC277" i="2"/>
  <c r="AC84" i="2"/>
  <c r="AC216" i="2"/>
  <c r="AC132" i="2"/>
  <c r="AC181" i="2"/>
  <c r="AC92" i="2"/>
  <c r="AC25" i="2"/>
  <c r="AC98" i="2"/>
  <c r="AC76" i="2"/>
  <c r="AC121" i="2"/>
  <c r="AC119" i="2"/>
  <c r="AC67" i="2"/>
  <c r="AC145" i="2"/>
  <c r="AC131" i="2"/>
  <c r="AC90" i="2"/>
  <c r="AC249" i="2"/>
  <c r="AC273" i="2"/>
  <c r="AC166" i="2"/>
  <c r="AC176" i="2"/>
  <c r="AC225" i="2"/>
  <c r="AC177" i="2"/>
  <c r="AC312" i="2"/>
  <c r="AC250" i="2"/>
  <c r="AC285" i="2"/>
  <c r="AC168" i="2"/>
  <c r="AC228" i="2"/>
  <c r="AC18" i="2"/>
  <c r="AC65" i="2"/>
  <c r="AC188" i="2"/>
  <c r="AC109" i="2"/>
  <c r="AC81" i="2"/>
  <c r="H22" i="18" s="1"/>
  <c r="AC235" i="2"/>
  <c r="AC147" i="2"/>
  <c r="AC70" i="2"/>
  <c r="AC60" i="2"/>
  <c r="AC116" i="2"/>
  <c r="AC30" i="2"/>
  <c r="AC94" i="2"/>
  <c r="AC31" i="2"/>
  <c r="AC89" i="2"/>
  <c r="AC44" i="2"/>
  <c r="AC117" i="2"/>
  <c r="AC47" i="2"/>
  <c r="AC214" i="2"/>
  <c r="AC182" i="2"/>
  <c r="AC227" i="2"/>
  <c r="AC229" i="2"/>
  <c r="AC204" i="2"/>
  <c r="AC160" i="2"/>
  <c r="AC304" i="2"/>
  <c r="AC276" i="2"/>
  <c r="AC199" i="2"/>
  <c r="AC281" i="2"/>
  <c r="AC194" i="2"/>
  <c r="J19" i="18" s="1"/>
  <c r="N19" i="18" s="1"/>
  <c r="AC27" i="2"/>
  <c r="AC135" i="2"/>
  <c r="AC270" i="2"/>
  <c r="AC26" i="2"/>
  <c r="AC58" i="2"/>
  <c r="AC111" i="2"/>
  <c r="AC112" i="2"/>
  <c r="AC75" i="2"/>
  <c r="AC120" i="2"/>
  <c r="AC56" i="2"/>
  <c r="AC74" i="2"/>
  <c r="AC40" i="2"/>
  <c r="AC63" i="2"/>
  <c r="AC151" i="2"/>
  <c r="AC66" i="2"/>
  <c r="AC203" i="2"/>
  <c r="AC179" i="2"/>
  <c r="AC259" i="2"/>
  <c r="AC305" i="2"/>
  <c r="AC268" i="2"/>
  <c r="AC173" i="2"/>
  <c r="AC287" i="2"/>
  <c r="AC174" i="2"/>
  <c r="AC232" i="2"/>
  <c r="AC248" i="2"/>
  <c r="K19" i="18" s="1"/>
  <c r="AC28" i="2"/>
  <c r="AC289" i="2"/>
  <c r="AC303" i="2"/>
  <c r="AC82" i="2"/>
  <c r="AC41" i="2"/>
  <c r="AC72" i="2"/>
  <c r="AC91" i="2"/>
  <c r="AC77" i="2"/>
  <c r="AC107" i="2"/>
  <c r="AC37" i="2"/>
  <c r="AC128" i="2"/>
  <c r="AC68" i="2"/>
  <c r="AC42" i="2"/>
  <c r="AC62" i="2"/>
  <c r="AC118" i="2"/>
  <c r="AC219" i="2"/>
  <c r="AC314" i="2"/>
  <c r="AC275" i="2"/>
  <c r="AC238" i="2"/>
  <c r="AC280" i="2"/>
  <c r="AC220" i="2"/>
  <c r="AC164" i="2"/>
  <c r="AC221" i="2"/>
  <c r="AC226" i="2"/>
  <c r="AC167" i="2"/>
  <c r="AC282" i="2"/>
  <c r="AC272" i="2"/>
  <c r="AC23" i="2"/>
  <c r="AC19" i="2"/>
  <c r="AC133" i="2"/>
  <c r="AC93" i="2"/>
  <c r="AC126" i="2"/>
  <c r="AC146" i="2"/>
  <c r="AC143" i="2"/>
  <c r="AC125" i="2"/>
  <c r="AC114" i="2"/>
  <c r="AC24" i="2"/>
  <c r="AC71" i="2"/>
  <c r="AC150" i="2"/>
  <c r="AC115" i="2"/>
  <c r="AC284" i="2"/>
  <c r="AC258" i="2"/>
  <c r="AC165" i="2"/>
  <c r="AC222" i="2"/>
  <c r="AC169" i="2"/>
  <c r="AC201" i="2"/>
  <c r="AC233" i="2"/>
  <c r="AC306" i="2"/>
  <c r="AC197" i="2"/>
  <c r="AC171" i="2"/>
  <c r="AC16" i="2"/>
  <c r="AC290" i="2"/>
  <c r="AC293" i="2"/>
  <c r="L22" i="18" s="1"/>
  <c r="AC35" i="2"/>
  <c r="AC294" i="2"/>
  <c r="AC108" i="2"/>
  <c r="AC141" i="2"/>
  <c r="AC113" i="2"/>
  <c r="AC13" i="2"/>
  <c r="AC20" i="2"/>
  <c r="AC142" i="2"/>
  <c r="AC96" i="2"/>
  <c r="AC144" i="2"/>
  <c r="AC73" i="2"/>
  <c r="AC127" i="2"/>
  <c r="AC178" i="2"/>
  <c r="AC215" i="2"/>
  <c r="AC218" i="2"/>
  <c r="AC198" i="2"/>
  <c r="AC252" i="2"/>
  <c r="AC251" i="2"/>
  <c r="AC313" i="2"/>
  <c r="AC172" i="2"/>
  <c r="AC257" i="2"/>
  <c r="AC286" i="2"/>
  <c r="AC205" i="2"/>
  <c r="B13" i="2"/>
  <c r="J14" i="18" l="1"/>
  <c r="N14" i="18" s="1"/>
  <c r="J22" i="18"/>
  <c r="CG71" i="14"/>
  <c r="GY71" i="14"/>
  <c r="BW71" i="14"/>
  <c r="FW71" i="14"/>
  <c r="JR71" i="14"/>
  <c r="DH71" i="14"/>
  <c r="GT71" i="14"/>
  <c r="IF71" i="14"/>
  <c r="EW71" i="14"/>
  <c r="EO71" i="14"/>
  <c r="GZ71" i="14"/>
  <c r="JE71" i="14"/>
  <c r="DL71" i="14"/>
  <c r="DQ71" i="14"/>
  <c r="N22" i="18"/>
  <c r="P71" i="14"/>
  <c r="AP71" i="14"/>
  <c r="HG71" i="14"/>
  <c r="DP71" i="14"/>
  <c r="JS71" i="14"/>
  <c r="IY71" i="14"/>
  <c r="HM71" i="14"/>
  <c r="CM71" i="14"/>
  <c r="BZ71" i="14"/>
  <c r="JM71" i="14"/>
  <c r="JH71" i="14"/>
  <c r="JN71" i="14"/>
  <c r="IJ71" i="14"/>
  <c r="X71" i="14"/>
  <c r="AL71" i="14"/>
  <c r="CC71" i="14"/>
  <c r="AZ71" i="14"/>
  <c r="BP71" i="14"/>
  <c r="FB71" i="14"/>
  <c r="HB71" i="14"/>
  <c r="K71" i="14"/>
  <c r="AW71" i="14"/>
  <c r="GG71" i="14"/>
  <c r="FZ71" i="14"/>
  <c r="ET71" i="14"/>
  <c r="GS71" i="14"/>
  <c r="F71" i="14"/>
  <c r="CE71" i="14"/>
  <c r="JZ71" i="14"/>
  <c r="GH71" i="14"/>
  <c r="HL71" i="14"/>
  <c r="BD71" i="14"/>
  <c r="EN71" i="14"/>
  <c r="BI71" i="14"/>
  <c r="CD71" i="14"/>
  <c r="BG71" i="14"/>
  <c r="FO71" i="14"/>
  <c r="Y71" i="14"/>
  <c r="AU71" i="14"/>
  <c r="AB71" i="14"/>
  <c r="ES71" i="14"/>
  <c r="JL71" i="14"/>
  <c r="DR71" i="14"/>
  <c r="JJ71" i="14"/>
  <c r="H71" i="14"/>
  <c r="CZ71" i="14"/>
  <c r="GL71" i="14"/>
  <c r="FU71" i="14"/>
  <c r="IE71" i="14"/>
  <c r="BU71" i="14"/>
  <c r="ID71" i="14"/>
  <c r="FM71" i="14"/>
  <c r="IZ71" i="14"/>
  <c r="JG71" i="14"/>
  <c r="IO71" i="14"/>
  <c r="GF71" i="14"/>
  <c r="KB71" i="14"/>
  <c r="CL71" i="14"/>
  <c r="DG71" i="14"/>
  <c r="HC71" i="14"/>
  <c r="EC71" i="14"/>
  <c r="IW71" i="14"/>
  <c r="HU71" i="14"/>
  <c r="BA71" i="14"/>
  <c r="EU71" i="14"/>
  <c r="BM71" i="14"/>
  <c r="M71" i="14"/>
  <c r="HF71" i="14"/>
  <c r="IC71" i="14"/>
  <c r="CY71" i="14"/>
  <c r="DV71" i="14"/>
  <c r="R71" i="14"/>
  <c r="HK71" i="14"/>
  <c r="HP71" i="14"/>
  <c r="JU71" i="14"/>
  <c r="S71" i="14"/>
  <c r="IU71" i="14"/>
  <c r="CK71" i="14"/>
  <c r="GC71" i="14"/>
  <c r="JP71" i="14"/>
  <c r="N71" i="14"/>
  <c r="W71" i="14"/>
  <c r="EZ71" i="14"/>
  <c r="O71" i="14"/>
  <c r="HH71" i="14"/>
  <c r="CU71" i="14"/>
  <c r="BX71" i="14"/>
  <c r="ER71" i="14"/>
  <c r="AX71" i="14"/>
  <c r="EP71" i="14"/>
  <c r="IK71" i="14"/>
  <c r="FK71" i="14"/>
  <c r="BS71" i="14"/>
  <c r="AQ71" i="14"/>
  <c r="DF71" i="14"/>
  <c r="HA71" i="14"/>
  <c r="CH71" i="14"/>
  <c r="GE71" i="14"/>
  <c r="L71" i="14"/>
  <c r="EB71" i="14"/>
  <c r="DC71" i="14"/>
  <c r="AO71" i="14"/>
  <c r="EG71" i="14"/>
  <c r="IA71" i="14"/>
  <c r="ED71" i="14"/>
  <c r="BK71" i="14"/>
  <c r="HN71" i="14"/>
  <c r="KC71" i="14"/>
  <c r="CJ71" i="14"/>
  <c r="IL71" i="14"/>
  <c r="GR71" i="14"/>
  <c r="BO71" i="14"/>
  <c r="BH71" i="14"/>
  <c r="AY71" i="14"/>
  <c r="AG71" i="14"/>
  <c r="DY71" i="14"/>
  <c r="HS71" i="14"/>
  <c r="FE71" i="14"/>
  <c r="CX71" i="14"/>
  <c r="IR71" i="14"/>
  <c r="BQ71" i="14"/>
  <c r="J71" i="14"/>
  <c r="AI71" i="14"/>
  <c r="JK71" i="14"/>
  <c r="I71" i="14"/>
  <c r="DA71" i="14"/>
  <c r="GU71" i="14"/>
  <c r="E71" i="14"/>
  <c r="AD71" i="14"/>
  <c r="BR71" i="14"/>
  <c r="EH71" i="14"/>
  <c r="BC71" i="14"/>
  <c r="FL71" i="14"/>
  <c r="AJ71" i="14"/>
  <c r="FA71" i="14"/>
  <c r="JT71" i="14"/>
  <c r="DZ71" i="14"/>
  <c r="HT71" i="14"/>
  <c r="FC71" i="14"/>
  <c r="BL71" i="14"/>
  <c r="EV71" i="14"/>
  <c r="CP62" i="14"/>
  <c r="EK62" i="14" s="1"/>
  <c r="EK71" i="14" s="1"/>
  <c r="EK61" i="14"/>
  <c r="EM62" i="14"/>
  <c r="EM71" i="14" s="1"/>
  <c r="FY71" i="14"/>
  <c r="HQ71" i="14"/>
  <c r="CF71" i="14"/>
  <c r="BF71" i="14"/>
  <c r="EX71" i="14"/>
  <c r="IS71" i="14"/>
  <c r="HI71" i="14"/>
  <c r="CA71" i="14"/>
  <c r="IT71" i="14"/>
  <c r="DI71" i="14"/>
  <c r="JV71" i="14"/>
  <c r="T71" i="14"/>
  <c r="JD71" i="14"/>
  <c r="DJ71" i="14"/>
  <c r="HD71" i="14"/>
  <c r="AV71" i="14"/>
  <c r="EE71" i="14"/>
  <c r="KA71" i="14"/>
  <c r="EY71" i="14"/>
  <c r="FT71" i="14"/>
  <c r="HE71" i="14"/>
  <c r="AK71" i="14"/>
  <c r="BY71" i="14"/>
  <c r="GQ71" i="14"/>
  <c r="IV71" i="14"/>
  <c r="DB71" i="14"/>
  <c r="GV71" i="14"/>
  <c r="BJ71" i="14"/>
  <c r="AM71" i="14"/>
  <c r="DW71" i="14"/>
  <c r="IX71" i="14"/>
  <c r="FX71" i="14"/>
  <c r="JY71" i="14"/>
  <c r="HV71" i="14"/>
  <c r="JF71" i="14"/>
  <c r="DT71" i="14"/>
  <c r="IN71" i="14"/>
  <c r="CT71" i="14"/>
  <c r="GN71" i="14"/>
  <c r="AC71" i="14"/>
  <c r="AE71" i="14"/>
  <c r="DO71" i="14"/>
  <c r="Q71" i="14"/>
  <c r="BE71" i="14"/>
  <c r="DS71" i="14"/>
  <c r="FP71" i="14"/>
  <c r="FQ71" i="14"/>
  <c r="FR71" i="14"/>
  <c r="HW71" i="14"/>
  <c r="EA71" i="14"/>
  <c r="GW71" i="14"/>
  <c r="BB71" i="14"/>
  <c r="AN71" i="14"/>
  <c r="EF71" i="14"/>
  <c r="HR71" i="14"/>
  <c r="DM71" i="14"/>
  <c r="HX71" i="14"/>
  <c r="EJ71" i="14"/>
  <c r="GP71" i="14"/>
  <c r="BN71" i="14"/>
  <c r="FF71" i="14"/>
  <c r="JA71" i="14"/>
  <c r="IQ71" i="14"/>
  <c r="CI71" i="14"/>
  <c r="II62" i="14"/>
  <c r="D62" i="14"/>
  <c r="D71" i="14" s="1"/>
  <c r="AR61" i="14"/>
  <c r="AR62" i="14" s="1"/>
  <c r="AR71" i="14" s="1"/>
  <c r="GK62" i="14"/>
  <c r="GK71" i="14" s="1"/>
  <c r="JQ71" i="14"/>
  <c r="DE71" i="14"/>
  <c r="FI71" i="14"/>
  <c r="KD71" i="14"/>
  <c r="EI71" i="14"/>
  <c r="IB71" i="14"/>
  <c r="BT71" i="14"/>
  <c r="FD71" i="14"/>
  <c r="DU71" i="14"/>
  <c r="Z71" i="14"/>
  <c r="FV71" i="14"/>
  <c r="FJ71" i="14"/>
  <c r="AA71" i="14"/>
  <c r="JC71" i="14"/>
  <c r="CS71" i="14"/>
  <c r="GM71" i="14"/>
  <c r="JX71" i="14"/>
  <c r="V71" i="14"/>
  <c r="HZ71" i="14"/>
  <c r="FH71" i="14"/>
  <c r="CV71" i="14"/>
  <c r="GX71" i="14"/>
  <c r="BV71" i="14"/>
  <c r="FN71" i="14"/>
  <c r="JI71" i="14"/>
  <c r="G71" i="14"/>
  <c r="CQ71" i="14"/>
  <c r="GD71" i="14"/>
  <c r="DD71" i="14"/>
  <c r="CB71" i="14"/>
  <c r="CW71" i="14"/>
  <c r="HO71" i="14"/>
  <c r="DK71" i="14"/>
  <c r="U71" i="14"/>
  <c r="AF71" i="14"/>
  <c r="DX71" i="14"/>
  <c r="HJ71" i="14"/>
  <c r="DN71" i="14"/>
  <c r="AT62" i="14"/>
  <c r="CN62" i="14" s="1"/>
  <c r="CN71" i="14" s="1"/>
  <c r="CN61" i="14"/>
  <c r="AH71" i="14"/>
  <c r="FG71" i="14"/>
  <c r="JB71" i="14"/>
  <c r="JO71" i="14"/>
  <c r="CR71" i="14"/>
  <c r="GB71" i="14"/>
  <c r="IP71" i="14"/>
  <c r="FS71" i="14"/>
  <c r="C71" i="14"/>
  <c r="CO71" i="14"/>
  <c r="CO64" i="14"/>
  <c r="EL71" i="14"/>
  <c r="EL64" i="14"/>
  <c r="AS71" i="14"/>
  <c r="B14" i="2"/>
  <c r="II71" i="14" l="1"/>
  <c r="CP71" i="14"/>
  <c r="AT71" i="14"/>
  <c r="B15" i="2"/>
  <c r="B16" i="2" l="1"/>
  <c r="B17" i="2" l="1"/>
  <c r="B18" i="2" l="1"/>
  <c r="B19" i="2" s="1"/>
  <c r="B20" i="2" s="1"/>
  <c r="B21" i="2" s="1"/>
  <c r="B22" i="2" s="1"/>
  <c r="B23" i="2" s="1"/>
  <c r="B24" i="2" l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5" i="2" l="1"/>
  <c r="B56" i="2" s="1"/>
  <c r="B57" i="2" s="1"/>
  <c r="B58" i="2" s="1"/>
  <c r="B59" i="2" s="1"/>
  <c r="B60" i="2" l="1"/>
  <c r="B61" i="2" s="1"/>
  <c r="B62" i="2" s="1"/>
  <c r="B63" i="2" s="1"/>
  <c r="B64" i="2" s="1"/>
  <c r="B65" i="2" s="1"/>
  <c r="B66" i="2" s="1"/>
  <c r="B67" i="2" s="1"/>
  <c r="B68" i="2" s="1"/>
  <c r="B69" i="2" s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s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3" i="2" l="1"/>
  <c r="B106" i="2" l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  <c r="B137" i="2" s="1"/>
  <c r="B138" i="2" s="1"/>
  <c r="B139" i="2" l="1"/>
  <c r="B140" i="2" s="1"/>
  <c r="B141" i="2" l="1"/>
  <c r="B142" i="2" s="1"/>
  <c r="B143" i="2" s="1"/>
  <c r="B144" i="2" s="1"/>
  <c r="B145" i="2" s="1"/>
  <c r="B146" i="2" s="1"/>
  <c r="B147" i="2" s="1"/>
  <c r="B148" i="2" s="1"/>
  <c r="B149" i="2" s="1"/>
  <c r="B150" i="2" s="1"/>
  <c r="B151" i="2" s="1"/>
  <c r="B152" i="2" s="1"/>
  <c r="BH17" i="4"/>
  <c r="B153" i="2" l="1"/>
  <c r="B156" i="2" s="1"/>
  <c r="B159" i="2" s="1"/>
  <c r="B160" i="2" s="1"/>
  <c r="B161" i="2" s="1"/>
  <c r="B162" i="2" s="1"/>
  <c r="B163" i="2" s="1"/>
  <c r="B164" i="2" s="1"/>
  <c r="B165" i="2" s="1"/>
  <c r="B166" i="2" s="1"/>
  <c r="B167" i="2" s="1"/>
  <c r="B168" i="2" s="1"/>
  <c r="B169" i="2" s="1"/>
  <c r="B170" i="2" s="1"/>
  <c r="B171" i="2" s="1"/>
  <c r="B172" i="2" s="1"/>
  <c r="B173" i="2" s="1"/>
  <c r="B174" i="2" s="1"/>
  <c r="B175" i="2" s="1"/>
  <c r="B176" i="2" s="1"/>
  <c r="B177" i="2" s="1"/>
  <c r="B178" i="2" s="1"/>
  <c r="B179" i="2" s="1"/>
  <c r="B180" i="2" s="1"/>
  <c r="B181" i="2" s="1"/>
  <c r="B182" i="2" s="1"/>
  <c r="B183" i="2" s="1"/>
  <c r="B184" i="2" s="1"/>
  <c r="B185" i="2" s="1"/>
  <c r="B186" i="2" s="1"/>
  <c r="B187" i="2" s="1"/>
  <c r="B188" i="2" s="1"/>
  <c r="B189" i="2" s="1"/>
  <c r="B190" i="2" s="1"/>
  <c r="B191" i="2" s="1"/>
  <c r="EZ13" i="4"/>
  <c r="DM17" i="4"/>
  <c r="FB17" i="4"/>
  <c r="GO13" i="4"/>
  <c r="GQ17" i="4"/>
  <c r="ID13" i="4"/>
  <c r="B192" i="2" l="1"/>
  <c r="B193" i="2" s="1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ID17" i="4"/>
  <c r="GO17" i="4"/>
  <c r="BW13" i="4"/>
  <c r="EZ17" i="4"/>
  <c r="B206" i="2" l="1"/>
  <c r="B207" i="2" s="1"/>
  <c r="BY17" i="4"/>
  <c r="DK13" i="4"/>
  <c r="B210" i="2" l="1"/>
  <c r="B213" i="2" s="1"/>
  <c r="B214" i="2" s="1"/>
  <c r="B215" i="2" s="1"/>
  <c r="B216" i="2" s="1"/>
  <c r="B217" i="2" s="1"/>
  <c r="B218" i="2" s="1"/>
  <c r="B219" i="2" s="1"/>
  <c r="B220" i="2" s="1"/>
  <c r="B221" i="2" s="1"/>
  <c r="B222" i="2" s="1"/>
  <c r="B223" i="2" s="1"/>
  <c r="B224" i="2" s="1"/>
  <c r="B225" i="2" s="1"/>
  <c r="B226" i="2" s="1"/>
  <c r="B227" i="2" s="1"/>
  <c r="B228" i="2" s="1"/>
  <c r="B229" i="2" s="1"/>
  <c r="B230" i="2" s="1"/>
  <c r="B231" i="2" s="1"/>
  <c r="B232" i="2" s="1"/>
  <c r="B233" i="2" s="1"/>
  <c r="B234" i="2" s="1"/>
  <c r="B235" i="2" s="1"/>
  <c r="B236" i="2" s="1"/>
  <c r="B237" i="2" s="1"/>
  <c r="B238" i="2" s="1"/>
  <c r="B239" i="2" s="1"/>
  <c r="B240" i="2" s="1"/>
  <c r="B241" i="2" s="1"/>
  <c r="B242" i="2" s="1"/>
  <c r="B243" i="2" s="1"/>
  <c r="B244" i="2" s="1"/>
  <c r="B245" i="2" s="1"/>
  <c r="DK17" i="4"/>
  <c r="B246" i="2" l="1"/>
  <c r="B247" i="2" s="1"/>
  <c r="B248" i="2" s="1"/>
  <c r="B249" i="2" s="1"/>
  <c r="B250" i="2" s="1"/>
  <c r="B251" i="2" s="1"/>
  <c r="B252" i="2" s="1"/>
  <c r="B253" i="2" s="1"/>
  <c r="B254" i="2" s="1"/>
  <c r="B255" i="2" s="1"/>
  <c r="B256" i="2" s="1"/>
  <c r="B257" i="2" s="1"/>
  <c r="B258" i="2" s="1"/>
  <c r="B259" i="2" s="1"/>
  <c r="BW16" i="4"/>
  <c r="AK17" i="4"/>
  <c r="B260" i="2" l="1"/>
  <c r="D17" i="4"/>
  <c r="BW17" i="4"/>
  <c r="B261" i="2" l="1"/>
  <c r="B264" i="2" s="1"/>
  <c r="B267" i="2" s="1"/>
  <c r="B268" i="2" s="1"/>
  <c r="B269" i="2" s="1"/>
  <c r="B270" i="2" s="1"/>
  <c r="B271" i="2" s="1"/>
  <c r="B272" i="2" s="1"/>
  <c r="B273" i="2" s="1"/>
  <c r="B274" i="2" s="1"/>
  <c r="B275" i="2" s="1"/>
  <c r="B276" i="2" s="1"/>
  <c r="B277" i="2" s="1"/>
  <c r="B278" i="2" s="1"/>
  <c r="B279" i="2" s="1"/>
  <c r="B280" i="2" s="1"/>
  <c r="B281" i="2" s="1"/>
  <c r="B282" i="2" s="1"/>
  <c r="B283" i="2" s="1"/>
  <c r="B284" i="2" s="1"/>
  <c r="B285" i="2" s="1"/>
  <c r="B286" i="2" s="1"/>
  <c r="B287" i="2" s="1"/>
  <c r="B288" i="2" s="1"/>
  <c r="B289" i="2" s="1"/>
  <c r="B290" i="2" s="1"/>
  <c r="B291" i="2" s="1"/>
  <c r="B292" i="2" s="1"/>
  <c r="B293" i="2" s="1"/>
  <c r="B294" i="2" s="1"/>
  <c r="B295" i="2" s="1"/>
  <c r="B296" i="2" s="1"/>
  <c r="B297" i="2" s="1"/>
  <c r="B298" i="2" s="1"/>
  <c r="B299" i="2" s="1"/>
  <c r="E26" i="4"/>
  <c r="AI16" i="4"/>
  <c r="AJ16" i="4" s="1"/>
  <c r="BX16" i="4" s="1"/>
  <c r="DL16" i="4" s="1"/>
  <c r="FA16" i="4" s="1"/>
  <c r="GP16" i="4" s="1"/>
  <c r="IE16" i="4" s="1"/>
  <c r="E17" i="4"/>
  <c r="AI13" i="4"/>
  <c r="B300" i="2" l="1"/>
  <c r="B301" i="2" s="1"/>
  <c r="B302" i="2" s="1"/>
  <c r="B303" i="2" s="1"/>
  <c r="B304" i="2" s="1"/>
  <c r="B305" i="2" s="1"/>
  <c r="B306" i="2" s="1"/>
  <c r="B307" i="2" s="1"/>
  <c r="B308" i="2" s="1"/>
  <c r="B309" i="2" s="1"/>
  <c r="B310" i="2" s="1"/>
  <c r="B311" i="2" s="1"/>
  <c r="B312" i="2" s="1"/>
  <c r="B313" i="2" s="1"/>
  <c r="B314" i="2" s="1"/>
  <c r="AJ13" i="4"/>
  <c r="AI17" i="4"/>
  <c r="B315" i="2" l="1"/>
  <c r="AJ17" i="4"/>
  <c r="BX13" i="4"/>
  <c r="B316" i="2" l="1"/>
  <c r="B319" i="2" s="1"/>
  <c r="BX17" i="4"/>
  <c r="DL13" i="4"/>
  <c r="DL17" i="4" l="1"/>
  <c r="FA13" i="4"/>
  <c r="FA17" i="4" l="1"/>
  <c r="GP13" i="4"/>
  <c r="GP17" i="4" l="1"/>
  <c r="IE13" i="4"/>
  <c r="IE17" i="4" s="1"/>
  <c r="DK34" i="4" l="1"/>
  <c r="BW34" i="4"/>
  <c r="EZ33" i="4" l="1"/>
  <c r="FA33" i="4" s="1"/>
  <c r="AI23" i="4" l="1"/>
  <c r="D26" i="4"/>
  <c r="AK26" i="4"/>
  <c r="BW23" i="4"/>
  <c r="BW26" i="4" l="1"/>
  <c r="AJ23" i="4"/>
  <c r="AJ26" i="4" s="1"/>
  <c r="AI26" i="4"/>
  <c r="BX23" i="4" l="1"/>
  <c r="DL23" i="4" l="1"/>
  <c r="BX26" i="4"/>
  <c r="FA23" i="4" l="1"/>
  <c r="DL26" i="4"/>
  <c r="GP23" i="4" l="1"/>
  <c r="FA26" i="4"/>
  <c r="IE23" i="4" l="1"/>
  <c r="IE26" i="4" s="1"/>
  <c r="GP26" i="4"/>
  <c r="BH42" i="4" l="1"/>
  <c r="BH44" i="4" s="1"/>
  <c r="BH69" i="4" l="1"/>
  <c r="BH70" i="4" s="1"/>
  <c r="BH61" i="4"/>
  <c r="BH62" i="4" s="1"/>
  <c r="BH80" i="4"/>
  <c r="BH83" i="4" s="1"/>
  <c r="P70" i="5" l="1"/>
  <c r="T70" i="5" s="1"/>
  <c r="M70" i="5"/>
  <c r="BH71" i="4"/>
  <c r="AC70" i="5" l="1"/>
  <c r="GO33" i="4" l="1"/>
  <c r="GP33" i="4" s="1"/>
  <c r="ID33" i="4" l="1"/>
  <c r="IE33" i="4" s="1"/>
  <c r="HS57" i="4" l="1"/>
  <c r="DA57" i="4"/>
  <c r="EO57" i="4"/>
  <c r="GD57" i="4"/>
  <c r="HS46" i="4" l="1"/>
  <c r="HS81" i="4" s="1"/>
  <c r="HS84" i="4" s="1"/>
  <c r="GD46" i="4"/>
  <c r="GD81" i="4" s="1"/>
  <c r="GD84" i="4" s="1"/>
  <c r="EO46" i="4"/>
  <c r="EO81" i="4" s="1"/>
  <c r="EO84" i="4" s="1"/>
  <c r="DA46" i="4"/>
  <c r="DA81" i="4" s="1"/>
  <c r="DA84" i="4" s="1"/>
  <c r="R256" i="5" l="1"/>
  <c r="R164" i="5"/>
  <c r="R119" i="5"/>
  <c r="R210" i="5"/>
  <c r="AI35" i="4" l="1"/>
  <c r="AJ35" i="4" s="1"/>
  <c r="BW38" i="4" l="1"/>
  <c r="BX38" i="4" s="1"/>
  <c r="DL38" i="4" s="1"/>
  <c r="BM42" i="4"/>
  <c r="BM44" i="4" s="1"/>
  <c r="AI36" i="4" l="1"/>
  <c r="AJ36" i="4" s="1"/>
  <c r="AI52" i="4"/>
  <c r="BM80" i="4"/>
  <c r="BM83" i="4" s="1"/>
  <c r="P75" i="5"/>
  <c r="DA42" i="4"/>
  <c r="DA44" i="4" s="1"/>
  <c r="BI42" i="4"/>
  <c r="BI44" i="4" s="1"/>
  <c r="EO42" i="4" l="1"/>
  <c r="EO44" i="4" s="1"/>
  <c r="DA80" i="4"/>
  <c r="DA83" i="4" s="1"/>
  <c r="DA69" i="4"/>
  <c r="DA70" i="4" s="1"/>
  <c r="DA61" i="4"/>
  <c r="DA62" i="4" s="1"/>
  <c r="AJ52" i="4"/>
  <c r="W42" i="4"/>
  <c r="W44" i="4" s="1"/>
  <c r="BI80" i="4"/>
  <c r="BI83" i="4" s="1"/>
  <c r="P71" i="5"/>
  <c r="DA71" i="4" l="1"/>
  <c r="GD42" i="4"/>
  <c r="GD44" i="4" s="1"/>
  <c r="W80" i="4"/>
  <c r="W83" i="4" s="1"/>
  <c r="P29" i="5"/>
  <c r="EO69" i="4"/>
  <c r="EO70" i="4" s="1"/>
  <c r="EO61" i="4"/>
  <c r="EO62" i="4" s="1"/>
  <c r="EO80" i="4"/>
  <c r="EO83" i="4" s="1"/>
  <c r="P119" i="5"/>
  <c r="T119" i="5" s="1"/>
  <c r="M119" i="5"/>
  <c r="AC119" i="5" l="1"/>
  <c r="EO71" i="4"/>
  <c r="GD80" i="4"/>
  <c r="GD83" i="4" s="1"/>
  <c r="GD69" i="4"/>
  <c r="GD70" i="4" s="1"/>
  <c r="GD61" i="4"/>
  <c r="GD62" i="4" s="1"/>
  <c r="HS42" i="4"/>
  <c r="HS44" i="4" s="1"/>
  <c r="P164" i="5"/>
  <c r="T164" i="5" s="1"/>
  <c r="M164" i="5"/>
  <c r="GD71" i="4" l="1"/>
  <c r="AC164" i="5"/>
  <c r="HS80" i="4"/>
  <c r="HS83" i="4" s="1"/>
  <c r="HS69" i="4"/>
  <c r="HS70" i="4" s="1"/>
  <c r="HS61" i="4"/>
  <c r="HS62" i="4" s="1"/>
  <c r="P210" i="5"/>
  <c r="T210" i="5" s="1"/>
  <c r="M210" i="5"/>
  <c r="HS71" i="4" l="1"/>
  <c r="P256" i="5"/>
  <c r="T256" i="5" s="1"/>
  <c r="M256" i="5"/>
  <c r="AC210" i="5"/>
  <c r="AC256" i="5" l="1"/>
  <c r="EZ29" i="4" l="1"/>
  <c r="FA29" i="4" s="1"/>
  <c r="EZ30" i="4" l="1"/>
  <c r="FA30" i="4" s="1"/>
  <c r="EZ32" i="4"/>
  <c r="FA32" i="4" s="1"/>
  <c r="GO29" i="4" l="1"/>
  <c r="GP29" i="4" s="1"/>
  <c r="GO30" i="4" l="1"/>
  <c r="GP30" i="4" s="1"/>
  <c r="GO32" i="4"/>
  <c r="GP32" i="4" s="1"/>
  <c r="ID30" i="4" l="1"/>
  <c r="IE30" i="4" s="1"/>
  <c r="ID32" i="4"/>
  <c r="IE32" i="4" s="1"/>
  <c r="ID29" i="4"/>
  <c r="IE29" i="4" s="1"/>
  <c r="AI54" i="4" l="1"/>
  <c r="W57" i="4"/>
  <c r="W46" i="4" l="1"/>
  <c r="W81" i="4" s="1"/>
  <c r="W84" i="4" s="1"/>
  <c r="W69" i="4"/>
  <c r="W70" i="4" s="1"/>
  <c r="W61" i="4"/>
  <c r="W62" i="4" s="1"/>
  <c r="AJ54" i="4"/>
  <c r="AJ57" i="4" s="1"/>
  <c r="AJ46" i="4" s="1"/>
  <c r="AJ81" i="4" s="1"/>
  <c r="AJ84" i="4" s="1"/>
  <c r="AI57" i="4"/>
  <c r="AI46" i="4" s="1"/>
  <c r="AI81" i="4" s="1"/>
  <c r="AI84" i="4" s="1"/>
  <c r="W71" i="4" l="1"/>
  <c r="R29" i="5"/>
  <c r="K43" i="5"/>
  <c r="M29" i="5"/>
  <c r="T29" i="5" l="1"/>
  <c r="AC29" i="5" s="1"/>
  <c r="R43" i="5"/>
  <c r="EZ28" i="4"/>
  <c r="FA28" i="4" l="1"/>
  <c r="GO28" i="4" l="1"/>
  <c r="GP28" i="4" s="1"/>
  <c r="ID28" i="4" l="1"/>
  <c r="BI57" i="4" l="1"/>
  <c r="BW53" i="4"/>
  <c r="IE28" i="4"/>
  <c r="BX53" i="4" l="1"/>
  <c r="BI46" i="4"/>
  <c r="BI81" i="4" s="1"/>
  <c r="BI84" i="4" s="1"/>
  <c r="BI61" i="4"/>
  <c r="BI62" i="4" s="1"/>
  <c r="BI69" i="4"/>
  <c r="BI70" i="4" s="1"/>
  <c r="M71" i="5" l="1"/>
  <c r="R71" i="5"/>
  <c r="BI71" i="4"/>
  <c r="T71" i="5" l="1"/>
  <c r="AC71" i="5" s="1"/>
  <c r="DK53" i="4" l="1"/>
  <c r="CW57" i="4"/>
  <c r="CW46" i="4" l="1"/>
  <c r="CW81" i="4" s="1"/>
  <c r="CW84" i="4" s="1"/>
  <c r="CW69" i="4"/>
  <c r="CW70" i="4" s="1"/>
  <c r="CW61" i="4"/>
  <c r="CW62" i="4" s="1"/>
  <c r="DL53" i="4"/>
  <c r="CW71" i="4" l="1"/>
  <c r="R115" i="5"/>
  <c r="M115" i="5"/>
  <c r="T115" i="5" l="1"/>
  <c r="AC115" i="5" s="1"/>
  <c r="EK57" i="4" l="1"/>
  <c r="EZ53" i="4"/>
  <c r="FA53" i="4" l="1"/>
  <c r="EK46" i="4"/>
  <c r="EK81" i="4" s="1"/>
  <c r="EK84" i="4" s="1"/>
  <c r="R160" i="5" l="1"/>
  <c r="EZ38" i="4" l="1"/>
  <c r="FA38" i="4" s="1"/>
  <c r="GP38" i="4" s="1"/>
  <c r="IE38" i="4" s="1"/>
  <c r="EK42" i="4"/>
  <c r="EK44" i="4" s="1"/>
  <c r="EK80" i="4" l="1"/>
  <c r="EK83" i="4" s="1"/>
  <c r="EK69" i="4"/>
  <c r="EK70" i="4" s="1"/>
  <c r="EK61" i="4"/>
  <c r="EK62" i="4" s="1"/>
  <c r="EK71" i="4" l="1"/>
  <c r="P160" i="5"/>
  <c r="T160" i="5" s="1"/>
  <c r="M160" i="5"/>
  <c r="AC160" i="5" l="1"/>
  <c r="FZ57" i="4" l="1"/>
  <c r="GO53" i="4"/>
  <c r="GP53" i="4" l="1"/>
  <c r="FZ46" i="4"/>
  <c r="FZ81" i="4" s="1"/>
  <c r="FZ84" i="4" s="1"/>
  <c r="FZ61" i="4"/>
  <c r="FZ62" i="4" s="1"/>
  <c r="FZ69" i="4"/>
  <c r="FZ70" i="4" s="1"/>
  <c r="R206" i="5" l="1"/>
  <c r="M206" i="5"/>
  <c r="FZ71" i="4"/>
  <c r="T206" i="5" l="1"/>
  <c r="AC206" i="5" s="1"/>
  <c r="HO57" i="4" l="1"/>
  <c r="ID53" i="4"/>
  <c r="IE53" i="4" l="1"/>
  <c r="HO46" i="4"/>
  <c r="HO81" i="4" s="1"/>
  <c r="HO84" i="4" s="1"/>
  <c r="HO69" i="4"/>
  <c r="HO70" i="4" s="1"/>
  <c r="HO61" i="4"/>
  <c r="HO62" i="4" s="1"/>
  <c r="HO71" i="4" l="1"/>
  <c r="R252" i="5"/>
  <c r="M252" i="5"/>
  <c r="T252" i="5" l="1"/>
  <c r="AC252" i="5" s="1"/>
  <c r="DK31" i="4" l="1"/>
  <c r="BW31" i="4"/>
  <c r="DK39" i="4"/>
  <c r="BW39" i="4"/>
  <c r="ID39" i="4"/>
  <c r="EZ39" i="4"/>
  <c r="GO39" i="4"/>
  <c r="AI31" i="4" l="1"/>
  <c r="AJ31" i="4" l="1"/>
  <c r="AK42" i="4"/>
  <c r="AK44" i="4" s="1"/>
  <c r="BY42" i="4"/>
  <c r="BY44" i="4" s="1"/>
  <c r="AK61" i="4" l="1"/>
  <c r="AK80" i="4"/>
  <c r="AK83" i="4" s="1"/>
  <c r="AK69" i="4"/>
  <c r="AK70" i="4" s="1"/>
  <c r="BX31" i="4"/>
  <c r="FB42" i="4"/>
  <c r="FB44" i="4" s="1"/>
  <c r="GQ42" i="4"/>
  <c r="GQ44" i="4" s="1"/>
  <c r="D42" i="4"/>
  <c r="D44" i="4" s="1"/>
  <c r="BY61" i="4"/>
  <c r="BY80" i="4"/>
  <c r="BY83" i="4" s="1"/>
  <c r="BY69" i="4"/>
  <c r="BY70" i="4" s="1"/>
  <c r="AI39" i="4"/>
  <c r="DM42" i="4"/>
  <c r="DM44" i="4" s="1"/>
  <c r="GQ61" i="4" l="1"/>
  <c r="GQ80" i="4"/>
  <c r="GQ83" i="4" s="1"/>
  <c r="GQ69" i="4"/>
  <c r="GQ70" i="4" s="1"/>
  <c r="P47" i="5"/>
  <c r="T47" i="5" s="1"/>
  <c r="M47" i="5"/>
  <c r="P91" i="5"/>
  <c r="T91" i="5" s="1"/>
  <c r="M91" i="5"/>
  <c r="DM61" i="4"/>
  <c r="DM80" i="4"/>
  <c r="DM83" i="4" s="1"/>
  <c r="DM69" i="4"/>
  <c r="DM70" i="4" s="1"/>
  <c r="FB69" i="4"/>
  <c r="FB70" i="4" s="1"/>
  <c r="FB80" i="4"/>
  <c r="FB83" i="4" s="1"/>
  <c r="FB61" i="4"/>
  <c r="BY62" i="4"/>
  <c r="AK62" i="4"/>
  <c r="D3" i="4"/>
  <c r="AJ39" i="4"/>
  <c r="D69" i="4"/>
  <c r="D70" i="4" s="1"/>
  <c r="D80" i="4"/>
  <c r="D83" i="4" s="1"/>
  <c r="D61" i="4"/>
  <c r="DL31" i="4"/>
  <c r="AC47" i="5" l="1"/>
  <c r="D62" i="4"/>
  <c r="D71" i="4" s="1"/>
  <c r="P136" i="5"/>
  <c r="T136" i="5" s="1"/>
  <c r="M136" i="5"/>
  <c r="AC91" i="5"/>
  <c r="GQ62" i="4"/>
  <c r="GQ71" i="4" s="1"/>
  <c r="P182" i="5"/>
  <c r="T182" i="5" s="1"/>
  <c r="M182" i="5"/>
  <c r="P10" i="5"/>
  <c r="M10" i="5"/>
  <c r="FB62" i="4"/>
  <c r="FB71" i="4" s="1"/>
  <c r="DM62" i="4"/>
  <c r="BY71" i="4"/>
  <c r="P228" i="5"/>
  <c r="T228" i="5" s="1"/>
  <c r="M228" i="5"/>
  <c r="E42" i="4"/>
  <c r="E44" i="4" s="1"/>
  <c r="BX39" i="4"/>
  <c r="AK71" i="4"/>
  <c r="AC182" i="5" l="1"/>
  <c r="AC228" i="5"/>
  <c r="E61" i="4"/>
  <c r="E80" i="4"/>
  <c r="E83" i="4" s="1"/>
  <c r="E69" i="4"/>
  <c r="E70" i="4" s="1"/>
  <c r="T10" i="5"/>
  <c r="AC10" i="5" s="1"/>
  <c r="DM71" i="4"/>
  <c r="AC136" i="5"/>
  <c r="DL39" i="4"/>
  <c r="E3" i="4" l="1"/>
  <c r="E62" i="4"/>
  <c r="E71" i="4" s="1"/>
  <c r="FA39" i="4"/>
  <c r="GP39" i="4" s="1"/>
  <c r="IE39" i="4" s="1"/>
  <c r="P11" i="5"/>
  <c r="M11" i="5"/>
  <c r="EZ31" i="4" l="1"/>
  <c r="T11" i="5"/>
  <c r="AC11" i="5" s="1"/>
  <c r="FA31" i="4" l="1"/>
  <c r="GO31" i="4" l="1"/>
  <c r="GP31" i="4" l="1"/>
  <c r="ID31" i="4" l="1"/>
  <c r="IE31" i="4" l="1"/>
  <c r="ER42" i="4" l="1"/>
  <c r="ER44" i="4" s="1"/>
  <c r="HV42" i="4"/>
  <c r="HV44" i="4" s="1"/>
  <c r="GG42" i="4"/>
  <c r="GG44" i="4" s="1"/>
  <c r="DD42" i="4"/>
  <c r="DD44" i="4" s="1"/>
  <c r="BP42" i="4"/>
  <c r="BP44" i="4" s="1"/>
  <c r="BP80" i="4" l="1"/>
  <c r="BP83" i="4" s="1"/>
  <c r="P78" i="5"/>
  <c r="HV80" i="4"/>
  <c r="HV83" i="4" s="1"/>
  <c r="P259" i="5"/>
  <c r="DD80" i="4"/>
  <c r="DD83" i="4" s="1"/>
  <c r="P122" i="5"/>
  <c r="ER80" i="4"/>
  <c r="ER83" i="4" s="1"/>
  <c r="P167" i="5"/>
  <c r="GG80" i="4"/>
  <c r="GG83" i="4" s="1"/>
  <c r="P213" i="5"/>
  <c r="BW36" i="4" l="1"/>
  <c r="BX36" i="4" s="1"/>
  <c r="HV57" i="4" l="1"/>
  <c r="GG57" i="4"/>
  <c r="DK36" i="4" l="1"/>
  <c r="DL36" i="4" s="1"/>
  <c r="GI57" i="4"/>
  <c r="GG46" i="4"/>
  <c r="GG81" i="4" s="1"/>
  <c r="GG84" i="4" s="1"/>
  <c r="GG61" i="4"/>
  <c r="GG62" i="4" s="1"/>
  <c r="GG69" i="4"/>
  <c r="GG70" i="4" s="1"/>
  <c r="HV46" i="4"/>
  <c r="HV81" i="4" s="1"/>
  <c r="HV84" i="4" s="1"/>
  <c r="HV61" i="4"/>
  <c r="HV62" i="4" s="1"/>
  <c r="HV69" i="4"/>
  <c r="HV70" i="4" s="1"/>
  <c r="GO51" i="4"/>
  <c r="HW57" i="4"/>
  <c r="ET57" i="4"/>
  <c r="GO35" i="4"/>
  <c r="ID51" i="4"/>
  <c r="ID52" i="4"/>
  <c r="DC57" i="4"/>
  <c r="ES57" i="4"/>
  <c r="DE57" i="4"/>
  <c r="DK51" i="4"/>
  <c r="GH57" i="4"/>
  <c r="EZ36" i="4"/>
  <c r="FA36" i="4" s="1"/>
  <c r="DD57" i="4"/>
  <c r="ER57" i="4"/>
  <c r="BP57" i="4"/>
  <c r="DF57" i="4"/>
  <c r="HV71" i="4" l="1"/>
  <c r="EZ52" i="4"/>
  <c r="ES46" i="4"/>
  <c r="ES81" i="4" s="1"/>
  <c r="ES84" i="4" s="1"/>
  <c r="GH46" i="4"/>
  <c r="GH81" i="4" s="1"/>
  <c r="GH84" i="4" s="1"/>
  <c r="DE46" i="4"/>
  <c r="DE81" i="4" s="1"/>
  <c r="DE84" i="4" s="1"/>
  <c r="ET46" i="4"/>
  <c r="ET81" i="4" s="1"/>
  <c r="ET84" i="4" s="1"/>
  <c r="DC46" i="4"/>
  <c r="DC81" i="4" s="1"/>
  <c r="DC84" i="4" s="1"/>
  <c r="GI46" i="4"/>
  <c r="GI81" i="4" s="1"/>
  <c r="GI84" i="4" s="1"/>
  <c r="HW46" i="4"/>
  <c r="HW81" i="4" s="1"/>
  <c r="HW84" i="4" s="1"/>
  <c r="ID54" i="4"/>
  <c r="ID57" i="4" s="1"/>
  <c r="ID46" i="4" s="1"/>
  <c r="ID81" i="4" s="1"/>
  <c r="ID84" i="4" s="1"/>
  <c r="BR42" i="4"/>
  <c r="BR44" i="4" s="1"/>
  <c r="BR57" i="4"/>
  <c r="DK52" i="4"/>
  <c r="GO54" i="4"/>
  <c r="ID36" i="4"/>
  <c r="R213" i="5"/>
  <c r="T213" i="5" s="1"/>
  <c r="M213" i="5"/>
  <c r="EZ35" i="4"/>
  <c r="ER46" i="4"/>
  <c r="ER81" i="4" s="1"/>
  <c r="ER84" i="4" s="1"/>
  <c r="ER61" i="4"/>
  <c r="ER62" i="4" s="1"/>
  <c r="ER69" i="4"/>
  <c r="ER70" i="4" s="1"/>
  <c r="DD46" i="4"/>
  <c r="DD81" i="4" s="1"/>
  <c r="DD84" i="4" s="1"/>
  <c r="DD61" i="4"/>
  <c r="DD62" i="4" s="1"/>
  <c r="DD69" i="4"/>
  <c r="DD70" i="4" s="1"/>
  <c r="EZ51" i="4"/>
  <c r="GF57" i="4"/>
  <c r="BW51" i="4"/>
  <c r="DK35" i="4"/>
  <c r="DF46" i="4"/>
  <c r="DF81" i="4" s="1"/>
  <c r="DF84" i="4" s="1"/>
  <c r="BQ57" i="4"/>
  <c r="HX57" i="4"/>
  <c r="ID35" i="4"/>
  <c r="EQ57" i="4"/>
  <c r="BO57" i="4"/>
  <c r="GO52" i="4"/>
  <c r="R259" i="5"/>
  <c r="T259" i="5" s="1"/>
  <c r="M259" i="5"/>
  <c r="BP46" i="4"/>
  <c r="BP81" i="4" s="1"/>
  <c r="BP84" i="4" s="1"/>
  <c r="BP61" i="4"/>
  <c r="BP62" i="4" s="1"/>
  <c r="BP69" i="4"/>
  <c r="BP70" i="4" s="1"/>
  <c r="DE42" i="4"/>
  <c r="DE44" i="4" s="1"/>
  <c r="DK54" i="4"/>
  <c r="HU57" i="4"/>
  <c r="BW35" i="4"/>
  <c r="BX35" i="4" s="1"/>
  <c r="BW54" i="4"/>
  <c r="BX54" i="4" s="1"/>
  <c r="GO36" i="4"/>
  <c r="GP36" i="4" s="1"/>
  <c r="GG71" i="4"/>
  <c r="EZ54" i="4"/>
  <c r="IE36" i="4" l="1"/>
  <c r="DL54" i="4"/>
  <c r="BP71" i="4"/>
  <c r="GO57" i="4"/>
  <c r="GO46" i="4" s="1"/>
  <c r="GO81" i="4" s="1"/>
  <c r="GO84" i="4" s="1"/>
  <c r="DD71" i="4"/>
  <c r="DK57" i="4"/>
  <c r="DK46" i="4" s="1"/>
  <c r="DK81" i="4" s="1"/>
  <c r="DK84" i="4" s="1"/>
  <c r="ET42" i="4"/>
  <c r="ET44" i="4" s="1"/>
  <c r="R125" i="5"/>
  <c r="BR46" i="4"/>
  <c r="BR81" i="4" s="1"/>
  <c r="BR84" i="4" s="1"/>
  <c r="HU42" i="4"/>
  <c r="HU44" i="4" s="1"/>
  <c r="HX46" i="4"/>
  <c r="HX81" i="4" s="1"/>
  <c r="HX84" i="4" s="1"/>
  <c r="R167" i="5"/>
  <c r="T167" i="5" s="1"/>
  <c r="M167" i="5"/>
  <c r="AC213" i="5"/>
  <c r="BQ42" i="4"/>
  <c r="BQ44" i="4" s="1"/>
  <c r="R78" i="5"/>
  <c r="T78" i="5" s="1"/>
  <c r="M78" i="5"/>
  <c r="GF42" i="4"/>
  <c r="GF44" i="4" s="1"/>
  <c r="DE80" i="4"/>
  <c r="DE83" i="4" s="1"/>
  <c r="DE61" i="4"/>
  <c r="DE62" i="4" s="1"/>
  <c r="DE69" i="4"/>
  <c r="DE70" i="4" s="1"/>
  <c r="P123" i="5"/>
  <c r="EQ46" i="4"/>
  <c r="EQ81" i="4" s="1"/>
  <c r="EQ84" i="4" s="1"/>
  <c r="R121" i="5"/>
  <c r="R214" i="5"/>
  <c r="R216" i="5"/>
  <c r="DF42" i="4"/>
  <c r="DF44" i="4" s="1"/>
  <c r="BO42" i="4"/>
  <c r="BO44" i="4" s="1"/>
  <c r="DC42" i="4"/>
  <c r="DC44" i="4" s="1"/>
  <c r="AC259" i="5"/>
  <c r="DL35" i="4"/>
  <c r="FA35" i="4" s="1"/>
  <c r="GP35" i="4" s="1"/>
  <c r="IE35" i="4" s="1"/>
  <c r="R122" i="5"/>
  <c r="T122" i="5" s="1"/>
  <c r="M122" i="5"/>
  <c r="BR80" i="4"/>
  <c r="BR83" i="4" s="1"/>
  <c r="BR69" i="4"/>
  <c r="BR70" i="4" s="1"/>
  <c r="BR61" i="4"/>
  <c r="BR62" i="4" s="1"/>
  <c r="P80" i="5"/>
  <c r="ES42" i="4"/>
  <c r="ES44" i="4" s="1"/>
  <c r="R123" i="5"/>
  <c r="GH42" i="4"/>
  <c r="GH44" i="4" s="1"/>
  <c r="EQ42" i="4"/>
  <c r="EQ44" i="4" s="1"/>
  <c r="HX42" i="4"/>
  <c r="HX44" i="4" s="1"/>
  <c r="BQ46" i="4"/>
  <c r="BQ81" i="4" s="1"/>
  <c r="BQ84" i="4" s="1"/>
  <c r="R260" i="5"/>
  <c r="R170" i="5"/>
  <c r="R168" i="5"/>
  <c r="GI42" i="4"/>
  <c r="GI44" i="4" s="1"/>
  <c r="EZ57" i="4"/>
  <c r="EZ46" i="4" s="1"/>
  <c r="EZ81" i="4" s="1"/>
  <c r="EZ84" i="4" s="1"/>
  <c r="BX51" i="4"/>
  <c r="HW42" i="4"/>
  <c r="HW44" i="4" s="1"/>
  <c r="FA54" i="4"/>
  <c r="GP54" i="4" s="1"/>
  <c r="IE54" i="4" s="1"/>
  <c r="HU46" i="4"/>
  <c r="HU81" i="4" s="1"/>
  <c r="HU84" i="4" s="1"/>
  <c r="BO46" i="4"/>
  <c r="BO81" i="4" s="1"/>
  <c r="BO84" i="4" s="1"/>
  <c r="GF46" i="4"/>
  <c r="GF81" i="4" s="1"/>
  <c r="GF84" i="4" s="1"/>
  <c r="ER71" i="4"/>
  <c r="K15" i="12" l="1"/>
  <c r="L15" i="12"/>
  <c r="DE71" i="4"/>
  <c r="DL51" i="4"/>
  <c r="BR71" i="4"/>
  <c r="R212" i="5"/>
  <c r="M123" i="5"/>
  <c r="DF80" i="4"/>
  <c r="DF83" i="4" s="1"/>
  <c r="DF61" i="4"/>
  <c r="DF62" i="4" s="1"/>
  <c r="DF69" i="4"/>
  <c r="DF70" i="4" s="1"/>
  <c r="AC78" i="5"/>
  <c r="R262" i="5"/>
  <c r="R80" i="5"/>
  <c r="T80" i="5" s="1"/>
  <c r="M80" i="5"/>
  <c r="AC167" i="5"/>
  <c r="HW69" i="4"/>
  <c r="HW70" i="4" s="1"/>
  <c r="HW61" i="4"/>
  <c r="HW62" i="4" s="1"/>
  <c r="HW80" i="4"/>
  <c r="HW83" i="4" s="1"/>
  <c r="GI80" i="4"/>
  <c r="GI83" i="4" s="1"/>
  <c r="GI61" i="4"/>
  <c r="GI62" i="4" s="1"/>
  <c r="GI69" i="4"/>
  <c r="GI70" i="4" s="1"/>
  <c r="EQ61" i="4"/>
  <c r="EQ62" i="4" s="1"/>
  <c r="EQ80" i="4"/>
  <c r="EQ83" i="4" s="1"/>
  <c r="EQ69" i="4"/>
  <c r="EQ70" i="4" s="1"/>
  <c r="P166" i="5"/>
  <c r="ES61" i="4"/>
  <c r="ES62" i="4" s="1"/>
  <c r="ES80" i="4"/>
  <c r="ES83" i="4" s="1"/>
  <c r="ES69" i="4"/>
  <c r="ES70" i="4" s="1"/>
  <c r="BQ61" i="4"/>
  <c r="BQ62" i="4" s="1"/>
  <c r="BQ80" i="4"/>
  <c r="BQ83" i="4" s="1"/>
  <c r="BQ69" i="4"/>
  <c r="BQ70" i="4" s="1"/>
  <c r="P79" i="5"/>
  <c r="HX80" i="4"/>
  <c r="HX83" i="4" s="1"/>
  <c r="HX69" i="4"/>
  <c r="HX70" i="4" s="1"/>
  <c r="HX61" i="4"/>
  <c r="HX62" i="4" s="1"/>
  <c r="P262" i="5"/>
  <c r="T123" i="5"/>
  <c r="R77" i="5"/>
  <c r="DC80" i="4"/>
  <c r="DC83" i="4" s="1"/>
  <c r="DC61" i="4"/>
  <c r="DC62" i="4" s="1"/>
  <c r="DC69" i="4"/>
  <c r="DC70" i="4" s="1"/>
  <c r="R166" i="5"/>
  <c r="GF61" i="4"/>
  <c r="GF62" i="4" s="1"/>
  <c r="GF80" i="4"/>
  <c r="GF83" i="4" s="1"/>
  <c r="GF69" i="4"/>
  <c r="GF70" i="4" s="1"/>
  <c r="P212" i="5"/>
  <c r="HU69" i="4"/>
  <c r="HU70" i="4" s="1"/>
  <c r="HU80" i="4"/>
  <c r="HU83" i="4" s="1"/>
  <c r="HU61" i="4"/>
  <c r="HU62" i="4" s="1"/>
  <c r="P258" i="5"/>
  <c r="ET80" i="4"/>
  <c r="ET83" i="4" s="1"/>
  <c r="ET61" i="4"/>
  <c r="ET62" i="4" s="1"/>
  <c r="ET69" i="4"/>
  <c r="ET70" i="4" s="1"/>
  <c r="R258" i="5"/>
  <c r="BO69" i="4"/>
  <c r="BO70" i="4" s="1"/>
  <c r="BO80" i="4"/>
  <c r="BO83" i="4" s="1"/>
  <c r="BO61" i="4"/>
  <c r="BO62" i="4" s="1"/>
  <c r="P77" i="5"/>
  <c r="R79" i="5"/>
  <c r="GH61" i="4"/>
  <c r="GH62" i="4" s="1"/>
  <c r="GH69" i="4"/>
  <c r="GH70" i="4" s="1"/>
  <c r="GH80" i="4"/>
  <c r="GH83" i="4" s="1"/>
  <c r="AC122" i="5"/>
  <c r="J15" i="12" l="1"/>
  <c r="N15" i="12" s="1"/>
  <c r="DF71" i="4"/>
  <c r="GI71" i="4"/>
  <c r="DC71" i="4"/>
  <c r="GF71" i="4"/>
  <c r="HU71" i="4"/>
  <c r="AC123" i="5"/>
  <c r="BO71" i="4"/>
  <c r="HW71" i="4"/>
  <c r="M166" i="5"/>
  <c r="ET71" i="4"/>
  <c r="T166" i="5"/>
  <c r="AC166" i="5" s="1"/>
  <c r="M262" i="5"/>
  <c r="M258" i="5"/>
  <c r="P260" i="5"/>
  <c r="T260" i="5" s="1"/>
  <c r="M260" i="5"/>
  <c r="M79" i="5"/>
  <c r="P121" i="5"/>
  <c r="T121" i="5" s="1"/>
  <c r="M121" i="5"/>
  <c r="T77" i="5"/>
  <c r="HX71" i="4"/>
  <c r="BQ71" i="4"/>
  <c r="ES71" i="4"/>
  <c r="AC80" i="5"/>
  <c r="T262" i="5"/>
  <c r="P168" i="5"/>
  <c r="T168" i="5" s="1"/>
  <c r="M168" i="5"/>
  <c r="T79" i="5"/>
  <c r="M77" i="5"/>
  <c r="P216" i="5"/>
  <c r="T216" i="5" s="1"/>
  <c r="M216" i="5"/>
  <c r="M212" i="5"/>
  <c r="P214" i="5"/>
  <c r="T214" i="5" s="1"/>
  <c r="M214" i="5"/>
  <c r="P125" i="5"/>
  <c r="T125" i="5" s="1"/>
  <c r="M125" i="5"/>
  <c r="T212" i="5"/>
  <c r="T258" i="5"/>
  <c r="AC258" i="5" s="1"/>
  <c r="FA51" i="4"/>
  <c r="GH71" i="4"/>
  <c r="P170" i="5"/>
  <c r="T170" i="5" s="1"/>
  <c r="M170" i="5"/>
  <c r="EQ71" i="4"/>
  <c r="AC262" i="5" l="1"/>
  <c r="AC79" i="5"/>
  <c r="AC77" i="5"/>
  <c r="AC212" i="5"/>
  <c r="AC168" i="5"/>
  <c r="AC216" i="5"/>
  <c r="AC125" i="5"/>
  <c r="AC121" i="5"/>
  <c r="AC170" i="5"/>
  <c r="GP51" i="4"/>
  <c r="AC214" i="5"/>
  <c r="AC260" i="5"/>
  <c r="IE51" i="4" l="1"/>
  <c r="BM57" i="4" l="1"/>
  <c r="BW52" i="4"/>
  <c r="BX52" i="4" l="1"/>
  <c r="BW57" i="4"/>
  <c r="BW46" i="4" s="1"/>
  <c r="BW81" i="4" s="1"/>
  <c r="BW84" i="4" s="1"/>
  <c r="BM46" i="4"/>
  <c r="BM81" i="4" s="1"/>
  <c r="BM84" i="4" s="1"/>
  <c r="BM61" i="4"/>
  <c r="BM62" i="4" s="1"/>
  <c r="BM69" i="4"/>
  <c r="BM70" i="4" s="1"/>
  <c r="R75" i="5" l="1"/>
  <c r="M75" i="5"/>
  <c r="K87" i="5"/>
  <c r="K132" i="5" s="1"/>
  <c r="K178" i="5" s="1"/>
  <c r="K224" i="5" s="1"/>
  <c r="K270" i="5" s="1"/>
  <c r="BM71" i="4"/>
  <c r="DL52" i="4"/>
  <c r="BX57" i="4"/>
  <c r="BX46" i="4" s="1"/>
  <c r="BX81" i="4" s="1"/>
  <c r="BX84" i="4" s="1"/>
  <c r="T75" i="5" l="1"/>
  <c r="AC75" i="5" s="1"/>
  <c r="R87" i="5"/>
  <c r="R132" i="5" s="1"/>
  <c r="R178" i="5" s="1"/>
  <c r="R224" i="5" s="1"/>
  <c r="R270" i="5" s="1"/>
  <c r="FA52" i="4"/>
  <c r="DL57" i="4"/>
  <c r="DL46" i="4" s="1"/>
  <c r="DL81" i="4" s="1"/>
  <c r="DL84" i="4" s="1"/>
  <c r="GP52" i="4" l="1"/>
  <c r="FA57" i="4"/>
  <c r="FA46" i="4" s="1"/>
  <c r="FA81" i="4" s="1"/>
  <c r="FA84" i="4" s="1"/>
  <c r="IE52" i="4" l="1"/>
  <c r="IE57" i="4" s="1"/>
  <c r="IE46" i="4" s="1"/>
  <c r="IE81" i="4" s="1"/>
  <c r="IE84" i="4" s="1"/>
  <c r="GP57" i="4"/>
  <c r="GP46" i="4" s="1"/>
  <c r="GP81" i="4" s="1"/>
  <c r="GP84" i="4" s="1"/>
  <c r="A84" i="4" l="1"/>
  <c r="AI34" i="4"/>
  <c r="AJ34" i="4" s="1"/>
  <c r="BX34" i="4" s="1"/>
  <c r="DL34" i="4" s="1"/>
  <c r="O42" i="4" l="1"/>
  <c r="O44" i="4" s="1"/>
  <c r="O80" i="4" l="1"/>
  <c r="O83" i="4" s="1"/>
  <c r="O69" i="4"/>
  <c r="O70" i="4" s="1"/>
  <c r="O61" i="4"/>
  <c r="O62" i="4" s="1"/>
  <c r="O71" i="4" l="1"/>
  <c r="P21" i="5"/>
  <c r="T21" i="5" s="1"/>
  <c r="M21" i="5"/>
  <c r="AC21" i="5" l="1"/>
  <c r="EZ34" i="4" l="1"/>
  <c r="FA34" i="4" l="1"/>
  <c r="EH42" i="4" l="1"/>
  <c r="EH44" i="4" s="1"/>
  <c r="EH61" i="4" l="1"/>
  <c r="EH62" i="4" s="1"/>
  <c r="EH80" i="4"/>
  <c r="EH83" i="4" s="1"/>
  <c r="EH69" i="4"/>
  <c r="EH70" i="4" s="1"/>
  <c r="EH71" i="4" s="1"/>
  <c r="M157" i="5" l="1"/>
  <c r="GO34" i="4" l="1"/>
  <c r="GP34" i="4" l="1"/>
  <c r="FW42" i="4" l="1"/>
  <c r="FW44" i="4" s="1"/>
  <c r="FW61" i="4" l="1"/>
  <c r="FW62" i="4" s="1"/>
  <c r="FW69" i="4"/>
  <c r="FW70" i="4" s="1"/>
  <c r="FW71" i="4" s="1"/>
  <c r="FW80" i="4"/>
  <c r="FW83" i="4" s="1"/>
  <c r="M203" i="5" l="1"/>
  <c r="ID34" i="4"/>
  <c r="IE34" i="4" l="1"/>
  <c r="HL42" i="4" l="1"/>
  <c r="HL44" i="4" s="1"/>
  <c r="HL69" i="4" l="1"/>
  <c r="HL70" i="4" s="1"/>
  <c r="HL80" i="4"/>
  <c r="HL83" i="4" s="1"/>
  <c r="HL61" i="4"/>
  <c r="HL62" i="4" s="1"/>
  <c r="M249" i="5" l="1"/>
  <c r="HL71" i="4"/>
  <c r="AO42" i="4" l="1"/>
  <c r="AO44" i="4" s="1"/>
  <c r="BW40" i="4"/>
  <c r="BW42" i="4" l="1"/>
  <c r="BW44" i="4" s="1"/>
  <c r="AO80" i="4"/>
  <c r="AO83" i="4" s="1"/>
  <c r="AO69" i="4"/>
  <c r="AO70" i="4" s="1"/>
  <c r="AO61" i="4"/>
  <c r="AO62" i="4" l="1"/>
  <c r="BW62" i="4" s="1"/>
  <c r="BW61" i="4"/>
  <c r="BW69" i="4"/>
  <c r="BW70" i="4" s="1"/>
  <c r="BW80" i="4"/>
  <c r="BW83" i="4" s="1"/>
  <c r="P51" i="5"/>
  <c r="T51" i="5" s="1"/>
  <c r="M51" i="5"/>
  <c r="BW71" i="4" l="1"/>
  <c r="AC51" i="5"/>
  <c r="H22" i="12" s="1"/>
  <c r="AO71" i="4"/>
  <c r="H42" i="4" l="1"/>
  <c r="H44" i="4" s="1"/>
  <c r="H61" i="4" s="1"/>
  <c r="AI40" i="4"/>
  <c r="H3" i="4" l="1"/>
  <c r="AJ40" i="4"/>
  <c r="AI42" i="4"/>
  <c r="AI44" i="4" s="1"/>
  <c r="H69" i="4"/>
  <c r="H70" i="4" s="1"/>
  <c r="H80" i="4"/>
  <c r="H83" i="4" s="1"/>
  <c r="AI80" i="4" l="1"/>
  <c r="AI83" i="4" s="1"/>
  <c r="AI69" i="4"/>
  <c r="AI70" i="4" s="1"/>
  <c r="AJ42" i="4"/>
  <c r="AJ44" i="4" s="1"/>
  <c r="BX40" i="4"/>
  <c r="BX42" i="4" s="1"/>
  <c r="BX44" i="4" s="1"/>
  <c r="H62" i="4"/>
  <c r="H71" i="4" s="1"/>
  <c r="AI61" i="4"/>
  <c r="AI62" i="4" s="1"/>
  <c r="AI71" i="4" s="1"/>
  <c r="P14" i="5"/>
  <c r="M14" i="5"/>
  <c r="I43" i="5"/>
  <c r="CC42" i="4"/>
  <c r="CC44" i="4" s="1"/>
  <c r="DK40" i="4"/>
  <c r="DQ42" i="4" l="1"/>
  <c r="DQ44" i="4" s="1"/>
  <c r="EZ40" i="4"/>
  <c r="EZ42" i="4" s="1"/>
  <c r="EZ44" i="4" s="1"/>
  <c r="CC80" i="4"/>
  <c r="CC83" i="4" s="1"/>
  <c r="CC69" i="4"/>
  <c r="CC70" i="4" s="1"/>
  <c r="CC61" i="4"/>
  <c r="DL40" i="4"/>
  <c r="DK42" i="4"/>
  <c r="DK44" i="4" s="1"/>
  <c r="I87" i="5"/>
  <c r="M43" i="5"/>
  <c r="AP43" i="5" s="1"/>
  <c r="Q13" i="12" s="1"/>
  <c r="BX80" i="4"/>
  <c r="BX83" i="4" s="1"/>
  <c r="BX69" i="4"/>
  <c r="BX70" i="4" s="1"/>
  <c r="BX61" i="4"/>
  <c r="BX62" i="4" s="1"/>
  <c r="BX48" i="4"/>
  <c r="AJ69" i="4"/>
  <c r="AJ70" i="4" s="1"/>
  <c r="AJ61" i="4"/>
  <c r="AJ62" i="4" s="1"/>
  <c r="AJ48" i="4"/>
  <c r="AJ80" i="4"/>
  <c r="AJ83" i="4" s="1"/>
  <c r="T14" i="5"/>
  <c r="AC14" i="5" s="1"/>
  <c r="AC43" i="5" s="1"/>
  <c r="AC87" i="5" s="1"/>
  <c r="P43" i="5"/>
  <c r="BX71" i="4" l="1"/>
  <c r="FF42" i="4"/>
  <c r="FF44" i="4" s="1"/>
  <c r="GO40" i="4"/>
  <c r="GO42" i="4" s="1"/>
  <c r="GO44" i="4" s="1"/>
  <c r="AJ71" i="4"/>
  <c r="I132" i="5"/>
  <c r="M87" i="5"/>
  <c r="AP87" i="5" s="1"/>
  <c r="R13" i="12" s="1"/>
  <c r="H13" i="12" s="1"/>
  <c r="H23" i="12" s="1"/>
  <c r="H28" i="12" s="1"/>
  <c r="CC62" i="4"/>
  <c r="DK62" i="4" s="1"/>
  <c r="DK61" i="4"/>
  <c r="P87" i="5"/>
  <c r="T43" i="5"/>
  <c r="T44" i="5" s="1"/>
  <c r="DK69" i="4"/>
  <c r="DK70" i="4" s="1"/>
  <c r="DK80" i="4"/>
  <c r="DK83" i="4" s="1"/>
  <c r="FA40" i="4"/>
  <c r="DL42" i="4"/>
  <c r="DL44" i="4" s="1"/>
  <c r="EZ80" i="4"/>
  <c r="EZ83" i="4" s="1"/>
  <c r="EZ69" i="4"/>
  <c r="EZ70" i="4" s="1"/>
  <c r="P95" i="5"/>
  <c r="T95" i="5" s="1"/>
  <c r="M95" i="5"/>
  <c r="DQ69" i="4"/>
  <c r="DQ70" i="4" s="1"/>
  <c r="DQ61" i="4"/>
  <c r="DQ80" i="4"/>
  <c r="DQ83" i="4" s="1"/>
  <c r="DK71" i="4" l="1"/>
  <c r="CC71" i="4"/>
  <c r="DL80" i="4"/>
  <c r="DL83" i="4" s="1"/>
  <c r="DL69" i="4"/>
  <c r="DL70" i="4" s="1"/>
  <c r="DL61" i="4"/>
  <c r="DL62" i="4" s="1"/>
  <c r="DL48" i="4"/>
  <c r="I178" i="5"/>
  <c r="M132" i="5"/>
  <c r="AP132" i="5" s="1"/>
  <c r="S13" i="12" s="1"/>
  <c r="GU42" i="4"/>
  <c r="GU44" i="4" s="1"/>
  <c r="ID40" i="4"/>
  <c r="ID42" i="4" s="1"/>
  <c r="ID44" i="4" s="1"/>
  <c r="AC95" i="5"/>
  <c r="GP40" i="4"/>
  <c r="FA42" i="4"/>
  <c r="FA44" i="4" s="1"/>
  <c r="P132" i="5"/>
  <c r="T87" i="5"/>
  <c r="T88" i="5" s="1"/>
  <c r="P140" i="5"/>
  <c r="T140" i="5" s="1"/>
  <c r="M140" i="5"/>
  <c r="GO69" i="4"/>
  <c r="GO70" i="4" s="1"/>
  <c r="GO80" i="4"/>
  <c r="GO83" i="4" s="1"/>
  <c r="DQ62" i="4"/>
  <c r="EZ62" i="4" s="1"/>
  <c r="EZ71" i="4" s="1"/>
  <c r="EZ61" i="4"/>
  <c r="FF80" i="4"/>
  <c r="FF83" i="4" s="1"/>
  <c r="FF61" i="4"/>
  <c r="FF69" i="4"/>
  <c r="FF70" i="4" s="1"/>
  <c r="AC132" i="5" l="1"/>
  <c r="DL71" i="4"/>
  <c r="FA80" i="4"/>
  <c r="FA83" i="4" s="1"/>
  <c r="FA69" i="4"/>
  <c r="FA70" i="4" s="1"/>
  <c r="FA61" i="4"/>
  <c r="FA62" i="4" s="1"/>
  <c r="FA48" i="4"/>
  <c r="P186" i="5"/>
  <c r="T186" i="5" s="1"/>
  <c r="M186" i="5"/>
  <c r="AC140" i="5"/>
  <c r="J22" i="12" s="1"/>
  <c r="ID80" i="4"/>
  <c r="ID83" i="4" s="1"/>
  <c r="ID69" i="4"/>
  <c r="ID70" i="4" s="1"/>
  <c r="IE40" i="4"/>
  <c r="IE42" i="4" s="1"/>
  <c r="IE44" i="4" s="1"/>
  <c r="GP42" i="4"/>
  <c r="GP44" i="4" s="1"/>
  <c r="I224" i="5"/>
  <c r="M178" i="5"/>
  <c r="AP178" i="5" s="1"/>
  <c r="T13" i="12" s="1"/>
  <c r="FF62" i="4"/>
  <c r="GO62" i="4" s="1"/>
  <c r="GO71" i="4" s="1"/>
  <c r="GO61" i="4"/>
  <c r="GU61" i="4"/>
  <c r="GU69" i="4"/>
  <c r="GU70" i="4" s="1"/>
  <c r="GU80" i="4"/>
  <c r="GU83" i="4" s="1"/>
  <c r="T132" i="5"/>
  <c r="T133" i="5" s="1"/>
  <c r="DQ71" i="4"/>
  <c r="J13" i="12" l="1"/>
  <c r="P232" i="5"/>
  <c r="T232" i="5" s="1"/>
  <c r="M232" i="5"/>
  <c r="AC186" i="5"/>
  <c r="K22" i="12" s="1"/>
  <c r="I270" i="5"/>
  <c r="M270" i="5" s="1"/>
  <c r="AP270" i="5" s="1"/>
  <c r="V13" i="12" s="1"/>
  <c r="M224" i="5"/>
  <c r="AP224" i="5" s="1"/>
  <c r="U13" i="12" s="1"/>
  <c r="GU62" i="4"/>
  <c r="ID62" i="4" s="1"/>
  <c r="ID71" i="4" s="1"/>
  <c r="ID61" i="4"/>
  <c r="GP69" i="4"/>
  <c r="GP70" i="4" s="1"/>
  <c r="GP61" i="4"/>
  <c r="GP62" i="4" s="1"/>
  <c r="GP48" i="4"/>
  <c r="GP80" i="4"/>
  <c r="GP83" i="4" s="1"/>
  <c r="FF71" i="4"/>
  <c r="FA71" i="4"/>
  <c r="IE69" i="4"/>
  <c r="IE70" i="4" s="1"/>
  <c r="IE61" i="4"/>
  <c r="IE62" i="4" s="1"/>
  <c r="IE48" i="4"/>
  <c r="IE80" i="4"/>
  <c r="IE83" i="4" s="1"/>
  <c r="GU71" i="4" l="1"/>
  <c r="L13" i="12"/>
  <c r="K13" i="12"/>
  <c r="A83" i="4"/>
  <c r="GP71" i="4"/>
  <c r="IE71" i="4"/>
  <c r="AC232" i="5"/>
  <c r="L22" i="12" s="1"/>
  <c r="N22" i="12" l="1"/>
  <c r="N13" i="12"/>
  <c r="DL63" i="4" l="1"/>
  <c r="BX64" i="4"/>
  <c r="FA63" i="4" l="1"/>
  <c r="DL64" i="4"/>
  <c r="GP63" i="4" l="1"/>
  <c r="FA64" i="4"/>
  <c r="IE63" i="4" l="1"/>
  <c r="IE64" i="4" s="1"/>
  <c r="GP64" i="4"/>
  <c r="P11" i="2" l="1"/>
  <c r="T11" i="2" s="1"/>
  <c r="M11" i="2"/>
  <c r="AC11" i="2" l="1"/>
  <c r="R34" i="2" l="1"/>
  <c r="M34" i="2"/>
  <c r="T34" i="2" l="1"/>
  <c r="AC34" i="2" s="1"/>
  <c r="P10" i="2" l="1"/>
  <c r="M10" i="2"/>
  <c r="T10" i="2" l="1"/>
  <c r="AC10" i="2" s="1"/>
  <c r="P55" i="2" l="1"/>
  <c r="T55" i="2" s="1"/>
  <c r="M55" i="2"/>
  <c r="AC55" i="2" l="1"/>
  <c r="P29" i="2" l="1"/>
  <c r="R29" i="2" l="1"/>
  <c r="M29" i="2"/>
  <c r="K52" i="2"/>
  <c r="T29" i="2" l="1"/>
  <c r="AC29" i="2" s="1"/>
  <c r="R52" i="2"/>
  <c r="P14" i="2" l="1"/>
  <c r="T14" i="2" s="1"/>
  <c r="M14" i="2"/>
  <c r="AC14" i="2" l="1"/>
  <c r="R241" i="2" l="1"/>
  <c r="R295" i="2"/>
  <c r="R134" i="2"/>
  <c r="R187" i="2"/>
  <c r="P83" i="2" l="1"/>
  <c r="P134" i="2" l="1"/>
  <c r="T134" i="2" s="1"/>
  <c r="M134" i="2"/>
  <c r="P187" i="2" l="1"/>
  <c r="T187" i="2" s="1"/>
  <c r="M187" i="2"/>
  <c r="AC134" i="2"/>
  <c r="AC187" i="2" l="1"/>
  <c r="P241" i="2" l="1"/>
  <c r="T241" i="2" s="1"/>
  <c r="M241" i="2"/>
  <c r="P295" i="2" l="1"/>
  <c r="T295" i="2" s="1"/>
  <c r="M295" i="2"/>
  <c r="AC241" i="2"/>
  <c r="AC295" i="2" l="1"/>
  <c r="P79" i="2" l="1"/>
  <c r="R79" i="2" l="1"/>
  <c r="M79" i="2"/>
  <c r="T79" i="2" l="1"/>
  <c r="AC79" i="2" s="1"/>
  <c r="R130" i="2" l="1"/>
  <c r="T130" i="2" s="1"/>
  <c r="M130" i="2"/>
  <c r="AC130" i="2" l="1"/>
  <c r="R183" i="2" l="1"/>
  <c r="P183" i="2" l="1"/>
  <c r="T183" i="2" s="1"/>
  <c r="M183" i="2"/>
  <c r="AC183" i="2" l="1"/>
  <c r="R237" i="2" l="1"/>
  <c r="T237" i="2" s="1"/>
  <c r="M237" i="2"/>
  <c r="AC237" i="2" l="1"/>
  <c r="M291" i="2" l="1"/>
  <c r="R291" i="2"/>
  <c r="T291" i="2" s="1"/>
  <c r="AC291" i="2" s="1"/>
  <c r="R244" i="2" l="1"/>
  <c r="R190" i="2"/>
  <c r="R137" i="2"/>
  <c r="R86" i="2"/>
  <c r="R299" i="2" l="1"/>
  <c r="R136" i="2"/>
  <c r="R297" i="2"/>
  <c r="R193" i="2"/>
  <c r="R138" i="2"/>
  <c r="R243" i="2"/>
  <c r="R302" i="2"/>
  <c r="P298" i="2"/>
  <c r="R247" i="2"/>
  <c r="R245" i="2"/>
  <c r="R140" i="2"/>
  <c r="R189" i="2"/>
  <c r="R87" i="2"/>
  <c r="R85" i="2"/>
  <c r="R298" i="2"/>
  <c r="R88" i="2"/>
  <c r="M298" i="2" l="1"/>
  <c r="T298" i="2"/>
  <c r="P191" i="2"/>
  <c r="R191" i="2"/>
  <c r="P244" i="2"/>
  <c r="T244" i="2" s="1"/>
  <c r="M244" i="2"/>
  <c r="P190" i="2"/>
  <c r="T190" i="2" s="1"/>
  <c r="M190" i="2"/>
  <c r="P137" i="2"/>
  <c r="T137" i="2" s="1"/>
  <c r="M137" i="2"/>
  <c r="AC298" i="2" l="1"/>
  <c r="T191" i="2"/>
  <c r="P299" i="2"/>
  <c r="T299" i="2" s="1"/>
  <c r="M299" i="2"/>
  <c r="P85" i="2"/>
  <c r="T85" i="2" s="1"/>
  <c r="M85" i="2"/>
  <c r="P189" i="2"/>
  <c r="T189" i="2" s="1"/>
  <c r="M189" i="2"/>
  <c r="P193" i="2"/>
  <c r="T193" i="2" s="1"/>
  <c r="M193" i="2"/>
  <c r="AC137" i="2"/>
  <c r="M191" i="2"/>
  <c r="P243" i="2"/>
  <c r="T243" i="2" s="1"/>
  <c r="M243" i="2"/>
  <c r="P86" i="2"/>
  <c r="T86" i="2" s="1"/>
  <c r="M86" i="2"/>
  <c r="P247" i="2"/>
  <c r="T247" i="2" s="1"/>
  <c r="M247" i="2"/>
  <c r="AC244" i="2"/>
  <c r="P88" i="2"/>
  <c r="T88" i="2" s="1"/>
  <c r="M88" i="2"/>
  <c r="P302" i="2"/>
  <c r="T302" i="2" s="1"/>
  <c r="M302" i="2"/>
  <c r="P140" i="2"/>
  <c r="T140" i="2" s="1"/>
  <c r="M140" i="2"/>
  <c r="P87" i="2"/>
  <c r="T87" i="2" s="1"/>
  <c r="M87" i="2"/>
  <c r="P136" i="2"/>
  <c r="T136" i="2" s="1"/>
  <c r="M136" i="2"/>
  <c r="P138" i="2"/>
  <c r="T138" i="2" s="1"/>
  <c r="M138" i="2"/>
  <c r="P297" i="2"/>
  <c r="T297" i="2" s="1"/>
  <c r="M297" i="2"/>
  <c r="AC190" i="2"/>
  <c r="P245" i="2"/>
  <c r="T245" i="2" s="1"/>
  <c r="M245" i="2"/>
  <c r="AC247" i="2" l="1"/>
  <c r="AC191" i="2"/>
  <c r="AC138" i="2"/>
  <c r="AC136" i="2"/>
  <c r="AC140" i="2"/>
  <c r="AC302" i="2"/>
  <c r="AC189" i="2"/>
  <c r="AC297" i="2"/>
  <c r="AC87" i="2"/>
  <c r="AC88" i="2"/>
  <c r="AC86" i="2"/>
  <c r="AC85" i="2"/>
  <c r="AC245" i="2"/>
  <c r="AC243" i="2"/>
  <c r="AC193" i="2"/>
  <c r="AC299" i="2"/>
  <c r="P97" i="2" l="1"/>
  <c r="P149" i="2" l="1"/>
  <c r="P202" i="2" l="1"/>
  <c r="P256" i="2" l="1"/>
  <c r="P311" i="2"/>
  <c r="R97" i="2" l="1"/>
  <c r="M97" i="2"/>
  <c r="T97" i="2" l="1"/>
  <c r="AC97" i="2" s="1"/>
  <c r="R149" i="2" l="1"/>
  <c r="T149" i="2" s="1"/>
  <c r="M149" i="2"/>
  <c r="R202" i="2" l="1"/>
  <c r="T202" i="2" s="1"/>
  <c r="M202" i="2"/>
  <c r="AC149" i="2"/>
  <c r="AC202" i="2" l="1"/>
  <c r="R256" i="2"/>
  <c r="T256" i="2" s="1"/>
  <c r="M256" i="2"/>
  <c r="R311" i="2" l="1"/>
  <c r="T311" i="2" s="1"/>
  <c r="M311" i="2"/>
  <c r="AC256" i="2"/>
  <c r="AC311" i="2" l="1"/>
  <c r="P12" i="2" l="1"/>
  <c r="M12" i="2"/>
  <c r="T12" i="2" l="1"/>
  <c r="AC12" i="2" s="1"/>
  <c r="P267" i="2" l="1"/>
  <c r="T267" i="2" s="1"/>
  <c r="M267" i="2"/>
  <c r="P213" i="2" l="1"/>
  <c r="T213" i="2" s="1"/>
  <c r="M213" i="2"/>
  <c r="AC267" i="2"/>
  <c r="AC213" i="2" l="1"/>
  <c r="R83" i="2" l="1"/>
  <c r="M83" i="2"/>
  <c r="K103" i="2"/>
  <c r="K156" i="2" s="1"/>
  <c r="K210" i="2" s="1"/>
  <c r="K264" i="2" s="1"/>
  <c r="K319" i="2" s="1"/>
  <c r="T83" i="2" l="1"/>
  <c r="AC83" i="2" s="1"/>
  <c r="R103" i="2"/>
  <c r="R156" i="2" l="1"/>
  <c r="P59" i="2"/>
  <c r="M59" i="2"/>
  <c r="P110" i="2"/>
  <c r="T110" i="2" s="1"/>
  <c r="M110" i="2"/>
  <c r="T59" i="2" l="1"/>
  <c r="AC59" i="2" s="1"/>
  <c r="H23" i="18" s="1"/>
  <c r="AC110" i="2"/>
  <c r="M163" i="2"/>
  <c r="M217" i="2" l="1"/>
  <c r="M271" i="2" l="1"/>
  <c r="P21" i="2" l="1"/>
  <c r="M21" i="2"/>
  <c r="I52" i="2"/>
  <c r="M52" i="2" l="1"/>
  <c r="AP52" i="2" s="1"/>
  <c r="Q13" i="18" s="1"/>
  <c r="I103" i="2"/>
  <c r="M103" i="2" s="1"/>
  <c r="AP103" i="2" s="1"/>
  <c r="R13" i="18" s="1"/>
  <c r="H13" i="18" s="1"/>
  <c r="T21" i="2"/>
  <c r="AC21" i="2" s="1"/>
  <c r="AC52" i="2" s="1"/>
  <c r="AC103" i="2" s="1"/>
  <c r="P52" i="2"/>
  <c r="H24" i="18" l="1"/>
  <c r="H28" i="18" s="1"/>
  <c r="T52" i="2"/>
  <c r="T53" i="2" s="1"/>
  <c r="P103" i="2"/>
  <c r="T103" i="2" s="1"/>
  <c r="T104" i="2" s="1"/>
  <c r="P159" i="2" l="1"/>
  <c r="T159" i="2" s="1"/>
  <c r="M159" i="2"/>
  <c r="AC159" i="2" l="1"/>
  <c r="P106" i="2" l="1"/>
  <c r="M106" i="2"/>
  <c r="I156" i="2"/>
  <c r="M156" i="2" l="1"/>
  <c r="AP156" i="2" s="1"/>
  <c r="S13" i="18" s="1"/>
  <c r="T106" i="2"/>
  <c r="AC106" i="2" s="1"/>
  <c r="AC156" i="2" s="1"/>
  <c r="P156" i="2"/>
  <c r="T156" i="2" l="1"/>
  <c r="T157" i="2" s="1"/>
  <c r="M180" i="2" l="1"/>
  <c r="I210" i="2"/>
  <c r="M210" i="2" l="1"/>
  <c r="AP210" i="2" s="1"/>
  <c r="T13" i="18" s="1"/>
  <c r="J13" i="18" s="1"/>
  <c r="M234" i="2" l="1"/>
  <c r="I264" i="2"/>
  <c r="M264" i="2" l="1"/>
  <c r="AP264" i="2" s="1"/>
  <c r="U13" i="18" s="1"/>
  <c r="K13" i="18" s="1"/>
  <c r="M288" i="2" l="1"/>
  <c r="I319" i="2"/>
  <c r="M319" i="2" s="1"/>
  <c r="AP319" i="2" s="1"/>
  <c r="V13" i="18" s="1"/>
  <c r="L13" i="18" s="1"/>
  <c r="N13" i="18" s="1"/>
  <c r="W157" i="5" l="1"/>
  <c r="Y157" i="5" l="1"/>
  <c r="W178" i="5"/>
  <c r="Y178" i="5" l="1"/>
  <c r="P157" i="5"/>
  <c r="T157" i="5" l="1"/>
  <c r="AC157" i="5" s="1"/>
  <c r="P178" i="5"/>
  <c r="W234" i="2"/>
  <c r="Y234" i="2" s="1"/>
  <c r="P234" i="2" s="1"/>
  <c r="T234" i="2" s="1"/>
  <c r="AC234" i="2" s="1"/>
  <c r="K17" i="18" s="1"/>
  <c r="W180" i="2"/>
  <c r="AC178" i="5" l="1"/>
  <c r="J19" i="12"/>
  <c r="Y180" i="2"/>
  <c r="W210" i="2"/>
  <c r="W264" i="2" s="1"/>
  <c r="T178" i="5"/>
  <c r="J23" i="12" l="1"/>
  <c r="J28" i="12" s="1"/>
  <c r="T179" i="5"/>
  <c r="W288" i="2"/>
  <c r="Y288" i="2" s="1"/>
  <c r="P288" i="2" s="1"/>
  <c r="T288" i="2" s="1"/>
  <c r="AC288" i="2" s="1"/>
  <c r="L17" i="18" s="1"/>
  <c r="W319" i="2"/>
  <c r="P180" i="2"/>
  <c r="T180" i="2" l="1"/>
  <c r="AC180" i="2" s="1"/>
  <c r="J17" i="18" s="1"/>
  <c r="N17" i="18" l="1"/>
  <c r="W203" i="5"/>
  <c r="Y203" i="5" l="1"/>
  <c r="W224" i="5"/>
  <c r="P203" i="5" l="1"/>
  <c r="Y224" i="5"/>
  <c r="T203" i="5" l="1"/>
  <c r="AC203" i="5" s="1"/>
  <c r="P224" i="5"/>
  <c r="AC224" i="5" l="1"/>
  <c r="K19" i="12"/>
  <c r="T224" i="5"/>
  <c r="K23" i="12" l="1"/>
  <c r="K28" i="12" s="1"/>
  <c r="T225" i="5"/>
  <c r="W249" i="5" l="1"/>
  <c r="Y249" i="5" l="1"/>
  <c r="W270" i="5"/>
  <c r="P249" i="5" l="1"/>
  <c r="Y270" i="5"/>
  <c r="T249" i="5" l="1"/>
  <c r="AC249" i="5" s="1"/>
  <c r="P270" i="5"/>
  <c r="T270" i="5" s="1"/>
  <c r="AC270" i="5" l="1"/>
  <c r="L19" i="12"/>
  <c r="L23" i="12" s="1"/>
  <c r="T271" i="5"/>
  <c r="N19" i="12" l="1"/>
  <c r="N23" i="12" s="1"/>
  <c r="Q23" i="12" s="1"/>
  <c r="L28" i="12"/>
  <c r="N28" i="12" l="1"/>
  <c r="JW54" i="14" l="1"/>
  <c r="AA309" i="2"/>
  <c r="AA200" i="2"/>
  <c r="GA54" i="14"/>
  <c r="AA254" i="2"/>
  <c r="HY54" i="14"/>
  <c r="GA57" i="14" l="1"/>
  <c r="GI54" i="14"/>
  <c r="R200" i="2"/>
  <c r="Y163" i="2"/>
  <c r="AA210" i="2"/>
  <c r="AA264" i="2" s="1"/>
  <c r="AA319" i="2" s="1"/>
  <c r="HY57" i="14"/>
  <c r="IG54" i="14"/>
  <c r="Y271" i="2"/>
  <c r="R309" i="2"/>
  <c r="T309" i="2" s="1"/>
  <c r="AC309" i="2" s="1"/>
  <c r="L21" i="18" s="1"/>
  <c r="Y217" i="2"/>
  <c r="R254" i="2"/>
  <c r="T254" i="2" s="1"/>
  <c r="AC254" i="2" s="1"/>
  <c r="K21" i="18" s="1"/>
  <c r="JW57" i="14"/>
  <c r="KE54" i="14"/>
  <c r="IM40" i="14" l="1"/>
  <c r="P271" i="2"/>
  <c r="T271" i="2" s="1"/>
  <c r="AC271" i="2" s="1"/>
  <c r="L23" i="18" s="1"/>
  <c r="HY46" i="14"/>
  <c r="HY81" i="14" s="1"/>
  <c r="HY84" i="14" s="1"/>
  <c r="HY72" i="14"/>
  <c r="HY69" i="14"/>
  <c r="HY70" i="14" s="1"/>
  <c r="HY61" i="14"/>
  <c r="HY62" i="14" s="1"/>
  <c r="HY71" i="14" s="1"/>
  <c r="JW46" i="14"/>
  <c r="JW81" i="14" s="1"/>
  <c r="JW84" i="14" s="1"/>
  <c r="JW69" i="14"/>
  <c r="JW70" i="14" s="1"/>
  <c r="JW61" i="14"/>
  <c r="JW62" i="14" s="1"/>
  <c r="JW71" i="14" s="1"/>
  <c r="EQ40" i="14"/>
  <c r="P163" i="2"/>
  <c r="Y210" i="2"/>
  <c r="Y264" i="2" s="1"/>
  <c r="Y319" i="2" s="1"/>
  <c r="K24" i="18"/>
  <c r="K28" i="18" s="1"/>
  <c r="T200" i="2"/>
  <c r="AC200" i="2" s="1"/>
  <c r="J21" i="18" s="1"/>
  <c r="R210" i="2"/>
  <c r="KE57" i="14"/>
  <c r="GO40" i="14"/>
  <c r="P217" i="2"/>
  <c r="T217" i="2" s="1"/>
  <c r="AC217" i="2" s="1"/>
  <c r="K23" i="18" s="1"/>
  <c r="GJ54" i="14"/>
  <c r="GJ57" i="14" s="1"/>
  <c r="GJ46" i="14" s="1"/>
  <c r="GI57" i="14"/>
  <c r="IH54" i="14"/>
  <c r="IH57" i="14" s="1"/>
  <c r="IH46" i="14" s="1"/>
  <c r="IG57" i="14"/>
  <c r="L24" i="18"/>
  <c r="L28" i="18" s="1"/>
  <c r="GA46" i="14"/>
  <c r="GA81" i="14" s="1"/>
  <c r="GA84" i="14" s="1"/>
  <c r="GA72" i="14"/>
  <c r="GA69" i="14"/>
  <c r="GA70" i="14" s="1"/>
  <c r="GA61" i="14"/>
  <c r="GA62" i="14" s="1"/>
  <c r="GA71" i="14" s="1"/>
  <c r="IG46" i="14" l="1"/>
  <c r="IG81" i="14" s="1"/>
  <c r="IG84" i="14" s="1"/>
  <c r="IG72" i="14"/>
  <c r="R264" i="2"/>
  <c r="JW72" i="14"/>
  <c r="N21" i="18"/>
  <c r="GI46" i="14"/>
  <c r="GI81" i="14" s="1"/>
  <c r="GI84" i="14" s="1"/>
  <c r="T163" i="2"/>
  <c r="AC163" i="2" s="1"/>
  <c r="P210" i="2"/>
  <c r="P264" i="2" s="1"/>
  <c r="P319" i="2" s="1"/>
  <c r="GO42" i="14"/>
  <c r="GO44" i="14" s="1"/>
  <c r="IG40" i="14"/>
  <c r="EQ42" i="14"/>
  <c r="EQ44" i="14" s="1"/>
  <c r="GI40" i="14"/>
  <c r="IH72" i="14"/>
  <c r="IH81" i="14"/>
  <c r="IH84" i="14" s="1"/>
  <c r="GJ72" i="14"/>
  <c r="GJ81" i="14"/>
  <c r="GJ84" i="14" s="1"/>
  <c r="KE46" i="14"/>
  <c r="KE81" i="14" s="1"/>
  <c r="KE84" i="14" s="1"/>
  <c r="KE72" i="14"/>
  <c r="KF54" i="14"/>
  <c r="KF57" i="14" s="1"/>
  <c r="KF46" i="14" s="1"/>
  <c r="IM42" i="14"/>
  <c r="IM44" i="14" s="1"/>
  <c r="KE40" i="14"/>
  <c r="KF72" i="14" l="1"/>
  <c r="KF81" i="14"/>
  <c r="KF84" i="14" s="1"/>
  <c r="A84" i="14" s="1"/>
  <c r="GJ40" i="14"/>
  <c r="GJ42" i="14" s="1"/>
  <c r="GJ44" i="14" s="1"/>
  <c r="GI42" i="14"/>
  <c r="GI44" i="14" s="1"/>
  <c r="EQ80" i="14"/>
  <c r="EQ83" i="14" s="1"/>
  <c r="EQ69" i="14"/>
  <c r="EQ70" i="14" s="1"/>
  <c r="EQ61" i="14"/>
  <c r="IG42" i="14"/>
  <c r="IG44" i="14" s="1"/>
  <c r="IH40" i="14"/>
  <c r="IH42" i="14" s="1"/>
  <c r="IH44" i="14" s="1"/>
  <c r="GO80" i="14"/>
  <c r="GO83" i="14" s="1"/>
  <c r="GO69" i="14"/>
  <c r="GO70" i="14" s="1"/>
  <c r="GO61" i="14"/>
  <c r="T210" i="2"/>
  <c r="R319" i="2"/>
  <c r="T319" i="2" s="1"/>
  <c r="T264" i="2"/>
  <c r="KE42" i="14"/>
  <c r="KE44" i="14" s="1"/>
  <c r="J23" i="18"/>
  <c r="AC210" i="2"/>
  <c r="AC264" i="2" s="1"/>
  <c r="AC319" i="2" s="1"/>
  <c r="IM80" i="14"/>
  <c r="IM83" i="14" s="1"/>
  <c r="IM69" i="14"/>
  <c r="IM70" i="14" s="1"/>
  <c r="IM61" i="14"/>
  <c r="GI72" i="14"/>
  <c r="EQ62" i="14" l="1"/>
  <c r="GI61" i="14"/>
  <c r="T211" i="2"/>
  <c r="N23" i="18"/>
  <c r="N24" i="18" s="1"/>
  <c r="N28" i="18" s="1"/>
  <c r="J24" i="18"/>
  <c r="J28" i="18" s="1"/>
  <c r="GI80" i="14"/>
  <c r="GI83" i="14" s="1"/>
  <c r="GI69" i="14"/>
  <c r="GI70" i="14" s="1"/>
  <c r="IM62" i="14"/>
  <c r="KE61" i="14"/>
  <c r="GO62" i="14"/>
  <c r="IG61" i="14"/>
  <c r="KF40" i="14"/>
  <c r="KF42" i="14" s="1"/>
  <c r="KF44" i="14" s="1"/>
  <c r="GJ48" i="14"/>
  <c r="GJ80" i="14"/>
  <c r="GJ83" i="14" s="1"/>
  <c r="GJ69" i="14"/>
  <c r="GJ70" i="14" s="1"/>
  <c r="GJ61" i="14"/>
  <c r="GJ62" i="14" s="1"/>
  <c r="KE80" i="14"/>
  <c r="KE83" i="14" s="1"/>
  <c r="KE69" i="14"/>
  <c r="KE70" i="14" s="1"/>
  <c r="IH80" i="14"/>
  <c r="IH83" i="14" s="1"/>
  <c r="IH48" i="14"/>
  <c r="IH61" i="14"/>
  <c r="IH62" i="14" s="1"/>
  <c r="IH69" i="14"/>
  <c r="IH70" i="14" s="1"/>
  <c r="T265" i="2" s="1"/>
  <c r="IG80" i="14"/>
  <c r="IG83" i="14" s="1"/>
  <c r="IG69" i="14"/>
  <c r="IG70" i="14" s="1"/>
  <c r="IH71" i="14" l="1"/>
  <c r="IH64" i="14"/>
  <c r="GO71" i="14"/>
  <c r="IG62" i="14"/>
  <c r="IG71" i="14" s="1"/>
  <c r="EQ71" i="14"/>
  <c r="GI62" i="14"/>
  <c r="GI71" i="14" s="1"/>
  <c r="GJ71" i="14"/>
  <c r="GJ64" i="14"/>
  <c r="IM71" i="14"/>
  <c r="KE62" i="14"/>
  <c r="KE71" i="14" s="1"/>
  <c r="KF80" i="14"/>
  <c r="KF83" i="14" s="1"/>
  <c r="A83" i="14" s="1"/>
  <c r="KF48" i="14"/>
  <c r="KF61" i="14"/>
  <c r="KF62" i="14" s="1"/>
  <c r="KF69" i="14"/>
  <c r="KF70" i="14" s="1"/>
  <c r="T320" i="2" s="1"/>
  <c r="Q24" i="18"/>
  <c r="KF71" i="14" l="1"/>
  <c r="KF64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<sst xmlns="http://schemas.openxmlformats.org/spreadsheetml/2006/main" count="3407" uniqueCount="1098">
  <si>
    <t>Pro Forma Results</t>
  </si>
  <si>
    <t>Pro Forma Adjustments:</t>
  </si>
  <si>
    <t>Restated Results</t>
  </si>
  <si>
    <t>Total</t>
  </si>
  <si>
    <t>Common</t>
  </si>
  <si>
    <t>Total Debt</t>
  </si>
  <si>
    <t>Cost</t>
  </si>
  <si>
    <t>Structure</t>
  </si>
  <si>
    <t>Component</t>
  </si>
  <si>
    <t>Weighted</t>
  </si>
  <si>
    <t>Capital</t>
  </si>
  <si>
    <t>Filed Cost of Capital</t>
  </si>
  <si>
    <t>Restating Adjustments:</t>
  </si>
  <si>
    <t>AWEC Cost of Capital</t>
  </si>
  <si>
    <t>Per Book Results (Y/E Dec. 2020)</t>
  </si>
  <si>
    <t>Rev. Sens</t>
  </si>
  <si>
    <t>Tax Rate</t>
  </si>
  <si>
    <t>AWEC Position</t>
  </si>
  <si>
    <t>(Suf.)</t>
  </si>
  <si>
    <t>Rate Base</t>
  </si>
  <si>
    <t>Income</t>
  </si>
  <si>
    <t>Description</t>
  </si>
  <si>
    <t xml:space="preserve">No. </t>
  </si>
  <si>
    <t>Line</t>
  </si>
  <si>
    <t>Revenue Conversion</t>
  </si>
  <si>
    <t xml:space="preserve">Def. / </t>
  </si>
  <si>
    <t xml:space="preserve">Net Oper. </t>
  </si>
  <si>
    <t xml:space="preserve">Adj. </t>
  </si>
  <si>
    <t xml:space="preserve">Rev. Req. </t>
  </si>
  <si>
    <t>Pre-Tax</t>
  </si>
  <si>
    <t>Rev. Req. Parameters</t>
  </si>
  <si>
    <t>Impact of AWEC Adjustments</t>
  </si>
  <si>
    <t>AWEC Proposed</t>
  </si>
  <si>
    <t>Gas Revenue Requirement Summary ($000)</t>
  </si>
  <si>
    <t>*</t>
  </si>
  <si>
    <t>ELECTRIC STATEMENT OF OPERATING INCOME</t>
  </si>
  <si>
    <t>AND ADJUSTMENTS</t>
  </si>
  <si>
    <t>2022 GENERAL RATE CASE</t>
  </si>
  <si>
    <t>COMMON</t>
  </si>
  <si>
    <t>ELECTRIC</t>
  </si>
  <si>
    <t>RESTATING</t>
  </si>
  <si>
    <t>PROFORMA</t>
  </si>
  <si>
    <t>GAP YEAR</t>
  </si>
  <si>
    <t>RATE YEAR 1</t>
  </si>
  <si>
    <t>RATE YEAR 2</t>
  </si>
  <si>
    <t>RATE YEAR 3</t>
  </si>
  <si>
    <t>reversing</t>
  </si>
  <si>
    <t>DEC 21</t>
  </si>
  <si>
    <t>LINE</t>
  </si>
  <si>
    <t>DESCRIPTION</t>
  </si>
  <si>
    <t>12ME JUNE 2021 TEST YEAR</t>
  </si>
  <si>
    <t>TOTAL RESTATING ADJUSTMENTS</t>
  </si>
  <si>
    <t>RESTATED RESULTS OF OPERATIONS</t>
  </si>
  <si>
    <t xml:space="preserve"> PROFORMA PERIOD ADJUSTMENTS</t>
  </si>
  <si>
    <t>ADJUSTED RESULTS OF OPERATIONS</t>
  </si>
  <si>
    <t>GAP YEAR PROVISIONAL ADJUSTMENTS</t>
  </si>
  <si>
    <t>ADJUSTED RESULTS START OF RATE YEAR 1</t>
  </si>
  <si>
    <t>RATE YEAR 1 PROVISIONAL ADJUSTMENTS</t>
  </si>
  <si>
    <t>ADJUSTED RESULTS END OF RATE YEAR 1</t>
  </si>
  <si>
    <t>RATE YEAR 2 PROVISIONAL ADJUSTMENTS</t>
  </si>
  <si>
    <t>ADJUSTED RESULTS END OF RATE YEAR 2</t>
  </si>
  <si>
    <t>RATE YEAR 3 PROVISIONAL ADJUSTMENTS</t>
  </si>
  <si>
    <t>ADJUSTED RESULTS END OF RATE YEAR 3</t>
  </si>
  <si>
    <t>OPERATING REVENUES</t>
  </si>
  <si>
    <t>SALES TO CUSTOMERS</t>
  </si>
  <si>
    <t>SALES FROM RESALE-FIRM/SPECIAL CONTRACT</t>
  </si>
  <si>
    <t>SALES TO OTHER UTILITIES</t>
  </si>
  <si>
    <t>OTHER OPERATING REVENUES</t>
  </si>
  <si>
    <t>TOTAL OPERATING REVENUES</t>
  </si>
  <si>
    <t>OPERATING REVENUE DEDUCTIONS:</t>
  </si>
  <si>
    <t>POWER COSTS:</t>
  </si>
  <si>
    <t xml:space="preserve"> FUEL</t>
  </si>
  <si>
    <t xml:space="preserve"> PURCHASED AND INTERCHANGED</t>
  </si>
  <si>
    <t xml:space="preserve"> WHEELING</t>
  </si>
  <si>
    <t xml:space="preserve"> RESIDENTIAL EXCHANGE</t>
  </si>
  <si>
    <t>`</t>
  </si>
  <si>
    <t>TOTAL PRODUCTION EXPENSES</t>
  </si>
  <si>
    <t>OTHER POWER SUPPLY EXPENSES</t>
  </si>
  <si>
    <t>TRANSMISSION EXPENSE</t>
  </si>
  <si>
    <t>DISTRIBUTION EXPENSE</t>
  </si>
  <si>
    <t>CUSTOMER ACCTS EXPENSES</t>
  </si>
  <si>
    <t>CUSTOMER SERVICE EXPENSES</t>
  </si>
  <si>
    <t>CONSERVATION AMORTIZATION</t>
  </si>
  <si>
    <t>ADMIN &amp; GENERAL EXPENSE</t>
  </si>
  <si>
    <t>DEPRECIATION</t>
  </si>
  <si>
    <t>AMORTIZATION</t>
  </si>
  <si>
    <t>AMORTIZ OF PROPERTY GAIN/LOSS</t>
  </si>
  <si>
    <t>OTHER OPERATING EXPENSES</t>
  </si>
  <si>
    <t>TAXES OTHER THAN INCOME TAXES</t>
  </si>
  <si>
    <t>INCOME TAXES</t>
  </si>
  <si>
    <t>DEFERRED INCOME TAXES</t>
  </si>
  <si>
    <t>TOTAL OPERATING REV. DEDUCT.</t>
  </si>
  <si>
    <t>NET OPERATING INCOME</t>
  </si>
  <si>
    <t>f</t>
  </si>
  <si>
    <t xml:space="preserve">RATE BASE </t>
  </si>
  <si>
    <t>RATE OF RETURN</t>
  </si>
  <si>
    <t>RATE BASE:</t>
  </si>
  <si>
    <t>GROSS UTILITY PLANT IN SERVICE</t>
  </si>
  <si>
    <t>ACCUM DEPR AND AMORT</t>
  </si>
  <si>
    <t xml:space="preserve">  DEFERRED DEBITS AND CREDITS</t>
  </si>
  <si>
    <t xml:space="preserve">  DEFERRED TAXES</t>
  </si>
  <si>
    <t xml:space="preserve">  ALLOWANCE FOR WORKING CAPITAL</t>
  </si>
  <si>
    <t xml:space="preserve">  OTHER</t>
  </si>
  <si>
    <t>TOTAL RATE BASE</t>
  </si>
  <si>
    <t>REQUESTED RATE OF RETURN</t>
  </si>
  <si>
    <t>CONVERSION FACTOR</t>
  </si>
  <si>
    <t>SURPLUS / (DEFICIENCY)</t>
  </si>
  <si>
    <t>REVENUE REQUIREMENT OR (SURPLUS)</t>
  </si>
  <si>
    <t>CHANGES TO OTHER PRICE SCHEDULES</t>
  </si>
  <si>
    <t>NET REVENUE CHANGE</t>
  </si>
  <si>
    <t>ROR</t>
  </si>
  <si>
    <t>CF</t>
  </si>
  <si>
    <t>Surplus / (Deficiency)</t>
  </si>
  <si>
    <t>Revenue Requirement or (Surplus)</t>
  </si>
  <si>
    <t>Check NOI to Summary</t>
  </si>
  <si>
    <t>Check Rate Base to Summary</t>
  </si>
  <si>
    <t>BEFORE CHANGES</t>
  </si>
  <si>
    <t>NOI - After</t>
  </si>
  <si>
    <t>RATEBASE - After</t>
  </si>
  <si>
    <t>AFTER CHANGES</t>
  </si>
  <si>
    <t>DIFFERENCE</t>
  </si>
  <si>
    <t>NOI</t>
  </si>
  <si>
    <t>RATEBASE</t>
  </si>
  <si>
    <t>6.01 R</t>
  </si>
  <si>
    <t>6.02 R</t>
  </si>
  <si>
    <t>6.03 R</t>
  </si>
  <si>
    <t>6.04 R</t>
  </si>
  <si>
    <t>6.05 R</t>
  </si>
  <si>
    <t>6.06 R</t>
  </si>
  <si>
    <t>6.07 R</t>
  </si>
  <si>
    <t>6.08 R</t>
  </si>
  <si>
    <t>6.09 R</t>
  </si>
  <si>
    <t>6.10 R</t>
  </si>
  <si>
    <t>6.11 R</t>
  </si>
  <si>
    <t>6.12 R</t>
  </si>
  <si>
    <t>6.13 R</t>
  </si>
  <si>
    <t>6.14 R</t>
  </si>
  <si>
    <t>6.15 R</t>
  </si>
  <si>
    <t>6.16 R</t>
  </si>
  <si>
    <t>6.17 R</t>
  </si>
  <si>
    <t>6.18 R</t>
  </si>
  <si>
    <t>6.19 R</t>
  </si>
  <si>
    <t>6.20 R</t>
  </si>
  <si>
    <t>6.21 R</t>
  </si>
  <si>
    <t>6.22 R</t>
  </si>
  <si>
    <t>6.23 R</t>
  </si>
  <si>
    <t>6.24 R</t>
  </si>
  <si>
    <t>6.25 R</t>
  </si>
  <si>
    <t>6.26 R</t>
  </si>
  <si>
    <t>6.27 R</t>
  </si>
  <si>
    <t>6.45 R</t>
  </si>
  <si>
    <t>6.46 R</t>
  </si>
  <si>
    <t>6.47 R</t>
  </si>
  <si>
    <t>6.48 R</t>
  </si>
  <si>
    <t>6.49 R</t>
  </si>
  <si>
    <t>6.50 R</t>
  </si>
  <si>
    <t>6.51 R</t>
  </si>
  <si>
    <t>6.52 R</t>
  </si>
  <si>
    <t>6.53 R</t>
  </si>
  <si>
    <t>6.54 R</t>
  </si>
  <si>
    <t>6.55 R</t>
  </si>
  <si>
    <t>6.56 R</t>
  </si>
  <si>
    <t>6.01 P</t>
  </si>
  <si>
    <t>6.02 P</t>
  </si>
  <si>
    <t>6.03 P</t>
  </si>
  <si>
    <t>6.04 P</t>
  </si>
  <si>
    <t>6.05 P</t>
  </si>
  <si>
    <t>6.06 P</t>
  </si>
  <si>
    <t>6.07 P</t>
  </si>
  <si>
    <t>6.08 P</t>
  </si>
  <si>
    <t>6.09 P</t>
  </si>
  <si>
    <t>6.10 P</t>
  </si>
  <si>
    <t>6.11 P</t>
  </si>
  <si>
    <t>6.12 P</t>
  </si>
  <si>
    <t>6.13 P</t>
  </si>
  <si>
    <t>6.14 P</t>
  </si>
  <si>
    <t>6.15 P</t>
  </si>
  <si>
    <t>6.16 P</t>
  </si>
  <si>
    <t>6.17 P</t>
  </si>
  <si>
    <t>6.18 P</t>
  </si>
  <si>
    <t>6.19 P</t>
  </si>
  <si>
    <t>6.20 P</t>
  </si>
  <si>
    <t>6.21 P</t>
  </si>
  <si>
    <t>6.22 P</t>
  </si>
  <si>
    <t>6.23 P</t>
  </si>
  <si>
    <t>6.24 P</t>
  </si>
  <si>
    <t>6.25 P</t>
  </si>
  <si>
    <t>6.26 P</t>
  </si>
  <si>
    <t>6.27 P</t>
  </si>
  <si>
    <t>6.28 P</t>
  </si>
  <si>
    <t>6.29 P</t>
  </si>
  <si>
    <t>6.30 P</t>
  </si>
  <si>
    <t>6.31 P</t>
  </si>
  <si>
    <t>6.32 P</t>
  </si>
  <si>
    <t>6.33 P</t>
  </si>
  <si>
    <t>6.34 P</t>
  </si>
  <si>
    <t>6.45 P</t>
  </si>
  <si>
    <t>6.46 P</t>
  </si>
  <si>
    <t>6.47 P</t>
  </si>
  <si>
    <t>6.48 P</t>
  </si>
  <si>
    <t>6.49 P</t>
  </si>
  <si>
    <t>6.50 P</t>
  </si>
  <si>
    <t>6.51 P</t>
  </si>
  <si>
    <t>6.52 P</t>
  </si>
  <si>
    <t>6.53 P</t>
  </si>
  <si>
    <t>6.54 P</t>
  </si>
  <si>
    <t>6.55 P</t>
  </si>
  <si>
    <t>6.56 P</t>
  </si>
  <si>
    <t>6.01 GY</t>
  </si>
  <si>
    <t>6.02 GY</t>
  </si>
  <si>
    <t>6.03 GY</t>
  </si>
  <si>
    <t>6.04 GY</t>
  </si>
  <si>
    <t>6.05 GY</t>
  </si>
  <si>
    <t>6.06 GY</t>
  </si>
  <si>
    <t>6.07 GY</t>
  </si>
  <si>
    <t>6.08 GY</t>
  </si>
  <si>
    <t>6.09 GY</t>
  </si>
  <si>
    <t>6.10 GY</t>
  </si>
  <si>
    <t>6.11 GY</t>
  </si>
  <si>
    <t>6.12 GY</t>
  </si>
  <si>
    <t>6.13 GY</t>
  </si>
  <si>
    <t>6.14 GY</t>
  </si>
  <si>
    <t>6.15 GY</t>
  </si>
  <si>
    <t>6.16 GY</t>
  </si>
  <si>
    <t>6.17 GY</t>
  </si>
  <si>
    <t>6.18 GY</t>
  </si>
  <si>
    <t>6.19 GY</t>
  </si>
  <si>
    <t>6.20 GY</t>
  </si>
  <si>
    <t>6.21 GY</t>
  </si>
  <si>
    <t>6.22 GY</t>
  </si>
  <si>
    <t>6.23 GY</t>
  </si>
  <si>
    <t>6.24 GY</t>
  </si>
  <si>
    <t>6.25 GY</t>
  </si>
  <si>
    <t>6.26 GY</t>
  </si>
  <si>
    <t>6.27 GY</t>
  </si>
  <si>
    <t>6.28 GY</t>
  </si>
  <si>
    <t>6.29 GY</t>
  </si>
  <si>
    <t>6.30 GY</t>
  </si>
  <si>
    <t>6.31 GY</t>
  </si>
  <si>
    <t>6.32 GY</t>
  </si>
  <si>
    <t>6.33 GY</t>
  </si>
  <si>
    <t>6.34 GY</t>
  </si>
  <si>
    <t>6.45 GY</t>
  </si>
  <si>
    <t>6.46 GY</t>
  </si>
  <si>
    <t>6.47 GY</t>
  </si>
  <si>
    <t>6.48 GY</t>
  </si>
  <si>
    <t>6.49 GY</t>
  </si>
  <si>
    <t>6.50 GY</t>
  </si>
  <si>
    <t>6.51 GY</t>
  </si>
  <si>
    <t>6.52 GY</t>
  </si>
  <si>
    <t>6.53 GY</t>
  </si>
  <si>
    <t>6.54 GY</t>
  </si>
  <si>
    <t>6.55 GY</t>
  </si>
  <si>
    <t>6.56 GY</t>
  </si>
  <si>
    <t>Gap Year Results</t>
  </si>
  <si>
    <t>6.01 RY1</t>
  </si>
  <si>
    <t>6.02 RY1</t>
  </si>
  <si>
    <t>6.03 RY1</t>
  </si>
  <si>
    <t>6.04 RY1</t>
  </si>
  <si>
    <t>6.05 RY1</t>
  </si>
  <si>
    <t>6.06 RY1</t>
  </si>
  <si>
    <t>6.07 RY1</t>
  </si>
  <si>
    <t>6.08 RY1</t>
  </si>
  <si>
    <t>6.09 RY1</t>
  </si>
  <si>
    <t>6.10 RY1</t>
  </si>
  <si>
    <t>6.11 RY1</t>
  </si>
  <si>
    <t>6.12 RY1</t>
  </si>
  <si>
    <t>6.13 RY1</t>
  </si>
  <si>
    <t>6.14 RY1</t>
  </si>
  <si>
    <t>6.15 RY1</t>
  </si>
  <si>
    <t>6.16 RY1</t>
  </si>
  <si>
    <t>6.17 RY1</t>
  </si>
  <si>
    <t>6.18 RY1</t>
  </si>
  <si>
    <t>6.19 RY1</t>
  </si>
  <si>
    <t>6.20 RY1</t>
  </si>
  <si>
    <t>6.21 RY1</t>
  </si>
  <si>
    <t>6.22 RY1</t>
  </si>
  <si>
    <t>6.23 RY1</t>
  </si>
  <si>
    <t>6.24 RY1</t>
  </si>
  <si>
    <t>6.25 RY1</t>
  </si>
  <si>
    <t>6.26 RY1</t>
  </si>
  <si>
    <t>6.27 RY1</t>
  </si>
  <si>
    <t>6.28 RY1</t>
  </si>
  <si>
    <t>6.29 RY1</t>
  </si>
  <si>
    <t>6.30 RY1</t>
  </si>
  <si>
    <t>6.31 RY1</t>
  </si>
  <si>
    <t>6.32 RY1</t>
  </si>
  <si>
    <t>6.33 RY1</t>
  </si>
  <si>
    <t>6.34 RY1</t>
  </si>
  <si>
    <t>6.45 RY1</t>
  </si>
  <si>
    <t>6.46 RY1</t>
  </si>
  <si>
    <t>6.47 RY1</t>
  </si>
  <si>
    <t>6.48 RY1</t>
  </si>
  <si>
    <t>6.49 RY1</t>
  </si>
  <si>
    <t>6.50 RY1</t>
  </si>
  <si>
    <t>6.51 RY1</t>
  </si>
  <si>
    <t>6.52 RY1</t>
  </si>
  <si>
    <t>6.53 RY1</t>
  </si>
  <si>
    <t>6.54 RY1</t>
  </si>
  <si>
    <t>6.55 RY1</t>
  </si>
  <si>
    <t>6.56 RY1</t>
  </si>
  <si>
    <t>6.01 RY2</t>
  </si>
  <si>
    <t>6.02 RY2</t>
  </si>
  <si>
    <t>6.03 RY2</t>
  </si>
  <si>
    <t>6.04 RY2</t>
  </si>
  <si>
    <t>6.05 RY2</t>
  </si>
  <si>
    <t>6.06 RY2</t>
  </si>
  <si>
    <t>6.07 RY2</t>
  </si>
  <si>
    <t>6.08 RY2</t>
  </si>
  <si>
    <t>6.09 RY2</t>
  </si>
  <si>
    <t>6.10 RY2</t>
  </si>
  <si>
    <t>6.11 RY2</t>
  </si>
  <si>
    <t>6.12 RY2</t>
  </si>
  <si>
    <t>6.13 RY2</t>
  </si>
  <si>
    <t>6.14 RY2</t>
  </si>
  <si>
    <t>6.15 RY2</t>
  </si>
  <si>
    <t>6.16 RY2</t>
  </si>
  <si>
    <t>6.17 RY2</t>
  </si>
  <si>
    <t>6.18 RY2</t>
  </si>
  <si>
    <t>6.19 RY2</t>
  </si>
  <si>
    <t>6.20 RY2</t>
  </si>
  <si>
    <t>6.21 RY2</t>
  </si>
  <si>
    <t>6.22 RY2</t>
  </si>
  <si>
    <t>6.23 RY2</t>
  </si>
  <si>
    <t>6.24 RY2</t>
  </si>
  <si>
    <t>6.25 RY2</t>
  </si>
  <si>
    <t>6.26 RY2</t>
  </si>
  <si>
    <t>6.27 RY2</t>
  </si>
  <si>
    <t>6.28 RY2</t>
  </si>
  <si>
    <t>6.29 RY2</t>
  </si>
  <si>
    <t>6.30 RY2</t>
  </si>
  <si>
    <t>6.31 RY2</t>
  </si>
  <si>
    <t>6.32 RY2</t>
  </si>
  <si>
    <t>6.33 RY2</t>
  </si>
  <si>
    <t>6.34 RY2</t>
  </si>
  <si>
    <t>6.45 RY2</t>
  </si>
  <si>
    <t>6.46 RY2</t>
  </si>
  <si>
    <t>6.47 RY2</t>
  </si>
  <si>
    <t>6.48 RY2</t>
  </si>
  <si>
    <t>6.49 RY2</t>
  </si>
  <si>
    <t>6.50 RY2</t>
  </si>
  <si>
    <t>6.51 RY2</t>
  </si>
  <si>
    <t>6.52 RY2</t>
  </si>
  <si>
    <t>6.53 RY2</t>
  </si>
  <si>
    <t>6.54 RY2</t>
  </si>
  <si>
    <t>6.55 RY2</t>
  </si>
  <si>
    <t>6.56 RY2</t>
  </si>
  <si>
    <t>6.01 RY3</t>
  </si>
  <si>
    <t>6.02 RY3</t>
  </si>
  <si>
    <t>6.03 RY3</t>
  </si>
  <si>
    <t>6.04 RY3</t>
  </si>
  <si>
    <t>6.05 RY3</t>
  </si>
  <si>
    <t>6.06 RY3</t>
  </si>
  <si>
    <t>6.07 RY3</t>
  </si>
  <si>
    <t>6.08 RY3</t>
  </si>
  <si>
    <t>6.09 RY3</t>
  </si>
  <si>
    <t>6.10 RY3</t>
  </si>
  <si>
    <t>6.11 RY3</t>
  </si>
  <si>
    <t>6.12 RY3</t>
  </si>
  <si>
    <t>6.13 RY3</t>
  </si>
  <si>
    <t>6.14 RY3</t>
  </si>
  <si>
    <t>6.15 RY3</t>
  </si>
  <si>
    <t>6.16 RY3</t>
  </si>
  <si>
    <t>6.17 RY3</t>
  </si>
  <si>
    <t>6.18 RY3</t>
  </si>
  <si>
    <t>6.19 RY3</t>
  </si>
  <si>
    <t>6.20 RY3</t>
  </si>
  <si>
    <t>6.21 RY3</t>
  </si>
  <si>
    <t>6.22 RY3</t>
  </si>
  <si>
    <t>6.23 RY3</t>
  </si>
  <si>
    <t>6.24 RY3</t>
  </si>
  <si>
    <t>6.25 RY3</t>
  </si>
  <si>
    <t>6.26 RY3</t>
  </si>
  <si>
    <t>6.27 RY3</t>
  </si>
  <si>
    <t>6.28 RY3</t>
  </si>
  <si>
    <t>6.29 RY3</t>
  </si>
  <si>
    <t>6.30 RY3</t>
  </si>
  <si>
    <t>6.31 RY3</t>
  </si>
  <si>
    <t>6.32 RY3</t>
  </si>
  <si>
    <t>6.33 RY3</t>
  </si>
  <si>
    <t>6.34 RY3</t>
  </si>
  <si>
    <t>6.45 RY3</t>
  </si>
  <si>
    <t>6.46 RY3</t>
  </si>
  <si>
    <t>6.47 RY3</t>
  </si>
  <si>
    <t>6.48 RY3</t>
  </si>
  <si>
    <t>6.49 RY3</t>
  </si>
  <si>
    <t>6.50 RY3</t>
  </si>
  <si>
    <t>6.51 RY3</t>
  </si>
  <si>
    <t>6.52 RY3</t>
  </si>
  <si>
    <t>6.53 RY3</t>
  </si>
  <si>
    <t>6.54 RY3</t>
  </si>
  <si>
    <t>6.55 RY3</t>
  </si>
  <si>
    <t>6.56 RY3</t>
  </si>
  <si>
    <t>Rate Year 1 Results</t>
  </si>
  <si>
    <t>Rate Year 3 Results</t>
  </si>
  <si>
    <t>Rate Year 2 Results</t>
  </si>
  <si>
    <t>GAS STATEMENT OF OPERATING INCOME</t>
  </si>
  <si>
    <t>GAS</t>
  </si>
  <si>
    <t>PROFORMA PERIOD ADJUSTMENTS</t>
  </si>
  <si>
    <t xml:space="preserve">  LESS ACCUM DEPRECIATION &amp; AMORT</t>
  </si>
  <si>
    <t xml:space="preserve">   DEFFERRED DEBITS &amp; CREDITS</t>
  </si>
  <si>
    <t xml:space="preserve">   DEFERRED TAXES</t>
  </si>
  <si>
    <t xml:space="preserve">  CUSTOMER DEPOSITS/ADVANCES</t>
  </si>
  <si>
    <t>Gap Year Adjustments:</t>
  </si>
  <si>
    <t>Rate Year 1 Adjustments:</t>
  </si>
  <si>
    <t>Rate Year 2 Adjustments:</t>
  </si>
  <si>
    <t>Rate Year 3 Adjustments:</t>
  </si>
  <si>
    <t>Rate Year 1</t>
  </si>
  <si>
    <t>Rate Year 2</t>
  </si>
  <si>
    <t>Rate Year 3</t>
  </si>
  <si>
    <t>PSE Filed @ AWEC RoR</t>
  </si>
  <si>
    <t>Electric Revenue Requirement Summary ($000)</t>
  </si>
  <si>
    <t>11.01 R</t>
  </si>
  <si>
    <t>11.02 R</t>
  </si>
  <si>
    <t>11.03 R</t>
  </si>
  <si>
    <t>11.04 R</t>
  </si>
  <si>
    <t>11.05 R</t>
  </si>
  <si>
    <t>11.06 R</t>
  </si>
  <si>
    <t>11.07 R</t>
  </si>
  <si>
    <t>11.08 R</t>
  </si>
  <si>
    <t>11.09 R</t>
  </si>
  <si>
    <t>11.10 R</t>
  </si>
  <si>
    <t>11.11 R</t>
  </si>
  <si>
    <t>11.12 R</t>
  </si>
  <si>
    <t>11.13 R</t>
  </si>
  <si>
    <t>11.14 R</t>
  </si>
  <si>
    <t>11.15 R</t>
  </si>
  <si>
    <t>11.16 R</t>
  </si>
  <si>
    <t>11.17 R</t>
  </si>
  <si>
    <t>11.18 R</t>
  </si>
  <si>
    <t>11.19 R</t>
  </si>
  <si>
    <t>11.20 R</t>
  </si>
  <si>
    <t>11.21 R</t>
  </si>
  <si>
    <t>11.22 R</t>
  </si>
  <si>
    <t>11.23 R</t>
  </si>
  <si>
    <t>11.24 R</t>
  </si>
  <si>
    <t>11.25 R</t>
  </si>
  <si>
    <t>11.26 R</t>
  </si>
  <si>
    <t>11.27 R</t>
  </si>
  <si>
    <t>11.45 R</t>
  </si>
  <si>
    <t>11.48 R</t>
  </si>
  <si>
    <t>11.49 R</t>
  </si>
  <si>
    <t>11.50 R</t>
  </si>
  <si>
    <t>11.01 P</t>
  </si>
  <si>
    <t>11.02 P</t>
  </si>
  <si>
    <t>11.03 P</t>
  </si>
  <si>
    <t>11.04 P</t>
  </si>
  <si>
    <t>11.05 P</t>
  </si>
  <si>
    <t>11.06 P</t>
  </si>
  <si>
    <t>11.07 P</t>
  </si>
  <si>
    <t>11.08 P</t>
  </si>
  <si>
    <t>11.09 P</t>
  </si>
  <si>
    <t>11.10 P</t>
  </si>
  <si>
    <t>11.11 P</t>
  </si>
  <si>
    <t>11.12 P</t>
  </si>
  <si>
    <t>11.13 P</t>
  </si>
  <si>
    <t>11.14 P</t>
  </si>
  <si>
    <t>11.15 P</t>
  </si>
  <si>
    <t>11.16 P</t>
  </si>
  <si>
    <t>11.17 P</t>
  </si>
  <si>
    <t>11.18 P</t>
  </si>
  <si>
    <t>11.19 P</t>
  </si>
  <si>
    <t>11.20 P</t>
  </si>
  <si>
    <t>11.21 P</t>
  </si>
  <si>
    <t>11.22 P</t>
  </si>
  <si>
    <t>11.23 P</t>
  </si>
  <si>
    <t>11.24 P</t>
  </si>
  <si>
    <t>11.25 P</t>
  </si>
  <si>
    <t>11.26 P</t>
  </si>
  <si>
    <t>11.27 P</t>
  </si>
  <si>
    <t>11.28 P</t>
  </si>
  <si>
    <t>11.29 P</t>
  </si>
  <si>
    <t>11.30 P</t>
  </si>
  <si>
    <t>11.31 P</t>
  </si>
  <si>
    <t>11.32 P</t>
  </si>
  <si>
    <t>11.33 P</t>
  </si>
  <si>
    <t>11.34 P</t>
  </si>
  <si>
    <t>11.45 P</t>
  </si>
  <si>
    <t>11.48 P</t>
  </si>
  <si>
    <t>11.49 P</t>
  </si>
  <si>
    <t>11.50 P</t>
  </si>
  <si>
    <t>11.01 GY</t>
  </si>
  <si>
    <t>11.02 GY</t>
  </si>
  <si>
    <t>11.03 GY</t>
  </si>
  <si>
    <t>11.04 GY</t>
  </si>
  <si>
    <t>11.05 GY</t>
  </si>
  <si>
    <t>11.06 GY</t>
  </si>
  <si>
    <t>11.07 GY</t>
  </si>
  <si>
    <t>11.08 GY</t>
  </si>
  <si>
    <t>11.09 GY</t>
  </si>
  <si>
    <t>11.10 GY</t>
  </si>
  <si>
    <t>11.11 GY</t>
  </si>
  <si>
    <t>11.12 GY</t>
  </si>
  <si>
    <t>11.13 GY</t>
  </si>
  <si>
    <t>11.14 GY</t>
  </si>
  <si>
    <t>11.15 GY</t>
  </si>
  <si>
    <t>11.16 GY</t>
  </si>
  <si>
    <t>11.17 GY</t>
  </si>
  <si>
    <t>11.18 GY</t>
  </si>
  <si>
    <t>11.19 GY</t>
  </si>
  <si>
    <t>11.20 GY</t>
  </si>
  <si>
    <t>11.21 GY</t>
  </si>
  <si>
    <t>11.22 GY</t>
  </si>
  <si>
    <t>11.23 GY</t>
  </si>
  <si>
    <t>11.24 GY</t>
  </si>
  <si>
    <t>11.25 GY</t>
  </si>
  <si>
    <t>11.26 GY</t>
  </si>
  <si>
    <t>11.27 GY</t>
  </si>
  <si>
    <t>11.28 GY</t>
  </si>
  <si>
    <t>11.29 GY</t>
  </si>
  <si>
    <t>11.30 GY</t>
  </si>
  <si>
    <t>11.31 GY</t>
  </si>
  <si>
    <t>11.32 GY</t>
  </si>
  <si>
    <t>11.33 GY</t>
  </si>
  <si>
    <t>11.34 GY</t>
  </si>
  <si>
    <t>11.48 GY</t>
  </si>
  <si>
    <t>11.49 GY</t>
  </si>
  <si>
    <t>11.50 GY</t>
  </si>
  <si>
    <t>11.01 RY1</t>
  </si>
  <si>
    <t>11.02 RY1</t>
  </si>
  <si>
    <t>11.03 RY1</t>
  </si>
  <si>
    <t>11.04 RY1</t>
  </si>
  <si>
    <t>11.05 RY1</t>
  </si>
  <si>
    <t>11.06 RY1</t>
  </si>
  <si>
    <t>11.07 RY1</t>
  </si>
  <si>
    <t>11.08 RY1</t>
  </si>
  <si>
    <t>11.09 RY1</t>
  </si>
  <si>
    <t>11.10 RY1</t>
  </si>
  <si>
    <t>11.11 RY1</t>
  </si>
  <si>
    <t>11.12 RY1</t>
  </si>
  <si>
    <t>11.13 RY1</t>
  </si>
  <si>
    <t>11.14 RY1</t>
  </si>
  <si>
    <t>11.15 RY1</t>
  </si>
  <si>
    <t>11.16 RY1</t>
  </si>
  <si>
    <t>11.17 RY1</t>
  </si>
  <si>
    <t>11.18 RY1</t>
  </si>
  <si>
    <t>11.19 RY1</t>
  </si>
  <si>
    <t>11.20 RY1</t>
  </si>
  <si>
    <t>11.21 RY1</t>
  </si>
  <si>
    <t>11.22 RY1</t>
  </si>
  <si>
    <t>11.23 RY1</t>
  </si>
  <si>
    <t>11.24 RY1</t>
  </si>
  <si>
    <t>11.25 RY1</t>
  </si>
  <si>
    <t>11.26 RY1</t>
  </si>
  <si>
    <t>11.27 RY1</t>
  </si>
  <si>
    <t>11.28 RY1</t>
  </si>
  <si>
    <t>11.29 RY1</t>
  </si>
  <si>
    <t>11.30 RY1</t>
  </si>
  <si>
    <t>11.31 RY1</t>
  </si>
  <si>
    <t>11.32 RY1</t>
  </si>
  <si>
    <t>11.33 RY1</t>
  </si>
  <si>
    <t>11.34 RY1</t>
  </si>
  <si>
    <t>11.48 RY1</t>
  </si>
  <si>
    <t>11.49 RY1</t>
  </si>
  <si>
    <t>11.50 RY1</t>
  </si>
  <si>
    <t>11.01 RY2</t>
  </si>
  <si>
    <t>11.02 RY2</t>
  </si>
  <si>
    <t>11.03 RY2</t>
  </si>
  <si>
    <t>11.04 RY2</t>
  </si>
  <si>
    <t>11.05 RY2</t>
  </si>
  <si>
    <t>11.06 RY2</t>
  </si>
  <si>
    <t>11.07 RY2</t>
  </si>
  <si>
    <t>11.08 RY2</t>
  </si>
  <si>
    <t>11.09 RY2</t>
  </si>
  <si>
    <t>11.10 RY2</t>
  </si>
  <si>
    <t>11.11 RY2</t>
  </si>
  <si>
    <t>11.12 RY2</t>
  </si>
  <si>
    <t>11.13 RY2</t>
  </si>
  <si>
    <t>11.14 RY2</t>
  </si>
  <si>
    <t>11.15 RY2</t>
  </si>
  <si>
    <t>11.16 RY2</t>
  </si>
  <si>
    <t>11.17 RY2</t>
  </si>
  <si>
    <t>11.18 RY2</t>
  </si>
  <si>
    <t>11.19 RY2</t>
  </si>
  <si>
    <t>11.20 RY2</t>
  </si>
  <si>
    <t>11.21 RY2</t>
  </si>
  <si>
    <t>11.22 RY2</t>
  </si>
  <si>
    <t>11.23 RY2</t>
  </si>
  <si>
    <t>11.24 RY2</t>
  </si>
  <si>
    <t>11.25 RY2</t>
  </si>
  <si>
    <t>11.26 RY2</t>
  </si>
  <si>
    <t>11.27 RY2</t>
  </si>
  <si>
    <t>11.28 RY2</t>
  </si>
  <si>
    <t>11.29 RY2</t>
  </si>
  <si>
    <t>11.30 RY2</t>
  </si>
  <si>
    <t>11.31 RY2</t>
  </si>
  <si>
    <t>11.32 RY2</t>
  </si>
  <si>
    <t>11.33 RY2</t>
  </si>
  <si>
    <t>11.34 RY2</t>
  </si>
  <si>
    <t>11.48 RY2</t>
  </si>
  <si>
    <t>11.49 RY2</t>
  </si>
  <si>
    <t>11.50 RY2</t>
  </si>
  <si>
    <t>11.01 RY3</t>
  </si>
  <si>
    <t>11.02 RY3</t>
  </si>
  <si>
    <t>11.03 RY3</t>
  </si>
  <si>
    <t>11.04 RY3</t>
  </si>
  <si>
    <t>11.05 RY3</t>
  </si>
  <si>
    <t>11.06 RY3</t>
  </si>
  <si>
    <t>11.07 RY3</t>
  </si>
  <si>
    <t>11.08 RY3</t>
  </si>
  <si>
    <t>11.09 RY3</t>
  </si>
  <si>
    <t>11.10 RY3</t>
  </si>
  <si>
    <t>11.11 RY3</t>
  </si>
  <si>
    <t>11.12 RY3</t>
  </si>
  <si>
    <t>11.13 RY3</t>
  </si>
  <si>
    <t>11.14 RY3</t>
  </si>
  <si>
    <t>11.15 RY3</t>
  </si>
  <si>
    <t>11.16 RY3</t>
  </si>
  <si>
    <t>11.17 RY3</t>
  </si>
  <si>
    <t>11.18 RY3</t>
  </si>
  <si>
    <t>11.19 RY3</t>
  </si>
  <si>
    <t>11.20 RY3</t>
  </si>
  <si>
    <t>11.21 RY3</t>
  </si>
  <si>
    <t>11.22 RY3</t>
  </si>
  <si>
    <t>11.23 RY3</t>
  </si>
  <si>
    <t>11.24 RY3</t>
  </si>
  <si>
    <t>11.25 RY3</t>
  </si>
  <si>
    <t>11.26 RY3</t>
  </si>
  <si>
    <t>11.27 RY3</t>
  </si>
  <si>
    <t>11.28 RY3</t>
  </si>
  <si>
    <t>11.29 RY3</t>
  </si>
  <si>
    <t>11.30 RY3</t>
  </si>
  <si>
    <t>11.31 RY3</t>
  </si>
  <si>
    <t>11.32 RY3</t>
  </si>
  <si>
    <t>11.33 RY3</t>
  </si>
  <si>
    <t>11.34 RY3</t>
  </si>
  <si>
    <t>11.48 RY3</t>
  </si>
  <si>
    <t>11.49 RY3</t>
  </si>
  <si>
    <t>11.50 RY3</t>
  </si>
  <si>
    <t>(Surpl.)</t>
  </si>
  <si>
    <t>Gas Services</t>
  </si>
  <si>
    <t>Electric Services</t>
  </si>
  <si>
    <t>Base Rate</t>
  </si>
  <si>
    <t>A1.RY1</t>
  </si>
  <si>
    <t>Directors' Fees</t>
  </si>
  <si>
    <t>YoY Change</t>
  </si>
  <si>
    <t>Accum DIT</t>
  </si>
  <si>
    <t>Total DIT</t>
  </si>
  <si>
    <t>DIT</t>
  </si>
  <si>
    <t>MACRS (Assume 20-year avg)</t>
  </si>
  <si>
    <t>ADIT</t>
  </si>
  <si>
    <t>Accumulated Depr.</t>
  </si>
  <si>
    <t>Accum. Depreciation</t>
  </si>
  <si>
    <t>Depreciation (See composite rate at Allis, Exh. NWA-3 at 62)</t>
  </si>
  <si>
    <t>YoY Change (AMA)</t>
  </si>
  <si>
    <t>Gross Plant (AMA)</t>
  </si>
  <si>
    <t>Gross Plant (EOP)</t>
  </si>
  <si>
    <t>Additions (Adjustment)</t>
  </si>
  <si>
    <t>Gross Plant</t>
  </si>
  <si>
    <t>Adjustment Calculation</t>
  </si>
  <si>
    <t>Cost of Capital</t>
  </si>
  <si>
    <t>Rev. Req. (Incr.)</t>
  </si>
  <si>
    <t>Conv. Factor</t>
  </si>
  <si>
    <t>NOI (Pre-Tax)</t>
  </si>
  <si>
    <t>Electric Rate Base Adjustment ($000)</t>
  </si>
  <si>
    <t>Depreciation (See composite rate at Allis, Exh. NWA-3 at 64)</t>
  </si>
  <si>
    <t>Gross Plant From Table 4</t>
  </si>
  <si>
    <t>Gas Rate Base Adjustment ($000)</t>
  </si>
  <si>
    <t>Depreciation (Approx. Wtd. Avg. from SEF-23-24)</t>
  </si>
  <si>
    <t>Additions AMA</t>
  </si>
  <si>
    <t>@ PSE RoR</t>
  </si>
  <si>
    <t>Impact</t>
  </si>
  <si>
    <t>PSE Proposed</t>
  </si>
  <si>
    <t>R</t>
  </si>
  <si>
    <t>P</t>
  </si>
  <si>
    <t>GY</t>
  </si>
  <si>
    <t>RY1</t>
  </si>
  <si>
    <t>RY2</t>
  </si>
  <si>
    <t>141N/R</t>
  </si>
  <si>
    <t>RY3</t>
  </si>
  <si>
    <t xml:space="preserve">Cost of Capital </t>
  </si>
  <si>
    <t>Check</t>
  </si>
  <si>
    <t>Adjusted</t>
  </si>
  <si>
    <t>Cumulative</t>
  </si>
  <si>
    <t>CAPITAL PRIORITIZATION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</si>
  <si>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</si>
  <si>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</si>
  <si>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</si>
  <si>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</si>
  <si>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</si>
  <si>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</si>
  <si>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</si>
  <si>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</si>
  <si>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</si>
  <si>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</si>
  <si>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</si>
  <si>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</si>
  <si>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</si>
  <si>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</si>
  <si>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</si>
  <si>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</si>
  <si>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</si>
  <si>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</si>
  <si>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</si>
  <si>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</si>
  <si>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</si>
  <si>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</si>
  <si>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</si>
  <si>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</si>
  <si>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</si>
  <si>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</si>
  <si>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</si>
  <si>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</si>
  <si>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</si>
  <si>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</si>
  <si>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</si>
  <si>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ah = ∑ d thru ah</t>
  </si>
  <si>
    <t>aj = c + ah</t>
  </si>
  <si>
    <t>ak</t>
  </si>
  <si>
    <t>al</t>
  </si>
  <si>
    <t>am</t>
  </si>
  <si>
    <t>an</t>
  </si>
  <si>
    <t>ao</t>
  </si>
  <si>
    <t>ap</t>
  </si>
  <si>
    <t>aq</t>
  </si>
  <si>
    <t>ar</t>
  </si>
  <si>
    <t>as</t>
  </si>
  <si>
    <t>at</t>
  </si>
  <si>
    <t>au</t>
  </si>
  <si>
    <t>av</t>
  </si>
  <si>
    <t>aw</t>
  </si>
  <si>
    <t>ax</t>
  </si>
  <si>
    <t>ay</t>
  </si>
  <si>
    <t>az</t>
  </si>
  <si>
    <t>ba</t>
  </si>
  <si>
    <t>bb</t>
  </si>
  <si>
    <t>bc</t>
  </si>
  <si>
    <t>bd</t>
  </si>
  <si>
    <t>be</t>
  </si>
  <si>
    <t>bf</t>
  </si>
  <si>
    <t>bg</t>
  </si>
  <si>
    <t>bh</t>
  </si>
  <si>
    <t>bi</t>
  </si>
  <si>
    <t>bj</t>
  </si>
  <si>
    <t>bk</t>
  </si>
  <si>
    <t>bl</t>
  </si>
  <si>
    <t>bm</t>
  </si>
  <si>
    <t>bn</t>
  </si>
  <si>
    <t>bo</t>
  </si>
  <si>
    <t>bp</t>
  </si>
  <si>
    <t>bq</t>
  </si>
  <si>
    <t>br</t>
  </si>
  <si>
    <t>bs</t>
  </si>
  <si>
    <t>bt</t>
  </si>
  <si>
    <t>bu</t>
  </si>
  <si>
    <t>bv</t>
  </si>
  <si>
    <t>bw = ∑ ak thru bv</t>
  </si>
  <si>
    <t>bx = aj + bw</t>
  </si>
  <si>
    <t>by</t>
  </si>
  <si>
    <t>bz</t>
  </si>
  <si>
    <t>ca</t>
  </si>
  <si>
    <t>cb</t>
  </si>
  <si>
    <t>cc</t>
  </si>
  <si>
    <t>cd</t>
  </si>
  <si>
    <t>ce</t>
  </si>
  <si>
    <t>cf</t>
  </si>
  <si>
    <t>cg</t>
  </si>
  <si>
    <t>ch</t>
  </si>
  <si>
    <t>ci</t>
  </si>
  <si>
    <t>cj</t>
  </si>
  <si>
    <t>ck</t>
  </si>
  <si>
    <t>cl</t>
  </si>
  <si>
    <t>cm</t>
  </si>
  <si>
    <t>cn</t>
  </si>
  <si>
    <t>co</t>
  </si>
  <si>
    <t>cp</t>
  </si>
  <si>
    <t>cq</t>
  </si>
  <si>
    <t>cr</t>
  </si>
  <si>
    <t>cs</t>
  </si>
  <si>
    <t>ct</t>
  </si>
  <si>
    <t>cu</t>
  </si>
  <si>
    <t>cv</t>
  </si>
  <si>
    <t>cw</t>
  </si>
  <si>
    <t>cx</t>
  </si>
  <si>
    <t>cy</t>
  </si>
  <si>
    <t>cz</t>
  </si>
  <si>
    <t>da</t>
  </si>
  <si>
    <t>db</t>
  </si>
  <si>
    <t>dc</t>
  </si>
  <si>
    <t>dd</t>
  </si>
  <si>
    <t>de</t>
  </si>
  <si>
    <t>df</t>
  </si>
  <si>
    <t>dg</t>
  </si>
  <si>
    <t>dh</t>
  </si>
  <si>
    <t>di</t>
  </si>
  <si>
    <t>dj = ∑ by thru di</t>
  </si>
  <si>
    <t>dk = bx + dj</t>
  </si>
  <si>
    <t>dl</t>
  </si>
  <si>
    <t>dm</t>
  </si>
  <si>
    <t>dn</t>
  </si>
  <si>
    <t>do</t>
  </si>
  <si>
    <t>dp</t>
  </si>
  <si>
    <t>dq</t>
  </si>
  <si>
    <t>dr</t>
  </si>
  <si>
    <t>ds</t>
  </si>
  <si>
    <t>dt</t>
  </si>
  <si>
    <t>du</t>
  </si>
  <si>
    <t>dv</t>
  </si>
  <si>
    <t>dw</t>
  </si>
  <si>
    <t>dx</t>
  </si>
  <si>
    <t>dy</t>
  </si>
  <si>
    <t>dz</t>
  </si>
  <si>
    <t>ea</t>
  </si>
  <si>
    <t>eb</t>
  </si>
  <si>
    <t>ec</t>
  </si>
  <si>
    <t>ed</t>
  </si>
  <si>
    <t>ee</t>
  </si>
  <si>
    <t>ef</t>
  </si>
  <si>
    <t>eg</t>
  </si>
  <si>
    <t>eh</t>
  </si>
  <si>
    <t>ei</t>
  </si>
  <si>
    <t>ej</t>
  </si>
  <si>
    <t>ek</t>
  </si>
  <si>
    <t>el</t>
  </si>
  <si>
    <t>em</t>
  </si>
  <si>
    <t>en</t>
  </si>
  <si>
    <t>eo</t>
  </si>
  <si>
    <t>ep</t>
  </si>
  <si>
    <t>eq</t>
  </si>
  <si>
    <t>er</t>
  </si>
  <si>
    <t>es</t>
  </si>
  <si>
    <t>et</t>
  </si>
  <si>
    <t>eu</t>
  </si>
  <si>
    <t>ev</t>
  </si>
  <si>
    <t>ew = ∑ dl thru ev</t>
  </si>
  <si>
    <t>ex = dk + ew</t>
  </si>
  <si>
    <t>ey</t>
  </si>
  <si>
    <t>ez</t>
  </si>
  <si>
    <t>fa</t>
  </si>
  <si>
    <t>fb</t>
  </si>
  <si>
    <t>fc</t>
  </si>
  <si>
    <t>fd</t>
  </si>
  <si>
    <t>fe</t>
  </si>
  <si>
    <t>ff</t>
  </si>
  <si>
    <t>fg</t>
  </si>
  <si>
    <t>fh</t>
  </si>
  <si>
    <t>fi</t>
  </si>
  <si>
    <t>fj</t>
  </si>
  <si>
    <t>fk</t>
  </si>
  <si>
    <t>fl</t>
  </si>
  <si>
    <t>fm</t>
  </si>
  <si>
    <t>fn</t>
  </si>
  <si>
    <t>fo</t>
  </si>
  <si>
    <t>fp</t>
  </si>
  <si>
    <t>fq</t>
  </si>
  <si>
    <t>fr</t>
  </si>
  <si>
    <t>fs</t>
  </si>
  <si>
    <t>ft</t>
  </si>
  <si>
    <t>fu</t>
  </si>
  <si>
    <t>fv</t>
  </si>
  <si>
    <t>fw</t>
  </si>
  <si>
    <t>fx</t>
  </si>
  <si>
    <t>fy</t>
  </si>
  <si>
    <t>fz</t>
  </si>
  <si>
    <t>ga</t>
  </si>
  <si>
    <t>gb</t>
  </si>
  <si>
    <t>gc</t>
  </si>
  <si>
    <t>gd</t>
  </si>
  <si>
    <t>ge</t>
  </si>
  <si>
    <t>gf</t>
  </si>
  <si>
    <t>gg</t>
  </si>
  <si>
    <t>gh</t>
  </si>
  <si>
    <t>gi</t>
  </si>
  <si>
    <t>gj = ∑ ey thru gi</t>
  </si>
  <si>
    <t>gk = ex + gj</t>
  </si>
  <si>
    <t>gl</t>
  </si>
  <si>
    <t>gm</t>
  </si>
  <si>
    <t>gn</t>
  </si>
  <si>
    <t>go</t>
  </si>
  <si>
    <t>gp</t>
  </si>
  <si>
    <t>gq</t>
  </si>
  <si>
    <t>gr</t>
  </si>
  <si>
    <t>gs</t>
  </si>
  <si>
    <t>gt</t>
  </si>
  <si>
    <t>gu</t>
  </si>
  <si>
    <t>gv</t>
  </si>
  <si>
    <t>gw</t>
  </si>
  <si>
    <t>gx</t>
  </si>
  <si>
    <t>gy</t>
  </si>
  <si>
    <t>gz</t>
  </si>
  <si>
    <t>ha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</si>
  <si>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</si>
  <si>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</si>
  <si>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</si>
  <si>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</si>
  <si>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</si>
  <si>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</si>
  <si>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</si>
  <si>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</si>
  <si>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</si>
  <si>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</si>
  <si>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</si>
  <si>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</si>
  <si>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</si>
  <si>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</si>
  <si>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</si>
  <si>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</si>
  <si>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hr</t>
  </si>
  <si>
    <t>hs</t>
  </si>
  <si>
    <t>ht</t>
  </si>
  <si>
    <t>hu</t>
  </si>
  <si>
    <t>hv</t>
  </si>
  <si>
    <t>hw = ∑ gl thru hv</t>
  </si>
  <si>
    <t>hx = gk + hw</t>
  </si>
  <si>
    <t>REVENUES AND EXPENSES</t>
  </si>
  <si>
    <t>PASS-THROUGH REVENUE &amp; EXPENSE</t>
  </si>
  <si>
    <t>TEMPERATURE NORMALIZATION</t>
  </si>
  <si>
    <t>FEDERAL INCOME TAX</t>
  </si>
  <si>
    <t>TAX BENEFIT OF INTEREST</t>
  </si>
  <si>
    <t>BAD DEBT EXPENSE</t>
  </si>
  <si>
    <t>RATE CASE EXPENSE</t>
  </si>
  <si>
    <t xml:space="preserve">EXCISE TAX </t>
  </si>
  <si>
    <t>EMPLOYEE INSURANCE</t>
  </si>
  <si>
    <t>INJURIES &amp; DAMAGES</t>
  </si>
  <si>
    <t>INCENTIVE PAY</t>
  </si>
  <si>
    <t>INVESTMENT PLAN</t>
  </si>
  <si>
    <t>INTEREST ON  CUSTOMER DEPOSITS</t>
  </si>
  <si>
    <t>PROPERTY AND LIAB INSURANCE</t>
  </si>
  <si>
    <t>DEFERRED GAINS AND LOSSES ON PROPERTY SALES</t>
  </si>
  <si>
    <t>D&amp;O INSURANCE</t>
  </si>
  <si>
    <t>PENSION PLAN</t>
  </si>
  <si>
    <t>WAGE INCREASE</t>
  </si>
  <si>
    <t>AMA TO EOP RATE BASE</t>
  </si>
  <si>
    <t>AMA TO EOP DEPRECIATION</t>
  </si>
  <si>
    <t>WUTC FILING FEE</t>
  </si>
  <si>
    <t>PRO FORMA O&amp;M</t>
  </si>
  <si>
    <t>AMR REGULATORY ASSET</t>
  </si>
  <si>
    <t>AMI PLANT AND DEFERRAL</t>
  </si>
  <si>
    <t>GTZ DEFERRAL</t>
  </si>
  <si>
    <t>ENVIRONMENTAL REMEDIATION</t>
  </si>
  <si>
    <t>COVID DEFERRAL</t>
  </si>
  <si>
    <t>OPEN 1A</t>
  </si>
  <si>
    <t>TACOMA LNG UPGRADE PLANT AND DEFERRAL</t>
  </si>
  <si>
    <t>REGULATORY ASSETS &amp; LIAB</t>
  </si>
  <si>
    <t>TACOMA LNG PLANT DEFERRAL</t>
  </si>
  <si>
    <t>ESTIMATED PLANT RETIREMENTS RATE BASE</t>
  </si>
  <si>
    <t>TEST YEAR PLANT ROLL FORWARD</t>
  </si>
  <si>
    <t>PROVISIONAL PROFORMA RETIREMENTS DEPRECIATION</t>
  </si>
  <si>
    <t>PROGRAMMATIC PROVISIONAL PROFORMA</t>
  </si>
  <si>
    <t>CUSTOMER DRIVEN PROGRAMMATIC PROVISIONAL PROFORMA</t>
  </si>
  <si>
    <t>SPECIFIC PROVISIONAL PROFORMA</t>
  </si>
  <si>
    <t>PROJECTED PROVISIONAL PROFORMA</t>
  </si>
  <si>
    <t>ai</t>
  </si>
  <si>
    <t>aj</t>
  </si>
  <si>
    <t>aq = ∑ d thru ap</t>
  </si>
  <si>
    <t>ar = c + aq</t>
  </si>
  <si>
    <t>bw</t>
  </si>
  <si>
    <t>bx</t>
  </si>
  <si>
    <t>cm = ∑ as thru cl</t>
  </si>
  <si>
    <t>cn = ar + cm</t>
  </si>
  <si>
    <t>dj</t>
  </si>
  <si>
    <t>dk</t>
  </si>
  <si>
    <t>ej = ∑ co thru ei</t>
  </si>
  <si>
    <t>ek = cn + ej</t>
  </si>
  <si>
    <t>ew</t>
  </si>
  <si>
    <t>ex</t>
  </si>
  <si>
    <t>gf = ∑ el thru ge</t>
  </si>
  <si>
    <t>gg = ek + gf</t>
  </si>
  <si>
    <t>gj</t>
  </si>
  <si>
    <t>gk</t>
  </si>
  <si>
    <t>hw</t>
  </si>
  <si>
    <t>hx</t>
  </si>
  <si>
    <t>hy</t>
  </si>
  <si>
    <t>hz</t>
  </si>
  <si>
    <t>ia</t>
  </si>
  <si>
    <t>ib = ∑ gh thru ia</t>
  </si>
  <si>
    <t>ic = gg + ib</t>
  </si>
  <si>
    <t>id</t>
  </si>
  <si>
    <t>ie</t>
  </si>
  <si>
    <t>if</t>
  </si>
  <si>
    <t>ig</t>
  </si>
  <si>
    <t>ih</t>
  </si>
  <si>
    <t>ii</t>
  </si>
  <si>
    <t>ij</t>
  </si>
  <si>
    <t>ik</t>
  </si>
  <si>
    <t>il</t>
  </si>
  <si>
    <t>im</t>
  </si>
  <si>
    <t>in</t>
  </si>
  <si>
    <t>io</t>
  </si>
  <si>
    <t>ip</t>
  </si>
  <si>
    <t>iq</t>
  </si>
  <si>
    <t>ir</t>
  </si>
  <si>
    <t>is</t>
  </si>
  <si>
    <t>it</t>
  </si>
  <si>
    <t>iu</t>
  </si>
  <si>
    <t>iv</t>
  </si>
  <si>
    <t>iw</t>
  </si>
  <si>
    <t>ix</t>
  </si>
  <si>
    <t>iy</t>
  </si>
  <si>
    <t>iz</t>
  </si>
  <si>
    <t>ja</t>
  </si>
  <si>
    <t>jb</t>
  </si>
  <si>
    <t>jc</t>
  </si>
  <si>
    <t>jd</t>
  </si>
  <si>
    <t>je</t>
  </si>
  <si>
    <t>jf</t>
  </si>
  <si>
    <t>jg</t>
  </si>
  <si>
    <t>jh</t>
  </si>
  <si>
    <t>ji</t>
  </si>
  <si>
    <t>jj</t>
  </si>
  <si>
    <t>jk</t>
  </si>
  <si>
    <t>jl</t>
  </si>
  <si>
    <t>jm</t>
  </si>
  <si>
    <t>jn</t>
  </si>
  <si>
    <t>jo</t>
  </si>
  <si>
    <t>jp</t>
  </si>
  <si>
    <t>jq</t>
  </si>
  <si>
    <t>jr</t>
  </si>
  <si>
    <t>js</t>
  </si>
  <si>
    <t>jt</t>
  </si>
  <si>
    <t>ju</t>
  </si>
  <si>
    <t>jv</t>
  </si>
  <si>
    <t>jw</t>
  </si>
  <si>
    <t>jx = ∑ id thru jw</t>
  </si>
  <si>
    <t>jy = ic + jx</t>
  </si>
  <si>
    <t>awec</t>
  </si>
  <si>
    <t>A1</t>
  </si>
  <si>
    <t>A1 GY</t>
  </si>
  <si>
    <t>A1 RY2</t>
  </si>
  <si>
    <t>A1 RY3</t>
  </si>
  <si>
    <t xml:space="preserve">Capital Prioritization </t>
  </si>
  <si>
    <t>PROPOSED</t>
  </si>
  <si>
    <t>AWEC</t>
  </si>
  <si>
    <t>A1 RY1</t>
  </si>
  <si>
    <t>CONTEST</t>
  </si>
  <si>
    <t>Proposed</t>
  </si>
  <si>
    <t>Contest</t>
  </si>
  <si>
    <t>Depreciation</t>
  </si>
  <si>
    <t>MOVE TACOMA LNG TO TRACKER</t>
  </si>
  <si>
    <t>Move Tacoma LNG to Tracker</t>
  </si>
  <si>
    <t>Line Ext. Allow. (Kaufman)</t>
  </si>
  <si>
    <t>MOVE ENERG. EAST SIDE TO TRACKER</t>
  </si>
  <si>
    <t>MACRS (Assume 15-year avg)</t>
  </si>
  <si>
    <t>MACRS (Assume 20-year MQR )</t>
  </si>
  <si>
    <t>REMOVE LOWER BAKER GROUTING</t>
  </si>
  <si>
    <t>Pro Forma O&amp;M</t>
  </si>
  <si>
    <t>Grand Total</t>
  </si>
  <si>
    <t>Sub-total</t>
  </si>
  <si>
    <t>Gas</t>
  </si>
  <si>
    <t xml:space="preserve">Electric </t>
  </si>
  <si>
    <t>Directors' Expenses</t>
  </si>
  <si>
    <t>Electric</t>
  </si>
  <si>
    <t>@50%</t>
  </si>
  <si>
    <t>Test Period</t>
  </si>
  <si>
    <t>Adjustment</t>
  </si>
  <si>
    <t>DIRECTORS' FEES</t>
  </si>
  <si>
    <t>A2 RY3</t>
  </si>
  <si>
    <t>A2 RY2</t>
  </si>
  <si>
    <t>A2 RY1</t>
  </si>
  <si>
    <t>A2</t>
  </si>
  <si>
    <t>Northwest Pipeline Refund</t>
  </si>
  <si>
    <t>A3 R</t>
  </si>
  <si>
    <t>MONETIZED PTC IN ISWC</t>
  </si>
  <si>
    <t>A3</t>
  </si>
  <si>
    <t>Montetized PTCs in ISWC</t>
  </si>
  <si>
    <t>MOVE ENERG. EASTSIDE TO TRACKER</t>
  </si>
  <si>
    <t>Storm Cost Deferral</t>
  </si>
  <si>
    <t>Covid Deferral</t>
  </si>
  <si>
    <t>Interest Sync.</t>
  </si>
  <si>
    <t>UPDATE</t>
  </si>
  <si>
    <t>Total Adjustments</t>
  </si>
  <si>
    <t>Adjustments</t>
  </si>
  <si>
    <t>Revenue Offset</t>
  </si>
  <si>
    <t>Move Energ. E.S. to Tracker</t>
  </si>
  <si>
    <t>Remove Lwr. Bkr. Grouting</t>
  </si>
  <si>
    <t>Update</t>
  </si>
  <si>
    <t>Revenue Offset (Proposed)</t>
  </si>
  <si>
    <t>Revenue Adj. (Kaufmam)</t>
  </si>
  <si>
    <t>A4</t>
  </si>
  <si>
    <t>PUGET SOUND ENERGY (AWEC PROPOSED)</t>
  </si>
  <si>
    <t>Tacoma LNG Upgrade Deferral</t>
  </si>
  <si>
    <t>11.50</t>
  </si>
  <si>
    <t>Tacoma Capital Deferral</t>
  </si>
  <si>
    <t>POWER COSTS</t>
  </si>
  <si>
    <t>MONTANA TAX</t>
  </si>
  <si>
    <t>WILD HORSE SOLAR</t>
  </si>
  <si>
    <t>STORM EXPENSE NORMALIZATION</t>
  </si>
  <si>
    <t>REGULATORY  ASSETS &amp; LIAB</t>
  </si>
  <si>
    <t>GREEN DIRECT</t>
  </si>
  <si>
    <t>STORM DEFERRAL AMORTIZATION</t>
  </si>
  <si>
    <t>ELECTRIC VEHICLES</t>
  </si>
  <si>
    <t>COLSTRIP D&amp;R TRACKER</t>
  </si>
  <si>
    <t>OPEN 3</t>
  </si>
  <si>
    <t>MONETIZE PTCS FOR COLSTRIP</t>
  </si>
  <si>
    <t>ACQUISITION ADJUSTMENT</t>
  </si>
  <si>
    <t>From Kaufman</t>
  </si>
  <si>
    <t>Adj. A1 Capital Prioritization</t>
  </si>
  <si>
    <t>Expense Adjustment</t>
  </si>
  <si>
    <t>Adj. A2 Directors' Fees</t>
  </si>
  <si>
    <t>Adj. 11.32 Gas Line Extension Reduction</t>
  </si>
  <si>
    <t>Adj. 11.33 Remove Tacoma LNG</t>
  </si>
  <si>
    <t>Adj. 6.33 Remove Energize East Side</t>
  </si>
  <si>
    <t>Direct Capital (Adj. 11.33)</t>
  </si>
  <si>
    <t>Total Rev. Req. (Incr.)</t>
  </si>
  <si>
    <t>Less Deferral Rev. Req.</t>
  </si>
  <si>
    <t>Adj. 11.48  LNG Upgrade</t>
  </si>
  <si>
    <t>Adj. 11.50 Capital Deferral</t>
  </si>
  <si>
    <t>Adj. 6.33 Remove Lower Baker Grouting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</si>
</sst>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_);_(@_)"/>
    <numFmt numFmtId="165" formatCode="0.000%"/>
    <numFmt numFmtId="166" formatCode="_(* #,##0_);_(* \(#,##0\);_(* &quot;-&quot;??_);_(@_)"/>
    <numFmt numFmtId="167" formatCode="0.00\ &quot;R&quot;"/>
    <numFmt numFmtId="168" formatCode="0.00\ &quot;P&quot;"/>
    <numFmt numFmtId="169" formatCode="0.00\ &quot;PP&quot;"/>
    <numFmt numFmtId="170" formatCode="&quot;$&quot;#,##0"/>
    <numFmt numFmtId="171" formatCode="_(&quot;$&quot;* #,##0_);_(&quot;$&quot;* \(#,##0\);_(&quot;$&quot;* &quot;-&quot;??_);_(@_)"/>
    <numFmt numFmtId="172" formatCode="_(&quot;$&quot;* #,##0_);[Red]_(&quot;$&quot;* \(#,##0\);_(&quot;$&quot;* &quot;-&quot;_);_(@_)"/>
    <numFmt numFmtId="173" formatCode="&quot;$&quot;#,##0.00"/>
  </numFmts>
  <fonts count="3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i/>
      <u/>
      <sz val="10"/>
      <name val="Times New Roman"/>
      <family val="1"/>
    </font>
    <font>
      <b/>
      <i/>
      <sz val="10"/>
      <name val="Times New Roman"/>
      <family val="1"/>
    </font>
    <font>
      <u/>
      <sz val="10"/>
      <name val="Times New Roman"/>
      <family val="1"/>
    </font>
    <font>
      <b/>
      <u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b/>
      <sz val="11"/>
      <color theme="1"/>
      <name val="Times New Roman"/>
      <family val="1"/>
    </font>
    <font>
      <b/>
      <sz val="10"/>
      <color rgb="FFFF0000"/>
      <name val="Times New Roman"/>
      <family val="1"/>
    </font>
    <font>
      <sz val="8"/>
      <color theme="1"/>
      <name val="Times New Roman"/>
      <family val="1"/>
    </font>
    <font>
      <b/>
      <sz val="10"/>
      <color rgb="FFFF66FF"/>
      <name val="Times New Roman"/>
      <family val="1"/>
    </font>
    <font>
      <b/>
      <sz val="10"/>
      <color rgb="FF33CC33"/>
      <name val="Times New Roman"/>
      <family val="1"/>
    </font>
    <font>
      <sz val="10"/>
      <color rgb="FFFF0000"/>
      <name val="Times New Roman"/>
      <family val="1"/>
    </font>
    <font>
      <sz val="10"/>
      <color rgb="FF0000FF"/>
      <name val="Times New Roman"/>
      <family val="1"/>
    </font>
    <font>
      <sz val="10"/>
      <color theme="0" tint="-0.34998626667073579"/>
      <name val="Times New Roman"/>
      <family val="1"/>
    </font>
    <font>
      <sz val="10"/>
      <color indexed="8"/>
      <name val="Times New Roman"/>
      <family val="1"/>
    </font>
    <font>
      <i/>
      <sz val="10"/>
      <color rgb="FFFF0000"/>
      <name val="Times New Roman"/>
      <family val="1"/>
    </font>
    <font>
      <sz val="11"/>
      <color theme="1"/>
      <name val="Calibri"/>
      <family val="2"/>
      <scheme val="minor"/>
    </font>
    <font>
      <b/>
      <sz val="10"/>
      <color theme="2" tint="-0.499984740745262"/>
      <name val="Times New Roman"/>
      <family val="1"/>
    </font>
    <font>
      <sz val="10"/>
      <color theme="2" tint="-0.499984740745262"/>
      <name val="Times New Roman"/>
      <family val="1"/>
    </font>
    <font>
      <sz val="10"/>
      <color rgb="FFC00000"/>
      <name val="Times New Roman"/>
      <family val="1"/>
    </font>
    <font>
      <b/>
      <sz val="10"/>
      <color rgb="FFC00000"/>
      <name val="Times New Roman"/>
      <family val="1"/>
    </font>
    <font>
      <i/>
      <sz val="10"/>
      <color rgb="FFC00000"/>
      <name val="Times New Roman"/>
      <family val="1"/>
    </font>
    <font>
      <sz val="8"/>
      <color rgb="FF47425D"/>
      <name val="Arial"/>
      <family val="2"/>
    </font>
    <font>
      <sz val="11"/>
      <color theme="1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gray06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587866"/>
      </left>
      <right style="thin">
        <color rgb="FF587866"/>
      </right>
      <top style="thin">
        <color rgb="FF587866"/>
      </top>
      <bottom style="thin">
        <color rgb="FF587866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349">
    <xf numFmtId="0" fontId="0" fillId="0" borderId="0" xfId="0"/>
    <xf numFmtId="0" fontId="2" fillId="0" borderId="0" xfId="1" applyFont="1"/>
    <xf numFmtId="0" fontId="3" fillId="0" borderId="0" xfId="1" applyFont="1"/>
    <xf numFmtId="41" fontId="2" fillId="0" borderId="0" xfId="1" applyNumberFormat="1" applyFont="1"/>
    <xf numFmtId="164" fontId="2" fillId="0" borderId="0" xfId="1" applyNumberFormat="1" applyFont="1"/>
    <xf numFmtId="41" fontId="3" fillId="0" borderId="0" xfId="1" applyNumberFormat="1" applyFont="1"/>
    <xf numFmtId="41" fontId="4" fillId="0" borderId="0" xfId="1" applyNumberFormat="1" applyFont="1"/>
    <xf numFmtId="0" fontId="4" fillId="0" borderId="0" xfId="1" applyFont="1"/>
    <xf numFmtId="0" fontId="3" fillId="0" borderId="1" xfId="1" applyFont="1" applyBorder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2" fontId="2" fillId="0" borderId="0" xfId="1" applyNumberFormat="1" applyFont="1"/>
    <xf numFmtId="41" fontId="4" fillId="0" borderId="3" xfId="1" applyNumberFormat="1" applyFont="1" applyBorder="1"/>
    <xf numFmtId="41" fontId="2" fillId="0" borderId="4" xfId="1" applyNumberFormat="1" applyFont="1" applyBorder="1"/>
    <xf numFmtId="41" fontId="4" fillId="0" borderId="4" xfId="1" applyNumberFormat="1" applyFont="1" applyBorder="1"/>
    <xf numFmtId="0" fontId="5" fillId="0" borderId="0" xfId="1" applyFont="1"/>
    <xf numFmtId="0" fontId="6" fillId="0" borderId="0" xfId="1" applyFont="1"/>
    <xf numFmtId="10" fontId="2" fillId="2" borderId="5" xfId="2" applyNumberFormat="1" applyFont="1" applyFill="1" applyBorder="1"/>
    <xf numFmtId="0" fontId="2" fillId="2" borderId="2" xfId="1" applyFont="1" applyFill="1" applyBorder="1"/>
    <xf numFmtId="10" fontId="2" fillId="2" borderId="2" xfId="1" applyNumberFormat="1" applyFont="1" applyFill="1" applyBorder="1"/>
    <xf numFmtId="0" fontId="2" fillId="2" borderId="6" xfId="1" applyFont="1" applyFill="1" applyBorder="1"/>
    <xf numFmtId="10" fontId="2" fillId="2" borderId="0" xfId="1" applyNumberFormat="1" applyFont="1" applyFill="1"/>
    <xf numFmtId="0" fontId="2" fillId="2" borderId="1" xfId="1" applyFont="1" applyFill="1" applyBorder="1"/>
    <xf numFmtId="10" fontId="2" fillId="2" borderId="7" xfId="2" applyNumberFormat="1" applyFont="1" applyFill="1" applyBorder="1"/>
    <xf numFmtId="0" fontId="2" fillId="2" borderId="5" xfId="1" applyFont="1" applyFill="1" applyBorder="1"/>
    <xf numFmtId="0" fontId="2" fillId="2" borderId="8" xfId="1" applyFont="1" applyFill="1" applyBorder="1"/>
    <xf numFmtId="0" fontId="2" fillId="2" borderId="4" xfId="1" applyFont="1" applyFill="1" applyBorder="1"/>
    <xf numFmtId="0" fontId="2" fillId="2" borderId="9" xfId="1" applyFont="1" applyFill="1" applyBorder="1"/>
    <xf numFmtId="10" fontId="2" fillId="0" borderId="0" xfId="1" applyNumberFormat="1" applyFont="1"/>
    <xf numFmtId="3" fontId="2" fillId="0" borderId="0" xfId="1" applyNumberFormat="1" applyFont="1"/>
    <xf numFmtId="5" fontId="4" fillId="0" borderId="0" xfId="1" applyNumberFormat="1" applyFont="1"/>
    <xf numFmtId="2" fontId="4" fillId="0" borderId="0" xfId="1" quotePrefix="1" applyNumberFormat="1" applyFont="1"/>
    <xf numFmtId="9" fontId="2" fillId="0" borderId="0" xfId="1" applyNumberFormat="1" applyFont="1"/>
    <xf numFmtId="0" fontId="2" fillId="0" borderId="2" xfId="1" applyFont="1" applyBorder="1" applyAlignment="1">
      <alignment horizontal="center"/>
    </xf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165" fontId="2" fillId="0" borderId="0" xfId="1" applyNumberFormat="1" applyFont="1"/>
    <xf numFmtId="0" fontId="4" fillId="0" borderId="0" xfId="1" applyFont="1" applyAlignment="1">
      <alignment horizontal="center"/>
    </xf>
    <xf numFmtId="0" fontId="3" fillId="0" borderId="2" xfId="1" applyFont="1" applyBorder="1"/>
    <xf numFmtId="0" fontId="5" fillId="0" borderId="2" xfId="1" applyFont="1" applyBorder="1"/>
    <xf numFmtId="0" fontId="7" fillId="0" borderId="2" xfId="1" applyFont="1" applyBorder="1" applyAlignment="1">
      <alignment horizontal="center"/>
    </xf>
    <xf numFmtId="0" fontId="2" fillId="0" borderId="2" xfId="1" applyFont="1" applyBorder="1"/>
    <xf numFmtId="0" fontId="8" fillId="0" borderId="2" xfId="1" applyFont="1" applyBorder="1"/>
    <xf numFmtId="0" fontId="10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3" fontId="11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10" fillId="0" borderId="0" xfId="0" applyFont="1"/>
    <xf numFmtId="0" fontId="9" fillId="0" borderId="0" xfId="0" applyFont="1"/>
    <xf numFmtId="0" fontId="10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2" fontId="10" fillId="0" borderId="0" xfId="0" applyNumberFormat="1" applyFont="1"/>
    <xf numFmtId="3" fontId="10" fillId="0" borderId="0" xfId="0" applyNumberFormat="1" applyFont="1"/>
    <xf numFmtId="17" fontId="14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/>
    <xf numFmtId="0" fontId="10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0" fontId="9" fillId="3" borderId="10" xfId="0" applyFont="1" applyFill="1" applyBorder="1" applyAlignment="1">
      <alignment horizontal="center"/>
    </xf>
    <xf numFmtId="167" fontId="9" fillId="0" borderId="0" xfId="0" applyNumberFormat="1" applyFont="1" applyAlignment="1" applyProtection="1">
      <alignment horizontal="center"/>
      <protection locked="0"/>
    </xf>
    <xf numFmtId="168" fontId="9" fillId="0" borderId="0" xfId="0" applyNumberFormat="1" applyFont="1" applyAlignment="1" applyProtection="1">
      <alignment horizontal="center"/>
      <protection locked="0"/>
    </xf>
    <xf numFmtId="17" fontId="9" fillId="3" borderId="10" xfId="0" quotePrefix="1" applyNumberFormat="1" applyFont="1" applyFill="1" applyBorder="1" applyAlignment="1">
      <alignment horizontal="center"/>
    </xf>
    <xf numFmtId="169" fontId="9" fillId="0" borderId="0" xfId="0" applyNumberFormat="1" applyFont="1" applyAlignment="1" applyProtection="1">
      <alignment horizontal="center"/>
      <protection locked="0"/>
    </xf>
    <xf numFmtId="169" fontId="4" fillId="0" borderId="0" xfId="0" applyNumberFormat="1" applyFont="1" applyAlignment="1" applyProtection="1">
      <alignment horizontal="center"/>
      <protection locked="0"/>
    </xf>
    <xf numFmtId="0" fontId="9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3" fontId="9" fillId="0" borderId="0" xfId="0" applyNumberFormat="1" applyFont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3" borderId="11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3" borderId="11" xfId="0" applyFont="1" applyFill="1" applyBorder="1"/>
    <xf numFmtId="42" fontId="10" fillId="3" borderId="11" xfId="0" applyNumberFormat="1" applyFont="1" applyFill="1" applyBorder="1" applyProtection="1">
      <protection locked="0"/>
    </xf>
    <xf numFmtId="42" fontId="10" fillId="0" borderId="0" xfId="0" applyNumberFormat="1" applyFont="1" applyProtection="1">
      <protection locked="0"/>
    </xf>
    <xf numFmtId="41" fontId="10" fillId="3" borderId="11" xfId="0" applyNumberFormat="1" applyFont="1" applyFill="1" applyBorder="1" applyProtection="1">
      <protection locked="0"/>
    </xf>
    <xf numFmtId="41" fontId="10" fillId="0" borderId="0" xfId="0" applyNumberFormat="1" applyFont="1" applyProtection="1">
      <protection locked="0"/>
    </xf>
    <xf numFmtId="166" fontId="10" fillId="3" borderId="10" xfId="0" applyNumberFormat="1" applyFont="1" applyFill="1" applyBorder="1"/>
    <xf numFmtId="166" fontId="10" fillId="0" borderId="4" xfId="0" applyNumberFormat="1" applyFont="1" applyBorder="1"/>
    <xf numFmtId="170" fontId="10" fillId="0" borderId="0" xfId="0" applyNumberFormat="1" applyFont="1"/>
    <xf numFmtId="42" fontId="10" fillId="3" borderId="11" xfId="0" applyNumberFormat="1" applyFont="1" applyFill="1" applyBorder="1"/>
    <xf numFmtId="171" fontId="10" fillId="3" borderId="10" xfId="0" applyNumberFormat="1" applyFont="1" applyFill="1" applyBorder="1"/>
    <xf numFmtId="171" fontId="10" fillId="0" borderId="4" xfId="0" applyNumberFormat="1" applyFont="1" applyBorder="1"/>
    <xf numFmtId="0" fontId="10" fillId="0" borderId="0" xfId="0" quotePrefix="1" applyFont="1" applyAlignment="1">
      <alignment horizontal="left"/>
    </xf>
    <xf numFmtId="43" fontId="10" fillId="0" borderId="0" xfId="0" applyNumberFormat="1" applyFont="1"/>
    <xf numFmtId="166" fontId="10" fillId="0" borderId="0" xfId="0" applyNumberFormat="1" applyFont="1"/>
    <xf numFmtId="166" fontId="10" fillId="0" borderId="0" xfId="0" applyNumberFormat="1" applyFont="1" applyProtection="1">
      <protection locked="0"/>
    </xf>
    <xf numFmtId="41" fontId="10" fillId="0" borderId="0" xfId="0" applyNumberFormat="1" applyFont="1"/>
    <xf numFmtId="0" fontId="10" fillId="3" borderId="10" xfId="0" applyFont="1" applyFill="1" applyBorder="1"/>
    <xf numFmtId="0" fontId="10" fillId="0" borderId="4" xfId="0" applyFont="1" applyBorder="1"/>
    <xf numFmtId="42" fontId="10" fillId="3" borderId="12" xfId="0" applyNumberFormat="1" applyFont="1" applyFill="1" applyBorder="1" applyProtection="1">
      <protection locked="0"/>
    </xf>
    <xf numFmtId="42" fontId="10" fillId="0" borderId="3" xfId="0" applyNumberFormat="1" applyFont="1" applyBorder="1" applyProtection="1">
      <protection locked="0"/>
    </xf>
    <xf numFmtId="42" fontId="0" fillId="3" borderId="13" xfId="0" applyNumberFormat="1" applyFill="1" applyBorder="1"/>
    <xf numFmtId="42" fontId="0" fillId="0" borderId="0" xfId="0" applyNumberFormat="1"/>
    <xf numFmtId="44" fontId="10" fillId="0" borderId="0" xfId="0" applyNumberFormat="1" applyFont="1"/>
    <xf numFmtId="10" fontId="10" fillId="3" borderId="11" xfId="0" applyNumberFormat="1" applyFont="1" applyFill="1" applyBorder="1" applyProtection="1">
      <protection locked="0"/>
    </xf>
    <xf numFmtId="9" fontId="10" fillId="0" borderId="0" xfId="0" applyNumberFormat="1" applyFont="1" applyProtection="1">
      <protection locked="0"/>
    </xf>
    <xf numFmtId="172" fontId="10" fillId="0" borderId="0" xfId="0" applyNumberFormat="1" applyFont="1" applyAlignment="1">
      <alignment horizontal="left"/>
    </xf>
    <xf numFmtId="170" fontId="10" fillId="3" borderId="11" xfId="0" applyNumberFormat="1" applyFont="1" applyFill="1" applyBorder="1" applyProtection="1">
      <protection locked="0"/>
    </xf>
    <xf numFmtId="173" fontId="10" fillId="3" borderId="11" xfId="0" applyNumberFormat="1" applyFont="1" applyFill="1" applyBorder="1" applyProtection="1">
      <protection locked="0"/>
    </xf>
    <xf numFmtId="42" fontId="10" fillId="3" borderId="14" xfId="0" applyNumberFormat="1" applyFont="1" applyFill="1" applyBorder="1"/>
    <xf numFmtId="42" fontId="10" fillId="0" borderId="15" xfId="0" applyNumberFormat="1" applyFont="1" applyBorder="1"/>
    <xf numFmtId="10" fontId="14" fillId="3" borderId="11" xfId="0" applyNumberFormat="1" applyFont="1" applyFill="1" applyBorder="1"/>
    <xf numFmtId="10" fontId="14" fillId="0" borderId="0" xfId="0" applyNumberFormat="1" applyFont="1"/>
    <xf numFmtId="10" fontId="14" fillId="0" borderId="16" xfId="0" applyNumberFormat="1" applyFont="1" applyBorder="1"/>
    <xf numFmtId="0" fontId="14" fillId="3" borderId="11" xfId="0" applyFont="1" applyFill="1" applyBorder="1"/>
    <xf numFmtId="0" fontId="14" fillId="0" borderId="0" xfId="0" applyFont="1"/>
    <xf numFmtId="41" fontId="10" fillId="4" borderId="11" xfId="0" applyNumberFormat="1" applyFont="1" applyFill="1" applyBorder="1" applyProtection="1">
      <protection locked="0"/>
    </xf>
    <xf numFmtId="41" fontId="10" fillId="4" borderId="17" xfId="0" applyNumberFormat="1" applyFont="1" applyFill="1" applyBorder="1" applyProtection="1">
      <protection locked="0"/>
    </xf>
    <xf numFmtId="41" fontId="10" fillId="3" borderId="18" xfId="0" applyNumberFormat="1" applyFont="1" applyFill="1" applyBorder="1" applyProtection="1">
      <protection locked="0"/>
    </xf>
    <xf numFmtId="0" fontId="18" fillId="0" borderId="0" xfId="0" applyFont="1" applyAlignment="1">
      <alignment horizontal="center"/>
    </xf>
    <xf numFmtId="0" fontId="19" fillId="0" borderId="0" xfId="0" applyFont="1"/>
    <xf numFmtId="3" fontId="19" fillId="0" borderId="0" xfId="0" applyNumberFormat="1" applyFont="1"/>
    <xf numFmtId="0" fontId="19" fillId="0" borderId="0" xfId="0" applyFont="1" applyAlignment="1">
      <alignment horizontal="right"/>
    </xf>
    <xf numFmtId="0" fontId="4" fillId="5" borderId="0" xfId="0" applyFont="1" applyFill="1" applyAlignment="1">
      <alignment horizontal="left"/>
    </xf>
    <xf numFmtId="42" fontId="4" fillId="5" borderId="0" xfId="0" applyNumberFormat="1" applyFont="1" applyFill="1"/>
    <xf numFmtId="0" fontId="2" fillId="0" borderId="9" xfId="0" applyFont="1" applyBorder="1" applyAlignment="1">
      <alignment horizontal="left"/>
    </xf>
    <xf numFmtId="170" fontId="2" fillId="0" borderId="4" xfId="0" applyNumberFormat="1" applyFont="1" applyBorder="1" applyProtection="1">
      <protection locked="0"/>
    </xf>
    <xf numFmtId="0" fontId="2" fillId="0" borderId="1" xfId="0" applyFont="1" applyBorder="1"/>
    <xf numFmtId="41" fontId="2" fillId="0" borderId="0" xfId="0" applyNumberFormat="1" applyFont="1"/>
    <xf numFmtId="0" fontId="2" fillId="6" borderId="9" xfId="0" applyFont="1" applyFill="1" applyBorder="1" applyAlignment="1">
      <alignment horizontal="left"/>
    </xf>
    <xf numFmtId="170" fontId="2" fillId="6" borderId="4" xfId="0" applyNumberFormat="1" applyFont="1" applyFill="1" applyBorder="1" applyProtection="1">
      <protection locked="0"/>
    </xf>
    <xf numFmtId="0" fontId="2" fillId="6" borderId="1" xfId="0" applyFont="1" applyFill="1" applyBorder="1"/>
    <xf numFmtId="41" fontId="2" fillId="6" borderId="0" xfId="0" applyNumberFormat="1" applyFont="1" applyFill="1"/>
    <xf numFmtId="41" fontId="0" fillId="0" borderId="0" xfId="0" applyNumberFormat="1"/>
    <xf numFmtId="0" fontId="10" fillId="0" borderId="9" xfId="0" applyFont="1" applyBorder="1" applyAlignment="1">
      <alignment horizontal="left"/>
    </xf>
    <xf numFmtId="41" fontId="10" fillId="0" borderId="4" xfId="0" applyNumberFormat="1" applyFont="1" applyBorder="1" applyAlignment="1">
      <alignment vertical="center"/>
    </xf>
    <xf numFmtId="170" fontId="10" fillId="0" borderId="4" xfId="0" applyNumberFormat="1" applyFont="1" applyBorder="1" applyAlignment="1">
      <alignment vertical="center"/>
    </xf>
    <xf numFmtId="0" fontId="10" fillId="0" borderId="1" xfId="0" applyFont="1" applyBorder="1"/>
    <xf numFmtId="41" fontId="10" fillId="0" borderId="0" xfId="0" applyNumberFormat="1" applyFont="1" applyAlignment="1">
      <alignment vertical="center"/>
    </xf>
    <xf numFmtId="0" fontId="2" fillId="0" borderId="0" xfId="1" applyNumberFormat="1" applyFont="1"/>
    <xf numFmtId="41" fontId="4" fillId="0" borderId="0" xfId="1" applyNumberFormat="1" applyFont="1" applyBorder="1"/>
    <xf numFmtId="0" fontId="2" fillId="0" borderId="0" xfId="1" applyFont="1" applyFill="1" applyBorder="1" applyAlignment="1">
      <alignment horizontal="right"/>
    </xf>
    <xf numFmtId="3" fontId="11" fillId="0" borderId="0" xfId="0" applyNumberFormat="1" applyFont="1"/>
    <xf numFmtId="0" fontId="9" fillId="7" borderId="0" xfId="0" applyFont="1" applyFill="1" applyAlignment="1">
      <alignment horizontal="center" vertical="center"/>
    </xf>
    <xf numFmtId="0" fontId="10" fillId="7" borderId="0" xfId="0" applyFont="1" applyFill="1"/>
    <xf numFmtId="17" fontId="14" fillId="7" borderId="0" xfId="0" applyNumberFormat="1" applyFont="1" applyFill="1" applyAlignment="1">
      <alignment horizontal="center"/>
    </xf>
    <xf numFmtId="0" fontId="15" fillId="7" borderId="0" xfId="0" applyFont="1" applyFill="1" applyAlignment="1">
      <alignment horizontal="center"/>
    </xf>
    <xf numFmtId="0" fontId="16" fillId="7" borderId="0" xfId="0" applyFont="1" applyFill="1" applyAlignment="1">
      <alignment horizontal="center"/>
    </xf>
    <xf numFmtId="43" fontId="17" fillId="0" borderId="0" xfId="0" applyNumberFormat="1" applyFont="1"/>
    <xf numFmtId="0" fontId="10" fillId="7" borderId="0" xfId="0" applyFont="1" applyFill="1" applyAlignment="1">
      <alignment horizontal="center"/>
    </xf>
    <xf numFmtId="167" fontId="9" fillId="7" borderId="0" xfId="0" applyNumberFormat="1" applyFont="1" applyFill="1" applyAlignment="1" applyProtection="1">
      <alignment horizontal="center"/>
      <protection locked="0"/>
    </xf>
    <xf numFmtId="168" fontId="9" fillId="7" borderId="0" xfId="0" applyNumberFormat="1" applyFont="1" applyFill="1" applyAlignment="1" applyProtection="1">
      <alignment horizontal="center"/>
      <protection locked="0"/>
    </xf>
    <xf numFmtId="168" fontId="4" fillId="7" borderId="0" xfId="0" applyNumberFormat="1" applyFont="1" applyFill="1" applyAlignment="1" applyProtection="1">
      <alignment horizontal="center"/>
      <protection locked="0"/>
    </xf>
    <xf numFmtId="0" fontId="9" fillId="7" borderId="0" xfId="0" applyFont="1" applyFill="1" applyAlignment="1">
      <alignment horizontal="center" vertical="center" wrapText="1"/>
    </xf>
    <xf numFmtId="0" fontId="9" fillId="7" borderId="0" xfId="0" quotePrefix="1" applyFont="1" applyFill="1" applyAlignment="1">
      <alignment horizontal="center" vertical="center" wrapText="1"/>
    </xf>
    <xf numFmtId="0" fontId="9" fillId="7" borderId="0" xfId="0" applyFont="1" applyFill="1" applyAlignment="1" applyProtection="1">
      <alignment horizontal="center" vertical="center" wrapText="1"/>
      <protection locked="0"/>
    </xf>
    <xf numFmtId="0" fontId="4" fillId="7" borderId="0" xfId="0" applyFont="1" applyFill="1" applyAlignment="1">
      <alignment horizontal="center" vertical="center" wrapText="1"/>
    </xf>
    <xf numFmtId="43" fontId="9" fillId="7" borderId="0" xfId="0" applyNumberFormat="1" applyFont="1" applyFill="1" applyAlignment="1">
      <alignment horizontal="center" vertical="center" wrapText="1"/>
    </xf>
    <xf numFmtId="42" fontId="10" fillId="7" borderId="0" xfId="0" applyNumberFormat="1" applyFont="1" applyFill="1" applyProtection="1">
      <protection locked="0"/>
    </xf>
    <xf numFmtId="41" fontId="10" fillId="7" borderId="0" xfId="0" applyNumberFormat="1" applyFont="1" applyFill="1" applyProtection="1">
      <protection locked="0"/>
    </xf>
    <xf numFmtId="42" fontId="10" fillId="0" borderId="0" xfId="0" quotePrefix="1" applyNumberFormat="1" applyFont="1"/>
    <xf numFmtId="166" fontId="10" fillId="7" borderId="4" xfId="0" applyNumberFormat="1" applyFont="1" applyFill="1" applyBorder="1"/>
    <xf numFmtId="42" fontId="10" fillId="7" borderId="0" xfId="0" applyNumberFormat="1" applyFont="1" applyFill="1"/>
    <xf numFmtId="171" fontId="10" fillId="7" borderId="4" xfId="0" applyNumberFormat="1" applyFont="1" applyFill="1" applyBorder="1"/>
    <xf numFmtId="41" fontId="10" fillId="7" borderId="0" xfId="0" applyNumberFormat="1" applyFont="1" applyFill="1"/>
    <xf numFmtId="0" fontId="10" fillId="7" borderId="4" xfId="0" applyFont="1" applyFill="1" applyBorder="1"/>
    <xf numFmtId="42" fontId="10" fillId="7" borderId="3" xfId="0" applyNumberFormat="1" applyFont="1" applyFill="1" applyBorder="1" applyProtection="1">
      <protection locked="0"/>
    </xf>
    <xf numFmtId="42" fontId="10" fillId="8" borderId="12" xfId="0" applyNumberFormat="1" applyFont="1" applyFill="1" applyBorder="1" applyProtection="1">
      <protection locked="0"/>
    </xf>
    <xf numFmtId="42" fontId="0" fillId="7" borderId="0" xfId="0" applyNumberFormat="1" applyFill="1"/>
    <xf numFmtId="172" fontId="20" fillId="0" borderId="0" xfId="0" applyNumberFormat="1" applyFont="1" applyAlignment="1">
      <alignment horizontal="left"/>
    </xf>
    <xf numFmtId="0" fontId="2" fillId="0" borderId="0" xfId="0" applyFont="1"/>
    <xf numFmtId="166" fontId="10" fillId="7" borderId="0" xfId="0" applyNumberFormat="1" applyFont="1" applyFill="1"/>
    <xf numFmtId="43" fontId="10" fillId="7" borderId="0" xfId="0" applyNumberFormat="1" applyFont="1" applyFill="1"/>
    <xf numFmtId="42" fontId="10" fillId="7" borderId="15" xfId="0" applyNumberFormat="1" applyFont="1" applyFill="1" applyBorder="1"/>
    <xf numFmtId="42" fontId="10" fillId="8" borderId="14" xfId="0" applyNumberFormat="1" applyFont="1" applyFill="1" applyBorder="1"/>
    <xf numFmtId="166" fontId="10" fillId="3" borderId="7" xfId="0" applyNumberFormat="1" applyFont="1" applyFill="1" applyBorder="1"/>
    <xf numFmtId="166" fontId="10" fillId="3" borderId="11" xfId="0" applyNumberFormat="1" applyFont="1" applyFill="1" applyBorder="1"/>
    <xf numFmtId="43" fontId="0" fillId="0" borderId="0" xfId="0" applyNumberFormat="1"/>
    <xf numFmtId="0" fontId="0" fillId="0" borderId="0" xfId="0" applyProtection="1">
      <protection locked="0"/>
    </xf>
    <xf numFmtId="0" fontId="2" fillId="0" borderId="0" xfId="1" applyFont="1" applyFill="1" applyBorder="1" applyAlignment="1">
      <alignment horizontal="right" indent="1"/>
    </xf>
    <xf numFmtId="41" fontId="2" fillId="0" borderId="0" xfId="1" applyNumberFormat="1" applyFont="1" applyFill="1" applyBorder="1"/>
    <xf numFmtId="165" fontId="2" fillId="0" borderId="0" xfId="1" applyNumberFormat="1" applyFont="1" applyFill="1" applyBorder="1"/>
    <xf numFmtId="41" fontId="2" fillId="0" borderId="19" xfId="1" applyNumberFormat="1" applyFont="1" applyBorder="1"/>
    <xf numFmtId="0" fontId="2" fillId="0" borderId="0" xfId="1" applyFont="1" applyBorder="1" applyAlignment="1">
      <alignment horizontal="center"/>
    </xf>
    <xf numFmtId="0" fontId="21" fillId="0" borderId="0" xfId="1" applyFont="1"/>
    <xf numFmtId="41" fontId="17" fillId="0" borderId="0" xfId="1" applyNumberFormat="1" applyFont="1"/>
    <xf numFmtId="0" fontId="17" fillId="0" borderId="0" xfId="1" applyFont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3" fillId="0" borderId="0" xfId="1" applyFont="1" applyAlignment="1">
      <alignment horizontal="left" indent="1"/>
    </xf>
    <xf numFmtId="41" fontId="2" fillId="0" borderId="2" xfId="1" applyNumberFormat="1" applyFont="1" applyBorder="1"/>
    <xf numFmtId="43" fontId="2" fillId="0" borderId="0" xfId="1" applyNumberFormat="1" applyFont="1"/>
    <xf numFmtId="43" fontId="2" fillId="0" borderId="2" xfId="1" applyNumberFormat="1" applyFont="1" applyBorder="1"/>
    <xf numFmtId="41" fontId="3" fillId="0" borderId="2" xfId="1" applyNumberFormat="1" applyFont="1" applyBorder="1"/>
    <xf numFmtId="0" fontId="8" fillId="0" borderId="0" xfId="1" applyFont="1" applyAlignment="1">
      <alignment horizontal="center"/>
    </xf>
    <xf numFmtId="0" fontId="8" fillId="0" borderId="0" xfId="1" applyFont="1"/>
    <xf numFmtId="41" fontId="2" fillId="2" borderId="2" xfId="1" applyNumberFormat="1" applyFont="1" applyFill="1" applyBorder="1"/>
    <xf numFmtId="0" fontId="2" fillId="2" borderId="7" xfId="1" applyFont="1" applyFill="1" applyBorder="1"/>
    <xf numFmtId="41" fontId="2" fillId="2" borderId="0" xfId="1" applyNumberFormat="1" applyFont="1" applyFill="1"/>
    <xf numFmtId="0" fontId="2" fillId="2" borderId="0" xfId="1" applyFont="1" applyFill="1"/>
    <xf numFmtId="0" fontId="7" fillId="2" borderId="0" xfId="1" applyFont="1" applyFill="1" applyAlignment="1">
      <alignment horizontal="center"/>
    </xf>
    <xf numFmtId="0" fontId="10" fillId="0" borderId="0" xfId="0" quotePrefix="1" applyFont="1" applyFill="1" applyAlignment="1">
      <alignment horizontal="left"/>
    </xf>
    <xf numFmtId="0" fontId="10" fillId="0" borderId="0" xfId="0" applyFont="1" applyFill="1" applyAlignment="1">
      <alignment horizontal="left"/>
    </xf>
    <xf numFmtId="0" fontId="2" fillId="0" borderId="2" xfId="1" quotePrefix="1" applyFont="1" applyBorder="1"/>
    <xf numFmtId="10" fontId="14" fillId="9" borderId="0" xfId="0" applyNumberFormat="1" applyFont="1" applyFill="1"/>
    <xf numFmtId="41" fontId="23" fillId="0" borderId="0" xfId="1" applyNumberFormat="1" applyFont="1" applyBorder="1"/>
    <xf numFmtId="41" fontId="24" fillId="0" borderId="0" xfId="1" applyNumberFormat="1" applyFont="1" applyAlignment="1">
      <alignment horizontal="right"/>
    </xf>
    <xf numFmtId="42" fontId="10" fillId="9" borderId="0" xfId="0" applyNumberFormat="1" applyFont="1" applyFill="1"/>
    <xf numFmtId="0" fontId="10" fillId="9" borderId="0" xfId="0" applyFont="1" applyFill="1" applyAlignment="1">
      <alignment horizontal="center"/>
    </xf>
    <xf numFmtId="0" fontId="10" fillId="9" borderId="0" xfId="0" applyFont="1" applyFill="1"/>
    <xf numFmtId="0" fontId="9" fillId="9" borderId="0" xfId="0" applyFont="1" applyFill="1" applyAlignment="1">
      <alignment horizontal="center" vertical="center" wrapText="1"/>
    </xf>
    <xf numFmtId="42" fontId="10" fillId="9" borderId="0" xfId="0" applyNumberFormat="1" applyFont="1" applyFill="1" applyProtection="1">
      <protection locked="0"/>
    </xf>
    <xf numFmtId="41" fontId="10" fillId="9" borderId="0" xfId="0" applyNumberFormat="1" applyFont="1" applyFill="1" applyProtection="1">
      <protection locked="0"/>
    </xf>
    <xf numFmtId="166" fontId="10" fillId="9" borderId="4" xfId="0" applyNumberFormat="1" applyFont="1" applyFill="1" applyBorder="1"/>
    <xf numFmtId="171" fontId="10" fillId="9" borderId="4" xfId="0" applyNumberFormat="1" applyFont="1" applyFill="1" applyBorder="1"/>
    <xf numFmtId="0" fontId="10" fillId="9" borderId="4" xfId="0" applyFont="1" applyFill="1" applyBorder="1"/>
    <xf numFmtId="42" fontId="10" fillId="9" borderId="3" xfId="0" applyNumberFormat="1" applyFont="1" applyFill="1" applyBorder="1" applyProtection="1">
      <protection locked="0"/>
    </xf>
    <xf numFmtId="42" fontId="0" fillId="9" borderId="0" xfId="0" applyNumberFormat="1" applyFill="1"/>
    <xf numFmtId="42" fontId="10" fillId="9" borderId="15" xfId="0" applyNumberFormat="1" applyFont="1" applyFill="1" applyBorder="1"/>
    <xf numFmtId="0" fontId="14" fillId="9" borderId="0" xfId="0" applyFont="1" applyFill="1"/>
    <xf numFmtId="166" fontId="10" fillId="9" borderId="0" xfId="0" applyNumberFormat="1" applyFont="1" applyFill="1"/>
    <xf numFmtId="0" fontId="12" fillId="0" borderId="0" xfId="0" applyFont="1" applyFill="1" applyBorder="1" applyAlignment="1">
      <alignment horizontal="centerContinuous"/>
    </xf>
    <xf numFmtId="0" fontId="9" fillId="0" borderId="0" xfId="0" applyFont="1" applyFill="1" applyBorder="1"/>
    <xf numFmtId="0" fontId="13" fillId="0" borderId="0" xfId="0" applyFont="1" applyFill="1" applyBorder="1"/>
    <xf numFmtId="166" fontId="9" fillId="0" borderId="0" xfId="0" applyNumberFormat="1" applyFont="1" applyFill="1" applyBorder="1"/>
    <xf numFmtId="41" fontId="10" fillId="9" borderId="0" xfId="0" applyNumberFormat="1" applyFont="1" applyFill="1"/>
    <xf numFmtId="0" fontId="25" fillId="0" borderId="0" xfId="1" applyFont="1"/>
    <xf numFmtId="0" fontId="26" fillId="0" borderId="0" xfId="1" applyFont="1"/>
    <xf numFmtId="2" fontId="25" fillId="0" borderId="0" xfId="1" applyNumberFormat="1" applyFont="1"/>
    <xf numFmtId="0" fontId="27" fillId="0" borderId="0" xfId="1" applyFont="1"/>
    <xf numFmtId="41" fontId="25" fillId="0" borderId="0" xfId="1" applyNumberFormat="1" applyFont="1"/>
    <xf numFmtId="41" fontId="27" fillId="0" borderId="0" xfId="1" applyNumberFormat="1" applyFont="1"/>
    <xf numFmtId="3" fontId="11" fillId="0" borderId="0" xfId="0" applyNumberFormat="1" applyFont="1" applyFill="1" applyBorder="1"/>
    <xf numFmtId="0" fontId="10" fillId="0" borderId="0" xfId="0" applyFont="1" applyFill="1" applyBorder="1"/>
    <xf numFmtId="0" fontId="26" fillId="9" borderId="0" xfId="0" applyFont="1" applyFill="1" applyAlignment="1">
      <alignment horizontal="center" vertical="center"/>
    </xf>
    <xf numFmtId="0" fontId="9" fillId="9" borderId="0" xfId="0" quotePrefix="1" applyFont="1" applyFill="1" applyAlignment="1">
      <alignment horizontal="center" vertical="center" wrapText="1"/>
    </xf>
    <xf numFmtId="0" fontId="25" fillId="0" borderId="0" xfId="1" applyFont="1" applyAlignment="1">
      <alignment horizontal="center"/>
    </xf>
    <xf numFmtId="41" fontId="10" fillId="2" borderId="0" xfId="0" applyNumberFormat="1" applyFont="1" applyFill="1"/>
    <xf numFmtId="41" fontId="10" fillId="0" borderId="0" xfId="0" applyNumberFormat="1" applyFont="1" applyFill="1" applyProtection="1">
      <protection locked="0"/>
    </xf>
    <xf numFmtId="43" fontId="10" fillId="9" borderId="0" xfId="0" applyNumberFormat="1" applyFont="1" applyFill="1"/>
    <xf numFmtId="0" fontId="2" fillId="0" borderId="9" xfId="1" applyFont="1" applyBorder="1"/>
    <xf numFmtId="0" fontId="2" fillId="0" borderId="4" xfId="1" applyFont="1" applyBorder="1"/>
    <xf numFmtId="2" fontId="2" fillId="0" borderId="4" xfId="1" applyNumberFormat="1" applyFont="1" applyBorder="1"/>
    <xf numFmtId="0" fontId="3" fillId="0" borderId="4" xfId="1" applyFont="1" applyBorder="1"/>
    <xf numFmtId="41" fontId="3" fillId="0" borderId="4" xfId="1" applyNumberFormat="1" applyFont="1" applyBorder="1"/>
    <xf numFmtId="0" fontId="25" fillId="0" borderId="8" xfId="1" applyFont="1" applyBorder="1" applyAlignment="1">
      <alignment horizontal="center"/>
    </xf>
    <xf numFmtId="0" fontId="25" fillId="0" borderId="6" xfId="1" applyFont="1" applyBorder="1"/>
    <xf numFmtId="0" fontId="25" fillId="0" borderId="2" xfId="1" applyFont="1" applyBorder="1"/>
    <xf numFmtId="0" fontId="27" fillId="0" borderId="2" xfId="1" applyFont="1" applyBorder="1"/>
    <xf numFmtId="41" fontId="25" fillId="0" borderId="2" xfId="1" applyNumberFormat="1" applyFont="1" applyBorder="1"/>
    <xf numFmtId="41" fontId="27" fillId="0" borderId="2" xfId="1" applyNumberFormat="1" applyFont="1" applyBorder="1"/>
    <xf numFmtId="0" fontId="25" fillId="0" borderId="5" xfId="1" applyFont="1" applyBorder="1" applyAlignment="1">
      <alignment horizontal="center"/>
    </xf>
    <xf numFmtId="0" fontId="9" fillId="9" borderId="0" xfId="0" applyFont="1" applyFill="1" applyAlignment="1">
      <alignment horizontal="center" vertical="center"/>
    </xf>
    <xf numFmtId="0" fontId="2" fillId="0" borderId="0" xfId="1" applyFont="1" applyFill="1" applyBorder="1"/>
    <xf numFmtId="2" fontId="2" fillId="0" borderId="0" xfId="1" applyNumberFormat="1" applyFont="1" applyFill="1" applyBorder="1"/>
    <xf numFmtId="0" fontId="3" fillId="0" borderId="0" xfId="1" applyFont="1" applyFill="1" applyBorder="1"/>
    <xf numFmtId="41" fontId="3" fillId="0" borderId="0" xfId="1" applyNumberFormat="1" applyFont="1" applyFill="1" applyBorder="1"/>
    <xf numFmtId="0" fontId="25" fillId="0" borderId="0" xfId="1" applyFont="1" applyFill="1" applyBorder="1" applyAlignment="1">
      <alignment horizontal="center"/>
    </xf>
    <xf numFmtId="0" fontId="25" fillId="0" borderId="0" xfId="1" applyFont="1" applyFill="1" applyBorder="1"/>
    <xf numFmtId="0" fontId="27" fillId="0" borderId="0" xfId="1" applyFont="1" applyFill="1" applyBorder="1"/>
    <xf numFmtId="41" fontId="25" fillId="0" borderId="0" xfId="1" applyNumberFormat="1" applyFont="1" applyFill="1" applyBorder="1"/>
    <xf numFmtId="41" fontId="27" fillId="0" borderId="0" xfId="1" applyNumberFormat="1" applyFont="1" applyFill="1" applyBorder="1"/>
    <xf numFmtId="0" fontId="25" fillId="0" borderId="1" xfId="1" applyFont="1" applyFill="1" applyBorder="1"/>
    <xf numFmtId="0" fontId="25" fillId="0" borderId="7" xfId="1" applyFont="1" applyFill="1" applyBorder="1" applyAlignment="1">
      <alignment horizontal="center"/>
    </xf>
    <xf numFmtId="0" fontId="25" fillId="0" borderId="6" xfId="1" applyFont="1" applyFill="1" applyBorder="1"/>
    <xf numFmtId="0" fontId="25" fillId="0" borderId="2" xfId="1" applyFont="1" applyFill="1" applyBorder="1"/>
    <xf numFmtId="0" fontId="27" fillId="0" borderId="2" xfId="1" applyFont="1" applyFill="1" applyBorder="1"/>
    <xf numFmtId="41" fontId="25" fillId="0" borderId="2" xfId="1" applyNumberFormat="1" applyFont="1" applyFill="1" applyBorder="1"/>
    <xf numFmtId="41" fontId="27" fillId="0" borderId="2" xfId="1" applyNumberFormat="1" applyFont="1" applyFill="1" applyBorder="1"/>
    <xf numFmtId="0" fontId="25" fillId="0" borderId="5" xfId="1" applyFont="1" applyFill="1" applyBorder="1" applyAlignment="1">
      <alignment horizontal="center"/>
    </xf>
    <xf numFmtId="0" fontId="2" fillId="0" borderId="9" xfId="1" applyFont="1" applyFill="1" applyBorder="1"/>
    <xf numFmtId="0" fontId="2" fillId="0" borderId="4" xfId="1" applyFont="1" applyFill="1" applyBorder="1"/>
    <xf numFmtId="2" fontId="2" fillId="0" borderId="4" xfId="1" applyNumberFormat="1" applyFont="1" applyFill="1" applyBorder="1"/>
    <xf numFmtId="0" fontId="3" fillId="0" borderId="4" xfId="1" applyFont="1" applyFill="1" applyBorder="1"/>
    <xf numFmtId="41" fontId="2" fillId="0" borderId="4" xfId="1" applyNumberFormat="1" applyFont="1" applyFill="1" applyBorder="1"/>
    <xf numFmtId="41" fontId="3" fillId="0" borderId="4" xfId="1" applyNumberFormat="1" applyFont="1" applyFill="1" applyBorder="1"/>
    <xf numFmtId="0" fontId="25" fillId="0" borderId="8" xfId="1" applyFont="1" applyFill="1" applyBorder="1" applyAlignment="1">
      <alignment horizontal="center"/>
    </xf>
    <xf numFmtId="10" fontId="28" fillId="0" borderId="0" xfId="0" applyNumberFormat="1" applyFont="1"/>
    <xf numFmtId="2" fontId="25" fillId="0" borderId="2" xfId="1" applyNumberFormat="1" applyFont="1" applyBorder="1"/>
    <xf numFmtId="0" fontId="29" fillId="0" borderId="0" xfId="0" applyFont="1"/>
    <xf numFmtId="0" fontId="2" fillId="2" borderId="5" xfId="0" applyFont="1" applyFill="1" applyBorder="1"/>
    <xf numFmtId="41" fontId="2" fillId="2" borderId="2" xfId="0" applyNumberFormat="1" applyFont="1" applyFill="1" applyBorder="1"/>
    <xf numFmtId="0" fontId="2" fillId="2" borderId="2" xfId="0" applyFont="1" applyFill="1" applyBorder="1"/>
    <xf numFmtId="0" fontId="2" fillId="2" borderId="6" xfId="0" applyFont="1" applyFill="1" applyBorder="1"/>
    <xf numFmtId="10" fontId="2" fillId="0" borderId="0" xfId="0" applyNumberFormat="1" applyFont="1"/>
    <xf numFmtId="0" fontId="2" fillId="2" borderId="7" xfId="0" applyFont="1" applyFill="1" applyBorder="1"/>
    <xf numFmtId="0" fontId="2" fillId="2" borderId="0" xfId="0" applyFont="1" applyFill="1"/>
    <xf numFmtId="0" fontId="2" fillId="2" borderId="1" xfId="0" applyFont="1" applyFill="1" applyBorder="1"/>
    <xf numFmtId="41" fontId="2" fillId="2" borderId="0" xfId="0" applyNumberFormat="1" applyFont="1" applyFill="1"/>
    <xf numFmtId="9" fontId="2" fillId="0" borderId="0" xfId="0" applyNumberFormat="1" applyFont="1"/>
    <xf numFmtId="0" fontId="7" fillId="2" borderId="0" xfId="0" applyFont="1" applyFill="1" applyAlignment="1">
      <alignment horizontal="center"/>
    </xf>
    <xf numFmtId="0" fontId="2" fillId="2" borderId="8" xfId="0" applyFont="1" applyFill="1" applyBorder="1"/>
    <xf numFmtId="0" fontId="2" fillId="2" borderId="4" xfId="0" applyFont="1" applyFill="1" applyBorder="1"/>
    <xf numFmtId="0" fontId="2" fillId="2" borderId="9" xfId="0" applyFont="1" applyFill="1" applyBorder="1"/>
    <xf numFmtId="41" fontId="29" fillId="0" borderId="0" xfId="0" applyNumberFormat="1" applyFont="1"/>
    <xf numFmtId="43" fontId="29" fillId="0" borderId="0" xfId="0" applyNumberFormat="1" applyFont="1"/>
    <xf numFmtId="0" fontId="29" fillId="2" borderId="5" xfId="0" applyFont="1" applyFill="1" applyBorder="1"/>
    <xf numFmtId="0" fontId="29" fillId="2" borderId="2" xfId="0" applyFont="1" applyFill="1" applyBorder="1"/>
    <xf numFmtId="0" fontId="29" fillId="2" borderId="6" xfId="0" applyFont="1" applyFill="1" applyBorder="1"/>
    <xf numFmtId="0" fontId="29" fillId="2" borderId="7" xfId="0" applyFont="1" applyFill="1" applyBorder="1"/>
    <xf numFmtId="41" fontId="29" fillId="2" borderId="0" xfId="0" applyNumberFormat="1" applyFont="1" applyFill="1"/>
    <xf numFmtId="0" fontId="29" fillId="2" borderId="0" xfId="0" applyFont="1" applyFill="1"/>
    <xf numFmtId="0" fontId="29" fillId="2" borderId="1" xfId="0" applyFont="1" applyFill="1" applyBorder="1"/>
    <xf numFmtId="41" fontId="29" fillId="2" borderId="2" xfId="0" applyNumberFormat="1" applyFont="1" applyFill="1" applyBorder="1"/>
    <xf numFmtId="0" fontId="12" fillId="2" borderId="2" xfId="0" applyFont="1" applyFill="1" applyBorder="1" applyAlignment="1">
      <alignment horizontal="center"/>
    </xf>
    <xf numFmtId="0" fontId="29" fillId="0" borderId="0" xfId="0" quotePrefix="1" applyFont="1"/>
    <xf numFmtId="0" fontId="12" fillId="2" borderId="0" xfId="0" applyFont="1" applyFill="1" applyAlignment="1">
      <alignment horizontal="center"/>
    </xf>
    <xf numFmtId="0" fontId="29" fillId="2" borderId="8" xfId="0" applyFont="1" applyFill="1" applyBorder="1"/>
    <xf numFmtId="0" fontId="29" fillId="2" borderId="4" xfId="0" applyFont="1" applyFill="1" applyBorder="1"/>
    <xf numFmtId="0" fontId="29" fillId="2" borderId="9" xfId="0" applyFont="1" applyFill="1" applyBorder="1"/>
    <xf numFmtId="166" fontId="10" fillId="9" borderId="0" xfId="0" applyNumberFormat="1" applyFont="1" applyFill="1" applyProtection="1">
      <protection locked="0"/>
    </xf>
    <xf numFmtId="41" fontId="25" fillId="0" borderId="0" xfId="1" applyNumberFormat="1" applyFont="1" applyAlignment="1">
      <alignment horizontal="center"/>
    </xf>
    <xf numFmtId="0" fontId="29" fillId="0" borderId="0" xfId="0" applyFont="1" applyAlignment="1">
      <alignment horizontal="centerContinuous"/>
    </xf>
    <xf numFmtId="0" fontId="14" fillId="0" borderId="0" xfId="0" applyFont="1" applyAlignment="1">
      <alignment horizontal="center"/>
    </xf>
    <xf numFmtId="0" fontId="14" fillId="10" borderId="0" xfId="0" applyFont="1" applyFill="1" applyBorder="1" applyAlignment="1">
      <alignment horizontal="center"/>
    </xf>
    <xf numFmtId="0" fontId="29" fillId="10" borderId="0" xfId="0" applyFont="1" applyFill="1" applyBorder="1"/>
    <xf numFmtId="0" fontId="12" fillId="10" borderId="0" xfId="0" applyFont="1" applyFill="1" applyBorder="1"/>
    <xf numFmtId="41" fontId="12" fillId="10" borderId="0" xfId="0" applyNumberFormat="1" applyFont="1" applyFill="1" applyBorder="1"/>
    <xf numFmtId="0" fontId="29" fillId="10" borderId="0" xfId="3" applyNumberFormat="1" applyFont="1" applyFill="1" applyBorder="1" applyAlignment="1">
      <alignment horizontal="left" indent="1"/>
    </xf>
    <xf numFmtId="41" fontId="29" fillId="10" borderId="0" xfId="0" applyNumberFormat="1" applyFont="1" applyFill="1" applyBorder="1"/>
    <xf numFmtId="0" fontId="14" fillId="2" borderId="4" xfId="0" applyFont="1" applyFill="1" applyBorder="1" applyAlignment="1">
      <alignment horizontal="center"/>
    </xf>
    <xf numFmtId="0" fontId="14" fillId="2" borderId="0" xfId="0" applyFont="1" applyFill="1" applyBorder="1" applyAlignment="1">
      <alignment horizontal="center"/>
    </xf>
    <xf numFmtId="0" fontId="29" fillId="2" borderId="0" xfId="0" applyFont="1" applyFill="1" applyBorder="1"/>
    <xf numFmtId="0" fontId="12" fillId="2" borderId="0" xfId="0" applyFont="1" applyFill="1" applyBorder="1" applyAlignment="1">
      <alignment horizontal="centerContinuous"/>
    </xf>
    <xf numFmtId="0" fontId="12" fillId="2" borderId="0" xfId="0" applyFont="1" applyFill="1" applyBorder="1"/>
    <xf numFmtId="41" fontId="29" fillId="2" borderId="0" xfId="0" applyNumberFormat="1" applyFont="1" applyFill="1" applyBorder="1"/>
    <xf numFmtId="41" fontId="12" fillId="2" borderId="0" xfId="0" applyNumberFormat="1" applyFont="1" applyFill="1" applyBorder="1"/>
    <xf numFmtId="43" fontId="29" fillId="2" borderId="0" xfId="3" applyFont="1" applyFill="1" applyBorder="1" applyAlignment="1">
      <alignment horizontal="right"/>
    </xf>
    <xf numFmtId="43" fontId="29" fillId="2" borderId="0" xfId="3" applyFont="1" applyFill="1" applyBorder="1" applyAlignment="1">
      <alignment horizontal="left"/>
    </xf>
    <xf numFmtId="0" fontId="29" fillId="2" borderId="0" xfId="3" applyNumberFormat="1" applyFont="1" applyFill="1" applyBorder="1" applyAlignment="1">
      <alignment horizontal="left" indent="1"/>
    </xf>
    <xf numFmtId="43" fontId="29" fillId="2" borderId="7" xfId="0" applyNumberFormat="1" applyFont="1" applyFill="1" applyBorder="1"/>
    <xf numFmtId="0" fontId="29" fillId="2" borderId="0" xfId="0" applyNumberFormat="1" applyFont="1" applyFill="1" applyBorder="1" applyAlignment="1">
      <alignment horizontal="left" indent="1"/>
    </xf>
    <xf numFmtId="0" fontId="12" fillId="2" borderId="0" xfId="0" applyFont="1" applyFill="1" applyBorder="1" applyAlignment="1">
      <alignment horizontal="left"/>
    </xf>
    <xf numFmtId="41" fontId="12" fillId="2" borderId="15" xfId="0" applyNumberFormat="1" applyFont="1" applyFill="1" applyBorder="1"/>
    <xf numFmtId="0" fontId="14" fillId="2" borderId="2" xfId="0" applyFont="1" applyFill="1" applyBorder="1" applyAlignment="1">
      <alignment horizontal="center"/>
    </xf>
    <xf numFmtId="43" fontId="29" fillId="10" borderId="0" xfId="3" applyFont="1" applyFill="1" applyBorder="1" applyAlignment="1">
      <alignment horizontal="right"/>
    </xf>
    <xf numFmtId="0" fontId="29" fillId="10" borderId="0" xfId="0" applyFont="1" applyFill="1" applyBorder="1" applyAlignment="1">
      <alignment horizontal="left"/>
    </xf>
    <xf numFmtId="0" fontId="29" fillId="10" borderId="0" xfId="0" applyNumberFormat="1" applyFont="1" applyFill="1" applyBorder="1" applyAlignment="1">
      <alignment horizontal="left" indent="1"/>
    </xf>
    <xf numFmtId="41" fontId="29" fillId="10" borderId="2" xfId="0" applyNumberFormat="1" applyFont="1" applyFill="1" applyBorder="1"/>
    <xf numFmtId="0" fontId="29" fillId="10" borderId="0" xfId="0" applyFont="1" applyFill="1" applyBorder="1" applyAlignment="1">
      <alignment horizontal="left" indent="1"/>
    </xf>
    <xf numFmtId="41" fontId="10" fillId="0" borderId="0" xfId="0" applyNumberFormat="1" applyFont="1" applyAlignment="1">
      <alignment horizontal="center"/>
    </xf>
    <xf numFmtId="42" fontId="10" fillId="0" borderId="0" xfId="0" applyNumberFormat="1" applyFont="1" applyAlignment="1">
      <alignment horizontal="center"/>
    </xf>
    <xf numFmtId="0" fontId="29" fillId="2" borderId="0" xfId="0" quotePrefix="1" applyNumberFormat="1" applyFont="1" applyFill="1" applyBorder="1" applyAlignment="1">
      <alignment horizontal="left" indent="1"/>
    </xf>
    <xf numFmtId="0" fontId="12" fillId="10" borderId="0" xfId="0" applyFont="1" applyFill="1" applyBorder="1" applyAlignment="1">
      <alignment horizontal="left"/>
    </xf>
    <xf numFmtId="0" fontId="12" fillId="2" borderId="0" xfId="0" applyFont="1" applyFill="1" applyBorder="1" applyAlignment="1">
      <alignment horizontal="center"/>
    </xf>
    <xf numFmtId="0" fontId="29" fillId="2" borderId="0" xfId="0" applyFont="1" applyFill="1" applyBorder="1" applyAlignment="1">
      <alignment horizontal="center"/>
    </xf>
    <xf numFmtId="41" fontId="2" fillId="2" borderId="0" xfId="1" applyNumberFormat="1" applyFont="1" applyFill="1" applyBorder="1"/>
    <xf numFmtId="0" fontId="2" fillId="2" borderId="0" xfId="1" applyFont="1" applyFill="1" applyAlignment="1">
      <alignment horizontal="left" indent="1"/>
    </xf>
    <xf numFmtId="0" fontId="4" fillId="2" borderId="0" xfId="1" applyFont="1" applyFill="1" applyAlignment="1"/>
    <xf numFmtId="41" fontId="4" fillId="2" borderId="0" xfId="1" applyNumberFormat="1" applyFont="1" applyFill="1" applyBorder="1"/>
    <xf numFmtId="41" fontId="4" fillId="2" borderId="0" xfId="1" applyNumberFormat="1" applyFont="1" applyFill="1" applyBorder="1" applyAlignment="1">
      <alignment horizontal="left"/>
    </xf>
    <xf numFmtId="41" fontId="2" fillId="2" borderId="0" xfId="1" applyNumberFormat="1" applyFont="1" applyFill="1" applyBorder="1" applyAlignment="1">
      <alignment horizontal="left" indent="1"/>
    </xf>
    <xf numFmtId="41" fontId="2" fillId="2" borderId="0" xfId="0" applyNumberFormat="1" applyFont="1" applyFill="1" applyBorder="1"/>
  </cellXfs>
  <cellStyles count="4">
    <cellStyle name="Comma" xfId="3" builtinId="3"/>
    <cellStyle name="Normal" xfId="0" builtinId="0"/>
    <cellStyle name="Normal 2 2 2 2 4" xfId="1" xr:uid="{633981C3-1F7C-4D1B-B59B-5D1AADEDD56C}"/>
    <cellStyle name="Percent 2 12" xfId="2" xr:uid="{06EFC13E-FDD5-4EF4-91F1-86DB42F32082}"/>
  </cellStyles>
  <dxfs count="648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D5B89B"/>
      <color rgb="FF57AAB5"/>
      <color rgb="FFCCFFFF"/>
      <color rgb="FF587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sheetMetadata" Target="metadata.xml"/><Relationship Id="rId47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styles" Target="styles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customXml" Target="../customXml/item3.xml"/><Relationship Id="rId20" Type="http://schemas.openxmlformats.org/officeDocument/2006/relationships/externalLink" Target="externalLinks/externalLink7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DSMRecov/2001/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70596/Local%20Settings/Temporary%20Internet%20Files/OLK3B/ORA%20Workpaper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leweb/office/FINANCIALS/WHITE%20SWAN/2000/JAN_ELECTRONIC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min\Data-Departmental\1active\PROJECTS\STOWE\stowhote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NEW-PSE-WP-SEF-4.00E-ELECTRIC-MODEL-19GRC-06-2019%20-%20Copy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Original%20Filing\Dirty%20Workpapers%202019%20GRC\%23NEW-PSE-WP-SEF-4.00G-GAS-MODEL-19GRC-06-2019%20-%20Copy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22_pse\3022-64%20UE-190529\3022-64%20UE-190529\br\Mullins%20Exh%20BGM-9%20-%20Electric%20Rev%20Req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GrpRevnu\PUBLIC\%23%202019%20GRC\Attrition%20Change\190529-30-PSE-WP-SEF-4.00E-ELECTRIC-MODEL-19GRC-09-2019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22_pse\3022-64%20UE-190529\3022-64%20UE-190529\br\Mullins%20Exh%20BGM-10%20-%20Natural%20Gas%20Rev%20Req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ulli/Desktop/_PSE02-%20UE-220026%202022GRC/init/NEW-PSE-WP-REVREQ-COS-22GRC-01-2022(C)/NEW-PSE-WP-SEF-4E-ELECTRIC-REV-REQ-MODEL-22GRC-01-202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22_pse\_PSE02-%20UE-220026%202022GRC\init\NEW-PSE-WP-REVREQ-COS-22GRC-01-2022(C)\NEW-PSE-WP-SEF-9G-GAS-REV-REQ-MODEL-22GRC-01-202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15_cng\CA08%20-%20UG210755\dir\_exh\210755-Exh%20BGM-3-4-25-2022.xlsb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ept/Rates/WEATHER%20DATA/Weather%20Normalization/2016/WA%2065%20HDD%20NOAA/2016-12%20WA%20Weather%20Normalization%2065%20HDD%20-%20Copy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rk\30_ava\3046-8%20-%20UE-160228%202016%20GRC\disc\BR1\Attachment%20Bench%20Request%201\Exhibit%20No.%20BGM-13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rad/Desktop/avista/3046-9%20-%202018%20GRC/dir/_wps/_fnl/UE-170485%20-%20UG-170486_Exh%20BGM-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REGULATN/PA&amp;D/CASES/Wy0902/EAST%20Blocking%2090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rk\22_pse\_PSE02-%20UE-220026%202022GRC\init\NEW-PSE-WP-REVREQ-COS-22GRC-01-2022(C)\NEW-PSE-WP-SEF-4E-ELECTRIC-REV-REQ-MODEL-22GRC-01-2022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tility\Energy%20Rates%20Finance%20and%20Audit\Moya's%20files\Pacificorp%20LT%20debt\PAC%20LT%20Debt%20-%20working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UC-FILEPRINT\Agency\Utility\Energy%20Rates%20Finance%20and%20Audit\Moya's%20files\Pacificorp%20LT%20debt\PAC%20LT%20Debt%20-%20working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Documents%20and%20Settings\p04092.000\Local%20Settings\Temporary%20Internet%20Files\OLK1AC\RECOV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220066-67-AWEC-Mullins-Exh-BGM-WP1-COVID_Dffrl-07-28-2022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220066-67-AWEC-Mullins-Exh-BGM-7-07-28-2022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220066-67-AWEC-Mullins-Exh-BGM-10-07-28-2022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220066-67-AWEC-Mullins-Exh-BGM-9-07-28-2022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220066-67-AWEC-Mullins-Exh-BGM-6-07-28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G22">
            <v>1931963666</v>
          </cell>
        </row>
        <row r="23"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NT"/>
      <sheetName val="AR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velopment"/>
      <sheetName val="#REF"/>
    </sheetNames>
    <sheetDataSet>
      <sheetData sheetId="0" refreshError="1">
        <row r="3">
          <cell r="C3" t="str">
            <v>Base Assumptions</v>
          </cell>
        </row>
        <row r="16">
          <cell r="B16" t="str">
            <v>Other Consultants</v>
          </cell>
          <cell r="E16">
            <v>40296.682871109319</v>
          </cell>
          <cell r="F16">
            <v>0</v>
          </cell>
          <cell r="G16">
            <v>0</v>
          </cell>
          <cell r="H16">
            <v>40296.682871109319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R16">
            <v>0</v>
          </cell>
          <cell r="S16">
            <v>40296.682871109319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40296.682871109319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21">
          <cell r="B21" t="str">
            <v>Insurance (% direct construction)</v>
          </cell>
          <cell r="D21">
            <v>8.9999999999999993E-3</v>
          </cell>
          <cell r="E21">
            <v>85383.376030864485</v>
          </cell>
          <cell r="F21">
            <v>0</v>
          </cell>
          <cell r="G21">
            <v>16506</v>
          </cell>
          <cell r="H21">
            <v>68877.376030864485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R21">
            <v>0</v>
          </cell>
          <cell r="S21">
            <v>85383.376030864485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8253</v>
          </cell>
          <cell r="AB21">
            <v>8253</v>
          </cell>
          <cell r="AC21">
            <v>18248.426186763256</v>
          </cell>
          <cell r="AD21">
            <v>16751.760417341211</v>
          </cell>
          <cell r="AE21">
            <v>16876.009426760018</v>
          </cell>
          <cell r="AF21">
            <v>17001.179999999989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36">
          <cell r="B36" t="str">
            <v>Other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46">
          <cell r="B46" t="str">
            <v>Spa and Fitness</v>
          </cell>
          <cell r="C46">
            <v>5100</v>
          </cell>
          <cell r="D46">
            <v>45</v>
          </cell>
          <cell r="E46">
            <v>238138.28451217926</v>
          </cell>
          <cell r="F46">
            <v>0</v>
          </cell>
          <cell r="G46">
            <v>0</v>
          </cell>
          <cell r="H46">
            <v>0</v>
          </cell>
          <cell r="I46">
            <v>238138.28451217926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R46">
            <v>0</v>
          </cell>
          <cell r="S46">
            <v>238138.28451217926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238138.28451217926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85">
          <cell r="B85" t="str">
            <v>Hotel Development Cost</v>
          </cell>
          <cell r="E85">
            <v>-16878685.151613597</v>
          </cell>
          <cell r="F85">
            <v>-179400</v>
          </cell>
          <cell r="G85">
            <v>-3680748.3397686705</v>
          </cell>
          <cell r="H85">
            <v>-10268133.01329181</v>
          </cell>
          <cell r="I85">
            <v>-2750403.7985531162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R85">
            <v>0</v>
          </cell>
          <cell r="S85">
            <v>-16878685.151613597</v>
          </cell>
          <cell r="U85">
            <v>0</v>
          </cell>
          <cell r="V85">
            <v>-35880</v>
          </cell>
          <cell r="W85">
            <v>-71760</v>
          </cell>
          <cell r="X85">
            <v>-71760</v>
          </cell>
          <cell r="Y85">
            <v>-71760</v>
          </cell>
          <cell r="Z85">
            <v>-71760</v>
          </cell>
          <cell r="AA85">
            <v>-1211264.6078000001</v>
          </cell>
          <cell r="AB85">
            <v>-2325963.7319686706</v>
          </cell>
          <cell r="AC85">
            <v>-3277714.7933725528</v>
          </cell>
          <cell r="AD85">
            <v>-2312941.7387162838</v>
          </cell>
          <cell r="AE85">
            <v>-2330096.9927229751</v>
          </cell>
          <cell r="AF85">
            <v>-2347379.4884799989</v>
          </cell>
          <cell r="AG85">
            <v>-2750403.7985531162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</row>
        <row r="89">
          <cell r="B89" t="str">
            <v>Selling Costs</v>
          </cell>
          <cell r="C89">
            <v>2.5000000000000001E-2</v>
          </cell>
          <cell r="E89">
            <v>-376100.18403468747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-376100.18403468747</v>
          </cell>
          <cell r="R89">
            <v>0</v>
          </cell>
          <cell r="S89">
            <v>-376100.18403468747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-376100.18403468747</v>
          </cell>
        </row>
        <row r="91">
          <cell r="A91" t="str">
            <v>Cumulative Cash Flow</v>
          </cell>
          <cell r="F91">
            <v>-179400</v>
          </cell>
          <cell r="G91">
            <v>-3860148.3397686705</v>
          </cell>
          <cell r="H91">
            <v>-14128281.35306048</v>
          </cell>
          <cell r="I91">
            <v>-16523543.829363404</v>
          </cell>
          <cell r="J91">
            <v>-15468369.525907626</v>
          </cell>
          <cell r="K91">
            <v>-14241253.574376589</v>
          </cell>
          <cell r="L91">
            <v>-12930255.245524464</v>
          </cell>
          <cell r="M91">
            <v>-11573371.975162519</v>
          </cell>
          <cell r="N91">
            <v>-10158300.642819315</v>
          </cell>
          <cell r="O91">
            <v>-8704773.3615258411</v>
          </cell>
          <cell r="P91">
            <v>7467534.55196572</v>
          </cell>
          <cell r="U91">
            <v>0</v>
          </cell>
          <cell r="V91">
            <v>-35880</v>
          </cell>
          <cell r="W91">
            <v>-107640</v>
          </cell>
          <cell r="X91">
            <v>-179400</v>
          </cell>
          <cell r="Y91">
            <v>-251160</v>
          </cell>
          <cell r="Z91">
            <v>-322920</v>
          </cell>
          <cell r="AA91">
            <v>-1534184.6078000001</v>
          </cell>
          <cell r="AB91">
            <v>-3860148.3397686705</v>
          </cell>
          <cell r="AC91">
            <v>-7137863.1331412233</v>
          </cell>
          <cell r="AD91">
            <v>-9450804.8718575072</v>
          </cell>
          <cell r="AE91">
            <v>-11780901.864580482</v>
          </cell>
          <cell r="AF91">
            <v>-14128281.35306048</v>
          </cell>
          <cell r="AG91">
            <v>-16789899.82105105</v>
          </cell>
          <cell r="AH91">
            <v>-16701114.490488501</v>
          </cell>
          <cell r="AI91">
            <v>-16612329.159925953</v>
          </cell>
          <cell r="AJ91">
            <v>-16523543.829363404</v>
          </cell>
          <cell r="AK91">
            <v>-16259750.253499459</v>
          </cell>
          <cell r="AL91">
            <v>-15995956.677635515</v>
          </cell>
          <cell r="AM91">
            <v>-15732163.101771571</v>
          </cell>
          <cell r="AN91">
            <v>-15468369.525907626</v>
          </cell>
          <cell r="AO91">
            <v>-15161590.538024867</v>
          </cell>
          <cell r="AP91">
            <v>-14854811.550142108</v>
          </cell>
          <cell r="AQ91">
            <v>-14548032.562259348</v>
          </cell>
          <cell r="AR91">
            <v>-14241253.574376589</v>
          </cell>
          <cell r="AS91">
            <v>-13913503.992163558</v>
          </cell>
          <cell r="AT91">
            <v>-13585754.409950526</v>
          </cell>
          <cell r="AU91">
            <v>-13258004.827737495</v>
          </cell>
          <cell r="AV91">
            <v>-12930255.245524464</v>
          </cell>
          <cell r="AW91">
            <v>-12591034.427933978</v>
          </cell>
          <cell r="AX91">
            <v>-12251813.610343492</v>
          </cell>
          <cell r="AY91">
            <v>-11912592.792753005</v>
          </cell>
          <cell r="AZ91">
            <v>-11573371.975162519</v>
          </cell>
          <cell r="BA91">
            <v>-11219604.14207672</v>
          </cell>
          <cell r="BB91">
            <v>-10865836.308990918</v>
          </cell>
          <cell r="BC91">
            <v>-10512068.475905117</v>
          </cell>
          <cell r="BD91">
            <v>-10158300.642819315</v>
          </cell>
          <cell r="BE91">
            <v>-9794918.8224959467</v>
          </cell>
          <cell r="BF91">
            <v>-9431537.0021725781</v>
          </cell>
          <cell r="BG91">
            <v>-9068155.1818492096</v>
          </cell>
          <cell r="BH91">
            <v>-8704773.3615258411</v>
          </cell>
          <cell r="BI91">
            <v>-8328673.1774911536</v>
          </cell>
          <cell r="BJ91">
            <v>-7952572.9934564661</v>
          </cell>
          <cell r="BK91">
            <v>-7576472.8094217787</v>
          </cell>
          <cell r="BL91">
            <v>7467534.55196572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Summary"/>
      <sheetName val="Detailed Summary"/>
      <sheetName val="COC-Restating"/>
      <sheetName val="Common Adj"/>
      <sheetName val="Electric Adj"/>
      <sheetName val="Named Ranges"/>
      <sheetName val="ETR GRC vs CBR TBPI 100%"/>
      <sheetName val="ETR GRC vs CBR"/>
      <sheetName val="ETR"/>
      <sheetName val="Check ETR"/>
      <sheetName val="Dirty only==&gt;"/>
      <sheetName val="FIT Plug Temp Adj"/>
      <sheetName val="Verify"/>
      <sheetName val="ARAM"/>
      <sheetName val="Matri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COC-Restating"/>
      <sheetName val="Summary"/>
      <sheetName val="Detailed Summary"/>
      <sheetName val="Common Adj"/>
      <sheetName val="Gas Adj"/>
      <sheetName val="Named Ranges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UG_________</v>
          </cell>
        </row>
        <row r="8">
          <cell r="C8" t="str">
            <v>PUGET SOUND ENERGY - NATURAL GAS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-CA"/>
      <sheetName val="Exh. No. BGM-9 (1)"/>
      <sheetName val="Exh. No. BGM-9 (1A)"/>
      <sheetName val="BGM-9 (2) Detailed Summary"/>
      <sheetName val="BGM-9 (4) Electric Adj"/>
      <sheetName val="BGM-9 (3) Common Adj"/>
      <sheetName val="DR 046"/>
      <sheetName val="Impacts"/>
      <sheetName val="Rllfwd"/>
      <sheetName val="COC, Def, ConvF"/>
      <sheetName val="Summary"/>
      <sheetName val="COC-Restating"/>
      <sheetName val="Power Cost Bridge to A-1"/>
      <sheetName val="Named Ranges 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UE-190529</v>
          </cell>
        </row>
        <row r="8">
          <cell r="C8" t="str">
            <v>PUGET SOUND ENERGY - ELECTRIC -AWEC CROSS ANSWERING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acts"/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>
        <row r="12">
          <cell r="M12">
            <v>8.4790000000000004E-3</v>
          </cell>
        </row>
      </sheetData>
      <sheetData sheetId="2"/>
      <sheetData sheetId="3">
        <row r="14">
          <cell r="AG14">
            <v>2005372296.2612319</v>
          </cell>
        </row>
      </sheetData>
      <sheetData sheetId="4">
        <row r="12">
          <cell r="E12">
            <v>2.9399999999999999E-2</v>
          </cell>
        </row>
      </sheetData>
      <sheetData sheetId="5">
        <row r="26">
          <cell r="H26">
            <v>-18227053.410000004</v>
          </cell>
        </row>
      </sheetData>
      <sheetData sheetId="6">
        <row r="16">
          <cell r="M16">
            <v>1433345.375</v>
          </cell>
        </row>
      </sheetData>
      <sheetData sheetId="7"/>
      <sheetData sheetId="8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UE-__________</v>
          </cell>
        </row>
        <row r="8">
          <cell r="C8" t="str">
            <v>PUGET SOUND ENERGY - ELECTRIC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0 (1)"/>
      <sheetName val="Exh. No. BGM-10 (1A)"/>
      <sheetName val="BGM-10 (2)  Detailed Summary"/>
      <sheetName val="BGM-10 (3) Common Adj"/>
      <sheetName val="Impacts"/>
      <sheetName val="Rllfwd"/>
      <sheetName val="COC, Def, ConvF"/>
      <sheetName val="COC-Restating"/>
      <sheetName val="Summary"/>
      <sheetName val="Gas Adj"/>
      <sheetName val="Named Ranges G"/>
    </sheetNames>
    <sheetDataSet>
      <sheetData sheetId="0"/>
      <sheetData sheetId="1"/>
      <sheetData sheetId="2">
        <row r="10">
          <cell r="A10" t="str">
            <v>LINE</v>
          </cell>
        </row>
      </sheetData>
      <sheetData sheetId="3"/>
      <sheetData sheetId="4"/>
      <sheetData sheetId="5"/>
      <sheetData sheetId="6">
        <row r="20">
          <cell r="C20">
            <v>0.75409700000000002</v>
          </cell>
        </row>
      </sheetData>
      <sheetData sheetId="7"/>
      <sheetData sheetId="8"/>
      <sheetData sheetId="9"/>
      <sheetData sheetId="10">
        <row r="3">
          <cell r="C3">
            <v>0.21</v>
          </cell>
        </row>
        <row r="4">
          <cell r="C4" t="str">
            <v>2019 GENERAL RATE CASE</v>
          </cell>
        </row>
        <row r="5">
          <cell r="C5" t="str">
            <v>12 MONTHS ENDED DECEMBER 31, 2018</v>
          </cell>
        </row>
        <row r="6">
          <cell r="C6" t="str">
            <v>UG-190530</v>
          </cell>
        </row>
        <row r="8">
          <cell r="C8" t="str">
            <v>PUGET SOUND ENERGY - NATURAL GAS - AWEC REPLY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, COC, ConvF"/>
      <sheetName val="Subject to Refund"/>
      <sheetName val="Summary"/>
      <sheetName val="Common Adj"/>
      <sheetName val="Electric Adj"/>
      <sheetName val="DEC13"/>
      <sheetName val="BDJ Exh Summary"/>
      <sheetName val="SEF-13 p 1 Elect wp"/>
      <sheetName val="SEF-13 p 2 Elect wp"/>
      <sheetName val="Adj List"/>
      <sheetName val="Final Rate Years"/>
      <sheetName val="Named Ranges E"/>
      <sheetName val="Proofs=&gt;"/>
      <sheetName val="TBPI, ETR, Rev"/>
      <sheetName val="557 &amp; 555"/>
      <sheetName val="Prod O&amp;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6">
          <cell r="A6" t="str">
            <v>REVENUES AND EXPENSES</v>
          </cell>
        </row>
      </sheetData>
      <sheetData sheetId="10"/>
      <sheetData sheetId="11">
        <row r="2">
          <cell r="B2" t="str">
            <v>PUGET SOUND ENERGY - ELECTRIC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  <row r="10">
          <cell r="B10">
            <v>0.21</v>
          </cell>
        </row>
      </sheetData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, COC, ConvF"/>
      <sheetName val="Subject to Refund"/>
      <sheetName val="Summary"/>
      <sheetName val="Detailed Summary"/>
      <sheetName val="Common Adj"/>
      <sheetName val="Gas Adj"/>
      <sheetName val="Dec13"/>
      <sheetName val="Final Rate Years"/>
      <sheetName val="SEF-13 p1 Gas wp"/>
      <sheetName val="SEF-13 p 2 Gas wp"/>
      <sheetName val="Adj List"/>
      <sheetName val="JDT Rev Detail Exh"/>
      <sheetName val="Check Totals"/>
      <sheetName val="Named Ranges G"/>
    </sheetNames>
    <sheetDataSet>
      <sheetData sheetId="0">
        <row r="13">
          <cell r="C13">
            <v>7.3899999999999993E-2</v>
          </cell>
        </row>
      </sheetData>
      <sheetData sheetId="1" refreshError="1"/>
      <sheetData sheetId="2">
        <row r="47">
          <cell r="C47">
            <v>148876035.75999987</v>
          </cell>
        </row>
      </sheetData>
      <sheetData sheetId="3">
        <row r="52">
          <cell r="W52">
            <v>265949.98517497181</v>
          </cell>
        </row>
      </sheetData>
      <sheetData sheetId="4">
        <row r="16">
          <cell r="BA16">
            <v>4130432.299621895</v>
          </cell>
        </row>
      </sheetData>
      <sheetData sheetId="5">
        <row r="19">
          <cell r="BA19">
            <v>-34154268.573750004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A6" t="str">
            <v>REVENUES AND EXPENSES</v>
          </cell>
        </row>
      </sheetData>
      <sheetData sheetId="11" refreshError="1"/>
      <sheetData sheetId="12" refreshError="1"/>
      <sheetData sheetId="13">
        <row r="2">
          <cell r="B2" t="str">
            <v>PUGET SOUND ENERGY - GAS</v>
          </cell>
        </row>
        <row r="3">
          <cell r="B3" t="str">
            <v>12 MONTHS ENDED JUNE 30, 2021</v>
          </cell>
        </row>
        <row r="7">
          <cell r="B7" t="str">
            <v>2022 GENERAL RATE CASE</v>
          </cell>
        </row>
        <row r="10">
          <cell r="B10">
            <v>0.21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Settlement"/>
      <sheetName val="Cover"/>
      <sheetName val="Title"/>
      <sheetName val="Summary of Request"/>
      <sheetName val="Summary Bill Impacts"/>
      <sheetName val="Proof ---&gt;"/>
      <sheetName val="Exh IDM-2, Proof of Revenue"/>
      <sheetName val="Exh IDM-3, Revenue Distribution"/>
      <sheetName val="Exh IDM-5, Decoupling Baseline"/>
      <sheetName val="Proof WPs ---&gt;"/>
      <sheetName val="Index"/>
      <sheetName val="1501 Summary"/>
      <sheetName val="Rev Recon Summary"/>
      <sheetName val="EOP Calculations"/>
      <sheetName val="663 - 511 Transfer"/>
      <sheetName val="Allocation Report 2020"/>
      <sheetName val="Weather Normalization"/>
      <sheetName val="WACAP 2020"/>
      <sheetName val="Rev Req ---&gt;"/>
      <sheetName val="Exh BGM-3, Summary of Adj"/>
      <sheetName val="Exh BGM-3 ROO Summary"/>
      <sheetName val="Exh BGM-3, Rev Req Calc"/>
      <sheetName val="Exh BGM-3, Conversion Factor"/>
      <sheetName val="Plant Additions"/>
      <sheetName val=" MYRP Summary"/>
      <sheetName val="RR WPs ---&gt;"/>
      <sheetName val="Operating Report"/>
      <sheetName val="MCG WP Index"/>
      <sheetName val="Rate Base"/>
      <sheetName val="Suppl Sch Adj"/>
      <sheetName val="CAC-Def Tax"/>
      <sheetName val="D&amp;O Adjustment"/>
      <sheetName val="LPC"/>
      <sheetName val="State Allocators"/>
      <sheetName val="Annualize CRM"/>
      <sheetName val="Advertising Adj"/>
      <sheetName val="Annualize Rev Adj"/>
      <sheetName val="EOP Rev Adj"/>
      <sheetName val="Wage Adjustments"/>
      <sheetName val="Incentives Adj"/>
      <sheetName val="Interest Sync Adj"/>
      <sheetName val="MAOP Deferral"/>
      <sheetName val=" Working Capital (AMA)"/>
      <sheetName val="FP-319072 &amp; FP-319209"/>
      <sheetName val="WACC Calculation"/>
      <sheetName val="EOP Depn Exp Adj"/>
      <sheetName val="Pro Forma Plant Additions"/>
      <sheetName val="R&amp;R Adjustment"/>
      <sheetName val="Plt-Accum Depn"/>
      <sheetName val="Rate Design ---&gt;"/>
      <sheetName val="Class Revenue"/>
      <sheetName val="Exh IDM-4, Class Rates"/>
      <sheetName val="Exh PJA-3, RES Monthly Impact"/>
      <sheetName val="Exh PJA-4, Bill Impacts"/>
    </sheetNames>
    <sheetDataSet>
      <sheetData sheetId="0" refreshError="1"/>
      <sheetData sheetId="1" refreshError="1"/>
      <sheetData sheetId="2">
        <row r="20">
          <cell r="I20">
            <v>-2906553.9099999731</v>
          </cell>
        </row>
      </sheetData>
      <sheetData sheetId="3" refreshError="1"/>
      <sheetData sheetId="4" refreshError="1"/>
      <sheetData sheetId="5" refreshError="1"/>
      <sheetData sheetId="6">
        <row r="2">
          <cell r="A2" t="str">
            <v>Cascade Natural Gas Corp. -  AWEC Recommendation</v>
          </cell>
        </row>
        <row r="3">
          <cell r="A3" t="str">
            <v>Washington Jurisdiction</v>
          </cell>
        </row>
        <row r="4">
          <cell r="A4" t="str">
            <v>Twelve-Months ended December 31, 2020</v>
          </cell>
        </row>
        <row r="5">
          <cell r="A5" t="str">
            <v>Limited Issues Rate Case</v>
          </cell>
        </row>
        <row r="10">
          <cell r="A10" t="str">
            <v>UG-210755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>
        <row r="5">
          <cell r="A5" t="str">
            <v>Line No</v>
          </cell>
        </row>
      </sheetData>
      <sheetData sheetId="24">
        <row r="9">
          <cell r="H9">
            <v>87443</v>
          </cell>
        </row>
      </sheetData>
      <sheetData sheetId="25" refreshError="1"/>
      <sheetData sheetId="26">
        <row r="10">
          <cell r="C10">
            <v>3.7063772642062019E-3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>
        <row r="10">
          <cell r="D10">
            <v>4.5409999999999999E-2</v>
          </cell>
        </row>
      </sheetData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D Sum "/>
      <sheetName val="Mo Backcast "/>
      <sheetName val="FOR 2012 PGA"/>
      <sheetName val="Historic Data"/>
      <sheetName val="Bell-03"/>
      <sheetName val="Brem-03"/>
      <sheetName val="Walla-03"/>
      <sheetName val="Yak-03"/>
      <sheetName val="Bell-04"/>
      <sheetName val="Brem-04"/>
      <sheetName val="Walla-04"/>
      <sheetName val="Yak-04"/>
      <sheetName val="Bend-01"/>
      <sheetName val="Baker Ont-01"/>
      <sheetName val="Pend-01"/>
      <sheetName val="Bend-04 11 cl2"/>
      <sheetName val="Baker Ont-04 11 cl2"/>
      <sheetName val="Pend-04 11 cl2"/>
    </sheetNames>
    <sheetDataSet>
      <sheetData sheetId="0" refreshError="1"/>
      <sheetData sheetId="1" refreshError="1"/>
      <sheetData sheetId="2"/>
      <sheetData sheetId="3" refreshError="1"/>
      <sheetData sheetId="4">
        <row r="3">
          <cell r="K3">
            <v>42736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13R"/>
      <sheetName val="Exh. No. BGM-13R -2"/>
      <sheetName val="Exh. No. BGM-13R -3"/>
      <sheetName val="Exh. No. BGM-13R -4"/>
      <sheetName val="Exh. No. BGM-13R -5"/>
      <sheetName val="DEBT CALC"/>
      <sheetName val="LEAD SHEETS-DO NOT ENTER"/>
      <sheetName val="ADJ SUMMARY"/>
      <sheetName val="ROO INPUT"/>
      <sheetName val="COMPARISON"/>
    </sheetNames>
    <sheetDataSet>
      <sheetData sheetId="0">
        <row r="25">
          <cell r="W25">
            <v>330.47300000000001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. No. BGM-3 2"/>
      <sheetName val="Exh. No. BGM-3 3"/>
      <sheetName val="Exh. No. BGM-3 4"/>
      <sheetName val="Acerno_Cache_XXXXX"/>
      <sheetName val="Workpapers-&gt;"/>
      <sheetName val="ADJ SUMMARY"/>
      <sheetName val="LEAD SHEETS-DO NOT ENTER"/>
      <sheetName val="ROO INPUT"/>
      <sheetName val="DEBT CALC"/>
      <sheetName val="COMPARISON"/>
      <sheetName val="PROPOSED RATES-2018-NOT USED"/>
      <sheetName val="RETAIL REVENUE CREDIT-not used"/>
      <sheetName val="PROPOSED RATES-2019-not used"/>
    </sheetNames>
    <sheetDataSet>
      <sheetData sheetId="0">
        <row r="24">
          <cell r="E24">
            <v>196.52699999999999</v>
          </cell>
        </row>
      </sheetData>
      <sheetData sheetId="1">
        <row r="24">
          <cell r="E24">
            <v>0.61941299999999999</v>
          </cell>
        </row>
      </sheetData>
      <sheetData sheetId="2">
        <row r="7">
          <cell r="F7" t="str">
            <v xml:space="preserve">Deferred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, COC, ConvF"/>
      <sheetName val="Subject to Refund"/>
      <sheetName val="Summary"/>
      <sheetName val="Detailed Summary"/>
      <sheetName val="Common Adj"/>
      <sheetName val="Electric Adj"/>
      <sheetName val="DEC13"/>
      <sheetName val="BDJ Exh Summary"/>
      <sheetName val="SEF-13 p 1 Elect wp"/>
      <sheetName val="SEF-13 p 2 Elect wp"/>
      <sheetName val="Adj List"/>
      <sheetName val="Final Rate Years"/>
      <sheetName val="Named Ranges E"/>
      <sheetName val="Proofs=&gt;"/>
      <sheetName val="TBPI, ETR, Rev"/>
      <sheetName val="557 &amp; 555"/>
      <sheetName val="Prod O&amp;M"/>
    </sheetNames>
    <sheetDataSet>
      <sheetData sheetId="0">
        <row r="13">
          <cell r="C13">
            <v>7.3899999999999993E-2</v>
          </cell>
        </row>
      </sheetData>
      <sheetData sheetId="1" refreshError="1"/>
      <sheetData sheetId="2">
        <row r="30">
          <cell r="K30">
            <v>95361604.0746582</v>
          </cell>
        </row>
      </sheetData>
      <sheetData sheetId="3">
        <row r="28">
          <cell r="EJ28">
            <v>79002821.884108439</v>
          </cell>
        </row>
      </sheetData>
      <sheetData sheetId="4">
        <row r="16">
          <cell r="BC16">
            <v>0</v>
          </cell>
        </row>
      </sheetData>
      <sheetData sheetId="5">
        <row r="17">
          <cell r="BA17">
            <v>1133055.3483333332</v>
          </cell>
        </row>
      </sheetData>
      <sheetData sheetId="6" refreshError="1"/>
      <sheetData sheetId="7" refreshError="1"/>
      <sheetData sheetId="8">
        <row r="2">
          <cell r="Q2" t="str">
            <v>GAS NOI</v>
          </cell>
        </row>
      </sheetData>
      <sheetData sheetId="9">
        <row r="2">
          <cell r="J2" t="str">
            <v>NATURAL GAS</v>
          </cell>
        </row>
      </sheetData>
      <sheetData sheetId="10">
        <row r="6">
          <cell r="A6" t="str">
            <v>REVENUES AND EXPENSES</v>
          </cell>
        </row>
      </sheetData>
      <sheetData sheetId="11" refreshError="1"/>
      <sheetData sheetId="12">
        <row r="2">
          <cell r="B2" t="str">
            <v>PUGET SOUND ENERGY - ELECTRIC</v>
          </cell>
        </row>
        <row r="7">
          <cell r="B7" t="str">
            <v>2022 GENERAL RATE CASE</v>
          </cell>
        </row>
      </sheetData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ns"/>
      <sheetName val="Municipals"/>
      <sheetName val="Summary wformulas"/>
      <sheetName val="Summary wvalues"/>
      <sheetName val="Debt maturity profile"/>
      <sheetName val="Summary wBBforms"/>
      <sheetName val="BB values"/>
      <sheetName val="BB values (2)"/>
      <sheetName val="Sheet2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(e)"/>
      <sheetName val="Lead E"/>
      <sheetName val="FERC E"/>
      <sheetName val="Adjustment (g)"/>
      <sheetName val="Lead G"/>
      <sheetName val="FERC G"/>
      <sheetName val="Def Dir Cost and FR E"/>
      <sheetName val="Def Savings E"/>
      <sheetName val="Def Dir Cost and FR G"/>
      <sheetName val="Def Savings G"/>
      <sheetName val="Monthly JEs"/>
      <sheetName val="By Quarter Summary"/>
      <sheetName val="Direct Costs"/>
      <sheetName val="Cost Savings"/>
      <sheetName val="Foregone Revenues"/>
      <sheetName val="Lost Revenue 2020-2021 Detail"/>
      <sheetName val="Cost Savings Detail"/>
      <sheetName val="4 Factor Allocator"/>
      <sheetName val="Lost Revenue Summary"/>
      <sheetName val="Exhibit B"/>
    </sheetNames>
    <sheetDataSet>
      <sheetData sheetId="0"/>
      <sheetData sheetId="1">
        <row r="12">
          <cell r="G12">
            <v>56423.619000000006</v>
          </cell>
          <cell r="I12">
            <v>28211.809499999858</v>
          </cell>
        </row>
        <row r="13">
          <cell r="K13">
            <v>-141334.37883624996</v>
          </cell>
          <cell r="M13">
            <v>-282668.75767249975</v>
          </cell>
          <cell r="O13">
            <v>-141334.37883624987</v>
          </cell>
        </row>
        <row r="14">
          <cell r="G14">
            <v>-11848.959990000003</v>
          </cell>
          <cell r="I14">
            <v>-5924.4799950000015</v>
          </cell>
          <cell r="K14">
            <v>29680.219555612479</v>
          </cell>
          <cell r="M14">
            <v>59360.439111224958</v>
          </cell>
          <cell r="O14">
            <v>29680.219555612483</v>
          </cell>
        </row>
        <row r="15">
          <cell r="G15">
            <v>-891467.75575000024</v>
          </cell>
          <cell r="I15">
            <v>-445733.87787500024</v>
          </cell>
        </row>
        <row r="16">
          <cell r="K16">
            <v>544736.53060708323</v>
          </cell>
          <cell r="M16">
            <v>1089473.0612141662</v>
          </cell>
          <cell r="O16">
            <v>544736.53060708265</v>
          </cell>
        </row>
        <row r="17">
          <cell r="G17">
            <v>187208.22870749992</v>
          </cell>
          <cell r="I17">
            <v>93604.114353749959</v>
          </cell>
          <cell r="K17">
            <v>-114394.67142748769</v>
          </cell>
          <cell r="M17">
            <v>-228789.34285497497</v>
          </cell>
          <cell r="O17">
            <v>-114394.67142748745</v>
          </cell>
        </row>
        <row r="21">
          <cell r="G21">
            <v>-889107.57401499106</v>
          </cell>
          <cell r="I21">
            <v>-444553.78700749594</v>
          </cell>
          <cell r="K21">
            <v>720245.25461098691</v>
          </cell>
          <cell r="M21">
            <v>1440490.5092219745</v>
          </cell>
          <cell r="O21">
            <v>720245.25461098959</v>
          </cell>
        </row>
        <row r="26">
          <cell r="K26">
            <v>-806804.30354166636</v>
          </cell>
          <cell r="O26">
            <v>806804.30354166636</v>
          </cell>
        </row>
        <row r="29">
          <cell r="K29">
            <v>1823405.7078759158</v>
          </cell>
          <cell r="O29">
            <v>-1823405.7078759158</v>
          </cell>
        </row>
        <row r="32">
          <cell r="K32">
            <v>169428.90374374992</v>
          </cell>
          <cell r="O32">
            <v>-169428.90374374992</v>
          </cell>
        </row>
      </sheetData>
      <sheetData sheetId="2"/>
      <sheetData sheetId="3"/>
      <sheetData sheetId="4">
        <row r="12">
          <cell r="G12">
            <v>25781.840999999986</v>
          </cell>
          <cell r="I12">
            <v>12890.920500000066</v>
          </cell>
        </row>
        <row r="13">
          <cell r="K13">
            <v>-69043.911163750003</v>
          </cell>
          <cell r="M13">
            <v>-138087.82232750003</v>
          </cell>
          <cell r="O13">
            <v>-69043.911163749959</v>
          </cell>
        </row>
        <row r="14">
          <cell r="G14">
            <v>-5414.1866100000188</v>
          </cell>
          <cell r="I14">
            <v>-2707.0933050000094</v>
          </cell>
          <cell r="K14">
            <v>14499.221344387508</v>
          </cell>
          <cell r="M14">
            <v>28998.442688775009</v>
          </cell>
          <cell r="O14">
            <v>14499.221344387501</v>
          </cell>
        </row>
        <row r="15">
          <cell r="G15">
            <v>-451181.68424999993</v>
          </cell>
          <cell r="I15">
            <v>-225590.84212500008</v>
          </cell>
        </row>
        <row r="16">
          <cell r="K16">
            <v>274550.66772624996</v>
          </cell>
          <cell r="M16">
            <v>549101.3354524998</v>
          </cell>
          <cell r="O16">
            <v>274550.6677262499</v>
          </cell>
        </row>
        <row r="17">
          <cell r="G17">
            <v>94748.153692500011</v>
          </cell>
          <cell r="I17">
            <v>47374.076846250042</v>
          </cell>
          <cell r="K17">
            <v>-57655.640222512506</v>
          </cell>
          <cell r="M17">
            <v>-115311.28044502501</v>
          </cell>
          <cell r="O17">
            <v>-57655.640222512477</v>
          </cell>
        </row>
        <row r="21">
          <cell r="G21">
            <v>-352391.03260144952</v>
          </cell>
          <cell r="I21">
            <v>-176195.51630072467</v>
          </cell>
          <cell r="K21">
            <v>287294.47474334505</v>
          </cell>
          <cell r="M21">
            <v>574588.94948669034</v>
          </cell>
          <cell r="O21">
            <v>287294.47474334587</v>
          </cell>
        </row>
        <row r="28">
          <cell r="K28">
            <v>-411013.51312499976</v>
          </cell>
          <cell r="O28">
            <v>411013.51312499976</v>
          </cell>
        </row>
        <row r="31">
          <cell r="K31">
            <v>727327.78416036721</v>
          </cell>
          <cell r="O31">
            <v>-727327.78416036721</v>
          </cell>
        </row>
        <row r="33">
          <cell r="K33">
            <v>86312.837756249952</v>
          </cell>
          <cell r="O33">
            <v>-86312.837756249952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GM-7"/>
      <sheetName val="Dec13"/>
      <sheetName val="Table"/>
    </sheetNames>
    <sheetDataSet>
      <sheetData sheetId="0">
        <row r="46">
          <cell r="J46">
            <v>3194360.8702093363</v>
          </cell>
          <cell r="K46">
            <v>2552338.7282277942</v>
          </cell>
          <cell r="L46">
            <v>2617678.5996704251</v>
          </cell>
        </row>
        <row r="47">
          <cell r="J47">
            <v>806218.21876198798</v>
          </cell>
          <cell r="K47">
            <v>644179.5610319376</v>
          </cell>
          <cell r="L47">
            <v>660670.55779435486</v>
          </cell>
        </row>
        <row r="48">
          <cell r="J48">
            <v>3056588.837090224</v>
          </cell>
          <cell r="K48">
            <v>2442256.9591089636</v>
          </cell>
          <cell r="L48">
            <v>2504778.7372621596</v>
          </cell>
        </row>
        <row r="49">
          <cell r="J49">
            <v>1634316.8047877923</v>
          </cell>
          <cell r="K49">
            <v>1305841.8395852745</v>
          </cell>
          <cell r="L49">
            <v>1339271.3906786591</v>
          </cell>
        </row>
        <row r="50">
          <cell r="J50">
            <v>144498.89897829387</v>
          </cell>
          <cell r="K50">
            <v>115456.62842545565</v>
          </cell>
          <cell r="L50">
            <v>118412.31811314728</v>
          </cell>
        </row>
        <row r="51">
          <cell r="J51">
            <v>0</v>
          </cell>
          <cell r="K51">
            <v>0</v>
          </cell>
          <cell r="L51">
            <v>0</v>
          </cell>
        </row>
        <row r="52">
          <cell r="J52">
            <v>4598511.7991507649</v>
          </cell>
          <cell r="K52">
            <v>3674274.8343319893</v>
          </cell>
          <cell r="L52">
            <v>3768336.270090878</v>
          </cell>
        </row>
        <row r="56">
          <cell r="J56">
            <v>228664.42091901693</v>
          </cell>
          <cell r="K56">
            <v>182706.05012800079</v>
          </cell>
          <cell r="L56">
            <v>187383.32501127757</v>
          </cell>
        </row>
        <row r="57">
          <cell r="J57">
            <v>0</v>
          </cell>
          <cell r="K57">
            <v>0</v>
          </cell>
          <cell r="L57">
            <v>0</v>
          </cell>
        </row>
        <row r="58">
          <cell r="J58">
            <v>2033561.798644498</v>
          </cell>
          <cell r="K58">
            <v>1624844.1380966455</v>
          </cell>
          <cell r="L58">
            <v>1666440.1480319202</v>
          </cell>
        </row>
        <row r="59">
          <cell r="J59">
            <v>805069.44251166657</v>
          </cell>
          <cell r="K59">
            <v>643261.67284306511</v>
          </cell>
          <cell r="L59">
            <v>659729.17166784778</v>
          </cell>
        </row>
        <row r="60">
          <cell r="J60">
            <v>86912.301633233204</v>
          </cell>
          <cell r="K60">
            <v>69444.136849629227</v>
          </cell>
          <cell r="L60">
            <v>71221.906752979383</v>
          </cell>
        </row>
        <row r="61">
          <cell r="J61">
            <v>0</v>
          </cell>
          <cell r="K61">
            <v>0</v>
          </cell>
          <cell r="L61">
            <v>0</v>
          </cell>
        </row>
        <row r="62">
          <cell r="J62">
            <v>1970125.7181654498</v>
          </cell>
          <cell r="K62">
            <v>1574157.8282048479</v>
          </cell>
          <cell r="L62">
            <v>1614456.2686068937</v>
          </cell>
        </row>
        <row r="83">
          <cell r="W83">
            <v>-64095.406475542411</v>
          </cell>
          <cell r="X83">
            <v>-1683.7107036757245</v>
          </cell>
          <cell r="Y83">
            <v>-2887.3429497046245</v>
          </cell>
        </row>
        <row r="87">
          <cell r="W87">
            <v>-30340.589757464641</v>
          </cell>
          <cell r="X87">
            <v>-1302.3200500997962</v>
          </cell>
          <cell r="Y87">
            <v>-525.73663039946928</v>
          </cell>
        </row>
      </sheetData>
      <sheetData sheetId="1" refreshError="1"/>
      <sheetData sheetId="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com.sap.ip.bi.xl.hiddensheet"/>
      <sheetName val="Adjustment"/>
      <sheetName val="BGM-10"/>
      <sheetName val="PSE WPS-&gt;"/>
      <sheetName val="LEAD"/>
      <sheetName val="LEAD (FERC)"/>
      <sheetName val="Storm Amortization"/>
    </sheetNames>
    <sheetDataSet>
      <sheetData sheetId="0"/>
      <sheetData sheetId="1">
        <row r="44">
          <cell r="F44">
            <v>-10729.971805527004</v>
          </cell>
          <cell r="G44">
            <v>-21459.943611054005</v>
          </cell>
          <cell r="H44">
            <v>-21459.943611054005</v>
          </cell>
        </row>
        <row r="53">
          <cell r="F53">
            <v>1939.7576179432024</v>
          </cell>
          <cell r="G53">
            <v>3879.5152358864043</v>
          </cell>
          <cell r="H53">
            <v>3879.5152358864034</v>
          </cell>
        </row>
      </sheetData>
      <sheetData sheetId="2">
        <row r="47">
          <cell r="L47">
            <v>-12785145.419445988</v>
          </cell>
          <cell r="O47">
            <v>-386487.16694599763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Format B.Sheet "/>
      <sheetName val="ERB EOP"/>
      <sheetName val="GRB EOP"/>
      <sheetName val="ERB AMA"/>
      <sheetName val="GRB AMA"/>
      <sheetName val="WC "/>
      <sheetName val="PPXLSaveData0"/>
      <sheetName val="PPXLFunctions"/>
      <sheetName val="PPXLOp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26">
          <cell r="F26">
            <v>-10412255.885072351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s 1, 2"/>
      <sheetName val="Table 3"/>
      <sheetName val="BGM-6"/>
      <sheetName val="Budget Monthly Addtns"/>
      <sheetName val="Historical Actuals PT"/>
      <sheetName val="2017 Capital Adds Detail - PP"/>
      <sheetName val="2018 Capital Adds Detail - PP"/>
      <sheetName val="2019 Capital Adds Detail - PP"/>
      <sheetName val="2020 Capital Adds Detail - PP"/>
      <sheetName val="2021 Capital Adds Detail - PP"/>
      <sheetName val="2021 BY Project"/>
      <sheetName val="EExFERC"/>
      <sheetName val="Chart of Accounts"/>
    </sheetNames>
    <sheetDataSet>
      <sheetData sheetId="0"/>
      <sheetData sheetId="1">
        <row r="17">
          <cell r="H17">
            <v>76199.656924893381</v>
          </cell>
          <cell r="I17">
            <v>-207451.8918947262</v>
          </cell>
          <cell r="J17">
            <v>-126729.09698039049</v>
          </cell>
          <cell r="K17">
            <v>-196230.88718589873</v>
          </cell>
        </row>
        <row r="18">
          <cell r="H18">
            <v>3389.3603164912201</v>
          </cell>
          <cell r="I18">
            <v>-103359.62516146607</v>
          </cell>
          <cell r="J18">
            <v>-19618.795830584306</v>
          </cell>
          <cell r="K18">
            <v>-32570.471538221987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0D2D1-0F3E-4002-96C8-F75CE9449650}">
  <dimension ref="B6:AO29"/>
  <sheetViews>
    <sheetView tabSelected="1" zoomScaleNormal="100" workbookViewId="0"/>
  </sheetViews>
  <sheetFormatPr defaultRowHeight="14" x14ac:dyDescent="0.3"/>
  <cols>
    <col min="1" max="1" width="8.7265625" style="275"/>
    <col min="2" max="2" width="0.7265625" style="275" customWidth="1"/>
    <col min="3" max="3" width="2.81640625" style="309" customWidth="1"/>
    <col min="4" max="4" width="0.7265625" style="275" customWidth="1"/>
    <col min="5" max="5" width="8" style="275" customWidth="1"/>
    <col min="6" max="6" width="24.90625" style="275" customWidth="1"/>
    <col min="7" max="7" width="2" style="275" customWidth="1"/>
    <col min="8" max="8" width="10.08984375" style="275" customWidth="1"/>
    <col min="9" max="9" width="2" style="275" customWidth="1"/>
    <col min="10" max="12" width="10.08984375" style="275" customWidth="1"/>
    <col min="13" max="13" width="2" style="275" customWidth="1"/>
    <col min="14" max="14" width="10.08984375" style="275" customWidth="1"/>
    <col min="15" max="15" width="2" style="275" customWidth="1"/>
    <col min="16" max="16384" width="8.7265625" style="275"/>
  </cols>
  <sheetData>
    <row r="6" spans="2:41" ht="7" customHeight="1" x14ac:dyDescent="0.3">
      <c r="B6" s="305"/>
      <c r="C6" s="316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3"/>
    </row>
    <row r="7" spans="2:41" x14ac:dyDescent="0.3">
      <c r="B7" s="298"/>
      <c r="C7" s="317"/>
      <c r="D7" s="318"/>
      <c r="E7" s="318"/>
      <c r="F7" s="318"/>
      <c r="G7" s="318"/>
      <c r="H7" s="318"/>
      <c r="I7" s="318"/>
      <c r="J7" s="319" t="s">
        <v>668</v>
      </c>
      <c r="K7" s="319"/>
      <c r="L7" s="319"/>
      <c r="M7" s="320"/>
      <c r="N7" s="320"/>
      <c r="O7" s="295"/>
      <c r="Q7" s="275" t="s">
        <v>673</v>
      </c>
      <c r="AC7" s="308"/>
      <c r="AD7" s="308"/>
      <c r="AE7" s="308"/>
    </row>
    <row r="8" spans="2:41" x14ac:dyDescent="0.3">
      <c r="B8" s="298"/>
      <c r="C8" s="317"/>
      <c r="D8" s="318"/>
      <c r="E8" s="318"/>
      <c r="F8" s="318"/>
      <c r="G8" s="318"/>
      <c r="H8" s="300" t="s">
        <v>632</v>
      </c>
      <c r="I8" s="341"/>
      <c r="J8" s="300">
        <v>2023</v>
      </c>
      <c r="K8" s="300">
        <v>2024</v>
      </c>
      <c r="L8" s="300">
        <v>2025</v>
      </c>
      <c r="M8" s="340"/>
      <c r="N8" s="300" t="s">
        <v>3</v>
      </c>
      <c r="O8" s="295"/>
      <c r="Q8" s="275" t="s">
        <v>663</v>
      </c>
      <c r="R8" s="275" t="s">
        <v>664</v>
      </c>
      <c r="S8" s="275" t="s">
        <v>665</v>
      </c>
      <c r="T8" s="275" t="s">
        <v>666</v>
      </c>
      <c r="U8" s="275" t="s">
        <v>667</v>
      </c>
      <c r="V8" s="275" t="s">
        <v>669</v>
      </c>
    </row>
    <row r="9" spans="2:41" ht="7" customHeight="1" x14ac:dyDescent="0.3">
      <c r="B9" s="298"/>
      <c r="C9" s="317"/>
      <c r="D9" s="318"/>
      <c r="E9" s="318"/>
      <c r="F9" s="318"/>
      <c r="G9" s="318"/>
      <c r="H9" s="321"/>
      <c r="I9" s="318"/>
      <c r="J9" s="321"/>
      <c r="K9" s="321"/>
      <c r="L9" s="321"/>
      <c r="M9" s="318"/>
      <c r="N9" s="321"/>
      <c r="O9" s="295"/>
      <c r="Q9" s="290"/>
      <c r="R9" s="290"/>
      <c r="S9" s="290"/>
      <c r="T9" s="290"/>
      <c r="U9" s="290"/>
      <c r="V9" s="290"/>
      <c r="AA9" s="290"/>
      <c r="AC9" s="290"/>
      <c r="AD9" s="290"/>
      <c r="AE9" s="290"/>
      <c r="AG9" s="290"/>
      <c r="AJ9" s="290"/>
      <c r="AK9" s="290"/>
      <c r="AL9" s="290"/>
      <c r="AM9" s="290"/>
      <c r="AN9" s="290"/>
      <c r="AO9" s="290"/>
    </row>
    <row r="10" spans="2:41" x14ac:dyDescent="0.3">
      <c r="B10" s="298"/>
      <c r="C10" s="317">
        <v>1</v>
      </c>
      <c r="D10" s="318"/>
      <c r="E10" s="320" t="s">
        <v>662</v>
      </c>
      <c r="F10" s="320"/>
      <c r="G10" s="320"/>
      <c r="H10" s="322">
        <f>+R10</f>
        <v>-13009.61743302122</v>
      </c>
      <c r="I10" s="322"/>
      <c r="J10" s="322">
        <f>+T10-R10</f>
        <v>343023.01869194832</v>
      </c>
      <c r="K10" s="322">
        <f>+U10-T10</f>
        <v>62666.157742361131</v>
      </c>
      <c r="L10" s="322">
        <f>+V10-U10</f>
        <v>10185.740383412805</v>
      </c>
      <c r="M10" s="322"/>
      <c r="N10" s="322">
        <f>+SUM(H10:L10)</f>
        <v>402865.29938470107</v>
      </c>
      <c r="O10" s="295"/>
      <c r="Q10" s="290">
        <f>+'Exh. BGM-3 (1)'!AO52</f>
        <v>17192.330933715308</v>
      </c>
      <c r="R10" s="290">
        <f>+'Exh. BGM-3 (1)'!AO103</f>
        <v>-13009.61743302122</v>
      </c>
      <c r="S10" s="290">
        <f>+'Exh. BGM-3 (1)'!AO156</f>
        <v>54015.205592597355</v>
      </c>
      <c r="T10" s="290">
        <f>+'Exh. BGM-3 (1)'!AO210</f>
        <v>330013.40125892713</v>
      </c>
      <c r="U10" s="290">
        <f>+'Exh. BGM-3 (1)'!AO264</f>
        <v>392679.55900128826</v>
      </c>
      <c r="V10" s="290">
        <f>+'Exh. BGM-3 (1)'!AO319</f>
        <v>402865.29938470107</v>
      </c>
      <c r="AA10" s="290"/>
      <c r="AC10" s="290"/>
      <c r="AD10" s="290"/>
      <c r="AE10" s="290"/>
      <c r="AG10" s="290"/>
      <c r="AJ10" s="290"/>
      <c r="AK10" s="290"/>
      <c r="AL10" s="290"/>
      <c r="AM10" s="290"/>
      <c r="AN10" s="290"/>
      <c r="AO10" s="290"/>
    </row>
    <row r="11" spans="2:41" ht="7" customHeight="1" x14ac:dyDescent="0.3">
      <c r="B11" s="298"/>
      <c r="C11" s="317"/>
      <c r="D11" s="318"/>
      <c r="E11" s="323"/>
      <c r="F11" s="318"/>
      <c r="G11" s="318"/>
      <c r="H11" s="321"/>
      <c r="I11" s="321"/>
      <c r="J11" s="321"/>
      <c r="K11" s="321"/>
      <c r="L11" s="321"/>
      <c r="M11" s="321"/>
      <c r="N11" s="321"/>
      <c r="O11" s="295"/>
    </row>
    <row r="12" spans="2:41" x14ac:dyDescent="0.3">
      <c r="B12" s="298"/>
      <c r="C12" s="317">
        <v>2</v>
      </c>
      <c r="D12" s="318"/>
      <c r="E12" s="324" t="s">
        <v>1061</v>
      </c>
      <c r="F12" s="318"/>
      <c r="G12" s="318"/>
      <c r="H12" s="321"/>
      <c r="I12" s="321"/>
      <c r="J12" s="321"/>
      <c r="K12" s="321"/>
      <c r="L12" s="321"/>
      <c r="M12" s="321"/>
      <c r="N12" s="321"/>
      <c r="O12" s="295"/>
    </row>
    <row r="13" spans="2:41" x14ac:dyDescent="0.3">
      <c r="B13" s="298"/>
      <c r="C13" s="310">
        <v>3</v>
      </c>
      <c r="D13" s="311"/>
      <c r="E13" s="331"/>
      <c r="F13" s="311" t="s">
        <v>670</v>
      </c>
      <c r="G13" s="311"/>
      <c r="H13" s="315">
        <f>+R13</f>
        <v>-13901.937501458178</v>
      </c>
      <c r="I13" s="315"/>
      <c r="J13" s="315">
        <f>+T13-R13</f>
        <v>-389.50920318303906</v>
      </c>
      <c r="K13" s="315">
        <f>+U13-T13</f>
        <v>-4938.7198208994814</v>
      </c>
      <c r="L13" s="315">
        <f>+V13-U13</f>
        <v>-5597.3374649246689</v>
      </c>
      <c r="M13" s="315"/>
      <c r="N13" s="315">
        <f t="shared" ref="N13:N23" si="0">+SUM(H13:L13)</f>
        <v>-24827.503990465368</v>
      </c>
      <c r="O13" s="295"/>
      <c r="Q13" s="290">
        <f>+'Exh. BGM-3 (1)'!AP52</f>
        <v>-13528.368790098666</v>
      </c>
      <c r="R13" s="290">
        <f>+'Exh. BGM-3 (1)'!AP103</f>
        <v>-13901.937501458178</v>
      </c>
      <c r="S13" s="290">
        <f>+'Exh. BGM-3 (1)'!AP156</f>
        <v>-14105.410256008669</v>
      </c>
      <c r="T13" s="290">
        <f>+'Exh. BGM-3 (1)'!AP210</f>
        <v>-14291.446704641217</v>
      </c>
      <c r="U13" s="290">
        <f>+'Exh. BGM-3 (1)'!AP264</f>
        <v>-19230.166525540699</v>
      </c>
      <c r="V13" s="290">
        <f>+'Exh. BGM-3 (1)'!AP319</f>
        <v>-24827.503990465368</v>
      </c>
      <c r="AA13" s="290"/>
      <c r="AC13" s="290"/>
      <c r="AD13" s="290"/>
      <c r="AE13" s="290"/>
      <c r="AG13" s="290"/>
      <c r="AJ13" s="290"/>
      <c r="AK13" s="290"/>
      <c r="AL13" s="290"/>
      <c r="AM13" s="290"/>
      <c r="AN13" s="290"/>
      <c r="AO13" s="290"/>
    </row>
    <row r="14" spans="2:41" x14ac:dyDescent="0.3">
      <c r="B14" s="298"/>
      <c r="C14" s="317">
        <v>4</v>
      </c>
      <c r="D14" s="318"/>
      <c r="E14" s="325" t="s">
        <v>1016</v>
      </c>
      <c r="F14" s="318" t="s">
        <v>1020</v>
      </c>
      <c r="G14" s="318"/>
      <c r="H14" s="321">
        <v>0</v>
      </c>
      <c r="I14" s="321"/>
      <c r="J14" s="321">
        <f>+'Exh. BGM-3 (1)'!AC153+'Exh. BGM-3 (1)'!AC206</f>
        <v>-3784.3887623411347</v>
      </c>
      <c r="K14" s="321">
        <f>+'Exh. BGM-3 (1)'!AC260</f>
        <v>-21641.8992236509</v>
      </c>
      <c r="L14" s="321">
        <f>+'Exh. BGM-3 (1)'!AC315</f>
        <v>-20245.627669570655</v>
      </c>
      <c r="M14" s="321"/>
      <c r="N14" s="321">
        <f t="shared" si="0"/>
        <v>-45671.915655562691</v>
      </c>
      <c r="O14" s="326"/>
      <c r="AC14" s="290"/>
      <c r="AD14" s="290"/>
      <c r="AE14" s="290"/>
      <c r="AG14" s="290"/>
    </row>
    <row r="15" spans="2:41" x14ac:dyDescent="0.3">
      <c r="B15" s="298"/>
      <c r="C15" s="310">
        <v>5</v>
      </c>
      <c r="D15" s="311"/>
      <c r="E15" s="314">
        <v>6.33</v>
      </c>
      <c r="F15" s="311" t="s">
        <v>1063</v>
      </c>
      <c r="G15" s="311"/>
      <c r="H15" s="315">
        <v>0</v>
      </c>
      <c r="I15" s="315"/>
      <c r="J15" s="315">
        <f>+'Exh. BGM-3 (1)'!AC192+'Exh. BGM-3 (1)'!AC139</f>
        <v>-4429.8611840251206</v>
      </c>
      <c r="K15" s="315">
        <f>+'Exh. BGM-3 (1)'!AC246</f>
        <v>-8243.0038677207631</v>
      </c>
      <c r="L15" s="315">
        <f>+'Exh. BGM-3 (1)'!AC300</f>
        <v>-20470.256076257803</v>
      </c>
      <c r="M15" s="315"/>
      <c r="N15" s="315">
        <f t="shared" si="0"/>
        <v>-33143.121128003688</v>
      </c>
      <c r="O15" s="295"/>
      <c r="AC15" s="290"/>
      <c r="AD15" s="290"/>
      <c r="AE15" s="290"/>
      <c r="AG15" s="290"/>
    </row>
    <row r="16" spans="2:41" x14ac:dyDescent="0.3">
      <c r="B16" s="298"/>
      <c r="C16" s="317">
        <v>6</v>
      </c>
      <c r="D16" s="318"/>
      <c r="E16" s="325">
        <v>6.33</v>
      </c>
      <c r="F16" s="318" t="s">
        <v>1064</v>
      </c>
      <c r="G16" s="318"/>
      <c r="H16" s="321">
        <v>0</v>
      </c>
      <c r="I16" s="321"/>
      <c r="J16" s="321">
        <v>0</v>
      </c>
      <c r="K16" s="321">
        <v>0</v>
      </c>
      <c r="L16" s="321">
        <f>+'Exh. BGM-3 (1)'!AC301</f>
        <v>-1798.8748450995899</v>
      </c>
      <c r="M16" s="321"/>
      <c r="N16" s="321">
        <f t="shared" si="0"/>
        <v>-1798.8748450995899</v>
      </c>
      <c r="O16" s="295"/>
      <c r="AC16" s="290"/>
      <c r="AD16" s="290"/>
      <c r="AE16" s="290"/>
      <c r="AG16" s="290"/>
    </row>
    <row r="17" spans="2:33" x14ac:dyDescent="0.3">
      <c r="B17" s="298"/>
      <c r="C17" s="310">
        <v>7</v>
      </c>
      <c r="D17" s="311"/>
      <c r="E17" s="314">
        <v>6.22</v>
      </c>
      <c r="F17" s="332" t="s">
        <v>1035</v>
      </c>
      <c r="G17" s="311"/>
      <c r="H17" s="315">
        <v>0</v>
      </c>
      <c r="I17" s="315"/>
      <c r="J17" s="315">
        <f>+'Exh. BGM-3 (1)'!AC180</f>
        <v>-67302.498309546034</v>
      </c>
      <c r="K17" s="315">
        <f>+'Exh. BGM-3 (1)'!AC234</f>
        <v>-1767.9572221940743</v>
      </c>
      <c r="L17" s="315">
        <f>+'Exh. BGM-3 (1)'!AC288</f>
        <v>-3031.8146756074639</v>
      </c>
      <c r="M17" s="315"/>
      <c r="N17" s="315">
        <f t="shared" si="0"/>
        <v>-72102.270207347581</v>
      </c>
      <c r="O17" s="295"/>
      <c r="AA17" s="290"/>
      <c r="AC17" s="290"/>
      <c r="AD17" s="290"/>
      <c r="AE17" s="290"/>
      <c r="AG17" s="290"/>
    </row>
    <row r="18" spans="2:33" x14ac:dyDescent="0.3">
      <c r="B18" s="298"/>
      <c r="C18" s="317">
        <v>8</v>
      </c>
      <c r="D18" s="318"/>
      <c r="E18" s="325" t="s">
        <v>1049</v>
      </c>
      <c r="F18" s="318" t="s">
        <v>634</v>
      </c>
      <c r="G18" s="318"/>
      <c r="H18" s="321">
        <v>0</v>
      </c>
      <c r="I18" s="321"/>
      <c r="J18" s="321">
        <f>+'Exh. BGM-3 (1)'!AC207</f>
        <v>-531.46003652301476</v>
      </c>
      <c r="K18" s="321">
        <f>+'Exh. BGM-3 (1)'!AC261</f>
        <v>-0.51031760272743587</v>
      </c>
      <c r="L18" s="321">
        <f>+'Exh. BGM-3 (1)'!AC316</f>
        <v>-0.52081796492347365</v>
      </c>
      <c r="M18" s="321"/>
      <c r="N18" s="321">
        <f t="shared" si="0"/>
        <v>-532.49117209066571</v>
      </c>
      <c r="O18" s="295"/>
    </row>
    <row r="19" spans="2:33" x14ac:dyDescent="0.3">
      <c r="B19" s="298"/>
      <c r="C19" s="310">
        <v>9</v>
      </c>
      <c r="D19" s="311"/>
      <c r="E19" s="314">
        <v>6.45</v>
      </c>
      <c r="F19" s="311" t="s">
        <v>1050</v>
      </c>
      <c r="G19" s="311"/>
      <c r="H19" s="315">
        <v>0</v>
      </c>
      <c r="I19" s="315"/>
      <c r="J19" s="315">
        <f>+'Exh. BGM-3 (1)'!AC194</f>
        <v>-4570.8076639352366</v>
      </c>
      <c r="K19" s="315">
        <f>+'Exh. BGM-3 (1)'!AC248</f>
        <v>4570.8076639352439</v>
      </c>
      <c r="L19" s="315">
        <v>0</v>
      </c>
      <c r="M19" s="315"/>
      <c r="N19" s="315">
        <f t="shared" si="0"/>
        <v>7.2759576141834259E-12</v>
      </c>
      <c r="O19" s="295"/>
    </row>
    <row r="20" spans="2:33" x14ac:dyDescent="0.3">
      <c r="B20" s="298"/>
      <c r="C20" s="317">
        <v>10</v>
      </c>
      <c r="D20" s="318"/>
      <c r="E20" s="325" t="s">
        <v>1053</v>
      </c>
      <c r="F20" s="318" t="s">
        <v>1054</v>
      </c>
      <c r="G20" s="318"/>
      <c r="H20" s="321">
        <f>+'Exh. BGM-3 (1)'!AC49</f>
        <v>-996.44771912888109</v>
      </c>
      <c r="I20" s="321"/>
      <c r="J20" s="321">
        <v>0</v>
      </c>
      <c r="K20" s="321">
        <v>0</v>
      </c>
      <c r="L20" s="321">
        <v>0</v>
      </c>
      <c r="M20" s="321"/>
      <c r="N20" s="321">
        <f t="shared" si="0"/>
        <v>-996.44771912888109</v>
      </c>
      <c r="O20" s="295"/>
      <c r="AC20" s="290"/>
      <c r="AD20" s="290"/>
      <c r="AE20" s="290"/>
      <c r="AG20" s="290"/>
    </row>
    <row r="21" spans="2:33" x14ac:dyDescent="0.3">
      <c r="B21" s="298"/>
      <c r="C21" s="310">
        <v>11</v>
      </c>
      <c r="D21" s="311"/>
      <c r="E21" s="314">
        <v>6.51</v>
      </c>
      <c r="F21" s="311" t="s">
        <v>1056</v>
      </c>
      <c r="G21" s="311"/>
      <c r="H21" s="315">
        <v>0</v>
      </c>
      <c r="I21" s="315"/>
      <c r="J21" s="315">
        <f>+'Exh. BGM-3 (1)'!AC200</f>
        <v>-14266.08489724713</v>
      </c>
      <c r="K21" s="315">
        <f>+'Exh. BGM-3 (1)'!AC254</f>
        <v>-1682.4382678550251</v>
      </c>
      <c r="L21" s="315">
        <f>+'Exh. BGM-3 (1)'!AC309</f>
        <v>3547.2144850635264</v>
      </c>
      <c r="M21" s="315"/>
      <c r="N21" s="315">
        <f t="shared" si="0"/>
        <v>-12401.308680038628</v>
      </c>
      <c r="O21" s="295"/>
      <c r="AC21" s="290"/>
      <c r="AD21" s="290"/>
      <c r="AE21" s="290"/>
      <c r="AG21" s="290"/>
    </row>
    <row r="22" spans="2:33" x14ac:dyDescent="0.3">
      <c r="B22" s="298"/>
      <c r="C22" s="317">
        <v>12</v>
      </c>
      <c r="D22" s="318"/>
      <c r="E22" s="325">
        <v>6.22</v>
      </c>
      <c r="F22" s="318" t="s">
        <v>1057</v>
      </c>
      <c r="G22" s="318"/>
      <c r="H22" s="321">
        <f>+'Exh. BGM-3 (1)'!AC81</f>
        <v>-85.087153443626164</v>
      </c>
      <c r="I22" s="321"/>
      <c r="J22" s="321">
        <f>+'Exh. BGM-3 (1)'!AC132+'Exh. BGM-3 (1)'!AC185</f>
        <v>-1888.2584997169185</v>
      </c>
      <c r="K22" s="321">
        <f>+'Exh. BGM-3 (1)'!AC239</f>
        <v>137.85422661374241</v>
      </c>
      <c r="L22" s="321">
        <f>+'Exh. BGM-3 (1)'!AC293</f>
        <v>1983.569149608848</v>
      </c>
      <c r="M22" s="321"/>
      <c r="N22" s="321">
        <f t="shared" si="0"/>
        <v>148.07772306204561</v>
      </c>
      <c r="O22" s="295"/>
    </row>
    <row r="23" spans="2:33" x14ac:dyDescent="0.3">
      <c r="B23" s="298"/>
      <c r="C23" s="310">
        <v>13</v>
      </c>
      <c r="D23" s="311"/>
      <c r="E23" s="333">
        <v>6.04</v>
      </c>
      <c r="F23" s="311" t="s">
        <v>1058</v>
      </c>
      <c r="G23" s="311"/>
      <c r="H23" s="334">
        <f>+'Exh. BGM-3 (1)'!AC59</f>
        <v>6.3035399509485615</v>
      </c>
      <c r="I23" s="315"/>
      <c r="J23" s="334">
        <f>+'Exh. BGM-3 (1)'!AC110+'Exh. BGM-3 (1)'!AC163</f>
        <v>529.46737465347201</v>
      </c>
      <c r="K23" s="334">
        <f>+'Exh. BGM-3 (1)'!AC217</f>
        <v>1718.233406107398</v>
      </c>
      <c r="L23" s="334">
        <f>+'Exh. BGM-3 (1)'!AC271</f>
        <v>2460.4182095700075</v>
      </c>
      <c r="M23" s="315"/>
      <c r="N23" s="334">
        <f t="shared" si="0"/>
        <v>4714.4225302818268</v>
      </c>
      <c r="O23" s="295"/>
    </row>
    <row r="24" spans="2:33" x14ac:dyDescent="0.3">
      <c r="B24" s="298"/>
      <c r="C24" s="317">
        <v>14</v>
      </c>
      <c r="D24" s="318"/>
      <c r="E24" s="328" t="s">
        <v>1060</v>
      </c>
      <c r="F24" s="320"/>
      <c r="G24" s="320"/>
      <c r="H24" s="322">
        <f>+SUM(H13:H23)</f>
        <v>-14977.168834079737</v>
      </c>
      <c r="I24" s="322"/>
      <c r="J24" s="322">
        <f>+SUM(J13:J23)</f>
        <v>-96633.401181864159</v>
      </c>
      <c r="K24" s="322">
        <f>+SUM(K13:K23)</f>
        <v>-31847.633423266583</v>
      </c>
      <c r="L24" s="322">
        <f>+SUM(L13:L23)</f>
        <v>-43153.229705182719</v>
      </c>
      <c r="M24" s="322"/>
      <c r="N24" s="322">
        <f>+SUM(N13:N23)</f>
        <v>-186611.43314439326</v>
      </c>
      <c r="O24" s="295"/>
      <c r="Q24" s="290">
        <f>+N10+N24-'Exh. BGM-3 (1)'!T319</f>
        <v>2.3283064365386963E-10</v>
      </c>
    </row>
    <row r="25" spans="2:33" ht="8.5" customHeight="1" x14ac:dyDescent="0.3">
      <c r="B25" s="298"/>
      <c r="C25" s="317"/>
      <c r="D25" s="318"/>
      <c r="E25" s="318"/>
      <c r="F25" s="318"/>
      <c r="G25" s="318"/>
      <c r="H25" s="321"/>
      <c r="I25" s="321"/>
      <c r="J25" s="321"/>
      <c r="K25" s="321"/>
      <c r="L25" s="321"/>
      <c r="M25" s="321"/>
      <c r="N25" s="321"/>
      <c r="O25" s="295"/>
      <c r="AA25" s="290"/>
      <c r="AC25" s="290"/>
      <c r="AD25" s="290"/>
      <c r="AE25" s="290"/>
      <c r="AG25" s="290"/>
    </row>
    <row r="26" spans="2:33" x14ac:dyDescent="0.3">
      <c r="B26" s="298"/>
      <c r="C26" s="310">
        <v>15</v>
      </c>
      <c r="D26" s="311"/>
      <c r="E26" s="335" t="s">
        <v>1062</v>
      </c>
      <c r="F26" s="311"/>
      <c r="G26" s="311"/>
      <c r="H26" s="315">
        <v>0</v>
      </c>
      <c r="I26" s="315"/>
      <c r="J26" s="315">
        <v>-0.86341101956367494</v>
      </c>
      <c r="K26" s="315">
        <v>-1287.665</v>
      </c>
      <c r="L26" s="315">
        <v>-235.66300000000001</v>
      </c>
      <c r="M26" s="315"/>
      <c r="N26" s="315">
        <f>+SUM(H26:L26)</f>
        <v>-1524.1914110195637</v>
      </c>
      <c r="O26" s="295"/>
    </row>
    <row r="27" spans="2:33" ht="7" customHeight="1" x14ac:dyDescent="0.3">
      <c r="B27" s="298"/>
      <c r="C27" s="317"/>
      <c r="D27" s="318"/>
      <c r="E27" s="318"/>
      <c r="F27" s="318"/>
      <c r="G27" s="318"/>
      <c r="H27" s="321"/>
      <c r="I27" s="321"/>
      <c r="J27" s="321"/>
      <c r="K27" s="321"/>
      <c r="L27" s="321"/>
      <c r="M27" s="321"/>
      <c r="N27" s="321"/>
      <c r="O27" s="295"/>
    </row>
    <row r="28" spans="2:33" ht="14.5" thickBot="1" x14ac:dyDescent="0.35">
      <c r="B28" s="298"/>
      <c r="C28" s="317">
        <v>16</v>
      </c>
      <c r="D28" s="318"/>
      <c r="E28" s="320" t="s">
        <v>672</v>
      </c>
      <c r="F28" s="320"/>
      <c r="G28" s="320"/>
      <c r="H28" s="329">
        <f>+H10+H24+H26</f>
        <v>-27986.786267100957</v>
      </c>
      <c r="I28" s="322"/>
      <c r="J28" s="329">
        <f>+J10+J24+J26</f>
        <v>246388.75409906462</v>
      </c>
      <c r="K28" s="329">
        <f>+K10+K24+K26</f>
        <v>29530.859319094547</v>
      </c>
      <c r="L28" s="329">
        <f>+L10+L24+L26</f>
        <v>-33203.152321769914</v>
      </c>
      <c r="M28" s="322"/>
      <c r="N28" s="329">
        <f>+N10+N24+N26</f>
        <v>214729.67482928824</v>
      </c>
      <c r="O28" s="295"/>
      <c r="AG28" s="290"/>
    </row>
    <row r="29" spans="2:33" ht="7" customHeight="1" thickTop="1" x14ac:dyDescent="0.3">
      <c r="B29" s="294"/>
      <c r="C29" s="330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3"/>
      <c r="O29" s="292"/>
      <c r="AG29" s="290"/>
    </row>
  </sheetData>
  <pageMargins left="0.7" right="0.7" top="0.75" bottom="0.75" header="0.3" footer="0.3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F96D3-69EF-45EF-94E5-998B064812ED}">
  <dimension ref="B2:V31"/>
  <sheetViews>
    <sheetView zoomScaleNormal="100" workbookViewId="0"/>
  </sheetViews>
  <sheetFormatPr defaultRowHeight="14" x14ac:dyDescent="0.3"/>
  <cols>
    <col min="1" max="1" width="8.7265625" style="275"/>
    <col min="2" max="2" width="0.7265625" style="275" customWidth="1"/>
    <col min="3" max="3" width="2.81640625" style="275" customWidth="1"/>
    <col min="4" max="4" width="0.7265625" style="275" customWidth="1"/>
    <col min="5" max="5" width="8" style="275" customWidth="1"/>
    <col min="6" max="6" width="24.90625" style="275" customWidth="1"/>
    <col min="7" max="7" width="2" style="275" customWidth="1"/>
    <col min="8" max="8" width="10.08984375" style="275" customWidth="1"/>
    <col min="9" max="9" width="2" style="275" customWidth="1"/>
    <col min="10" max="12" width="10.08984375" style="275" customWidth="1"/>
    <col min="13" max="13" width="2" style="275" customWidth="1"/>
    <col min="14" max="14" width="10.08984375" style="275" customWidth="1"/>
    <col min="15" max="15" width="2" style="275" customWidth="1"/>
    <col min="16" max="16384" width="8.7265625" style="275"/>
  </cols>
  <sheetData>
    <row r="2" spans="2:22" x14ac:dyDescent="0.3">
      <c r="C2" s="309"/>
    </row>
    <row r="3" spans="2:22" x14ac:dyDescent="0.3">
      <c r="C3" s="309"/>
    </row>
    <row r="4" spans="2:22" x14ac:dyDescent="0.3">
      <c r="C4" s="309"/>
    </row>
    <row r="6" spans="2:22" ht="6.5" customHeight="1" x14ac:dyDescent="0.3">
      <c r="B6" s="305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3"/>
    </row>
    <row r="7" spans="2:22" x14ac:dyDescent="0.3">
      <c r="B7" s="298"/>
      <c r="C7" s="318"/>
      <c r="D7" s="318"/>
      <c r="E7" s="318"/>
      <c r="F7" s="318"/>
      <c r="G7" s="318"/>
      <c r="H7" s="320"/>
      <c r="I7" s="320"/>
      <c r="J7" s="319" t="s">
        <v>668</v>
      </c>
      <c r="K7" s="319"/>
      <c r="L7" s="319"/>
      <c r="M7" s="320"/>
      <c r="N7" s="320"/>
      <c r="O7" s="295"/>
      <c r="Q7" s="275" t="s">
        <v>673</v>
      </c>
    </row>
    <row r="8" spans="2:22" x14ac:dyDescent="0.3">
      <c r="B8" s="298"/>
      <c r="C8" s="318"/>
      <c r="D8" s="318"/>
      <c r="E8" s="318"/>
      <c r="F8" s="318"/>
      <c r="G8" s="318"/>
      <c r="H8" s="300" t="s">
        <v>632</v>
      </c>
      <c r="I8" s="320"/>
      <c r="J8" s="300">
        <v>2023</v>
      </c>
      <c r="K8" s="300">
        <v>2024</v>
      </c>
      <c r="L8" s="300">
        <v>2025</v>
      </c>
      <c r="M8" s="340"/>
      <c r="N8" s="300" t="s">
        <v>3</v>
      </c>
      <c r="O8" s="295"/>
      <c r="Q8" s="275" t="s">
        <v>663</v>
      </c>
      <c r="R8" s="275" t="s">
        <v>664</v>
      </c>
      <c r="S8" s="275" t="s">
        <v>665</v>
      </c>
      <c r="T8" s="275" t="s">
        <v>666</v>
      </c>
      <c r="U8" s="275" t="s">
        <v>667</v>
      </c>
      <c r="V8" s="275" t="s">
        <v>669</v>
      </c>
    </row>
    <row r="9" spans="2:22" ht="6.5" customHeight="1" x14ac:dyDescent="0.3">
      <c r="B9" s="298"/>
      <c r="C9" s="318"/>
      <c r="D9" s="318"/>
      <c r="E9" s="318"/>
      <c r="F9" s="318"/>
      <c r="G9" s="318"/>
      <c r="H9" s="321"/>
      <c r="I9" s="318"/>
      <c r="J9" s="321"/>
      <c r="K9" s="321"/>
      <c r="L9" s="321"/>
      <c r="M9" s="318"/>
      <c r="N9" s="321"/>
      <c r="O9" s="295"/>
      <c r="Q9" s="290"/>
      <c r="R9" s="290"/>
      <c r="S9" s="290"/>
      <c r="T9" s="290"/>
      <c r="U9" s="290"/>
      <c r="V9" s="290"/>
    </row>
    <row r="10" spans="2:22" x14ac:dyDescent="0.3">
      <c r="B10" s="298"/>
      <c r="C10" s="317">
        <v>1</v>
      </c>
      <c r="D10" s="318"/>
      <c r="E10" s="320" t="s">
        <v>662</v>
      </c>
      <c r="F10" s="320"/>
      <c r="G10" s="320"/>
      <c r="H10" s="322">
        <f>+R10</f>
        <v>62458.246860776046</v>
      </c>
      <c r="I10" s="322"/>
      <c r="J10" s="322">
        <f>+T10-R10</f>
        <v>103024.93112364001</v>
      </c>
      <c r="K10" s="322">
        <f>+U10-T10</f>
        <v>29889.926535809151</v>
      </c>
      <c r="L10" s="322">
        <f>+V10-U10</f>
        <v>23327.18219164919</v>
      </c>
      <c r="M10" s="322"/>
      <c r="N10" s="322">
        <f>+SUM(H10:L10)</f>
        <v>218700.28671187439</v>
      </c>
      <c r="O10" s="295"/>
      <c r="Q10" s="290">
        <f>+'Exh. BGM-4 (1)'!AO43</f>
        <v>15450.388235035518</v>
      </c>
      <c r="R10" s="290">
        <f>+'Exh. BGM-4 (1)'!AO87</f>
        <v>62458.246860776046</v>
      </c>
      <c r="S10" s="290">
        <f>+'Exh. BGM-4 (1)'!AO132</f>
        <v>83784.268549236789</v>
      </c>
      <c r="T10" s="290">
        <f>+'Exh. BGM-4 (1)'!AO178</f>
        <v>165483.17798441605</v>
      </c>
      <c r="U10" s="290">
        <f>+'Exh. BGM-4 (1)'!AO224</f>
        <v>195373.1045202252</v>
      </c>
      <c r="V10" s="290">
        <f>+'Exh. BGM-4 (1)'!AO270</f>
        <v>218700.28671187439</v>
      </c>
    </row>
    <row r="11" spans="2:22" ht="6.5" customHeight="1" x14ac:dyDescent="0.3">
      <c r="B11" s="298"/>
      <c r="C11" s="317"/>
      <c r="D11" s="318"/>
      <c r="E11" s="318"/>
      <c r="F11" s="318"/>
      <c r="G11" s="318"/>
      <c r="H11" s="321"/>
      <c r="I11" s="321"/>
      <c r="J11" s="321"/>
      <c r="K11" s="321"/>
      <c r="L11" s="321"/>
      <c r="M11" s="321"/>
      <c r="N11" s="321"/>
      <c r="O11" s="295"/>
    </row>
    <row r="12" spans="2:22" x14ac:dyDescent="0.3">
      <c r="B12" s="298"/>
      <c r="C12" s="317">
        <v>2</v>
      </c>
      <c r="D12" s="318"/>
      <c r="E12" s="318" t="s">
        <v>1061</v>
      </c>
      <c r="F12" s="318"/>
      <c r="G12" s="318"/>
      <c r="H12" s="321"/>
      <c r="I12" s="321"/>
      <c r="J12" s="321"/>
      <c r="K12" s="321"/>
      <c r="L12" s="321"/>
      <c r="M12" s="321"/>
      <c r="N12" s="321"/>
      <c r="O12" s="295"/>
    </row>
    <row r="13" spans="2:22" x14ac:dyDescent="0.3">
      <c r="B13" s="298"/>
      <c r="C13" s="310">
        <v>3</v>
      </c>
      <c r="D13" s="311"/>
      <c r="E13" s="311"/>
      <c r="F13" s="311" t="s">
        <v>670</v>
      </c>
      <c r="G13" s="311"/>
      <c r="H13" s="315">
        <f>+R13</f>
        <v>-6473.102513724094</v>
      </c>
      <c r="I13" s="315"/>
      <c r="J13" s="315">
        <f>+T13-R13</f>
        <v>-987.09184152967646</v>
      </c>
      <c r="K13" s="315">
        <f>+U13-T13</f>
        <v>-2502.4924844895431</v>
      </c>
      <c r="L13" s="315">
        <f>+V13-U13</f>
        <v>-2436.2462331670977</v>
      </c>
      <c r="M13" s="315"/>
      <c r="N13" s="315">
        <f t="shared" ref="N13:N22" si="0">+SUM(H13:L13)</f>
        <v>-12398.933072910411</v>
      </c>
      <c r="O13" s="295"/>
      <c r="Q13" s="290">
        <f>+'Exh. BGM-4 (1)'!AP43</f>
        <v>-6162.7446600182902</v>
      </c>
      <c r="R13" s="290">
        <f>+'Exh. BGM-4 (1)'!AP87</f>
        <v>-6473.102513724094</v>
      </c>
      <c r="S13" s="290">
        <f>+'Exh. BGM-4 (1)'!AP132</f>
        <v>-7319.3307918031496</v>
      </c>
      <c r="T13" s="290">
        <f>+'Exh. BGM-4 (1)'!AP178</f>
        <v>-7460.1943552537705</v>
      </c>
      <c r="U13" s="290">
        <f>+'Exh. BGM-4 (1)'!AP224</f>
        <v>-9962.6868397433136</v>
      </c>
      <c r="V13" s="290">
        <f>+'Exh. BGM-4 (1)'!AP270</f>
        <v>-12398.933072910411</v>
      </c>
    </row>
    <row r="14" spans="2:22" x14ac:dyDescent="0.3">
      <c r="B14" s="298"/>
      <c r="C14" s="317">
        <v>4</v>
      </c>
      <c r="D14" s="318"/>
      <c r="E14" s="327" t="s">
        <v>1016</v>
      </c>
      <c r="F14" s="318" t="s">
        <v>1020</v>
      </c>
      <c r="G14" s="318"/>
      <c r="H14" s="321">
        <v>0</v>
      </c>
      <c r="I14" s="321"/>
      <c r="J14" s="321">
        <f>+'Exh. BGM-4 (1)'!AC129+'Exh. BGM-4 (1)'!AC174</f>
        <v>-6087.6457393068231</v>
      </c>
      <c r="K14" s="321">
        <f>+'Exh. BGM-4 (1)'!AC220</f>
        <v>-7523.5971047229632</v>
      </c>
      <c r="L14" s="321">
        <f>+'Exh. BGM-4 (1)'!AC266</f>
        <v>-2864.4429357812214</v>
      </c>
      <c r="M14" s="321"/>
      <c r="N14" s="321">
        <f t="shared" si="0"/>
        <v>-16475.685779811007</v>
      </c>
      <c r="O14" s="295"/>
    </row>
    <row r="15" spans="2:22" x14ac:dyDescent="0.3">
      <c r="B15" s="298"/>
      <c r="C15" s="310">
        <v>5</v>
      </c>
      <c r="D15" s="311"/>
      <c r="E15" s="333">
        <v>11.32</v>
      </c>
      <c r="F15" s="311" t="s">
        <v>1030</v>
      </c>
      <c r="G15" s="311"/>
      <c r="H15" s="315">
        <v>0</v>
      </c>
      <c r="I15" s="315"/>
      <c r="J15" s="315">
        <f>+'Exh. BGM-4 (1)'!AC122+'Exh. BGM-4 (1)'!AC167</f>
        <v>-16708.860727193576</v>
      </c>
      <c r="K15" s="315">
        <f>+'Exh. BGM-4 (1)'!AC213</f>
        <v>-5597.0684026899844</v>
      </c>
      <c r="L15" s="315">
        <f>+'Exh. BGM-4 (1)'!AC259</f>
        <v>-4447.9104407489021</v>
      </c>
      <c r="M15" s="315"/>
      <c r="N15" s="315">
        <f t="shared" si="0"/>
        <v>-26753.839570632463</v>
      </c>
      <c r="O15" s="295"/>
    </row>
    <row r="16" spans="2:22" x14ac:dyDescent="0.3">
      <c r="B16" s="298"/>
      <c r="C16" s="317">
        <v>6</v>
      </c>
      <c r="D16" s="318"/>
      <c r="E16" s="327">
        <v>11.33</v>
      </c>
      <c r="F16" s="318" t="s">
        <v>1029</v>
      </c>
      <c r="G16" s="318"/>
      <c r="H16" s="321">
        <v>0</v>
      </c>
      <c r="I16" s="321"/>
      <c r="J16" s="321">
        <f>+'Exh. BGM-4 (1)'!AC124+'Exh. BGM-4 (1)'!AC169</f>
        <v>-26812.873122353449</v>
      </c>
      <c r="K16" s="321">
        <f>+'Exh. BGM-4 (1)'!AC215</f>
        <v>704.02673862472591</v>
      </c>
      <c r="L16" s="321">
        <f>+'Exh. BGM-4 (1)'!AC261</f>
        <v>680.52697978827473</v>
      </c>
      <c r="M16" s="321"/>
      <c r="N16" s="321">
        <f t="shared" si="0"/>
        <v>-25428.319403940448</v>
      </c>
      <c r="O16" s="295"/>
    </row>
    <row r="17" spans="2:17" x14ac:dyDescent="0.3">
      <c r="B17" s="298"/>
      <c r="C17" s="310">
        <v>7</v>
      </c>
      <c r="D17" s="311"/>
      <c r="E17" s="333">
        <v>11.48</v>
      </c>
      <c r="F17" s="311" t="s">
        <v>1070</v>
      </c>
      <c r="G17" s="311"/>
      <c r="H17" s="315">
        <f>+'Exh. BGM-4 (1)'!AC82</f>
        <v>-2829.0003017005747</v>
      </c>
      <c r="I17" s="315"/>
      <c r="J17" s="315">
        <f>+'Exh. BGM-4 (1)'!AC171</f>
        <v>-2298.6728400229467</v>
      </c>
      <c r="K17" s="315">
        <f>+'Exh. BGM-4 (1)'!AC217</f>
        <v>40.434588013200688</v>
      </c>
      <c r="L17" s="315">
        <f>+'Exh. BGM-4 (1)'!AC263</f>
        <v>40.434588013200717</v>
      </c>
      <c r="M17" s="315"/>
      <c r="N17" s="315">
        <f t="shared" si="0"/>
        <v>-5046.8039656971205</v>
      </c>
      <c r="O17" s="295"/>
    </row>
    <row r="18" spans="2:17" x14ac:dyDescent="0.3">
      <c r="B18" s="298"/>
      <c r="C18" s="317">
        <v>9</v>
      </c>
      <c r="D18" s="318"/>
      <c r="E18" s="338" t="s">
        <v>1071</v>
      </c>
      <c r="F18" s="318" t="s">
        <v>1072</v>
      </c>
      <c r="G18" s="318"/>
      <c r="H18" s="321">
        <v>0</v>
      </c>
      <c r="I18" s="321"/>
      <c r="J18" s="321">
        <f>+'Exh. BGM-4 (1)'!AC173</f>
        <v>-8789.8164110416164</v>
      </c>
      <c r="K18" s="321">
        <f>+'Exh. BGM-4 (1)'!AC219</f>
        <v>199.94044614980092</v>
      </c>
      <c r="L18" s="321">
        <f>+'Exh. BGM-4 (1)'!AC265</f>
        <v>199.94044614980072</v>
      </c>
      <c r="M18" s="321"/>
      <c r="N18" s="321">
        <f t="shared" si="0"/>
        <v>-8389.9355187420133</v>
      </c>
      <c r="O18" s="295"/>
    </row>
    <row r="19" spans="2:17" x14ac:dyDescent="0.3">
      <c r="B19" s="298"/>
      <c r="C19" s="310">
        <v>10</v>
      </c>
      <c r="D19" s="311"/>
      <c r="E19" s="333">
        <v>6.22</v>
      </c>
      <c r="F19" s="311" t="s">
        <v>1035</v>
      </c>
      <c r="G19" s="311"/>
      <c r="H19" s="315">
        <v>0</v>
      </c>
      <c r="I19" s="315"/>
      <c r="J19" s="315">
        <f>+'Exh. BGM-4 (1)'!AC157</f>
        <v>-31755.477150132374</v>
      </c>
      <c r="K19" s="315">
        <f>+'Exh. BGM-4 (1)'!AC203</f>
        <v>-1363.0517707035879</v>
      </c>
      <c r="L19" s="315">
        <f>+'Exh. BGM-4 (1)'!AC249</f>
        <v>-550.25356089297838</v>
      </c>
      <c r="M19" s="315"/>
      <c r="N19" s="315">
        <f t="shared" si="0"/>
        <v>-33668.782481728937</v>
      </c>
      <c r="O19" s="295"/>
    </row>
    <row r="20" spans="2:17" x14ac:dyDescent="0.3">
      <c r="B20" s="298"/>
      <c r="C20" s="317">
        <v>11</v>
      </c>
      <c r="D20" s="318"/>
      <c r="E20" s="327" t="s">
        <v>1049</v>
      </c>
      <c r="F20" s="318" t="s">
        <v>634</v>
      </c>
      <c r="G20" s="318"/>
      <c r="H20" s="321">
        <v>0</v>
      </c>
      <c r="I20" s="321"/>
      <c r="J20" s="321">
        <f>+'Exh. BGM-4 (1)'!AC175</f>
        <v>-269.27663632100024</v>
      </c>
      <c r="K20" s="321">
        <f>+'Exh. BGM-4 (1)'!AC221</f>
        <v>-0.25956510391480669</v>
      </c>
      <c r="L20" s="321">
        <f>+'Exh. BGM-4 (1)'!AC267</f>
        <v>-0.26375163784891648</v>
      </c>
      <c r="M20" s="321"/>
      <c r="N20" s="321">
        <f t="shared" si="0"/>
        <v>-269.79995306276396</v>
      </c>
      <c r="O20" s="295"/>
    </row>
    <row r="21" spans="2:17" x14ac:dyDescent="0.3">
      <c r="B21" s="298"/>
      <c r="C21" s="310">
        <v>12</v>
      </c>
      <c r="D21" s="311"/>
      <c r="E21" s="333">
        <v>11.22</v>
      </c>
      <c r="F21" s="311" t="s">
        <v>1057</v>
      </c>
      <c r="G21" s="311"/>
      <c r="H21" s="315">
        <f>+'Exh. BGM-4 (1)'!AC73</f>
        <v>-33.614362391285077</v>
      </c>
      <c r="I21" s="315"/>
      <c r="J21" s="315">
        <f>+'Exh. BGM-4 (1)'!AC117+'Exh. BGM-4 (1)'!AC162</f>
        <v>-750.64795155123193</v>
      </c>
      <c r="K21" s="315">
        <f>+'Exh. BGM-4 (1)'!AC208</f>
        <v>54.809684092948608</v>
      </c>
      <c r="L21" s="315">
        <f>+'Exh. BGM-4 (1)'!AC254</f>
        <v>788.65045444853808</v>
      </c>
      <c r="M21" s="315"/>
      <c r="N21" s="315">
        <f t="shared" si="0"/>
        <v>59.197824598969646</v>
      </c>
      <c r="O21" s="295"/>
    </row>
    <row r="22" spans="2:17" x14ac:dyDescent="0.3">
      <c r="B22" s="298"/>
      <c r="C22" s="317">
        <v>13</v>
      </c>
      <c r="D22" s="318"/>
      <c r="E22" s="327">
        <v>11.05</v>
      </c>
      <c r="F22" s="318" t="s">
        <v>1058</v>
      </c>
      <c r="G22" s="318"/>
      <c r="H22" s="299">
        <f>+'Exh. BGM-4 (1)'!AC51</f>
        <v>170.46731098336147</v>
      </c>
      <c r="I22" s="321"/>
      <c r="J22" s="299">
        <f>+'Exh. BGM-4 (1)'!AC95+'Exh. BGM-4 (1)'!AC140</f>
        <v>2917.0597212496923</v>
      </c>
      <c r="K22" s="299">
        <f>+'Exh. BGM-4 (1)'!AC186</f>
        <v>636.51946147670742</v>
      </c>
      <c r="L22" s="299">
        <f>+'Exh. BGM-4 (1)'!AC232</f>
        <v>316.07424782473157</v>
      </c>
      <c r="M22" s="321"/>
      <c r="N22" s="299">
        <f t="shared" si="0"/>
        <v>4040.1207415344929</v>
      </c>
      <c r="O22" s="295"/>
    </row>
    <row r="23" spans="2:17" x14ac:dyDescent="0.3">
      <c r="B23" s="298"/>
      <c r="C23" s="310">
        <v>14</v>
      </c>
      <c r="D23" s="311"/>
      <c r="E23" s="339" t="s">
        <v>1060</v>
      </c>
      <c r="F23" s="312"/>
      <c r="G23" s="312"/>
      <c r="H23" s="313">
        <f>+SUM(H13:H22)</f>
        <v>-9165.2498668325916</v>
      </c>
      <c r="I23" s="313"/>
      <c r="J23" s="313">
        <f>+SUM(J13:J22)</f>
        <v>-91543.302698202999</v>
      </c>
      <c r="K23" s="313">
        <f>+SUM(K13:K22)</f>
        <v>-15350.738409352613</v>
      </c>
      <c r="L23" s="313">
        <f>+SUM(L13:L22)</f>
        <v>-8273.490206003502</v>
      </c>
      <c r="M23" s="313"/>
      <c r="N23" s="313">
        <f>+SUM(N13:N22)</f>
        <v>-124332.7811803917</v>
      </c>
      <c r="O23" s="295"/>
      <c r="P23" s="290"/>
      <c r="Q23" s="290">
        <f>+N10+N23-'Exh. BGM-4 (1)'!T270</f>
        <v>1.8917489796876907E-10</v>
      </c>
    </row>
    <row r="24" spans="2:17" ht="7.5" customHeight="1" x14ac:dyDescent="0.3">
      <c r="B24" s="298"/>
      <c r="C24" s="317"/>
      <c r="D24" s="318"/>
      <c r="E24" s="318"/>
      <c r="F24" s="318"/>
      <c r="G24" s="318"/>
      <c r="H24" s="321"/>
      <c r="I24" s="321"/>
      <c r="J24" s="321"/>
      <c r="K24" s="321"/>
      <c r="L24" s="321"/>
      <c r="M24" s="321"/>
      <c r="N24" s="321"/>
      <c r="O24" s="295"/>
    </row>
    <row r="25" spans="2:17" x14ac:dyDescent="0.3">
      <c r="B25" s="298"/>
      <c r="C25" s="317">
        <v>15</v>
      </c>
      <c r="D25" s="318"/>
      <c r="E25" s="318" t="s">
        <v>1066</v>
      </c>
      <c r="F25" s="318"/>
      <c r="G25" s="318"/>
      <c r="H25" s="321"/>
      <c r="I25" s="321"/>
      <c r="J25" s="321">
        <v>1.6401404887437819E-2</v>
      </c>
      <c r="K25" s="321">
        <v>-1351.2819222699441</v>
      </c>
      <c r="L25" s="321">
        <v>-16.014165340036154</v>
      </c>
      <c r="M25" s="321"/>
      <c r="N25" s="321">
        <f>+SUM(H25:L25)</f>
        <v>-1367.279686205093</v>
      </c>
      <c r="O25" s="295"/>
    </row>
    <row r="26" spans="2:17" x14ac:dyDescent="0.3">
      <c r="B26" s="298"/>
      <c r="C26" s="310">
        <v>16</v>
      </c>
      <c r="D26" s="311"/>
      <c r="E26" s="333" t="s">
        <v>1068</v>
      </c>
      <c r="F26" s="311" t="s">
        <v>1067</v>
      </c>
      <c r="G26" s="311"/>
      <c r="H26" s="315"/>
      <c r="I26" s="315"/>
      <c r="J26" s="315">
        <v>-818.10200441980362</v>
      </c>
      <c r="K26" s="315">
        <v>-56.669353051662483</v>
      </c>
      <c r="L26" s="315">
        <v>-78.359430128455074</v>
      </c>
      <c r="M26" s="315"/>
      <c r="N26" s="315">
        <f>+SUM(H26:L26)</f>
        <v>-953.13078759992118</v>
      </c>
      <c r="O26" s="295"/>
    </row>
    <row r="27" spans="2:17" ht="6.5" customHeight="1" x14ac:dyDescent="0.3">
      <c r="B27" s="298"/>
      <c r="C27" s="318"/>
      <c r="D27" s="318"/>
      <c r="E27" s="318"/>
      <c r="F27" s="318"/>
      <c r="G27" s="318"/>
      <c r="H27" s="321"/>
      <c r="I27" s="321"/>
      <c r="J27" s="321"/>
      <c r="K27" s="321"/>
      <c r="L27" s="321"/>
      <c r="M27" s="321"/>
      <c r="N27" s="321"/>
      <c r="O27" s="295"/>
    </row>
    <row r="28" spans="2:17" ht="14.5" thickBot="1" x14ac:dyDescent="0.35">
      <c r="B28" s="298"/>
      <c r="C28" s="317">
        <v>17</v>
      </c>
      <c r="D28" s="318"/>
      <c r="E28" s="320" t="s">
        <v>672</v>
      </c>
      <c r="F28" s="320"/>
      <c r="G28" s="320"/>
      <c r="H28" s="329">
        <f>+H10+H23+H25+H26</f>
        <v>53292.996993943452</v>
      </c>
      <c r="I28" s="322"/>
      <c r="J28" s="329">
        <f t="shared" ref="J28:N28" si="1">+J10+J23+J25+J26</f>
        <v>10663.542822422096</v>
      </c>
      <c r="K28" s="329">
        <f t="shared" si="1"/>
        <v>13131.236851134932</v>
      </c>
      <c r="L28" s="329">
        <f t="shared" si="1"/>
        <v>14959.318390177195</v>
      </c>
      <c r="M28" s="322"/>
      <c r="N28" s="329">
        <f t="shared" si="1"/>
        <v>92047.095057677681</v>
      </c>
      <c r="O28" s="295"/>
    </row>
    <row r="29" spans="2:17" ht="6.5" customHeight="1" thickTop="1" x14ac:dyDescent="0.3">
      <c r="B29" s="294"/>
      <c r="C29" s="293"/>
      <c r="D29" s="293"/>
      <c r="E29" s="293"/>
      <c r="F29" s="293"/>
      <c r="G29" s="293"/>
      <c r="H29" s="293"/>
      <c r="I29" s="293"/>
      <c r="J29" s="293"/>
      <c r="K29" s="293"/>
      <c r="L29" s="293"/>
      <c r="M29" s="293"/>
      <c r="N29" s="299"/>
      <c r="O29" s="292"/>
    </row>
    <row r="31" spans="2:17" x14ac:dyDescent="0.3">
      <c r="J31" s="290"/>
      <c r="K31" s="290"/>
      <c r="L31" s="290"/>
    </row>
  </sheetData>
  <pageMargins left="0.7" right="0.7" top="0.75" bottom="0.75" header="0.3" footer="0.3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8472C7-397E-46B6-812D-8E422A1D5336}">
  <sheetPr codeName="Sheet2">
    <tabColor rgb="FF57AAB5"/>
  </sheetPr>
  <dimension ref="A1:AX320"/>
  <sheetViews>
    <sheetView zoomScaleNormal="100" zoomScaleSheetLayoutView="70" workbookViewId="0"/>
  </sheetViews>
  <sheetFormatPr defaultColWidth="9.1796875" defaultRowHeight="13" x14ac:dyDescent="0.3"/>
  <cols>
    <col min="1" max="1" width="1.453125" style="1" customWidth="1"/>
    <col min="2" max="2" width="5.7265625" style="1" customWidth="1"/>
    <col min="3" max="3" width="1.453125" style="1" customWidth="1"/>
    <col min="4" max="4" width="8" style="1" customWidth="1"/>
    <col min="5" max="5" width="1.453125" style="1" customWidth="1"/>
    <col min="6" max="6" width="31.54296875" style="1" customWidth="1"/>
    <col min="7" max="8" width="1.453125" style="2" customWidth="1"/>
    <col min="9" max="9" width="10.453125" style="1" customWidth="1"/>
    <col min="10" max="10" width="1.453125" style="1" customWidth="1"/>
    <col min="11" max="11" width="10.453125" style="1" customWidth="1"/>
    <col min="12" max="12" width="1.453125" style="1" customWidth="1"/>
    <col min="13" max="13" width="12" style="1" customWidth="1"/>
    <col min="14" max="14" width="1.453125" style="2" customWidth="1"/>
    <col min="15" max="15" width="1.453125" style="1" customWidth="1"/>
    <col min="16" max="16" width="10.453125" style="1" customWidth="1"/>
    <col min="17" max="17" width="1.453125" style="1" customWidth="1"/>
    <col min="18" max="18" width="10.453125" style="1" customWidth="1"/>
    <col min="19" max="19" width="1.453125" style="1" customWidth="1"/>
    <col min="20" max="20" width="10.453125" style="1" customWidth="1"/>
    <col min="21" max="22" width="1.453125" style="1" customWidth="1"/>
    <col min="23" max="23" width="10.453125" style="2" customWidth="1"/>
    <col min="24" max="24" width="1.453125" style="2" customWidth="1"/>
    <col min="25" max="25" width="10.453125" style="2" customWidth="1"/>
    <col min="26" max="26" width="1.26953125" style="2" customWidth="1"/>
    <col min="27" max="27" width="10.453125" style="2" customWidth="1"/>
    <col min="28" max="28" width="1.453125" style="2" customWidth="1"/>
    <col min="29" max="29" width="10.453125" style="2" customWidth="1"/>
    <col min="30" max="30" width="1.453125" style="2" customWidth="1"/>
    <col min="31" max="32" width="17.453125" style="2" customWidth="1"/>
    <col min="33" max="34" width="2.7265625" style="2" customWidth="1"/>
    <col min="35" max="35" width="21.1796875" style="2" customWidth="1"/>
    <col min="36" max="38" width="11.81640625" style="1" customWidth="1"/>
    <col min="39" max="40" width="9.1796875" style="1"/>
    <col min="41" max="41" width="12" style="1" customWidth="1"/>
    <col min="42" max="16384" width="9.1796875" style="1"/>
  </cols>
  <sheetData>
    <row r="1" spans="1:50" x14ac:dyDescent="0.3">
      <c r="A1" s="7" t="s">
        <v>411</v>
      </c>
      <c r="B1" s="7"/>
      <c r="C1" s="7"/>
      <c r="E1" s="7"/>
      <c r="F1" s="7"/>
      <c r="I1" s="2"/>
      <c r="J1" s="7"/>
      <c r="K1" s="7"/>
      <c r="L1" s="7"/>
      <c r="M1" s="7"/>
      <c r="O1" s="7"/>
      <c r="P1" s="7"/>
      <c r="Q1" s="7"/>
      <c r="R1" s="7"/>
      <c r="S1" s="7"/>
      <c r="T1" s="7"/>
      <c r="X1" s="9"/>
      <c r="AH1" s="8"/>
      <c r="AJ1" s="2"/>
      <c r="AK1" s="2"/>
      <c r="AL1" s="2"/>
      <c r="AM1" s="2"/>
      <c r="AN1" s="2"/>
      <c r="AO1" s="7"/>
    </row>
    <row r="2" spans="1:50" x14ac:dyDescent="0.3">
      <c r="B2" s="7"/>
      <c r="C2" s="7"/>
      <c r="D2" s="7"/>
      <c r="E2" s="7"/>
      <c r="F2" s="7"/>
      <c r="H2" s="15"/>
      <c r="I2" s="41" t="s">
        <v>410</v>
      </c>
      <c r="J2" s="42"/>
      <c r="K2" s="42"/>
      <c r="L2" s="42"/>
      <c r="M2" s="42"/>
      <c r="O2" s="7"/>
      <c r="P2" s="41" t="s">
        <v>32</v>
      </c>
      <c r="Q2" s="34"/>
      <c r="R2" s="34"/>
      <c r="S2" s="34"/>
      <c r="T2" s="34"/>
      <c r="W2" s="41" t="s">
        <v>31</v>
      </c>
      <c r="X2" s="40"/>
      <c r="Y2" s="39"/>
      <c r="Z2" s="39"/>
      <c r="AA2" s="39"/>
      <c r="AB2" s="39"/>
      <c r="AC2" s="39"/>
      <c r="AD2" s="9"/>
      <c r="AE2" s="9"/>
      <c r="AF2" s="9"/>
      <c r="AH2" s="8"/>
      <c r="AI2" s="38" t="s">
        <v>30</v>
      </c>
      <c r="AJ2" s="38"/>
      <c r="AK2" s="38"/>
      <c r="AL2" s="38"/>
      <c r="AM2" s="2"/>
      <c r="AN2" s="2"/>
      <c r="AO2" s="199" t="s">
        <v>660</v>
      </c>
    </row>
    <row r="3" spans="1:50" x14ac:dyDescent="0.3">
      <c r="B3" s="7"/>
      <c r="C3" s="7"/>
      <c r="D3" s="7"/>
      <c r="E3" s="7"/>
      <c r="F3" s="7"/>
      <c r="I3" s="9"/>
      <c r="J3" s="9"/>
      <c r="K3" s="9"/>
      <c r="L3" s="9"/>
      <c r="M3" s="9" t="s">
        <v>28</v>
      </c>
      <c r="P3" s="9"/>
      <c r="Q3" s="9"/>
      <c r="R3" s="9"/>
      <c r="S3" s="9"/>
      <c r="T3" s="9" t="s">
        <v>28</v>
      </c>
      <c r="W3" s="9" t="s">
        <v>29</v>
      </c>
      <c r="X3" s="9"/>
      <c r="Y3" s="9"/>
      <c r="Z3" s="9"/>
      <c r="AA3" s="9"/>
      <c r="AB3" s="9"/>
      <c r="AC3" s="9" t="s">
        <v>28</v>
      </c>
      <c r="AD3" s="9"/>
      <c r="AE3" s="9"/>
      <c r="AF3" s="9"/>
      <c r="AH3" s="8"/>
      <c r="AI3" s="1"/>
      <c r="AO3" s="9" t="s">
        <v>28</v>
      </c>
    </row>
    <row r="4" spans="1:50" x14ac:dyDescent="0.3">
      <c r="B4" s="7"/>
      <c r="C4" s="7"/>
      <c r="D4" s="37" t="s">
        <v>27</v>
      </c>
      <c r="E4" s="7"/>
      <c r="F4" s="7"/>
      <c r="I4" s="9" t="s">
        <v>26</v>
      </c>
      <c r="J4" s="9"/>
      <c r="K4" s="9"/>
      <c r="L4" s="9"/>
      <c r="M4" s="9" t="s">
        <v>25</v>
      </c>
      <c r="P4" s="9" t="s">
        <v>26</v>
      </c>
      <c r="Q4" s="9"/>
      <c r="R4" s="9"/>
      <c r="S4" s="9"/>
      <c r="T4" s="9" t="s">
        <v>25</v>
      </c>
      <c r="W4" s="9" t="s">
        <v>26</v>
      </c>
      <c r="X4" s="9"/>
      <c r="Y4" s="9" t="s">
        <v>26</v>
      </c>
      <c r="Z4" s="9"/>
      <c r="AA4" s="9"/>
      <c r="AB4" s="9"/>
      <c r="AC4" s="9" t="s">
        <v>25</v>
      </c>
      <c r="AD4" s="9"/>
      <c r="AE4" s="9"/>
      <c r="AF4" s="9"/>
      <c r="AH4" s="8"/>
      <c r="AI4" s="1" t="s">
        <v>24</v>
      </c>
      <c r="AJ4" s="36">
        <v>0.752355</v>
      </c>
      <c r="AO4" s="9" t="s">
        <v>25</v>
      </c>
    </row>
    <row r="5" spans="1:50" x14ac:dyDescent="0.3">
      <c r="B5" s="34" t="s">
        <v>23</v>
      </c>
      <c r="C5" s="7"/>
      <c r="D5" s="35" t="s">
        <v>22</v>
      </c>
      <c r="E5" s="7"/>
      <c r="F5" s="34" t="s">
        <v>21</v>
      </c>
      <c r="I5" s="33" t="s">
        <v>20</v>
      </c>
      <c r="J5" s="9"/>
      <c r="K5" s="33" t="s">
        <v>19</v>
      </c>
      <c r="L5" s="9"/>
      <c r="M5" s="33" t="s">
        <v>18</v>
      </c>
      <c r="P5" s="33" t="s">
        <v>20</v>
      </c>
      <c r="Q5" s="9"/>
      <c r="R5" s="33" t="s">
        <v>19</v>
      </c>
      <c r="S5" s="9"/>
      <c r="T5" s="33" t="s">
        <v>18</v>
      </c>
      <c r="W5" s="33" t="s">
        <v>20</v>
      </c>
      <c r="X5" s="9"/>
      <c r="Y5" s="33" t="s">
        <v>20</v>
      </c>
      <c r="Z5" s="9"/>
      <c r="AA5" s="33" t="s">
        <v>19</v>
      </c>
      <c r="AB5" s="9"/>
      <c r="AC5" s="33" t="s">
        <v>18</v>
      </c>
      <c r="AD5" s="9"/>
      <c r="AE5" s="33" t="s">
        <v>17</v>
      </c>
      <c r="AF5" s="177"/>
      <c r="AH5" s="8"/>
      <c r="AI5" s="1" t="s">
        <v>16</v>
      </c>
      <c r="AJ5" s="32">
        <v>0.21</v>
      </c>
      <c r="AO5" s="33" t="s">
        <v>18</v>
      </c>
      <c r="AP5" s="1" t="s">
        <v>661</v>
      </c>
    </row>
    <row r="6" spans="1:50" x14ac:dyDescent="0.3">
      <c r="AE6" s="9"/>
      <c r="AF6" s="9"/>
      <c r="AH6" s="8"/>
      <c r="AI6" s="1" t="s">
        <v>15</v>
      </c>
    </row>
    <row r="7" spans="1:50" x14ac:dyDescent="0.3">
      <c r="B7" s="1">
        <v>1</v>
      </c>
      <c r="D7" s="31"/>
      <c r="E7" s="7"/>
      <c r="F7" s="7" t="s">
        <v>14</v>
      </c>
      <c r="I7" s="6">
        <f>+'Exh. BGM-3 (2)'!C44/1000</f>
        <v>297280.27617000008</v>
      </c>
      <c r="J7" s="6"/>
      <c r="K7" s="6">
        <f>+'Exh. BGM-3 (2)'!C57/1000</f>
        <v>5483216.4058370618</v>
      </c>
      <c r="L7" s="6"/>
      <c r="M7" s="6">
        <f>+($K7*$AL$16-$I7)/$AJ$4</f>
        <v>129608.10395394251</v>
      </c>
      <c r="O7" s="7"/>
      <c r="P7" s="30">
        <f>+I7</f>
        <v>297280.27617000008</v>
      </c>
      <c r="Q7" s="6"/>
      <c r="R7" s="6">
        <f>+K7</f>
        <v>5483216.4058370618</v>
      </c>
      <c r="S7" s="6"/>
      <c r="T7" s="6">
        <f>+($R7*$AL$16-$P7)/$AJ$4</f>
        <v>129608.10395394251</v>
      </c>
      <c r="AE7" s="9"/>
      <c r="AF7" s="9"/>
      <c r="AH7" s="8"/>
      <c r="AI7" s="1"/>
      <c r="AO7" s="6">
        <v>143455.43821913691</v>
      </c>
      <c r="AU7" s="29"/>
      <c r="AV7" s="28"/>
      <c r="AW7" s="28"/>
      <c r="AX7" s="28"/>
    </row>
    <row r="8" spans="1:50" x14ac:dyDescent="0.3">
      <c r="D8" s="11"/>
      <c r="I8" s="3"/>
      <c r="J8" s="3"/>
      <c r="K8" s="3"/>
      <c r="L8" s="3"/>
      <c r="M8" s="3"/>
      <c r="P8" s="3"/>
      <c r="Q8" s="3"/>
      <c r="R8" s="3"/>
      <c r="S8" s="3"/>
      <c r="T8" s="3"/>
      <c r="AE8" s="9"/>
      <c r="AF8" s="9"/>
      <c r="AH8" s="8"/>
      <c r="AO8" s="3"/>
      <c r="AU8" s="29"/>
      <c r="AV8" s="28"/>
      <c r="AW8" s="28"/>
      <c r="AX8" s="28"/>
    </row>
    <row r="9" spans="1:50" x14ac:dyDescent="0.3">
      <c r="B9" s="15" t="s">
        <v>12</v>
      </c>
      <c r="D9" s="11"/>
      <c r="I9" s="3"/>
      <c r="J9" s="3"/>
      <c r="K9" s="3"/>
      <c r="L9" s="3"/>
      <c r="M9" s="3"/>
      <c r="P9" s="3"/>
      <c r="Q9" s="3"/>
      <c r="R9" s="3"/>
      <c r="S9" s="3"/>
      <c r="T9" s="3"/>
      <c r="AE9" s="9"/>
      <c r="AF9" s="9"/>
      <c r="AH9" s="8"/>
      <c r="AO9" s="3"/>
      <c r="AV9" s="28"/>
      <c r="AW9" s="28"/>
    </row>
    <row r="10" spans="1:50" x14ac:dyDescent="0.3">
      <c r="B10" s="1">
        <f t="shared" ref="B10:B23" ca="1" si="0">+MAX(OFFSET($B$7,0,0,ROW($B10)-ROW($B$7),1))+1</f>
        <v>2</v>
      </c>
      <c r="D10" s="133" t="s">
        <v>123</v>
      </c>
      <c r="F10" s="1" t="str">
        <f>+INDEX('Exh. BGM-3 (2)'!$10:$10,1,MATCH($D10,'Exh. BGM-3 (2)'!$4:$4,0))</f>
        <v>REVENUES AND EXPENSES</v>
      </c>
      <c r="I10" s="3">
        <v>27715.008083816298</v>
      </c>
      <c r="J10" s="3"/>
      <c r="K10" s="3">
        <v>0</v>
      </c>
      <c r="L10" s="3"/>
      <c r="M10" s="3">
        <f t="shared" ref="M10:M49" si="1">+($K10*$AL$16-$I10)/$AJ$4</f>
        <v>-36837.673815972907</v>
      </c>
      <c r="P10" s="3">
        <f>+I10+Y10</f>
        <v>27715.008083816298</v>
      </c>
      <c r="Q10" s="3"/>
      <c r="R10" s="3">
        <f>+K10+AA10</f>
        <v>0</v>
      </c>
      <c r="S10" s="3"/>
      <c r="T10" s="3">
        <f t="shared" ref="T10:T49" si="2">+($R10*$AL$16-$P10)/$AJ$4</f>
        <v>-36837.673815972907</v>
      </c>
      <c r="W10" s="3">
        <v>0</v>
      </c>
      <c r="X10" s="3"/>
      <c r="Y10" s="3">
        <f>+W10*(1-$AJ$5)</f>
        <v>0</v>
      </c>
      <c r="Z10" s="3"/>
      <c r="AA10" s="3">
        <v>0</v>
      </c>
      <c r="AB10" s="5"/>
      <c r="AC10" s="3">
        <f>+T10-M10</f>
        <v>0</v>
      </c>
      <c r="AE10" s="9"/>
      <c r="AF10" s="9"/>
      <c r="AH10" s="8"/>
      <c r="AI10" s="2" t="s">
        <v>407</v>
      </c>
      <c r="AO10" s="3">
        <v>-36837.673815972907</v>
      </c>
    </row>
    <row r="11" spans="1:50" x14ac:dyDescent="0.3">
      <c r="B11" s="1">
        <f t="shared" ca="1" si="0"/>
        <v>3</v>
      </c>
      <c r="D11" s="11" t="s">
        <v>124</v>
      </c>
      <c r="F11" s="1" t="str">
        <f>+INDEX('Exh. BGM-3 (2)'!$10:$10,1,MATCH($D11,'Exh. BGM-3 (2)'!$4:$4,0))</f>
        <v>PASS-THROUGH REVENUE &amp; EXPENSE</v>
      </c>
      <c r="I11" s="3">
        <v>984.32182894507048</v>
      </c>
      <c r="J11" s="3"/>
      <c r="K11" s="3">
        <v>0</v>
      </c>
      <c r="L11" s="3"/>
      <c r="M11" s="3">
        <f t="shared" si="1"/>
        <v>-1308.320977391086</v>
      </c>
      <c r="P11" s="3">
        <f t="shared" ref="P11:P48" si="3">+I11+Y11</f>
        <v>984.32182894507048</v>
      </c>
      <c r="Q11" s="3"/>
      <c r="R11" s="3">
        <f t="shared" ref="R11:R48" si="4">+K11+AA11</f>
        <v>0</v>
      </c>
      <c r="S11" s="3"/>
      <c r="T11" s="3">
        <f t="shared" si="2"/>
        <v>-1308.320977391086</v>
      </c>
      <c r="W11" s="3">
        <v>0</v>
      </c>
      <c r="X11" s="3"/>
      <c r="Y11" s="3">
        <f t="shared" ref="Y11:Y48" si="5">+W11*(1-$AJ$5)</f>
        <v>0</v>
      </c>
      <c r="Z11" s="3"/>
      <c r="AA11" s="3">
        <v>0</v>
      </c>
      <c r="AB11" s="5"/>
      <c r="AC11" s="3">
        <f t="shared" ref="AC11:AC48" si="6">+T11-M11</f>
        <v>0</v>
      </c>
      <c r="AE11" s="9"/>
      <c r="AF11" s="9"/>
      <c r="AH11" s="8"/>
      <c r="AO11" s="3">
        <v>-1308.320977391086</v>
      </c>
    </row>
    <row r="12" spans="1:50" x14ac:dyDescent="0.3">
      <c r="B12" s="1">
        <f t="shared" ca="1" si="0"/>
        <v>4</v>
      </c>
      <c r="D12" s="11" t="s">
        <v>125</v>
      </c>
      <c r="F12" s="1" t="str">
        <f>+INDEX('Exh. BGM-3 (2)'!$10:$10,1,MATCH($D12,'Exh. BGM-3 (2)'!$4:$4,0))</f>
        <v>TEMPERATURE NORMALIZATION</v>
      </c>
      <c r="I12" s="3">
        <v>829.81362078860002</v>
      </c>
      <c r="J12" s="3"/>
      <c r="K12" s="3">
        <v>0</v>
      </c>
      <c r="L12" s="3"/>
      <c r="M12" s="3">
        <f t="shared" si="1"/>
        <v>-1102.9548827197268</v>
      </c>
      <c r="P12" s="3">
        <f t="shared" si="3"/>
        <v>829.81362078860002</v>
      </c>
      <c r="Q12" s="3"/>
      <c r="R12" s="3">
        <f t="shared" si="4"/>
        <v>0</v>
      </c>
      <c r="S12" s="3"/>
      <c r="T12" s="3">
        <f t="shared" si="2"/>
        <v>-1102.9548827197268</v>
      </c>
      <c r="W12" s="3">
        <v>0</v>
      </c>
      <c r="X12" s="3"/>
      <c r="Y12" s="3">
        <f t="shared" si="5"/>
        <v>0</v>
      </c>
      <c r="Z12" s="3"/>
      <c r="AA12" s="3">
        <v>0</v>
      </c>
      <c r="AB12" s="5"/>
      <c r="AC12" s="3">
        <f t="shared" si="6"/>
        <v>0</v>
      </c>
      <c r="AE12" s="9"/>
      <c r="AF12" s="9"/>
      <c r="AH12" s="8"/>
      <c r="AI12" s="27" t="s">
        <v>13</v>
      </c>
      <c r="AJ12" s="181" t="s">
        <v>10</v>
      </c>
      <c r="AK12" s="181"/>
      <c r="AL12" s="182" t="s">
        <v>9</v>
      </c>
      <c r="AO12" s="3">
        <v>-1102.9548827197268</v>
      </c>
    </row>
    <row r="13" spans="1:50" x14ac:dyDescent="0.3">
      <c r="B13" s="1">
        <f t="shared" ca="1" si="0"/>
        <v>5</v>
      </c>
      <c r="D13" s="11" t="s">
        <v>126</v>
      </c>
      <c r="F13" s="1" t="str">
        <f>+INDEX('Exh. BGM-3 (2)'!$10:$10,1,MATCH($D13,'Exh. BGM-3 (2)'!$4:$4,0))</f>
        <v>FEDERAL INCOME TAX</v>
      </c>
      <c r="I13" s="3">
        <v>36730.076987808425</v>
      </c>
      <c r="J13" s="3"/>
      <c r="K13" s="3">
        <v>0</v>
      </c>
      <c r="L13" s="3"/>
      <c r="M13" s="3">
        <f t="shared" si="1"/>
        <v>-48820.140741815267</v>
      </c>
      <c r="P13" s="3">
        <f t="shared" si="3"/>
        <v>36730.076987808425</v>
      </c>
      <c r="Q13" s="3"/>
      <c r="R13" s="3">
        <f t="shared" si="4"/>
        <v>0</v>
      </c>
      <c r="S13" s="3"/>
      <c r="T13" s="3">
        <f t="shared" si="2"/>
        <v>-48820.140741815267</v>
      </c>
      <c r="W13" s="3">
        <v>0</v>
      </c>
      <c r="X13" s="3"/>
      <c r="Y13" s="3">
        <f t="shared" si="5"/>
        <v>0</v>
      </c>
      <c r="Z13" s="3"/>
      <c r="AA13" s="3">
        <v>0</v>
      </c>
      <c r="AB13" s="5"/>
      <c r="AC13" s="3">
        <f t="shared" si="6"/>
        <v>0</v>
      </c>
      <c r="AE13" s="9"/>
      <c r="AF13" s="9"/>
      <c r="AH13" s="8"/>
      <c r="AI13" s="20" t="s">
        <v>8</v>
      </c>
      <c r="AJ13" s="183" t="s">
        <v>7</v>
      </c>
      <c r="AK13" s="183" t="s">
        <v>6</v>
      </c>
      <c r="AL13" s="184" t="s">
        <v>6</v>
      </c>
      <c r="AO13" s="3">
        <v>-48820.140741815267</v>
      </c>
    </row>
    <row r="14" spans="1:50" x14ac:dyDescent="0.3">
      <c r="B14" s="1">
        <f t="shared" ca="1" si="0"/>
        <v>6</v>
      </c>
      <c r="D14" s="11" t="s">
        <v>127</v>
      </c>
      <c r="F14" s="1" t="str">
        <f>+INDEX('Exh. BGM-3 (2)'!$10:$10,1,MATCH($D14,'Exh. BGM-3 (2)'!$4:$4,0))</f>
        <v>TAX BENEFIT OF INTEREST</v>
      </c>
      <c r="I14" s="3">
        <v>29473.738804059711</v>
      </c>
      <c r="J14" s="3"/>
      <c r="K14" s="3">
        <v>0</v>
      </c>
      <c r="L14" s="3"/>
      <c r="M14" s="3">
        <f t="shared" si="1"/>
        <v>-39175.307938486105</v>
      </c>
      <c r="P14" s="3">
        <f t="shared" si="3"/>
        <v>29473.738804059711</v>
      </c>
      <c r="Q14" s="3"/>
      <c r="R14" s="3">
        <f t="shared" si="4"/>
        <v>0</v>
      </c>
      <c r="S14" s="3"/>
      <c r="T14" s="3">
        <f t="shared" si="2"/>
        <v>-39175.307938486105</v>
      </c>
      <c r="W14" s="3">
        <v>0</v>
      </c>
      <c r="X14" s="3"/>
      <c r="Y14" s="3">
        <f t="shared" si="5"/>
        <v>0</v>
      </c>
      <c r="Z14" s="3"/>
      <c r="AA14" s="3">
        <v>0</v>
      </c>
      <c r="AB14" s="5"/>
      <c r="AC14" s="3">
        <f t="shared" si="6"/>
        <v>0</v>
      </c>
      <c r="AE14" s="9"/>
      <c r="AF14" s="9"/>
      <c r="AH14" s="8"/>
      <c r="AI14" s="22" t="s">
        <v>5</v>
      </c>
      <c r="AJ14" s="21">
        <v>0.51</v>
      </c>
      <c r="AK14" s="21">
        <v>4.9799999999999997E-2</v>
      </c>
      <c r="AL14" s="23">
        <f>ROUND(AJ14*AK14,4)</f>
        <v>2.5399999999999999E-2</v>
      </c>
      <c r="AO14" s="3">
        <v>-39175.307938486105</v>
      </c>
    </row>
    <row r="15" spans="1:50" x14ac:dyDescent="0.3">
      <c r="B15" s="1">
        <f t="shared" ca="1" si="0"/>
        <v>7</v>
      </c>
      <c r="D15" s="11" t="s">
        <v>128</v>
      </c>
      <c r="F15" s="1" t="str">
        <f>+INDEX('Exh. BGM-3 (2)'!$10:$10,1,MATCH($D15,'Exh. BGM-3 (2)'!$4:$4,0))</f>
        <v>BAD DEBT EXPENSE</v>
      </c>
      <c r="I15" s="3">
        <v>2975.7097977257613</v>
      </c>
      <c r="J15" s="3"/>
      <c r="K15" s="3">
        <v>0</v>
      </c>
      <c r="L15" s="3"/>
      <c r="M15" s="3">
        <f t="shared" si="1"/>
        <v>-3955.1937552428858</v>
      </c>
      <c r="P15" s="3">
        <f t="shared" si="3"/>
        <v>2975.7097977257613</v>
      </c>
      <c r="Q15" s="3"/>
      <c r="R15" s="3">
        <f t="shared" si="4"/>
        <v>0</v>
      </c>
      <c r="S15" s="3"/>
      <c r="T15" s="3">
        <f t="shared" si="2"/>
        <v>-3955.1937552428858</v>
      </c>
      <c r="W15" s="3">
        <v>0</v>
      </c>
      <c r="X15" s="3"/>
      <c r="Y15" s="3">
        <f t="shared" si="5"/>
        <v>0</v>
      </c>
      <c r="Z15" s="3"/>
      <c r="AA15" s="3">
        <v>0</v>
      </c>
      <c r="AB15" s="5"/>
      <c r="AC15" s="3">
        <f t="shared" si="6"/>
        <v>0</v>
      </c>
      <c r="AE15" s="9"/>
      <c r="AF15" s="9"/>
      <c r="AH15" s="8"/>
      <c r="AI15" s="22" t="s">
        <v>4</v>
      </c>
      <c r="AJ15" s="19">
        <f>1-AJ14</f>
        <v>0.49</v>
      </c>
      <c r="AK15" s="21">
        <v>9.5000000000000001E-2</v>
      </c>
      <c r="AL15" s="17">
        <f>ROUND(AJ15*AK15,4)</f>
        <v>4.6600000000000003E-2</v>
      </c>
      <c r="AO15" s="3">
        <v>-3955.1937552428858</v>
      </c>
    </row>
    <row r="16" spans="1:50" x14ac:dyDescent="0.3">
      <c r="B16" s="1">
        <f t="shared" ca="1" si="0"/>
        <v>8</v>
      </c>
      <c r="D16" s="11" t="s">
        <v>129</v>
      </c>
      <c r="F16" s="1" t="str">
        <f>+INDEX('Exh. BGM-3 (2)'!$10:$10,1,MATCH($D16,'Exh. BGM-3 (2)'!$4:$4,0))</f>
        <v>RATE CASE EXPENSE</v>
      </c>
      <c r="I16" s="3">
        <v>139.37800489226007</v>
      </c>
      <c r="J16" s="3"/>
      <c r="K16" s="3">
        <v>0</v>
      </c>
      <c r="L16" s="3"/>
      <c r="M16" s="3">
        <f t="shared" si="1"/>
        <v>-185.25563715567793</v>
      </c>
      <c r="P16" s="3">
        <f t="shared" si="3"/>
        <v>139.37800489226007</v>
      </c>
      <c r="Q16" s="3"/>
      <c r="R16" s="3">
        <f t="shared" si="4"/>
        <v>0</v>
      </c>
      <c r="S16" s="3"/>
      <c r="T16" s="3">
        <f t="shared" si="2"/>
        <v>-185.25563715567793</v>
      </c>
      <c r="W16" s="3">
        <v>0</v>
      </c>
      <c r="X16" s="3"/>
      <c r="Y16" s="3">
        <f t="shared" si="5"/>
        <v>0</v>
      </c>
      <c r="Z16" s="3"/>
      <c r="AA16" s="3">
        <v>0</v>
      </c>
      <c r="AB16" s="5"/>
      <c r="AC16" s="3">
        <f t="shared" si="6"/>
        <v>0</v>
      </c>
      <c r="AE16" s="9"/>
      <c r="AF16" s="9"/>
      <c r="AH16" s="8"/>
      <c r="AI16" s="20" t="s">
        <v>3</v>
      </c>
      <c r="AJ16" s="19">
        <v>1</v>
      </c>
      <c r="AK16" s="18"/>
      <c r="AL16" s="17">
        <f>+SUM(AL14:AL15)</f>
        <v>7.2000000000000008E-2</v>
      </c>
      <c r="AO16" s="3">
        <v>-185.25563715567793</v>
      </c>
    </row>
    <row r="17" spans="2:41" x14ac:dyDescent="0.3">
      <c r="B17" s="1">
        <f t="shared" ca="1" si="0"/>
        <v>9</v>
      </c>
      <c r="D17" s="11" t="s">
        <v>130</v>
      </c>
      <c r="F17" s="1" t="str">
        <f>+INDEX('Exh. BGM-3 (2)'!$10:$10,1,MATCH($D17,'Exh. BGM-3 (2)'!$4:$4,0))</f>
        <v xml:space="preserve">EXCISE TAX </v>
      </c>
      <c r="I17" s="3">
        <v>1.7445848380158842</v>
      </c>
      <c r="J17" s="3"/>
      <c r="K17" s="3">
        <v>0</v>
      </c>
      <c r="L17" s="3"/>
      <c r="M17" s="3">
        <f t="shared" si="1"/>
        <v>-2.3188319849218577</v>
      </c>
      <c r="P17" s="3">
        <f t="shared" si="3"/>
        <v>1.7445848380158842</v>
      </c>
      <c r="Q17" s="3"/>
      <c r="R17" s="3">
        <f t="shared" si="4"/>
        <v>0</v>
      </c>
      <c r="S17" s="3"/>
      <c r="T17" s="3">
        <f t="shared" si="2"/>
        <v>-2.3188319849218577</v>
      </c>
      <c r="W17" s="3">
        <v>0</v>
      </c>
      <c r="X17" s="3"/>
      <c r="Y17" s="3">
        <f t="shared" si="5"/>
        <v>0</v>
      </c>
      <c r="Z17" s="3"/>
      <c r="AA17" s="3">
        <v>0</v>
      </c>
      <c r="AB17" s="5"/>
      <c r="AC17" s="3">
        <f t="shared" si="6"/>
        <v>0</v>
      </c>
      <c r="AE17" s="9"/>
      <c r="AF17" s="9"/>
      <c r="AH17" s="8"/>
      <c r="AO17" s="3">
        <v>-2.3188319849218577</v>
      </c>
    </row>
    <row r="18" spans="2:41" x14ac:dyDescent="0.3">
      <c r="B18" s="1">
        <f t="shared" ca="1" si="0"/>
        <v>10</v>
      </c>
      <c r="D18" s="11" t="s">
        <v>131</v>
      </c>
      <c r="F18" s="1" t="str">
        <f>+INDEX('Exh. BGM-3 (2)'!$10:$10,1,MATCH($D18,'Exh. BGM-3 (2)'!$4:$4,0))</f>
        <v>EMPLOYEE INSURANCE</v>
      </c>
      <c r="I18" s="3">
        <v>34.454191186003946</v>
      </c>
      <c r="J18" s="3"/>
      <c r="K18" s="3">
        <v>0</v>
      </c>
      <c r="L18" s="3"/>
      <c r="M18" s="3">
        <f t="shared" si="1"/>
        <v>-45.795124889186546</v>
      </c>
      <c r="P18" s="3">
        <f t="shared" si="3"/>
        <v>34.454191186003946</v>
      </c>
      <c r="Q18" s="3"/>
      <c r="R18" s="3">
        <f t="shared" si="4"/>
        <v>0</v>
      </c>
      <c r="S18" s="3"/>
      <c r="T18" s="3">
        <f t="shared" si="2"/>
        <v>-45.795124889186546</v>
      </c>
      <c r="W18" s="3">
        <v>0</v>
      </c>
      <c r="X18" s="3"/>
      <c r="Y18" s="3">
        <f t="shared" si="5"/>
        <v>0</v>
      </c>
      <c r="Z18" s="3"/>
      <c r="AA18" s="3">
        <v>0</v>
      </c>
      <c r="AB18" s="5"/>
      <c r="AC18" s="3">
        <f t="shared" si="6"/>
        <v>0</v>
      </c>
      <c r="AE18" s="9"/>
      <c r="AF18" s="9"/>
      <c r="AH18" s="8"/>
      <c r="AI18" s="27" t="s">
        <v>11</v>
      </c>
      <c r="AJ18" s="26" t="s">
        <v>10</v>
      </c>
      <c r="AK18" s="26"/>
      <c r="AL18" s="25" t="s">
        <v>9</v>
      </c>
      <c r="AO18" s="3">
        <v>-45.795124889186546</v>
      </c>
    </row>
    <row r="19" spans="2:41" x14ac:dyDescent="0.3">
      <c r="B19" s="1">
        <f t="shared" ca="1" si="0"/>
        <v>11</v>
      </c>
      <c r="D19" s="11" t="s">
        <v>132</v>
      </c>
      <c r="F19" s="1" t="str">
        <f>+INDEX('Exh. BGM-3 (2)'!$10:$10,1,MATCH($D19,'Exh. BGM-3 (2)'!$4:$4,0))</f>
        <v>INJURIES &amp; DAMAGES</v>
      </c>
      <c r="I19" s="3">
        <v>-70.788642846595067</v>
      </c>
      <c r="J19" s="3"/>
      <c r="K19" s="3">
        <v>0</v>
      </c>
      <c r="L19" s="3"/>
      <c r="M19" s="3">
        <f t="shared" si="1"/>
        <v>94.089416361418571</v>
      </c>
      <c r="P19" s="3">
        <f t="shared" si="3"/>
        <v>-70.788642846595067</v>
      </c>
      <c r="Q19" s="3"/>
      <c r="R19" s="3">
        <f t="shared" si="4"/>
        <v>0</v>
      </c>
      <c r="S19" s="3"/>
      <c r="T19" s="3">
        <f t="shared" si="2"/>
        <v>94.089416361418571</v>
      </c>
      <c r="W19" s="3">
        <v>0</v>
      </c>
      <c r="X19" s="3"/>
      <c r="Y19" s="3">
        <f t="shared" si="5"/>
        <v>0</v>
      </c>
      <c r="Z19" s="3"/>
      <c r="AA19" s="3">
        <v>0</v>
      </c>
      <c r="AB19" s="5"/>
      <c r="AC19" s="3">
        <f t="shared" si="6"/>
        <v>0</v>
      </c>
      <c r="AE19" s="9"/>
      <c r="AF19" s="9"/>
      <c r="AH19" s="8"/>
      <c r="AI19" s="20" t="s">
        <v>8</v>
      </c>
      <c r="AJ19" s="18" t="s">
        <v>7</v>
      </c>
      <c r="AK19" s="18" t="s">
        <v>6</v>
      </c>
      <c r="AL19" s="24" t="s">
        <v>6</v>
      </c>
      <c r="AO19" s="3">
        <v>94.089416361418571</v>
      </c>
    </row>
    <row r="20" spans="2:41" x14ac:dyDescent="0.3">
      <c r="B20" s="1">
        <f t="shared" ca="1" si="0"/>
        <v>12</v>
      </c>
      <c r="D20" s="11" t="s">
        <v>133</v>
      </c>
      <c r="F20" s="1" t="str">
        <f>+INDEX('Exh. BGM-3 (2)'!$10:$10,1,MATCH($D20,'Exh. BGM-3 (2)'!$4:$4,0))</f>
        <v>INCENTIVE PAY</v>
      </c>
      <c r="I20" s="3">
        <v>-4368.173702621395</v>
      </c>
      <c r="J20" s="3"/>
      <c r="K20" s="3">
        <v>0</v>
      </c>
      <c r="L20" s="3"/>
      <c r="M20" s="3">
        <f t="shared" si="1"/>
        <v>5806.0007611053225</v>
      </c>
      <c r="P20" s="3">
        <f t="shared" si="3"/>
        <v>-4368.173702621395</v>
      </c>
      <c r="Q20" s="3"/>
      <c r="R20" s="3">
        <f t="shared" si="4"/>
        <v>0</v>
      </c>
      <c r="S20" s="3"/>
      <c r="T20" s="3">
        <f t="shared" si="2"/>
        <v>5806.0007611053225</v>
      </c>
      <c r="W20" s="3">
        <v>0</v>
      </c>
      <c r="X20" s="3"/>
      <c r="Y20" s="3">
        <f t="shared" si="5"/>
        <v>0</v>
      </c>
      <c r="Z20" s="3"/>
      <c r="AA20" s="3">
        <v>0</v>
      </c>
      <c r="AB20" s="5"/>
      <c r="AC20" s="3">
        <f t="shared" si="6"/>
        <v>0</v>
      </c>
      <c r="AE20" s="9"/>
      <c r="AF20" s="9"/>
      <c r="AH20" s="8"/>
      <c r="AI20" s="22" t="s">
        <v>5</v>
      </c>
      <c r="AJ20" s="21">
        <v>0.51</v>
      </c>
      <c r="AK20" s="21">
        <v>4.9799999999999997E-2</v>
      </c>
      <c r="AL20" s="23">
        <f>ROUND(AJ20*AK20,4)</f>
        <v>2.5399999999999999E-2</v>
      </c>
      <c r="AO20" s="3">
        <v>5806.0007611053225</v>
      </c>
    </row>
    <row r="21" spans="2:41" x14ac:dyDescent="0.3">
      <c r="B21" s="1">
        <f t="shared" ca="1" si="0"/>
        <v>13</v>
      </c>
      <c r="D21" s="11" t="s">
        <v>134</v>
      </c>
      <c r="F21" s="1" t="str">
        <f>+INDEX('Exh. BGM-3 (2)'!$10:$10,1,MATCH($D21,'Exh. BGM-3 (2)'!$4:$4,0))</f>
        <v>INVESTMENT PLAN</v>
      </c>
      <c r="I21" s="3">
        <v>-122.82285124517527</v>
      </c>
      <c r="J21" s="3"/>
      <c r="K21" s="3">
        <v>0</v>
      </c>
      <c r="L21" s="3"/>
      <c r="M21" s="3">
        <f t="shared" si="1"/>
        <v>163.25119291448223</v>
      </c>
      <c r="P21" s="3">
        <f t="shared" si="3"/>
        <v>-122.82285124517527</v>
      </c>
      <c r="Q21" s="3"/>
      <c r="R21" s="3">
        <f t="shared" si="4"/>
        <v>0</v>
      </c>
      <c r="S21" s="3"/>
      <c r="T21" s="3">
        <f t="shared" si="2"/>
        <v>163.25119291448223</v>
      </c>
      <c r="W21" s="3">
        <v>0</v>
      </c>
      <c r="X21" s="3"/>
      <c r="Y21" s="3">
        <f t="shared" si="5"/>
        <v>0</v>
      </c>
      <c r="Z21" s="3"/>
      <c r="AA21" s="3">
        <v>0</v>
      </c>
      <c r="AB21" s="5"/>
      <c r="AC21" s="3">
        <f t="shared" si="6"/>
        <v>0</v>
      </c>
      <c r="AE21" s="9"/>
      <c r="AF21" s="9"/>
      <c r="AH21" s="8"/>
      <c r="AI21" s="22" t="s">
        <v>4</v>
      </c>
      <c r="AJ21" s="19">
        <f>1-AJ20</f>
        <v>0.49</v>
      </c>
      <c r="AK21" s="21">
        <v>9.9000000000000005E-2</v>
      </c>
      <c r="AL21" s="17">
        <f>ROUND(AJ21*AK21,4)</f>
        <v>4.8500000000000001E-2</v>
      </c>
      <c r="AO21" s="3">
        <v>163.25119291448223</v>
      </c>
    </row>
    <row r="22" spans="2:41" x14ac:dyDescent="0.3">
      <c r="B22" s="1">
        <f t="shared" ca="1" si="0"/>
        <v>14</v>
      </c>
      <c r="D22" s="11" t="s">
        <v>135</v>
      </c>
      <c r="F22" s="1" t="str">
        <f>+INDEX('Exh. BGM-3 (2)'!$10:$10,1,MATCH($D22,'Exh. BGM-3 (2)'!$4:$4,0))</f>
        <v>INTEREST ON  CUSTOMER DEPOSITS</v>
      </c>
      <c r="I22" s="3">
        <v>-17.521863852870073</v>
      </c>
      <c r="J22" s="3"/>
      <c r="K22" s="3">
        <v>0</v>
      </c>
      <c r="L22" s="3"/>
      <c r="M22" s="3">
        <f t="shared" si="1"/>
        <v>23.289356557569331</v>
      </c>
      <c r="P22" s="3">
        <f t="shared" si="3"/>
        <v>-17.521863852870073</v>
      </c>
      <c r="Q22" s="3"/>
      <c r="R22" s="3">
        <f t="shared" si="4"/>
        <v>0</v>
      </c>
      <c r="S22" s="3"/>
      <c r="T22" s="3">
        <f t="shared" si="2"/>
        <v>23.289356557569331</v>
      </c>
      <c r="W22" s="3">
        <v>0</v>
      </c>
      <c r="X22" s="3"/>
      <c r="Y22" s="3">
        <f t="shared" si="5"/>
        <v>0</v>
      </c>
      <c r="Z22" s="3"/>
      <c r="AA22" s="3">
        <v>0</v>
      </c>
      <c r="AB22" s="5"/>
      <c r="AC22" s="3">
        <f t="shared" si="6"/>
        <v>0</v>
      </c>
      <c r="AE22" s="9"/>
      <c r="AF22" s="9"/>
      <c r="AH22" s="8"/>
      <c r="AI22" s="20" t="s">
        <v>3</v>
      </c>
      <c r="AJ22" s="19">
        <v>1</v>
      </c>
      <c r="AK22" s="18"/>
      <c r="AL22" s="17">
        <f>+SUM(AL20:AL21)</f>
        <v>7.3899999999999993E-2</v>
      </c>
      <c r="AO22" s="3">
        <v>23.289356557569331</v>
      </c>
    </row>
    <row r="23" spans="2:41" ht="13.5" x14ac:dyDescent="0.35">
      <c r="B23" s="1">
        <f t="shared" ca="1" si="0"/>
        <v>15</v>
      </c>
      <c r="D23" s="11" t="s">
        <v>136</v>
      </c>
      <c r="F23" s="1" t="str">
        <f>+INDEX('Exh. BGM-3 (2)'!$10:$10,1,MATCH($D23,'Exh. BGM-3 (2)'!$4:$4,0))</f>
        <v>PROPERTY AND LIAB INSURANCE</v>
      </c>
      <c r="I23" s="3">
        <v>-816.67338939785407</v>
      </c>
      <c r="J23" s="3"/>
      <c r="K23" s="3">
        <v>0</v>
      </c>
      <c r="L23" s="3"/>
      <c r="M23" s="3">
        <f t="shared" si="1"/>
        <v>1085.4894157649701</v>
      </c>
      <c r="P23" s="3">
        <f t="shared" si="3"/>
        <v>-816.67338939785407</v>
      </c>
      <c r="Q23" s="3"/>
      <c r="R23" s="3">
        <f t="shared" si="4"/>
        <v>0</v>
      </c>
      <c r="S23" s="3"/>
      <c r="T23" s="3">
        <f t="shared" si="2"/>
        <v>1085.4894157649701</v>
      </c>
      <c r="W23" s="3">
        <v>0</v>
      </c>
      <c r="X23" s="3"/>
      <c r="Y23" s="3">
        <f t="shared" si="5"/>
        <v>0</v>
      </c>
      <c r="Z23" s="3"/>
      <c r="AA23" s="3">
        <v>0</v>
      </c>
      <c r="AB23" s="5"/>
      <c r="AC23" s="3">
        <f t="shared" si="6"/>
        <v>0</v>
      </c>
      <c r="AE23" s="9"/>
      <c r="AF23" s="9"/>
      <c r="AH23" s="8"/>
      <c r="AI23" s="16"/>
      <c r="AK23" s="10"/>
      <c r="AL23" s="3"/>
      <c r="AO23" s="3">
        <v>1085.4894157649701</v>
      </c>
    </row>
    <row r="24" spans="2:41" ht="13.5" x14ac:dyDescent="0.35">
      <c r="B24" s="1">
        <f t="shared" ref="B24:B49" ca="1" si="7">+MAX(OFFSET($B$7,0,0,ROW($B24)-ROW($B$7),1))+1</f>
        <v>16</v>
      </c>
      <c r="D24" s="11" t="s">
        <v>137</v>
      </c>
      <c r="F24" s="1" t="str">
        <f>+INDEX('Exh. BGM-3 (2)'!$10:$10,1,MATCH($D24,'Exh. BGM-3 (2)'!$4:$4,0))</f>
        <v>DEFERRED GAINS AND LOSSES ON PROPERTY SALES</v>
      </c>
      <c r="I24" s="3">
        <v>1302.7267717</v>
      </c>
      <c r="J24" s="3"/>
      <c r="K24" s="3">
        <v>0</v>
      </c>
      <c r="L24" s="3"/>
      <c r="M24" s="3">
        <f t="shared" si="1"/>
        <v>-1731.5320183955712</v>
      </c>
      <c r="P24" s="3">
        <f t="shared" si="3"/>
        <v>1302.7267717</v>
      </c>
      <c r="Q24" s="3"/>
      <c r="R24" s="3">
        <f t="shared" si="4"/>
        <v>0</v>
      </c>
      <c r="S24" s="3"/>
      <c r="T24" s="3">
        <f t="shared" si="2"/>
        <v>-1731.5320183955712</v>
      </c>
      <c r="W24" s="3">
        <v>0</v>
      </c>
      <c r="X24" s="3"/>
      <c r="Y24" s="3">
        <f t="shared" si="5"/>
        <v>0</v>
      </c>
      <c r="Z24" s="3"/>
      <c r="AA24" s="3">
        <v>0</v>
      </c>
      <c r="AB24" s="5"/>
      <c r="AC24" s="3">
        <f t="shared" si="6"/>
        <v>0</v>
      </c>
      <c r="AE24" s="9"/>
      <c r="AF24" s="9"/>
      <c r="AH24" s="8"/>
      <c r="AI24" s="16"/>
      <c r="AK24" s="10"/>
      <c r="AL24" s="3"/>
      <c r="AO24" s="3">
        <v>-1731.5320183955712</v>
      </c>
    </row>
    <row r="25" spans="2:41" x14ac:dyDescent="0.3">
      <c r="B25" s="1">
        <f t="shared" ca="1" si="7"/>
        <v>17</v>
      </c>
      <c r="D25" s="11" t="s">
        <v>138</v>
      </c>
      <c r="F25" s="1" t="str">
        <f>+INDEX('Exh. BGM-3 (2)'!$10:$10,1,MATCH($D25,'Exh. BGM-3 (2)'!$4:$4,0))</f>
        <v>D&amp;O INSURANCE</v>
      </c>
      <c r="I25" s="3">
        <v>66.097118360055461</v>
      </c>
      <c r="J25" s="3"/>
      <c r="K25" s="3">
        <v>0</v>
      </c>
      <c r="L25" s="3"/>
      <c r="M25" s="3">
        <f t="shared" si="1"/>
        <v>-87.853630746197553</v>
      </c>
      <c r="P25" s="3">
        <f t="shared" si="3"/>
        <v>66.097118360055461</v>
      </c>
      <c r="Q25" s="3"/>
      <c r="R25" s="3">
        <f t="shared" si="4"/>
        <v>0</v>
      </c>
      <c r="S25" s="3"/>
      <c r="T25" s="3">
        <f t="shared" si="2"/>
        <v>-87.853630746197553</v>
      </c>
      <c r="W25" s="3">
        <v>0</v>
      </c>
      <c r="X25" s="3"/>
      <c r="Y25" s="3">
        <f t="shared" si="5"/>
        <v>0</v>
      </c>
      <c r="Z25" s="3"/>
      <c r="AA25" s="3">
        <v>0</v>
      </c>
      <c r="AB25" s="5"/>
      <c r="AC25" s="3">
        <f t="shared" si="6"/>
        <v>0</v>
      </c>
      <c r="AE25" s="9"/>
      <c r="AF25" s="9"/>
      <c r="AH25" s="8"/>
      <c r="AI25" s="2" t="s">
        <v>408</v>
      </c>
      <c r="AO25" s="3">
        <v>-87.853630746197553</v>
      </c>
    </row>
    <row r="26" spans="2:41" x14ac:dyDescent="0.3">
      <c r="B26" s="1">
        <f t="shared" ca="1" si="7"/>
        <v>18</v>
      </c>
      <c r="D26" s="11" t="s">
        <v>139</v>
      </c>
      <c r="F26" s="1" t="str">
        <f>+INDEX('Exh. BGM-3 (2)'!$10:$10,1,MATCH($D26,'Exh. BGM-3 (2)'!$4:$4,0))</f>
        <v>PENSION PLAN</v>
      </c>
      <c r="I26" s="3">
        <v>1576.1826872538861</v>
      </c>
      <c r="J26" s="3"/>
      <c r="K26" s="3">
        <v>0</v>
      </c>
      <c r="L26" s="3"/>
      <c r="M26" s="3">
        <f t="shared" si="1"/>
        <v>-2094.9986206696121</v>
      </c>
      <c r="P26" s="3">
        <f t="shared" si="3"/>
        <v>1576.1826872538861</v>
      </c>
      <c r="Q26" s="3"/>
      <c r="R26" s="3">
        <f t="shared" si="4"/>
        <v>0</v>
      </c>
      <c r="S26" s="3"/>
      <c r="T26" s="3">
        <f t="shared" si="2"/>
        <v>-2094.9986206696121</v>
      </c>
      <c r="W26" s="3">
        <v>0</v>
      </c>
      <c r="X26" s="3"/>
      <c r="Y26" s="3">
        <f t="shared" si="5"/>
        <v>0</v>
      </c>
      <c r="Z26" s="3"/>
      <c r="AA26" s="3">
        <v>0</v>
      </c>
      <c r="AB26" s="5"/>
      <c r="AC26" s="3">
        <f t="shared" si="6"/>
        <v>0</v>
      </c>
      <c r="AE26" s="9"/>
      <c r="AF26" s="9"/>
      <c r="AH26" s="8"/>
      <c r="AO26" s="3">
        <v>-2094.9986206696121</v>
      </c>
    </row>
    <row r="27" spans="2:41" x14ac:dyDescent="0.3">
      <c r="B27" s="1">
        <f t="shared" ca="1" si="7"/>
        <v>19</v>
      </c>
      <c r="D27" s="11" t="s">
        <v>140</v>
      </c>
      <c r="F27" s="1" t="str">
        <f>+INDEX('Exh. BGM-3 (2)'!$10:$10,1,MATCH($D27,'Exh. BGM-3 (2)'!$4:$4,0))</f>
        <v>WAGE INCREASE</v>
      </c>
      <c r="I27" s="3">
        <v>-2262.4364064648571</v>
      </c>
      <c r="J27" s="3"/>
      <c r="K27" s="3">
        <v>0</v>
      </c>
      <c r="L27" s="3"/>
      <c r="M27" s="3">
        <f t="shared" si="1"/>
        <v>3007.1394573902708</v>
      </c>
      <c r="P27" s="3">
        <f t="shared" si="3"/>
        <v>-2262.4364064648571</v>
      </c>
      <c r="Q27" s="3"/>
      <c r="R27" s="3">
        <f t="shared" si="4"/>
        <v>0</v>
      </c>
      <c r="S27" s="3"/>
      <c r="T27" s="3">
        <f t="shared" si="2"/>
        <v>3007.1394573902708</v>
      </c>
      <c r="W27" s="3">
        <v>0</v>
      </c>
      <c r="X27" s="3"/>
      <c r="Y27" s="3">
        <f t="shared" si="5"/>
        <v>0</v>
      </c>
      <c r="Z27" s="3"/>
      <c r="AA27" s="3">
        <v>0</v>
      </c>
      <c r="AB27" s="5"/>
      <c r="AC27" s="3">
        <f t="shared" si="6"/>
        <v>0</v>
      </c>
      <c r="AE27" s="9"/>
      <c r="AF27" s="9"/>
      <c r="AH27" s="8"/>
      <c r="AI27" s="27" t="s">
        <v>13</v>
      </c>
      <c r="AJ27" s="26" t="s">
        <v>10</v>
      </c>
      <c r="AK27" s="26"/>
      <c r="AL27" s="25" t="s">
        <v>9</v>
      </c>
      <c r="AO27" s="3">
        <v>3007.1394573902708</v>
      </c>
    </row>
    <row r="28" spans="2:41" x14ac:dyDescent="0.3">
      <c r="B28" s="1">
        <f t="shared" ca="1" si="7"/>
        <v>20</v>
      </c>
      <c r="D28" s="11" t="s">
        <v>141</v>
      </c>
      <c r="F28" s="1" t="str">
        <f>+INDEX('Exh. BGM-3 (2)'!$10:$10,1,MATCH($D28,'Exh. BGM-3 (2)'!$4:$4,0))</f>
        <v>AMA TO EOP RATE BASE</v>
      </c>
      <c r="I28" s="3">
        <v>0</v>
      </c>
      <c r="J28" s="3"/>
      <c r="K28" s="3">
        <v>18890.706954618396</v>
      </c>
      <c r="L28" s="3"/>
      <c r="M28" s="3">
        <f t="shared" si="1"/>
        <v>1807.8312774322289</v>
      </c>
      <c r="P28" s="3">
        <f t="shared" si="3"/>
        <v>0</v>
      </c>
      <c r="Q28" s="3"/>
      <c r="R28" s="3">
        <f t="shared" si="4"/>
        <v>18890.706954618396</v>
      </c>
      <c r="S28" s="3"/>
      <c r="T28" s="3">
        <f t="shared" si="2"/>
        <v>1807.8312774322289</v>
      </c>
      <c r="W28" s="3">
        <v>0</v>
      </c>
      <c r="X28" s="3"/>
      <c r="Y28" s="3">
        <f t="shared" si="5"/>
        <v>0</v>
      </c>
      <c r="Z28" s="3"/>
      <c r="AA28" s="3">
        <v>0</v>
      </c>
      <c r="AB28" s="5"/>
      <c r="AC28" s="3">
        <f t="shared" si="6"/>
        <v>0</v>
      </c>
      <c r="AE28" s="9"/>
      <c r="AF28" s="9"/>
      <c r="AH28" s="8"/>
      <c r="AI28" s="20" t="s">
        <v>8</v>
      </c>
      <c r="AJ28" s="18" t="s">
        <v>7</v>
      </c>
      <c r="AK28" s="18" t="s">
        <v>6</v>
      </c>
      <c r="AL28" s="24" t="s">
        <v>6</v>
      </c>
      <c r="AO28" s="3">
        <v>1855.5379361422458</v>
      </c>
    </row>
    <row r="29" spans="2:41" x14ac:dyDescent="0.3">
      <c r="B29" s="1">
        <f t="shared" ca="1" si="7"/>
        <v>21</v>
      </c>
      <c r="D29" s="11" t="s">
        <v>142</v>
      </c>
      <c r="F29" s="1" t="str">
        <f>+INDEX('Exh. BGM-3 (2)'!$10:$10,1,MATCH($D29,'Exh. BGM-3 (2)'!$4:$4,0))</f>
        <v>AMA TO EOP DEPRECIATION</v>
      </c>
      <c r="I29" s="3">
        <v>-657.62584572865353</v>
      </c>
      <c r="J29" s="3"/>
      <c r="K29" s="3">
        <v>-657.62584572865296</v>
      </c>
      <c r="L29" s="3"/>
      <c r="M29" s="3">
        <f t="shared" si="1"/>
        <v>811.15535197638144</v>
      </c>
      <c r="P29" s="3">
        <f t="shared" si="3"/>
        <v>-657.62584572865353</v>
      </c>
      <c r="Q29" s="3"/>
      <c r="R29" s="3">
        <f t="shared" si="4"/>
        <v>-657.62584572865296</v>
      </c>
      <c r="S29" s="3"/>
      <c r="T29" s="3">
        <f t="shared" si="2"/>
        <v>811.15535197638144</v>
      </c>
      <c r="W29" s="3">
        <v>0</v>
      </c>
      <c r="X29" s="3"/>
      <c r="Y29" s="3">
        <f t="shared" si="5"/>
        <v>0</v>
      </c>
      <c r="Z29" s="3"/>
      <c r="AA29" s="3">
        <v>0</v>
      </c>
      <c r="AB29" s="5"/>
      <c r="AC29" s="3">
        <f t="shared" si="6"/>
        <v>0</v>
      </c>
      <c r="AE29" s="9"/>
      <c r="AF29" s="9"/>
      <c r="AH29" s="8"/>
      <c r="AI29" s="22" t="s">
        <v>5</v>
      </c>
      <c r="AJ29" s="21">
        <v>0.51</v>
      </c>
      <c r="AK29" s="21">
        <f>+AK14</f>
        <v>4.9799999999999997E-2</v>
      </c>
      <c r="AL29" s="23">
        <f>ROUND(AJ29*AK29,4)</f>
        <v>2.5399999999999999E-2</v>
      </c>
      <c r="AO29" s="3">
        <v>809.49458132039535</v>
      </c>
    </row>
    <row r="30" spans="2:41" x14ac:dyDescent="0.3">
      <c r="B30" s="1">
        <f t="shared" ca="1" si="7"/>
        <v>22</v>
      </c>
      <c r="D30" s="11" t="s">
        <v>143</v>
      </c>
      <c r="F30" s="1" t="str">
        <f>+INDEX('Exh. BGM-3 (2)'!$10:$10,1,MATCH($D30,'Exh. BGM-3 (2)'!$4:$4,0))</f>
        <v>WUTC FILING FEE</v>
      </c>
      <c r="I30" s="3">
        <v>-69.587980321600213</v>
      </c>
      <c r="J30" s="3"/>
      <c r="K30" s="3">
        <v>0</v>
      </c>
      <c r="L30" s="3"/>
      <c r="M30" s="3">
        <f t="shared" si="1"/>
        <v>92.493544033867281</v>
      </c>
      <c r="P30" s="3">
        <f t="shared" si="3"/>
        <v>-69.587980321600213</v>
      </c>
      <c r="Q30" s="3"/>
      <c r="R30" s="3">
        <f t="shared" si="4"/>
        <v>0</v>
      </c>
      <c r="S30" s="3"/>
      <c r="T30" s="3">
        <f t="shared" si="2"/>
        <v>92.493544033867281</v>
      </c>
      <c r="W30" s="3">
        <v>0</v>
      </c>
      <c r="X30" s="3"/>
      <c r="Y30" s="3">
        <f t="shared" si="5"/>
        <v>0</v>
      </c>
      <c r="Z30" s="3"/>
      <c r="AA30" s="3">
        <v>0</v>
      </c>
      <c r="AB30" s="5"/>
      <c r="AC30" s="3">
        <f t="shared" si="6"/>
        <v>0</v>
      </c>
      <c r="AE30" s="9"/>
      <c r="AF30" s="9"/>
      <c r="AH30" s="8"/>
      <c r="AI30" s="22" t="s">
        <v>4</v>
      </c>
      <c r="AJ30" s="19">
        <f>1-AJ29</f>
        <v>0.49</v>
      </c>
      <c r="AK30" s="21">
        <v>9.5000000000000001E-2</v>
      </c>
      <c r="AL30" s="17">
        <f>ROUND(AJ30*AK30,4)</f>
        <v>4.6600000000000003E-2</v>
      </c>
      <c r="AO30" s="3">
        <v>92.493544033867281</v>
      </c>
    </row>
    <row r="31" spans="2:41" x14ac:dyDescent="0.3">
      <c r="B31" s="1">
        <f t="shared" ca="1" si="7"/>
        <v>23</v>
      </c>
      <c r="D31" s="11" t="s">
        <v>144</v>
      </c>
      <c r="F31" s="1" t="str">
        <f>+INDEX('Exh. BGM-3 (2)'!$10:$10,1,MATCH($D31,'Exh. BGM-3 (2)'!$4:$4,0))</f>
        <v>PRO FORMA O&amp;M</v>
      </c>
      <c r="I31" s="3">
        <v>0</v>
      </c>
      <c r="J31" s="3"/>
      <c r="K31" s="3">
        <v>0</v>
      </c>
      <c r="L31" s="3"/>
      <c r="M31" s="3">
        <f t="shared" si="1"/>
        <v>0</v>
      </c>
      <c r="P31" s="3">
        <f t="shared" si="3"/>
        <v>0</v>
      </c>
      <c r="Q31" s="3"/>
      <c r="R31" s="3">
        <f t="shared" si="4"/>
        <v>0</v>
      </c>
      <c r="S31" s="3"/>
      <c r="T31" s="3">
        <f t="shared" si="2"/>
        <v>0</v>
      </c>
      <c r="W31" s="3">
        <v>0</v>
      </c>
      <c r="X31" s="3"/>
      <c r="Y31" s="3">
        <f t="shared" si="5"/>
        <v>0</v>
      </c>
      <c r="Z31" s="3"/>
      <c r="AA31" s="3">
        <v>0</v>
      </c>
      <c r="AB31" s="5"/>
      <c r="AC31" s="3">
        <f t="shared" si="6"/>
        <v>0</v>
      </c>
      <c r="AE31" s="9"/>
      <c r="AF31" s="9"/>
      <c r="AH31" s="8"/>
      <c r="AI31" s="20" t="s">
        <v>3</v>
      </c>
      <c r="AJ31" s="19">
        <v>1</v>
      </c>
      <c r="AK31" s="18"/>
      <c r="AL31" s="17">
        <f>+SUM(AL29:AL30)</f>
        <v>7.2000000000000008E-2</v>
      </c>
      <c r="AO31" s="3">
        <v>0</v>
      </c>
    </row>
    <row r="32" spans="2:41" x14ac:dyDescent="0.3">
      <c r="B32" s="1">
        <f t="shared" ca="1" si="7"/>
        <v>24</v>
      </c>
      <c r="D32" s="11" t="s">
        <v>145</v>
      </c>
      <c r="F32" s="1" t="str">
        <f>+INDEX('Exh. BGM-3 (2)'!$10:$10,1,MATCH($D32,'Exh. BGM-3 (2)'!$4:$4,0))</f>
        <v>AMR REGULATORY ASSET</v>
      </c>
      <c r="I32" s="3">
        <v>0</v>
      </c>
      <c r="J32" s="3"/>
      <c r="K32" s="3">
        <v>0</v>
      </c>
      <c r="L32" s="3"/>
      <c r="M32" s="3">
        <f t="shared" si="1"/>
        <v>0</v>
      </c>
      <c r="P32" s="3">
        <f t="shared" si="3"/>
        <v>0</v>
      </c>
      <c r="Q32" s="3"/>
      <c r="R32" s="3">
        <f t="shared" si="4"/>
        <v>0</v>
      </c>
      <c r="S32" s="3"/>
      <c r="T32" s="3">
        <f t="shared" si="2"/>
        <v>0</v>
      </c>
      <c r="W32" s="3">
        <v>0</v>
      </c>
      <c r="X32" s="3"/>
      <c r="Y32" s="3">
        <f t="shared" si="5"/>
        <v>0</v>
      </c>
      <c r="Z32" s="3"/>
      <c r="AA32" s="3">
        <v>0</v>
      </c>
      <c r="AB32" s="5"/>
      <c r="AC32" s="3">
        <f t="shared" si="6"/>
        <v>0</v>
      </c>
      <c r="AE32" s="9"/>
      <c r="AF32" s="9"/>
      <c r="AH32" s="8"/>
      <c r="AO32" s="3">
        <v>0</v>
      </c>
    </row>
    <row r="33" spans="2:41" x14ac:dyDescent="0.3">
      <c r="B33" s="1">
        <f t="shared" ca="1" si="7"/>
        <v>25</v>
      </c>
      <c r="D33" s="11" t="s">
        <v>146</v>
      </c>
      <c r="F33" s="1" t="str">
        <f>+INDEX('Exh. BGM-3 (2)'!$10:$10,1,MATCH($D33,'Exh. BGM-3 (2)'!$4:$4,0))</f>
        <v>AMI PLANT AND DEFERRAL</v>
      </c>
      <c r="I33" s="3">
        <v>0</v>
      </c>
      <c r="J33" s="3"/>
      <c r="K33" s="3">
        <v>-143015.08787042796</v>
      </c>
      <c r="L33" s="3"/>
      <c r="M33" s="3">
        <f t="shared" si="1"/>
        <v>-13686.472910621735</v>
      </c>
      <c r="P33" s="3">
        <f t="shared" si="3"/>
        <v>0</v>
      </c>
      <c r="Q33" s="3"/>
      <c r="R33" s="3">
        <f t="shared" si="4"/>
        <v>-143015.08787042796</v>
      </c>
      <c r="S33" s="3"/>
      <c r="T33" s="3">
        <f t="shared" si="2"/>
        <v>-13686.472910621735</v>
      </c>
      <c r="W33" s="3">
        <v>0</v>
      </c>
      <c r="X33" s="3"/>
      <c r="Y33" s="3">
        <f t="shared" si="5"/>
        <v>0</v>
      </c>
      <c r="Z33" s="3"/>
      <c r="AA33" s="3">
        <v>0</v>
      </c>
      <c r="AB33" s="5"/>
      <c r="AC33" s="3">
        <f t="shared" si="6"/>
        <v>0</v>
      </c>
      <c r="AE33" s="9"/>
      <c r="AF33" s="9"/>
      <c r="AH33" s="8"/>
      <c r="AI33" s="27" t="s">
        <v>11</v>
      </c>
      <c r="AJ33" s="26" t="s">
        <v>10</v>
      </c>
      <c r="AK33" s="26"/>
      <c r="AL33" s="25" t="s">
        <v>9</v>
      </c>
      <c r="AO33" s="3">
        <v>-14047.643723540914</v>
      </c>
    </row>
    <row r="34" spans="2:41" x14ac:dyDescent="0.3">
      <c r="B34" s="1">
        <f t="shared" ca="1" si="7"/>
        <v>26</v>
      </c>
      <c r="D34" s="11" t="s">
        <v>147</v>
      </c>
      <c r="F34" s="1" t="str">
        <f>+INDEX('Exh. BGM-3 (2)'!$10:$10,1,MATCH($D34,'Exh. BGM-3 (2)'!$4:$4,0))</f>
        <v>GTZ DEFERRAL</v>
      </c>
      <c r="I34" s="3">
        <v>0</v>
      </c>
      <c r="J34" s="3"/>
      <c r="K34" s="3">
        <v>0</v>
      </c>
      <c r="L34" s="3"/>
      <c r="M34" s="3">
        <f t="shared" si="1"/>
        <v>0</v>
      </c>
      <c r="P34" s="3">
        <f t="shared" si="3"/>
        <v>0</v>
      </c>
      <c r="Q34" s="3"/>
      <c r="R34" s="3">
        <f t="shared" si="4"/>
        <v>0</v>
      </c>
      <c r="S34" s="3"/>
      <c r="T34" s="3">
        <f t="shared" si="2"/>
        <v>0</v>
      </c>
      <c r="W34" s="3">
        <v>0</v>
      </c>
      <c r="X34" s="3"/>
      <c r="Y34" s="3">
        <f t="shared" si="5"/>
        <v>0</v>
      </c>
      <c r="Z34" s="3"/>
      <c r="AA34" s="3">
        <v>0</v>
      </c>
      <c r="AB34" s="5"/>
      <c r="AC34" s="3">
        <f t="shared" si="6"/>
        <v>0</v>
      </c>
      <c r="AE34" s="9"/>
      <c r="AF34" s="9"/>
      <c r="AH34" s="8"/>
      <c r="AI34" s="20" t="s">
        <v>8</v>
      </c>
      <c r="AJ34" s="18" t="s">
        <v>7</v>
      </c>
      <c r="AK34" s="18" t="s">
        <v>6</v>
      </c>
      <c r="AL34" s="24" t="s">
        <v>6</v>
      </c>
      <c r="AO34" s="3">
        <v>0</v>
      </c>
    </row>
    <row r="35" spans="2:41" x14ac:dyDescent="0.3">
      <c r="B35" s="1">
        <f t="shared" ca="1" si="7"/>
        <v>27</v>
      </c>
      <c r="D35" s="11" t="s">
        <v>148</v>
      </c>
      <c r="F35" s="1" t="str">
        <f>+INDEX('Exh. BGM-3 (2)'!$10:$10,1,MATCH($D35,'Exh. BGM-3 (2)'!$4:$4,0))</f>
        <v>ENVIRONMENTAL REMEDIATION</v>
      </c>
      <c r="I35" s="3">
        <v>142.02936432510396</v>
      </c>
      <c r="J35" s="3"/>
      <c r="K35" s="3">
        <v>0</v>
      </c>
      <c r="L35" s="3"/>
      <c r="M35" s="3">
        <f t="shared" si="1"/>
        <v>-188.77971745399972</v>
      </c>
      <c r="P35" s="3">
        <f t="shared" si="3"/>
        <v>142.02936432510396</v>
      </c>
      <c r="Q35" s="3"/>
      <c r="R35" s="3">
        <f t="shared" si="4"/>
        <v>0</v>
      </c>
      <c r="S35" s="3"/>
      <c r="T35" s="3">
        <f t="shared" si="2"/>
        <v>-188.77971745399972</v>
      </c>
      <c r="W35" s="3">
        <v>0</v>
      </c>
      <c r="X35" s="3"/>
      <c r="Y35" s="3">
        <f t="shared" si="5"/>
        <v>0</v>
      </c>
      <c r="Z35" s="3"/>
      <c r="AA35" s="3">
        <v>0</v>
      </c>
      <c r="AB35" s="5"/>
      <c r="AC35" s="3">
        <f t="shared" si="6"/>
        <v>0</v>
      </c>
      <c r="AE35" s="9"/>
      <c r="AF35" s="9"/>
      <c r="AH35" s="8"/>
      <c r="AI35" s="22" t="s">
        <v>5</v>
      </c>
      <c r="AJ35" s="21">
        <v>0.505</v>
      </c>
      <c r="AK35" s="21">
        <v>5.0299999999999997E-2</v>
      </c>
      <c r="AL35" s="23">
        <f>ROUND(AJ35*AK35,4)</f>
        <v>2.5399999999999999E-2</v>
      </c>
      <c r="AO35" s="3">
        <v>-188.77971745399972</v>
      </c>
    </row>
    <row r="36" spans="2:41" x14ac:dyDescent="0.3">
      <c r="B36" s="1">
        <f t="shared" ca="1" si="7"/>
        <v>28</v>
      </c>
      <c r="D36" s="11" t="s">
        <v>149</v>
      </c>
      <c r="F36" s="1" t="str">
        <f>+INDEX('Exh. BGM-3 (2)'!$10:$10,1,MATCH($D36,'Exh. BGM-3 (2)'!$4:$4,0))</f>
        <v>COVID DEFERRAL</v>
      </c>
      <c r="I36" s="3">
        <v>0</v>
      </c>
      <c r="J36" s="3"/>
      <c r="K36" s="3">
        <v>0</v>
      </c>
      <c r="L36" s="3"/>
      <c r="M36" s="3">
        <f t="shared" si="1"/>
        <v>0</v>
      </c>
      <c r="P36" s="3">
        <f t="shared" si="3"/>
        <v>0</v>
      </c>
      <c r="Q36" s="3"/>
      <c r="R36" s="3">
        <f t="shared" si="4"/>
        <v>0</v>
      </c>
      <c r="S36" s="3"/>
      <c r="T36" s="3">
        <f t="shared" si="2"/>
        <v>0</v>
      </c>
      <c r="W36" s="3">
        <v>0</v>
      </c>
      <c r="X36" s="3"/>
      <c r="Y36" s="3">
        <f t="shared" si="5"/>
        <v>0</v>
      </c>
      <c r="Z36" s="3"/>
      <c r="AA36" s="3">
        <v>0</v>
      </c>
      <c r="AB36" s="5"/>
      <c r="AC36" s="3">
        <f t="shared" si="6"/>
        <v>0</v>
      </c>
      <c r="AE36" s="9"/>
      <c r="AF36" s="9"/>
      <c r="AH36" s="8"/>
      <c r="AI36" s="22" t="s">
        <v>4</v>
      </c>
      <c r="AJ36" s="19">
        <f>1-AJ35</f>
        <v>0.495</v>
      </c>
      <c r="AK36" s="21">
        <v>9.9000000000000005E-2</v>
      </c>
      <c r="AL36" s="17">
        <f>ROUND(AJ36*AK36,4)</f>
        <v>4.9000000000000002E-2</v>
      </c>
      <c r="AO36" s="3">
        <v>0</v>
      </c>
    </row>
    <row r="37" spans="2:41" x14ac:dyDescent="0.3">
      <c r="B37" s="1">
        <f t="shared" ca="1" si="7"/>
        <v>29</v>
      </c>
      <c r="D37" s="11" t="s">
        <v>150</v>
      </c>
      <c r="F37" s="1" t="str">
        <f>+INDEX('Exh. BGM-3 (2)'!$10:$10,1,MATCH($D37,'Exh. BGM-3 (2)'!$4:$4,0))</f>
        <v>POWER COSTS</v>
      </c>
      <c r="I37" s="3">
        <v>-8137.3689743064124</v>
      </c>
      <c r="J37" s="3"/>
      <c r="K37" s="3">
        <v>0</v>
      </c>
      <c r="L37" s="3"/>
      <c r="M37" s="3">
        <f t="shared" si="1"/>
        <v>10815.863487723764</v>
      </c>
      <c r="P37" s="3">
        <f t="shared" si="3"/>
        <v>-8137.3689743064124</v>
      </c>
      <c r="Q37" s="3"/>
      <c r="R37" s="3">
        <f t="shared" si="4"/>
        <v>0</v>
      </c>
      <c r="S37" s="3"/>
      <c r="T37" s="3">
        <f t="shared" si="2"/>
        <v>10815.863487723764</v>
      </c>
      <c r="W37" s="3">
        <v>0</v>
      </c>
      <c r="X37" s="3"/>
      <c r="Y37" s="3">
        <f t="shared" si="5"/>
        <v>0</v>
      </c>
      <c r="Z37" s="3"/>
      <c r="AA37" s="3">
        <v>0</v>
      </c>
      <c r="AB37" s="5"/>
      <c r="AC37" s="3">
        <f t="shared" si="6"/>
        <v>0</v>
      </c>
      <c r="AE37" s="9"/>
      <c r="AF37" s="9"/>
      <c r="AH37" s="8"/>
      <c r="AI37" s="20" t="s">
        <v>3</v>
      </c>
      <c r="AJ37" s="19">
        <v>1</v>
      </c>
      <c r="AK37" s="18"/>
      <c r="AL37" s="17">
        <f>+SUM(AL35:AL36)</f>
        <v>7.4399999999999994E-2</v>
      </c>
      <c r="AO37" s="3">
        <v>10815.863487723764</v>
      </c>
    </row>
    <row r="38" spans="2:41" ht="13.5" x14ac:dyDescent="0.35">
      <c r="B38" s="1">
        <f t="shared" ca="1" si="7"/>
        <v>30</v>
      </c>
      <c r="D38" s="11" t="s">
        <v>151</v>
      </c>
      <c r="F38" s="1" t="str">
        <f>+INDEX('Exh. BGM-3 (2)'!$10:$10,1,MATCH($D38,'Exh. BGM-3 (2)'!$4:$4,0))</f>
        <v>MONTANA TAX</v>
      </c>
      <c r="I38" s="3">
        <v>-77.236935274999965</v>
      </c>
      <c r="J38" s="3"/>
      <c r="K38" s="3">
        <v>0</v>
      </c>
      <c r="L38" s="3"/>
      <c r="M38" s="3">
        <f t="shared" si="1"/>
        <v>102.66022725309192</v>
      </c>
      <c r="P38" s="3">
        <f t="shared" si="3"/>
        <v>-77.236935274999965</v>
      </c>
      <c r="Q38" s="3"/>
      <c r="R38" s="3">
        <f t="shared" si="4"/>
        <v>0</v>
      </c>
      <c r="S38" s="3"/>
      <c r="T38" s="3">
        <f t="shared" si="2"/>
        <v>102.66022725309192</v>
      </c>
      <c r="W38" s="3">
        <v>0</v>
      </c>
      <c r="X38" s="3"/>
      <c r="Y38" s="3">
        <f t="shared" si="5"/>
        <v>0</v>
      </c>
      <c r="Z38" s="3"/>
      <c r="AA38" s="3">
        <v>0</v>
      </c>
      <c r="AB38" s="5"/>
      <c r="AC38" s="3">
        <f t="shared" si="6"/>
        <v>0</v>
      </c>
      <c r="AE38" s="9"/>
      <c r="AF38" s="9"/>
      <c r="AH38" s="8"/>
      <c r="AI38" s="16"/>
      <c r="AK38" s="10"/>
      <c r="AL38" s="3"/>
      <c r="AO38" s="3">
        <v>102.66022725309192</v>
      </c>
    </row>
    <row r="39" spans="2:41" ht="13.5" x14ac:dyDescent="0.35">
      <c r="B39" s="1">
        <f t="shared" ca="1" si="7"/>
        <v>31</v>
      </c>
      <c r="D39" s="11" t="s">
        <v>152</v>
      </c>
      <c r="F39" s="1" t="str">
        <f>+INDEX('Exh. BGM-3 (2)'!$10:$10,1,MATCH($D39,'Exh. BGM-3 (2)'!$4:$4,0))</f>
        <v>WILD HORSE SOLAR</v>
      </c>
      <c r="I39" s="3">
        <v>167.53056000000001</v>
      </c>
      <c r="J39" s="3"/>
      <c r="K39" s="3">
        <v>-1259.2962500000001</v>
      </c>
      <c r="L39" s="3"/>
      <c r="M39" s="3">
        <f t="shared" si="1"/>
        <v>-343.18890683254585</v>
      </c>
      <c r="P39" s="3">
        <f t="shared" si="3"/>
        <v>167.53056000000001</v>
      </c>
      <c r="Q39" s="3"/>
      <c r="R39" s="3">
        <f t="shared" si="4"/>
        <v>-1259.2962500000001</v>
      </c>
      <c r="S39" s="3"/>
      <c r="T39" s="3">
        <f t="shared" si="2"/>
        <v>-343.18890683254585</v>
      </c>
      <c r="W39" s="3">
        <v>0</v>
      </c>
      <c r="X39" s="3"/>
      <c r="Y39" s="3">
        <f t="shared" si="5"/>
        <v>0</v>
      </c>
      <c r="Z39" s="3"/>
      <c r="AA39" s="3">
        <v>0</v>
      </c>
      <c r="AB39" s="5"/>
      <c r="AC39" s="3">
        <f t="shared" si="6"/>
        <v>0</v>
      </c>
      <c r="AE39" s="9"/>
      <c r="AF39" s="9"/>
      <c r="AH39" s="8"/>
      <c r="AI39" s="16"/>
      <c r="AK39" s="10"/>
      <c r="AL39" s="3"/>
      <c r="AO39" s="3">
        <v>-346.36913807311709</v>
      </c>
    </row>
    <row r="40" spans="2:41" x14ac:dyDescent="0.3">
      <c r="B40" s="1">
        <f t="shared" ca="1" si="7"/>
        <v>32</v>
      </c>
      <c r="D40" s="11" t="s">
        <v>153</v>
      </c>
      <c r="F40" s="1" t="str">
        <f>+INDEX('Exh. BGM-3 (2)'!$10:$10,1,MATCH($D40,'Exh. BGM-3 (2)'!$4:$4,0))</f>
        <v>STORM EXPENSE NORMALIZATION</v>
      </c>
      <c r="I40" s="3">
        <v>-745.89501626666674</v>
      </c>
      <c r="J40" s="3"/>
      <c r="K40" s="3">
        <v>0</v>
      </c>
      <c r="L40" s="3"/>
      <c r="M40" s="3">
        <f t="shared" si="1"/>
        <v>991.41364949613774</v>
      </c>
      <c r="P40" s="3">
        <f t="shared" si="3"/>
        <v>-745.89501626666674</v>
      </c>
      <c r="Q40" s="3"/>
      <c r="R40" s="3">
        <f t="shared" si="4"/>
        <v>0</v>
      </c>
      <c r="S40" s="3"/>
      <c r="T40" s="3">
        <f t="shared" si="2"/>
        <v>991.41364949613774</v>
      </c>
      <c r="W40" s="3">
        <v>0</v>
      </c>
      <c r="X40" s="3"/>
      <c r="Y40" s="3">
        <f t="shared" si="5"/>
        <v>0</v>
      </c>
      <c r="Z40" s="3"/>
      <c r="AA40" s="3">
        <v>0</v>
      </c>
      <c r="AB40" s="5"/>
      <c r="AC40" s="3">
        <f t="shared" si="6"/>
        <v>0</v>
      </c>
      <c r="AE40" s="9"/>
      <c r="AF40" s="9"/>
      <c r="AH40" s="8"/>
      <c r="AI40" s="2" t="s">
        <v>409</v>
      </c>
      <c r="AO40" s="3">
        <v>991.41364949613774</v>
      </c>
    </row>
    <row r="41" spans="2:41" x14ac:dyDescent="0.3">
      <c r="B41" s="1">
        <f t="shared" ca="1" si="7"/>
        <v>33</v>
      </c>
      <c r="D41" s="11" t="s">
        <v>154</v>
      </c>
      <c r="F41" s="1" t="str">
        <f>+INDEX('Exh. BGM-3 (2)'!$10:$10,1,MATCH($D41,'Exh. BGM-3 (2)'!$4:$4,0))</f>
        <v>REGULATORY  ASSETS &amp; LIAB</v>
      </c>
      <c r="I41" s="3">
        <v>0</v>
      </c>
      <c r="J41" s="3"/>
      <c r="K41" s="3">
        <v>0</v>
      </c>
      <c r="L41" s="3"/>
      <c r="M41" s="3">
        <f t="shared" si="1"/>
        <v>0</v>
      </c>
      <c r="P41" s="3">
        <f t="shared" si="3"/>
        <v>0</v>
      </c>
      <c r="Q41" s="3"/>
      <c r="R41" s="3">
        <f t="shared" si="4"/>
        <v>0</v>
      </c>
      <c r="S41" s="3"/>
      <c r="T41" s="3">
        <f t="shared" si="2"/>
        <v>0</v>
      </c>
      <c r="W41" s="3">
        <v>0</v>
      </c>
      <c r="X41" s="3"/>
      <c r="Y41" s="3">
        <f t="shared" si="5"/>
        <v>0</v>
      </c>
      <c r="Z41" s="3"/>
      <c r="AA41" s="3">
        <v>0</v>
      </c>
      <c r="AB41" s="5"/>
      <c r="AC41" s="3">
        <f t="shared" si="6"/>
        <v>0</v>
      </c>
      <c r="AE41" s="9"/>
      <c r="AF41" s="9"/>
      <c r="AH41" s="8"/>
      <c r="AO41" s="3">
        <v>0</v>
      </c>
    </row>
    <row r="42" spans="2:41" x14ac:dyDescent="0.3">
      <c r="B42" s="1">
        <f t="shared" ca="1" si="7"/>
        <v>34</v>
      </c>
      <c r="D42" s="11" t="s">
        <v>155</v>
      </c>
      <c r="F42" s="1" t="str">
        <f>+INDEX('Exh. BGM-3 (2)'!$10:$10,1,MATCH($D42,'Exh. BGM-3 (2)'!$4:$4,0))</f>
        <v>GREEN DIRECT</v>
      </c>
      <c r="I42" s="3">
        <v>78.257771299999987</v>
      </c>
      <c r="J42" s="3"/>
      <c r="K42" s="3">
        <v>-261.47068089999999</v>
      </c>
      <c r="L42" s="3"/>
      <c r="M42" s="3">
        <f t="shared" si="1"/>
        <v>-129.03969578829143</v>
      </c>
      <c r="P42" s="3">
        <f t="shared" si="3"/>
        <v>78.257771299999987</v>
      </c>
      <c r="Q42" s="3"/>
      <c r="R42" s="3">
        <f t="shared" si="4"/>
        <v>-261.47068089999999</v>
      </c>
      <c r="S42" s="3"/>
      <c r="T42" s="3">
        <f t="shared" si="2"/>
        <v>-129.03969578829143</v>
      </c>
      <c r="W42" s="3">
        <v>0</v>
      </c>
      <c r="X42" s="3"/>
      <c r="Y42" s="3">
        <f t="shared" si="5"/>
        <v>0</v>
      </c>
      <c r="Z42" s="3"/>
      <c r="AA42" s="3">
        <v>0</v>
      </c>
      <c r="AB42" s="5"/>
      <c r="AC42" s="3">
        <f t="shared" si="6"/>
        <v>0</v>
      </c>
      <c r="AE42" s="9"/>
      <c r="AF42" s="9"/>
      <c r="AH42" s="8"/>
      <c r="AI42" s="27" t="s">
        <v>13</v>
      </c>
      <c r="AJ42" s="26" t="s">
        <v>10</v>
      </c>
      <c r="AK42" s="26"/>
      <c r="AL42" s="25" t="s">
        <v>9</v>
      </c>
      <c r="AO42" s="3">
        <v>-129.7000147782762</v>
      </c>
    </row>
    <row r="43" spans="2:41" x14ac:dyDescent="0.3">
      <c r="B43" s="1">
        <f t="shared" ca="1" si="7"/>
        <v>35</v>
      </c>
      <c r="D43" s="11" t="s">
        <v>156</v>
      </c>
      <c r="F43" s="1" t="str">
        <f>+INDEX('Exh. BGM-3 (2)'!$10:$10,1,MATCH($D43,'Exh. BGM-3 (2)'!$4:$4,0))</f>
        <v>STORM DEFERRAL AMORTIZATION</v>
      </c>
      <c r="I43" s="3">
        <v>789.96653717999777</v>
      </c>
      <c r="J43" s="3"/>
      <c r="K43" s="3">
        <v>0</v>
      </c>
      <c r="L43" s="3"/>
      <c r="M43" s="3">
        <f t="shared" si="1"/>
        <v>-1049.9917421695845</v>
      </c>
      <c r="P43" s="3">
        <f t="shared" si="3"/>
        <v>789.96653717999777</v>
      </c>
      <c r="Q43" s="3"/>
      <c r="R43" s="3">
        <f t="shared" si="4"/>
        <v>0</v>
      </c>
      <c r="S43" s="3"/>
      <c r="T43" s="3">
        <f t="shared" si="2"/>
        <v>-1049.9917421695845</v>
      </c>
      <c r="W43" s="3">
        <v>0</v>
      </c>
      <c r="X43" s="3"/>
      <c r="Y43" s="3">
        <f t="shared" si="5"/>
        <v>0</v>
      </c>
      <c r="Z43" s="3"/>
      <c r="AA43" s="3">
        <v>0</v>
      </c>
      <c r="AB43" s="5"/>
      <c r="AC43" s="3">
        <f t="shared" si="6"/>
        <v>0</v>
      </c>
      <c r="AE43" s="9"/>
      <c r="AF43" s="9"/>
      <c r="AH43" s="8"/>
      <c r="AI43" s="20" t="s">
        <v>8</v>
      </c>
      <c r="AJ43" s="18" t="s">
        <v>7</v>
      </c>
      <c r="AK43" s="18" t="s">
        <v>6</v>
      </c>
      <c r="AL43" s="24" t="s">
        <v>6</v>
      </c>
      <c r="AO43" s="3">
        <v>-1049.9917421695845</v>
      </c>
    </row>
    <row r="44" spans="2:41" x14ac:dyDescent="0.3">
      <c r="B44" s="1">
        <f t="shared" ca="1" si="7"/>
        <v>36</v>
      </c>
      <c r="D44" s="11" t="s">
        <v>157</v>
      </c>
      <c r="F44" s="1" t="str">
        <f>+INDEX('Exh. BGM-3 (2)'!$10:$10,1,MATCH($D44,'Exh. BGM-3 (2)'!$4:$4,0))</f>
        <v>ELECTRIC VEHICLES</v>
      </c>
      <c r="I44" s="3">
        <v>0</v>
      </c>
      <c r="J44" s="3"/>
      <c r="K44" s="3">
        <v>0</v>
      </c>
      <c r="L44" s="3"/>
      <c r="M44" s="3">
        <f t="shared" si="1"/>
        <v>0</v>
      </c>
      <c r="P44" s="3">
        <f t="shared" si="3"/>
        <v>0</v>
      </c>
      <c r="Q44" s="3"/>
      <c r="R44" s="3">
        <f t="shared" si="4"/>
        <v>0</v>
      </c>
      <c r="S44" s="3"/>
      <c r="T44" s="3">
        <f t="shared" si="2"/>
        <v>0</v>
      </c>
      <c r="W44" s="3">
        <v>0</v>
      </c>
      <c r="X44" s="3"/>
      <c r="Y44" s="3">
        <f t="shared" si="5"/>
        <v>0</v>
      </c>
      <c r="Z44" s="3"/>
      <c r="AA44" s="3">
        <v>0</v>
      </c>
      <c r="AB44" s="5"/>
      <c r="AC44" s="3">
        <f t="shared" si="6"/>
        <v>0</v>
      </c>
      <c r="AE44" s="9"/>
      <c r="AF44" s="9"/>
      <c r="AH44" s="8"/>
      <c r="AI44" s="22" t="s">
        <v>5</v>
      </c>
      <c r="AJ44" s="21">
        <v>0.51</v>
      </c>
      <c r="AK44" s="21">
        <f>+AK29</f>
        <v>4.9799999999999997E-2</v>
      </c>
      <c r="AL44" s="23">
        <f>ROUND(AJ44*AK44,4)</f>
        <v>2.5399999999999999E-2</v>
      </c>
      <c r="AO44" s="3">
        <v>0</v>
      </c>
    </row>
    <row r="45" spans="2:41" x14ac:dyDescent="0.3">
      <c r="B45" s="1">
        <f t="shared" ca="1" si="7"/>
        <v>37</v>
      </c>
      <c r="D45" s="11" t="s">
        <v>158</v>
      </c>
      <c r="F45" s="1" t="str">
        <f>+INDEX('Exh. BGM-3 (2)'!$10:$10,1,MATCH($D45,'Exh. BGM-3 (2)'!$4:$4,0))</f>
        <v>COLSTRIP D&amp;R TRACKER</v>
      </c>
      <c r="I45" s="3">
        <v>0</v>
      </c>
      <c r="J45" s="3"/>
      <c r="K45" s="3">
        <v>0</v>
      </c>
      <c r="L45" s="3"/>
      <c r="M45" s="3">
        <f t="shared" si="1"/>
        <v>0</v>
      </c>
      <c r="P45" s="3">
        <f t="shared" si="3"/>
        <v>0</v>
      </c>
      <c r="Q45" s="3"/>
      <c r="R45" s="3">
        <f t="shared" si="4"/>
        <v>0</v>
      </c>
      <c r="S45" s="3"/>
      <c r="T45" s="3">
        <f t="shared" si="2"/>
        <v>0</v>
      </c>
      <c r="W45" s="3">
        <v>0</v>
      </c>
      <c r="X45" s="3"/>
      <c r="Y45" s="3">
        <f t="shared" si="5"/>
        <v>0</v>
      </c>
      <c r="Z45" s="3"/>
      <c r="AA45" s="3">
        <v>0</v>
      </c>
      <c r="AB45" s="5"/>
      <c r="AC45" s="3">
        <f t="shared" si="6"/>
        <v>0</v>
      </c>
      <c r="AE45" s="9"/>
      <c r="AF45" s="9"/>
      <c r="AH45" s="8"/>
      <c r="AI45" s="22" t="s">
        <v>4</v>
      </c>
      <c r="AJ45" s="19">
        <f>1-AJ44</f>
        <v>0.49</v>
      </c>
      <c r="AK45" s="21">
        <v>9.5000000000000001E-2</v>
      </c>
      <c r="AL45" s="17">
        <f>ROUND(AJ45*AK45,4)</f>
        <v>4.6600000000000003E-2</v>
      </c>
      <c r="AO45" s="3">
        <v>0</v>
      </c>
    </row>
    <row r="46" spans="2:41" x14ac:dyDescent="0.3">
      <c r="B46" s="1">
        <f t="shared" ca="1" si="7"/>
        <v>38</v>
      </c>
      <c r="D46" s="11" t="s">
        <v>159</v>
      </c>
      <c r="F46" s="1" t="str">
        <f>+INDEX('Exh. BGM-3 (2)'!$10:$10,1,MATCH($D46,'Exh. BGM-3 (2)'!$4:$4,0))</f>
        <v>OPEN 3</v>
      </c>
      <c r="I46" s="3">
        <v>0</v>
      </c>
      <c r="J46" s="3"/>
      <c r="K46" s="3">
        <v>0</v>
      </c>
      <c r="L46" s="3"/>
      <c r="M46" s="3">
        <f t="shared" si="1"/>
        <v>0</v>
      </c>
      <c r="P46" s="3">
        <f t="shared" si="3"/>
        <v>0</v>
      </c>
      <c r="Q46" s="3"/>
      <c r="R46" s="3">
        <f t="shared" si="4"/>
        <v>0</v>
      </c>
      <c r="S46" s="3"/>
      <c r="T46" s="3">
        <f t="shared" si="2"/>
        <v>0</v>
      </c>
      <c r="W46" s="3">
        <v>0</v>
      </c>
      <c r="X46" s="3"/>
      <c r="Y46" s="3">
        <f t="shared" si="5"/>
        <v>0</v>
      </c>
      <c r="Z46" s="3"/>
      <c r="AA46" s="3">
        <v>0</v>
      </c>
      <c r="AB46" s="5"/>
      <c r="AC46" s="3">
        <f t="shared" si="6"/>
        <v>0</v>
      </c>
      <c r="AE46" s="9"/>
      <c r="AF46" s="9"/>
      <c r="AH46" s="8"/>
      <c r="AI46" s="20" t="s">
        <v>3</v>
      </c>
      <c r="AJ46" s="19">
        <v>1</v>
      </c>
      <c r="AK46" s="18"/>
      <c r="AL46" s="17">
        <f>+SUM(AL44:AL45)</f>
        <v>7.2000000000000008E-2</v>
      </c>
      <c r="AO46" s="3">
        <v>0</v>
      </c>
    </row>
    <row r="47" spans="2:41" x14ac:dyDescent="0.3">
      <c r="B47" s="1">
        <f t="shared" ca="1" si="7"/>
        <v>39</v>
      </c>
      <c r="D47" s="11" t="s">
        <v>160</v>
      </c>
      <c r="F47" s="1" t="str">
        <f>+INDEX('Exh. BGM-3 (2)'!$10:$10,1,MATCH($D47,'Exh. BGM-3 (2)'!$4:$4,0))</f>
        <v>MONETIZE PTCS FOR COLSTRIP</v>
      </c>
      <c r="I47" s="3">
        <v>0</v>
      </c>
      <c r="J47" s="3"/>
      <c r="K47" s="3">
        <v>0</v>
      </c>
      <c r="L47" s="3"/>
      <c r="M47" s="3">
        <f t="shared" si="1"/>
        <v>0</v>
      </c>
      <c r="P47" s="3">
        <f t="shared" si="3"/>
        <v>0</v>
      </c>
      <c r="Q47" s="3"/>
      <c r="R47" s="3">
        <f t="shared" si="4"/>
        <v>0</v>
      </c>
      <c r="S47" s="3"/>
      <c r="T47" s="3">
        <f t="shared" si="2"/>
        <v>0</v>
      </c>
      <c r="W47" s="3">
        <v>0</v>
      </c>
      <c r="X47" s="3"/>
      <c r="Y47" s="3">
        <f t="shared" si="5"/>
        <v>0</v>
      </c>
      <c r="Z47" s="3"/>
      <c r="AA47" s="3">
        <v>0</v>
      </c>
      <c r="AB47" s="5"/>
      <c r="AC47" s="3">
        <f t="shared" si="6"/>
        <v>0</v>
      </c>
      <c r="AE47" s="9"/>
      <c r="AF47" s="9"/>
      <c r="AH47" s="8"/>
      <c r="AO47" s="3">
        <v>0</v>
      </c>
    </row>
    <row r="48" spans="2:41" x14ac:dyDescent="0.3">
      <c r="B48" s="1">
        <f t="shared" ca="1" si="7"/>
        <v>40</v>
      </c>
      <c r="D48" s="11" t="s">
        <v>161</v>
      </c>
      <c r="F48" s="1" t="str">
        <f>+INDEX('Exh. BGM-3 (2)'!$10:$10,1,MATCH($D48,'Exh. BGM-3 (2)'!$4:$4,0))</f>
        <v>ACQUISITION ADJUSTMENT</v>
      </c>
      <c r="I48" s="3">
        <v>0</v>
      </c>
      <c r="J48" s="3"/>
      <c r="K48" s="3">
        <v>0</v>
      </c>
      <c r="L48" s="3"/>
      <c r="M48" s="3">
        <f t="shared" si="1"/>
        <v>0</v>
      </c>
      <c r="P48" s="3">
        <f t="shared" si="3"/>
        <v>0</v>
      </c>
      <c r="Q48" s="3"/>
      <c r="R48" s="3">
        <f t="shared" si="4"/>
        <v>0</v>
      </c>
      <c r="S48" s="3"/>
      <c r="T48" s="3">
        <f t="shared" si="2"/>
        <v>0</v>
      </c>
      <c r="W48" s="3">
        <v>0</v>
      </c>
      <c r="X48" s="3"/>
      <c r="Y48" s="3">
        <f t="shared" si="5"/>
        <v>0</v>
      </c>
      <c r="Z48" s="3"/>
      <c r="AA48" s="3">
        <v>0</v>
      </c>
      <c r="AB48" s="5"/>
      <c r="AC48" s="3">
        <f t="shared" si="6"/>
        <v>0</v>
      </c>
      <c r="AE48" s="9"/>
      <c r="AF48" s="9"/>
      <c r="AH48" s="8"/>
      <c r="AI48" s="27" t="s">
        <v>11</v>
      </c>
      <c r="AJ48" s="26" t="s">
        <v>10</v>
      </c>
      <c r="AK48" s="26"/>
      <c r="AL48" s="25" t="s">
        <v>9</v>
      </c>
      <c r="AO48" s="3">
        <v>0</v>
      </c>
    </row>
    <row r="49" spans="2:42" x14ac:dyDescent="0.3">
      <c r="B49" s="222">
        <f t="shared" ca="1" si="7"/>
        <v>41</v>
      </c>
      <c r="C49" s="222"/>
      <c r="D49" s="224" t="s">
        <v>1051</v>
      </c>
      <c r="E49" s="222"/>
      <c r="F49" s="222" t="str">
        <f>+INDEX('Exh. BGM-3 (2)'!$10:$10,1,MATCH($D49,'Exh. BGM-3 (2)'!$4:$4,0))</f>
        <v>MONETIZED PTC IN ISWC</v>
      </c>
      <c r="G49" s="225"/>
      <c r="H49" s="225"/>
      <c r="I49" s="226">
        <v>0</v>
      </c>
      <c r="J49" s="226"/>
      <c r="K49" s="226">
        <v>0</v>
      </c>
      <c r="L49" s="226"/>
      <c r="M49" s="226">
        <f t="shared" si="1"/>
        <v>0</v>
      </c>
      <c r="N49" s="225"/>
      <c r="O49" s="222"/>
      <c r="P49" s="226">
        <f t="shared" ref="P49" si="8">+I49+Y49</f>
        <v>0</v>
      </c>
      <c r="Q49" s="226"/>
      <c r="R49" s="226">
        <f t="shared" ref="R49" si="9">+K49+AA49</f>
        <v>-10412.255885072351</v>
      </c>
      <c r="S49" s="226"/>
      <c r="T49" s="226">
        <f t="shared" si="2"/>
        <v>-996.44771912888109</v>
      </c>
      <c r="U49" s="222"/>
      <c r="V49" s="222"/>
      <c r="W49" s="226">
        <v>0</v>
      </c>
      <c r="X49" s="226"/>
      <c r="Y49" s="226">
        <f t="shared" ref="Y49" si="10">+W49*(1-$AJ$5)</f>
        <v>0</v>
      </c>
      <c r="Z49" s="226"/>
      <c r="AA49" s="226">
        <f>+'Exh. BGM-3 (2)'!AP55/1000</f>
        <v>-10412.255885072351</v>
      </c>
      <c r="AB49" s="227"/>
      <c r="AC49" s="226">
        <f t="shared" ref="AC49" si="11">+T49-M49</f>
        <v>-996.44771912888109</v>
      </c>
      <c r="AD49" s="225"/>
      <c r="AE49" s="232" t="s">
        <v>1025</v>
      </c>
      <c r="AF49" s="9"/>
      <c r="AH49" s="8"/>
      <c r="AI49" s="27" t="s">
        <v>11</v>
      </c>
      <c r="AJ49" s="26" t="s">
        <v>10</v>
      </c>
      <c r="AK49" s="26"/>
      <c r="AL49" s="25" t="s">
        <v>9</v>
      </c>
      <c r="AO49" s="3">
        <v>0</v>
      </c>
    </row>
    <row r="50" spans="2:42" x14ac:dyDescent="0.3">
      <c r="I50" s="3"/>
      <c r="J50" s="3"/>
      <c r="K50" s="3"/>
      <c r="L50" s="3"/>
      <c r="M50" s="3"/>
      <c r="P50" s="3"/>
      <c r="Q50" s="3"/>
      <c r="R50" s="3"/>
      <c r="S50" s="3"/>
      <c r="T50" s="3"/>
      <c r="W50" s="3"/>
      <c r="X50" s="3"/>
      <c r="Y50" s="3"/>
      <c r="Z50" s="3"/>
      <c r="AA50" s="3"/>
      <c r="AB50" s="5"/>
      <c r="AC50" s="3"/>
      <c r="AE50" s="9"/>
      <c r="AF50" s="9"/>
      <c r="AH50" s="8"/>
      <c r="AI50" s="20" t="s">
        <v>8</v>
      </c>
      <c r="AJ50" s="18" t="s">
        <v>7</v>
      </c>
      <c r="AK50" s="18" t="s">
        <v>6</v>
      </c>
      <c r="AL50" s="24" t="s">
        <v>6</v>
      </c>
      <c r="AO50" s="3"/>
    </row>
    <row r="51" spans="2:42" x14ac:dyDescent="0.3">
      <c r="D51" s="11"/>
      <c r="I51" s="14"/>
      <c r="J51" s="6"/>
      <c r="K51" s="14"/>
      <c r="L51" s="6"/>
      <c r="M51" s="14"/>
      <c r="O51" s="7"/>
      <c r="P51" s="14"/>
      <c r="Q51" s="6"/>
      <c r="R51" s="14"/>
      <c r="S51" s="6"/>
      <c r="T51" s="14"/>
      <c r="W51" s="14"/>
      <c r="X51" s="3"/>
      <c r="Y51" s="14"/>
      <c r="Z51" s="3"/>
      <c r="AA51" s="14"/>
      <c r="AB51" s="5"/>
      <c r="AC51" s="14"/>
      <c r="AE51" s="9"/>
      <c r="AF51" s="9"/>
      <c r="AH51" s="8"/>
      <c r="AI51" s="22" t="s">
        <v>5</v>
      </c>
      <c r="AJ51" s="21">
        <v>0.5</v>
      </c>
      <c r="AK51" s="21">
        <v>5.0799999999999998E-2</v>
      </c>
      <c r="AL51" s="23">
        <f>ROUND(AJ51*AK51,4)</f>
        <v>2.5399999999999999E-2</v>
      </c>
      <c r="AO51" s="14"/>
    </row>
    <row r="52" spans="2:42" x14ac:dyDescent="0.3">
      <c r="D52" s="11"/>
      <c r="F52" s="7" t="s">
        <v>2</v>
      </c>
      <c r="I52" s="6">
        <f>+SUM(I$7:I$51)</f>
        <v>382941.18127585226</v>
      </c>
      <c r="J52" s="6"/>
      <c r="K52" s="6">
        <f>+SUM(K$7:K$51)</f>
        <v>5356913.6321446234</v>
      </c>
      <c r="L52" s="6"/>
      <c r="M52" s="6">
        <f>+($K52*$AL$16-$I52)/$AJ$4</f>
        <v>3663.9621436166422</v>
      </c>
      <c r="O52" s="7"/>
      <c r="P52" s="6">
        <f>+SUM(P$7:P$51)</f>
        <v>382941.18127585226</v>
      </c>
      <c r="Q52" s="6"/>
      <c r="R52" s="6">
        <f>+SUM(R$7:R$51)</f>
        <v>5346501.3762595514</v>
      </c>
      <c r="S52" s="6"/>
      <c r="T52" s="6">
        <f>+($R52*$AL$16-$P52)/$AJ$4</f>
        <v>2667.5144244877733</v>
      </c>
      <c r="W52" s="6">
        <f>+SUM(W$7:W$51)</f>
        <v>0</v>
      </c>
      <c r="X52" s="3"/>
      <c r="Y52" s="6">
        <f>+SUM(Y$7:Y$51)</f>
        <v>0</v>
      </c>
      <c r="Z52" s="3"/>
      <c r="AA52" s="6">
        <f>+SUM(AA$7:AA$51)</f>
        <v>-10412.255885072351</v>
      </c>
      <c r="AB52" s="5"/>
      <c r="AC52" s="6">
        <f>+SUM(AC$7:AC$51)</f>
        <v>-996.44771912888109</v>
      </c>
      <c r="AE52" s="9"/>
      <c r="AF52" s="9"/>
      <c r="AH52" s="8"/>
      <c r="AI52" s="22" t="s">
        <v>4</v>
      </c>
      <c r="AJ52" s="19">
        <f>1-AJ51</f>
        <v>0.5</v>
      </c>
      <c r="AK52" s="21">
        <v>9.9000000000000005E-2</v>
      </c>
      <c r="AL52" s="17">
        <f>ROUND(AJ52*AK52,4)</f>
        <v>4.9500000000000002E-2</v>
      </c>
      <c r="AO52" s="6">
        <v>17192.330933715308</v>
      </c>
      <c r="AP52" s="6">
        <f>+M52-AO52</f>
        <v>-13528.368790098666</v>
      </c>
    </row>
    <row r="53" spans="2:42" x14ac:dyDescent="0.3">
      <c r="D53" s="11"/>
      <c r="I53" s="3"/>
      <c r="J53" s="3"/>
      <c r="K53" s="3"/>
      <c r="L53" s="3"/>
      <c r="M53" s="3"/>
      <c r="P53" s="3"/>
      <c r="Q53" s="3"/>
      <c r="R53" s="201"/>
      <c r="S53" s="202" t="s">
        <v>671</v>
      </c>
      <c r="T53" s="201">
        <f>+T52-'Exh. BGM-3 (2)'!AS70/1000</f>
        <v>-1.4506440493278205E-10</v>
      </c>
      <c r="W53" s="3"/>
      <c r="X53" s="3"/>
      <c r="Y53" s="3"/>
      <c r="Z53" s="3"/>
      <c r="AA53" s="3"/>
      <c r="AB53" s="5"/>
      <c r="AC53" s="3"/>
      <c r="AE53" s="9"/>
      <c r="AF53" s="9"/>
      <c r="AH53" s="8"/>
      <c r="AI53" s="20" t="s">
        <v>3</v>
      </c>
      <c r="AJ53" s="19">
        <v>1</v>
      </c>
      <c r="AK53" s="18"/>
      <c r="AL53" s="17">
        <f>+SUM(AL51:AL52)</f>
        <v>7.4899999999999994E-2</v>
      </c>
      <c r="AO53" s="3"/>
    </row>
    <row r="54" spans="2:42" x14ac:dyDescent="0.3">
      <c r="B54" s="15" t="s">
        <v>1</v>
      </c>
      <c r="D54" s="11"/>
      <c r="I54" s="3"/>
      <c r="J54" s="3"/>
      <c r="K54" s="3"/>
      <c r="L54" s="3"/>
      <c r="M54" s="3"/>
      <c r="P54" s="3"/>
      <c r="Q54" s="3"/>
      <c r="R54" s="3"/>
      <c r="S54" s="3"/>
      <c r="T54" s="3"/>
      <c r="W54" s="3"/>
      <c r="X54" s="3"/>
      <c r="Y54" s="3"/>
      <c r="Z54" s="3"/>
      <c r="AA54" s="3"/>
      <c r="AB54" s="5"/>
      <c r="AC54" s="3"/>
      <c r="AE54" s="9"/>
      <c r="AF54" s="9"/>
      <c r="AH54" s="8"/>
      <c r="AI54" s="1"/>
      <c r="AK54" s="173"/>
      <c r="AL54" s="174"/>
      <c r="AO54" s="3"/>
    </row>
    <row r="55" spans="2:42" x14ac:dyDescent="0.3">
      <c r="B55" s="1">
        <f ca="1">+MAX(OFFSET($B$7,0,0,ROW($B55)-ROW($B$7),1))+1</f>
        <v>42</v>
      </c>
      <c r="D55" s="11" t="s">
        <v>162</v>
      </c>
      <c r="F55" s="1" t="str">
        <f>+INDEX('Exh. BGM-3 (2)'!$10:$10,1,MATCH($D55,'Exh. BGM-3 (2)'!$4:$4,0))</f>
        <v>REVENUES AND EXPENSES</v>
      </c>
      <c r="I55" s="3">
        <v>-5900.3499228287628</v>
      </c>
      <c r="J55" s="3"/>
      <c r="K55" s="3">
        <v>0</v>
      </c>
      <c r="L55" s="3"/>
      <c r="M55" s="3">
        <f t="shared" ref="M55:M100" si="12">+($K55*$AL$16-$I55)/$AJ$4</f>
        <v>7842.5077560842456</v>
      </c>
      <c r="P55" s="3">
        <f t="shared" ref="P55:P98" si="13">+I55+Y55</f>
        <v>-5900.3499228287628</v>
      </c>
      <c r="Q55" s="3"/>
      <c r="R55" s="3">
        <f t="shared" ref="R55:R98" si="14">+K55+AA55</f>
        <v>0</v>
      </c>
      <c r="S55" s="3"/>
      <c r="T55" s="3">
        <f t="shared" ref="T55:T100" si="15">+($R55*$AL$16-$P55)/$AJ$4</f>
        <v>7842.5077560842456</v>
      </c>
      <c r="W55" s="3">
        <v>0</v>
      </c>
      <c r="X55" s="3"/>
      <c r="Y55" s="3">
        <f t="shared" ref="Y55:Y98" si="16">+W55*(1-$AJ$5)</f>
        <v>0</v>
      </c>
      <c r="Z55" s="3"/>
      <c r="AA55" s="3">
        <v>0</v>
      </c>
      <c r="AB55" s="5"/>
      <c r="AC55" s="3">
        <f t="shared" ref="AC55:AC98" si="17">+T55-M55</f>
        <v>0</v>
      </c>
      <c r="AE55" s="9"/>
      <c r="AF55" s="9"/>
      <c r="AH55" s="8"/>
      <c r="AI55" s="1"/>
      <c r="AK55" s="135"/>
      <c r="AL55" s="175"/>
      <c r="AO55" s="3">
        <v>7842.5077560842456</v>
      </c>
    </row>
    <row r="56" spans="2:42" x14ac:dyDescent="0.3">
      <c r="B56" s="1">
        <f ca="1">+MAX(OFFSET($B$7,0,0,ROW($B56)-ROW($B$7),1))+1</f>
        <v>43</v>
      </c>
      <c r="D56" s="11" t="s">
        <v>163</v>
      </c>
      <c r="F56" s="1" t="str">
        <f>+INDEX('Exh. BGM-3 (2)'!$10:$10,1,MATCH($D56,'Exh. BGM-3 (2)'!$4:$4,0))</f>
        <v>PASS-THROUGH REVENUE &amp; EXPENSE</v>
      </c>
      <c r="I56" s="3">
        <v>0</v>
      </c>
      <c r="J56" s="3"/>
      <c r="K56" s="3">
        <v>0</v>
      </c>
      <c r="L56" s="3"/>
      <c r="M56" s="3">
        <f t="shared" si="12"/>
        <v>0</v>
      </c>
      <c r="P56" s="3">
        <f t="shared" si="13"/>
        <v>0</v>
      </c>
      <c r="Q56" s="3"/>
      <c r="R56" s="3">
        <f t="shared" si="14"/>
        <v>0</v>
      </c>
      <c r="S56" s="3"/>
      <c r="T56" s="3">
        <f t="shared" si="15"/>
        <v>0</v>
      </c>
      <c r="W56" s="3">
        <v>0</v>
      </c>
      <c r="X56" s="3"/>
      <c r="Y56" s="3">
        <f t="shared" si="16"/>
        <v>0</v>
      </c>
      <c r="Z56" s="3"/>
      <c r="AA56" s="3">
        <v>0</v>
      </c>
      <c r="AB56" s="5"/>
      <c r="AC56" s="3">
        <f t="shared" si="17"/>
        <v>0</v>
      </c>
      <c r="AE56" s="9"/>
      <c r="AF56" s="9"/>
      <c r="AH56" s="8"/>
      <c r="AI56" s="1"/>
      <c r="AK56" s="135"/>
      <c r="AL56" s="174"/>
      <c r="AO56" s="3">
        <v>0</v>
      </c>
    </row>
    <row r="57" spans="2:42" x14ac:dyDescent="0.3">
      <c r="B57" s="1">
        <f ca="1">+MAX(OFFSET($B$7,0,0,ROW($B57)-ROW($B$7),1))+1</f>
        <v>44</v>
      </c>
      <c r="D57" s="11" t="s">
        <v>164</v>
      </c>
      <c r="F57" s="1" t="str">
        <f>+INDEX('Exh. BGM-3 (2)'!$10:$10,1,MATCH($D57,'Exh. BGM-3 (2)'!$4:$4,0))</f>
        <v>TEMPERATURE NORMALIZATION</v>
      </c>
      <c r="I57" s="3">
        <v>0</v>
      </c>
      <c r="J57" s="3"/>
      <c r="K57" s="3">
        <v>0</v>
      </c>
      <c r="L57" s="3"/>
      <c r="M57" s="3">
        <f t="shared" si="12"/>
        <v>0</v>
      </c>
      <c r="P57" s="3">
        <f t="shared" si="13"/>
        <v>0</v>
      </c>
      <c r="Q57" s="3"/>
      <c r="R57" s="3">
        <f t="shared" si="14"/>
        <v>0</v>
      </c>
      <c r="S57" s="3"/>
      <c r="T57" s="3">
        <f t="shared" si="15"/>
        <v>0</v>
      </c>
      <c r="W57" s="3">
        <v>0</v>
      </c>
      <c r="X57" s="3"/>
      <c r="Y57" s="3">
        <f t="shared" si="16"/>
        <v>0</v>
      </c>
      <c r="Z57" s="3"/>
      <c r="AA57" s="3">
        <v>0</v>
      </c>
      <c r="AB57" s="5"/>
      <c r="AC57" s="3">
        <f t="shared" si="17"/>
        <v>0</v>
      </c>
      <c r="AE57" s="9"/>
      <c r="AF57" s="9"/>
      <c r="AH57" s="8"/>
      <c r="AI57" s="1"/>
      <c r="AK57" s="135"/>
      <c r="AL57" s="174"/>
      <c r="AO57" s="3">
        <v>0</v>
      </c>
    </row>
    <row r="58" spans="2:42" x14ac:dyDescent="0.3">
      <c r="B58" s="1">
        <f ca="1">+MAX(OFFSET($B$7,0,0,ROW($B58)-ROW($B$7),1))+1</f>
        <v>45</v>
      </c>
      <c r="D58" s="11" t="s">
        <v>165</v>
      </c>
      <c r="F58" s="1" t="str">
        <f>+INDEX('Exh. BGM-3 (2)'!$10:$10,1,MATCH($D58,'Exh. BGM-3 (2)'!$4:$4,0))</f>
        <v>FEDERAL INCOME TAX</v>
      </c>
      <c r="I58" s="3">
        <v>454.42419965512397</v>
      </c>
      <c r="J58" s="3"/>
      <c r="K58" s="3">
        <v>10695.828339366197</v>
      </c>
      <c r="L58" s="3"/>
      <c r="M58" s="3">
        <f t="shared" si="12"/>
        <v>419.5830967817617</v>
      </c>
      <c r="P58" s="3">
        <f t="shared" si="13"/>
        <v>454.42419965512397</v>
      </c>
      <c r="Q58" s="3"/>
      <c r="R58" s="3">
        <f t="shared" si="14"/>
        <v>10695.828339366197</v>
      </c>
      <c r="S58" s="3"/>
      <c r="T58" s="3">
        <f t="shared" si="15"/>
        <v>419.5830967817617</v>
      </c>
      <c r="W58" s="3">
        <v>0</v>
      </c>
      <c r="X58" s="3"/>
      <c r="Y58" s="3">
        <f t="shared" si="16"/>
        <v>0</v>
      </c>
      <c r="Z58" s="3"/>
      <c r="AA58" s="3">
        <v>0</v>
      </c>
      <c r="AB58" s="5"/>
      <c r="AC58" s="3">
        <f t="shared" si="17"/>
        <v>0</v>
      </c>
      <c r="AE58" s="9"/>
      <c r="AF58" s="9"/>
      <c r="AH58" s="8"/>
      <c r="AI58" s="1"/>
      <c r="AK58" s="135"/>
      <c r="AL58" s="174"/>
      <c r="AO58" s="3">
        <v>446.59437981277171</v>
      </c>
    </row>
    <row r="59" spans="2:42" x14ac:dyDescent="0.3">
      <c r="B59" s="222">
        <f ca="1">+MAX(OFFSET($B$7,0,0,ROW($B59)-ROW($B$7),1))+1</f>
        <v>46</v>
      </c>
      <c r="C59" s="222"/>
      <c r="D59" s="224" t="s">
        <v>166</v>
      </c>
      <c r="E59" s="222"/>
      <c r="F59" s="222" t="str">
        <f>+INDEX('Exh. BGM-3 (2)'!$10:$10,1,MATCH($D59,'Exh. BGM-3 (2)'!$4:$4,0))</f>
        <v>TAX BENEFIT OF INTEREST</v>
      </c>
      <c r="G59" s="225"/>
      <c r="H59" s="225"/>
      <c r="I59" s="226">
        <v>813.87983982504659</v>
      </c>
      <c r="J59" s="226"/>
      <c r="K59" s="226">
        <v>0</v>
      </c>
      <c r="L59" s="226"/>
      <c r="M59" s="226">
        <f t="shared" si="12"/>
        <v>-1081.7763420526833</v>
      </c>
      <c r="N59" s="225"/>
      <c r="O59" s="222"/>
      <c r="P59" s="226">
        <f t="shared" si="13"/>
        <v>809.13734002525064</v>
      </c>
      <c r="Q59" s="226"/>
      <c r="R59" s="226">
        <f t="shared" si="14"/>
        <v>0</v>
      </c>
      <c r="S59" s="226"/>
      <c r="T59" s="226">
        <f t="shared" si="15"/>
        <v>-1075.4728021017347</v>
      </c>
      <c r="U59" s="222"/>
      <c r="V59" s="222"/>
      <c r="W59" s="226">
        <v>0</v>
      </c>
      <c r="X59" s="226"/>
      <c r="Y59" s="226">
        <f>+SUM(AA60:AA100)*$AL$14*$AJ$5</f>
        <v>-4.7424997997959624</v>
      </c>
      <c r="Z59" s="226"/>
      <c r="AA59" s="226">
        <v>0</v>
      </c>
      <c r="AB59" s="227"/>
      <c r="AC59" s="226">
        <f t="shared" si="17"/>
        <v>6.3035399509485615</v>
      </c>
      <c r="AD59" s="225"/>
      <c r="AE59" s="232" t="s">
        <v>1065</v>
      </c>
      <c r="AF59" s="9"/>
      <c r="AH59" s="8"/>
      <c r="AI59" s="1"/>
      <c r="AK59" s="135"/>
      <c r="AL59" s="174"/>
      <c r="AO59" s="3">
        <v>-1081.7763420526833</v>
      </c>
    </row>
    <row r="60" spans="2:42" x14ac:dyDescent="0.3">
      <c r="B60" s="1">
        <f t="shared" ref="B60:B100" ca="1" si="18">+MAX(OFFSET($B$7,0,0,ROW($B60)-ROW($B$7),1))+1</f>
        <v>47</v>
      </c>
      <c r="D60" s="11" t="s">
        <v>167</v>
      </c>
      <c r="F60" s="1" t="str">
        <f>+INDEX('Exh. BGM-3 (2)'!$10:$10,1,MATCH($D60,'Exh. BGM-3 (2)'!$4:$4,0))</f>
        <v>BAD DEBT EXPENSE</v>
      </c>
      <c r="I60" s="3">
        <v>0</v>
      </c>
      <c r="J60" s="3"/>
      <c r="K60" s="3">
        <v>0</v>
      </c>
      <c r="L60" s="3"/>
      <c r="M60" s="3">
        <f t="shared" si="12"/>
        <v>0</v>
      </c>
      <c r="P60" s="3">
        <f t="shared" si="13"/>
        <v>0</v>
      </c>
      <c r="Q60" s="3"/>
      <c r="R60" s="3">
        <f t="shared" si="14"/>
        <v>0</v>
      </c>
      <c r="S60" s="3"/>
      <c r="T60" s="3">
        <f t="shared" si="15"/>
        <v>0</v>
      </c>
      <c r="W60" s="3">
        <v>0</v>
      </c>
      <c r="X60" s="3"/>
      <c r="Y60" s="3">
        <f t="shared" si="16"/>
        <v>0</v>
      </c>
      <c r="Z60" s="3"/>
      <c r="AA60" s="3">
        <v>0</v>
      </c>
      <c r="AB60" s="5"/>
      <c r="AC60" s="3">
        <f t="shared" si="17"/>
        <v>0</v>
      </c>
      <c r="AE60" s="9"/>
      <c r="AF60" s="9"/>
      <c r="AH60" s="8"/>
      <c r="AI60" s="1"/>
      <c r="AK60" s="10"/>
      <c r="AL60" s="3"/>
      <c r="AO60" s="3">
        <v>0</v>
      </c>
    </row>
    <row r="61" spans="2:42" x14ac:dyDescent="0.3">
      <c r="B61" s="1">
        <f t="shared" ca="1" si="18"/>
        <v>48</v>
      </c>
      <c r="D61" s="11" t="s">
        <v>168</v>
      </c>
      <c r="F61" s="1" t="str">
        <f>+INDEX('Exh. BGM-3 (2)'!$10:$10,1,MATCH($D61,'Exh. BGM-3 (2)'!$4:$4,0))</f>
        <v>RATE CASE EXPENSE</v>
      </c>
      <c r="I61" s="3">
        <v>0</v>
      </c>
      <c r="J61" s="3"/>
      <c r="K61" s="3">
        <v>0</v>
      </c>
      <c r="L61" s="3"/>
      <c r="M61" s="3">
        <f t="shared" si="12"/>
        <v>0</v>
      </c>
      <c r="P61" s="3">
        <f t="shared" si="13"/>
        <v>0</v>
      </c>
      <c r="Q61" s="3"/>
      <c r="R61" s="3">
        <f t="shared" si="14"/>
        <v>0</v>
      </c>
      <c r="S61" s="3"/>
      <c r="T61" s="3">
        <f t="shared" si="15"/>
        <v>0</v>
      </c>
      <c r="W61" s="3">
        <v>0</v>
      </c>
      <c r="X61" s="3"/>
      <c r="Y61" s="3">
        <f t="shared" si="16"/>
        <v>0</v>
      </c>
      <c r="Z61" s="3"/>
      <c r="AA61" s="3">
        <v>0</v>
      </c>
      <c r="AB61" s="5"/>
      <c r="AC61" s="3">
        <f t="shared" si="17"/>
        <v>0</v>
      </c>
      <c r="AE61" s="9"/>
      <c r="AF61" s="9"/>
      <c r="AH61" s="8"/>
      <c r="AI61" s="1"/>
      <c r="AK61" s="10"/>
      <c r="AL61" s="3"/>
      <c r="AO61" s="3">
        <v>0</v>
      </c>
    </row>
    <row r="62" spans="2:42" x14ac:dyDescent="0.3">
      <c r="B62" s="1">
        <f t="shared" ca="1" si="18"/>
        <v>49</v>
      </c>
      <c r="D62" s="11" t="s">
        <v>169</v>
      </c>
      <c r="F62" s="1" t="str">
        <f>+INDEX('Exh. BGM-3 (2)'!$10:$10,1,MATCH($D62,'Exh. BGM-3 (2)'!$4:$4,0))</f>
        <v xml:space="preserve">EXCISE TAX </v>
      </c>
      <c r="I62" s="3">
        <v>0</v>
      </c>
      <c r="J62" s="3"/>
      <c r="K62" s="3">
        <v>0</v>
      </c>
      <c r="L62" s="3"/>
      <c r="M62" s="3">
        <f t="shared" si="12"/>
        <v>0</v>
      </c>
      <c r="P62" s="3">
        <f t="shared" si="13"/>
        <v>0</v>
      </c>
      <c r="Q62" s="3"/>
      <c r="R62" s="3">
        <f t="shared" si="14"/>
        <v>0</v>
      </c>
      <c r="S62" s="3"/>
      <c r="T62" s="3">
        <f t="shared" si="15"/>
        <v>0</v>
      </c>
      <c r="W62" s="3">
        <v>0</v>
      </c>
      <c r="X62" s="3"/>
      <c r="Y62" s="3">
        <f t="shared" si="16"/>
        <v>0</v>
      </c>
      <c r="Z62" s="3"/>
      <c r="AA62" s="3">
        <v>0</v>
      </c>
      <c r="AB62" s="5"/>
      <c r="AC62" s="3">
        <f t="shared" si="17"/>
        <v>0</v>
      </c>
      <c r="AE62" s="9"/>
      <c r="AF62" s="9"/>
      <c r="AH62" s="8"/>
      <c r="AI62" s="1"/>
      <c r="AK62" s="10"/>
      <c r="AL62" s="3"/>
      <c r="AO62" s="3">
        <v>0</v>
      </c>
    </row>
    <row r="63" spans="2:42" x14ac:dyDescent="0.3">
      <c r="B63" s="1">
        <f t="shared" ca="1" si="18"/>
        <v>50</v>
      </c>
      <c r="D63" s="11" t="s">
        <v>170</v>
      </c>
      <c r="F63" s="1" t="str">
        <f>+INDEX('Exh. BGM-3 (2)'!$10:$10,1,MATCH($D63,'Exh. BGM-3 (2)'!$4:$4,0))</f>
        <v>EMPLOYEE INSURANCE</v>
      </c>
      <c r="I63" s="3">
        <v>-88.453097947868329</v>
      </c>
      <c r="J63" s="3"/>
      <c r="K63" s="3">
        <v>0</v>
      </c>
      <c r="L63" s="3"/>
      <c r="M63" s="3">
        <f t="shared" si="12"/>
        <v>117.56829947015483</v>
      </c>
      <c r="P63" s="3">
        <f t="shared" si="13"/>
        <v>-88.453097947868329</v>
      </c>
      <c r="Q63" s="3"/>
      <c r="R63" s="3">
        <f t="shared" si="14"/>
        <v>0</v>
      </c>
      <c r="S63" s="3"/>
      <c r="T63" s="3">
        <f t="shared" si="15"/>
        <v>117.56829947015483</v>
      </c>
      <c r="W63" s="3">
        <v>0</v>
      </c>
      <c r="X63" s="3"/>
      <c r="Y63" s="3">
        <f t="shared" si="16"/>
        <v>0</v>
      </c>
      <c r="Z63" s="3"/>
      <c r="AA63" s="3">
        <v>0</v>
      </c>
      <c r="AB63" s="5"/>
      <c r="AC63" s="3">
        <f t="shared" si="17"/>
        <v>0</v>
      </c>
      <c r="AE63" s="9"/>
      <c r="AF63" s="9"/>
      <c r="AH63" s="8"/>
      <c r="AI63" s="1"/>
      <c r="AK63" s="10"/>
      <c r="AL63" s="3"/>
      <c r="AO63" s="3">
        <v>117.56829947015483</v>
      </c>
    </row>
    <row r="64" spans="2:42" x14ac:dyDescent="0.3">
      <c r="B64" s="1">
        <f t="shared" ca="1" si="18"/>
        <v>51</v>
      </c>
      <c r="D64" s="11" t="s">
        <v>171</v>
      </c>
      <c r="F64" s="1" t="str">
        <f>+INDEX('Exh. BGM-3 (2)'!$10:$10,1,MATCH($D64,'Exh. BGM-3 (2)'!$4:$4,0))</f>
        <v>INJURIES &amp; DAMAGES</v>
      </c>
      <c r="I64" s="3">
        <v>0</v>
      </c>
      <c r="J64" s="3"/>
      <c r="K64" s="3">
        <v>0</v>
      </c>
      <c r="L64" s="3"/>
      <c r="M64" s="3">
        <f t="shared" si="12"/>
        <v>0</v>
      </c>
      <c r="P64" s="3">
        <f t="shared" si="13"/>
        <v>0</v>
      </c>
      <c r="Q64" s="3"/>
      <c r="R64" s="3">
        <f t="shared" si="14"/>
        <v>0</v>
      </c>
      <c r="S64" s="3"/>
      <c r="T64" s="3">
        <f t="shared" si="15"/>
        <v>0</v>
      </c>
      <c r="W64" s="3">
        <v>0</v>
      </c>
      <c r="X64" s="3"/>
      <c r="Y64" s="3">
        <f t="shared" si="16"/>
        <v>0</v>
      </c>
      <c r="Z64" s="3"/>
      <c r="AA64" s="3">
        <v>0</v>
      </c>
      <c r="AB64" s="5"/>
      <c r="AC64" s="3">
        <f t="shared" si="17"/>
        <v>0</v>
      </c>
      <c r="AE64" s="9"/>
      <c r="AF64" s="9"/>
      <c r="AH64" s="8"/>
      <c r="AI64" s="1"/>
      <c r="AK64" s="10"/>
      <c r="AL64" s="3"/>
      <c r="AO64" s="3">
        <v>0</v>
      </c>
    </row>
    <row r="65" spans="2:41" x14ac:dyDescent="0.3">
      <c r="B65" s="1">
        <f t="shared" ca="1" si="18"/>
        <v>52</v>
      </c>
      <c r="D65" s="11" t="s">
        <v>172</v>
      </c>
      <c r="F65" s="1" t="str">
        <f>+INDEX('Exh. BGM-3 (2)'!$10:$10,1,MATCH($D65,'Exh. BGM-3 (2)'!$4:$4,0))</f>
        <v>INCENTIVE PAY</v>
      </c>
      <c r="I65" s="3">
        <v>1541.4760708844376</v>
      </c>
      <c r="J65" s="3"/>
      <c r="K65" s="3">
        <v>0</v>
      </c>
      <c r="L65" s="3"/>
      <c r="M65" s="3">
        <f t="shared" si="12"/>
        <v>-2048.8679823812399</v>
      </c>
      <c r="P65" s="3">
        <f t="shared" si="13"/>
        <v>1541.4760708844376</v>
      </c>
      <c r="Q65" s="3"/>
      <c r="R65" s="3">
        <f t="shared" si="14"/>
        <v>0</v>
      </c>
      <c r="S65" s="3"/>
      <c r="T65" s="3">
        <f t="shared" si="15"/>
        <v>-2048.8679823812399</v>
      </c>
      <c r="W65" s="3">
        <v>0</v>
      </c>
      <c r="X65" s="3"/>
      <c r="Y65" s="3">
        <f t="shared" si="16"/>
        <v>0</v>
      </c>
      <c r="Z65" s="3"/>
      <c r="AA65" s="3">
        <v>0</v>
      </c>
      <c r="AB65" s="5"/>
      <c r="AC65" s="3">
        <f t="shared" si="17"/>
        <v>0</v>
      </c>
      <c r="AE65" s="9"/>
      <c r="AF65" s="9"/>
      <c r="AH65" s="8"/>
      <c r="AI65" s="1"/>
      <c r="AK65" s="10"/>
      <c r="AL65" s="3"/>
      <c r="AO65" s="3">
        <v>-2048.8679823812399</v>
      </c>
    </row>
    <row r="66" spans="2:41" x14ac:dyDescent="0.3">
      <c r="B66" s="1">
        <f t="shared" ca="1" si="18"/>
        <v>53</v>
      </c>
      <c r="D66" s="11" t="s">
        <v>173</v>
      </c>
      <c r="F66" s="1" t="str">
        <f>+INDEX('Exh. BGM-3 (2)'!$10:$10,1,MATCH($D66,'Exh. BGM-3 (2)'!$4:$4,0))</f>
        <v>INVESTMENT PLAN</v>
      </c>
      <c r="I66" s="3">
        <v>0</v>
      </c>
      <c r="J66" s="3"/>
      <c r="K66" s="3">
        <v>0</v>
      </c>
      <c r="L66" s="3"/>
      <c r="M66" s="3">
        <f t="shared" si="12"/>
        <v>0</v>
      </c>
      <c r="P66" s="3">
        <f t="shared" si="13"/>
        <v>0</v>
      </c>
      <c r="Q66" s="3"/>
      <c r="R66" s="3">
        <f t="shared" si="14"/>
        <v>0</v>
      </c>
      <c r="S66" s="3"/>
      <c r="T66" s="3">
        <f t="shared" si="15"/>
        <v>0</v>
      </c>
      <c r="W66" s="3">
        <v>0</v>
      </c>
      <c r="X66" s="3"/>
      <c r="Y66" s="3">
        <f t="shared" si="16"/>
        <v>0</v>
      </c>
      <c r="Z66" s="3"/>
      <c r="AA66" s="3">
        <v>0</v>
      </c>
      <c r="AB66" s="5"/>
      <c r="AC66" s="3">
        <f t="shared" si="17"/>
        <v>0</v>
      </c>
      <c r="AE66" s="9"/>
      <c r="AF66" s="9"/>
      <c r="AH66" s="8"/>
      <c r="AI66" s="1"/>
      <c r="AK66" s="10"/>
      <c r="AL66" s="3"/>
      <c r="AO66" s="3">
        <v>0</v>
      </c>
    </row>
    <row r="67" spans="2:41" x14ac:dyDescent="0.3">
      <c r="B67" s="1">
        <f t="shared" ca="1" si="18"/>
        <v>54</v>
      </c>
      <c r="D67" s="11" t="s">
        <v>174</v>
      </c>
      <c r="F67" s="1" t="str">
        <f>+INDEX('Exh. BGM-3 (2)'!$10:$10,1,MATCH($D67,'Exh. BGM-3 (2)'!$4:$4,0))</f>
        <v>INTEREST ON  CUSTOMER DEPOSITS</v>
      </c>
      <c r="I67" s="3">
        <v>0</v>
      </c>
      <c r="J67" s="3"/>
      <c r="K67" s="3">
        <v>0</v>
      </c>
      <c r="L67" s="3"/>
      <c r="M67" s="3">
        <f t="shared" si="12"/>
        <v>0</v>
      </c>
      <c r="P67" s="3">
        <f t="shared" si="13"/>
        <v>0</v>
      </c>
      <c r="Q67" s="3"/>
      <c r="R67" s="3">
        <f t="shared" si="14"/>
        <v>0</v>
      </c>
      <c r="S67" s="3"/>
      <c r="T67" s="3">
        <f t="shared" si="15"/>
        <v>0</v>
      </c>
      <c r="W67" s="3">
        <v>0</v>
      </c>
      <c r="X67" s="3"/>
      <c r="Y67" s="3">
        <f t="shared" si="16"/>
        <v>0</v>
      </c>
      <c r="Z67" s="3"/>
      <c r="AA67" s="3">
        <v>0</v>
      </c>
      <c r="AB67" s="5"/>
      <c r="AC67" s="3">
        <f t="shared" si="17"/>
        <v>0</v>
      </c>
      <c r="AE67" s="9"/>
      <c r="AF67" s="9"/>
      <c r="AH67" s="8"/>
      <c r="AI67" s="1"/>
      <c r="AK67" s="10"/>
      <c r="AL67" s="3"/>
      <c r="AO67" s="3">
        <v>0</v>
      </c>
    </row>
    <row r="68" spans="2:41" x14ac:dyDescent="0.3">
      <c r="B68" s="1">
        <f t="shared" ca="1" si="18"/>
        <v>55</v>
      </c>
      <c r="D68" s="11" t="s">
        <v>175</v>
      </c>
      <c r="F68" s="1" t="str">
        <f>+INDEX('Exh. BGM-3 (2)'!$10:$10,1,MATCH($D68,'Exh. BGM-3 (2)'!$4:$4,0))</f>
        <v>PROPERTY AND LIAB INSURANCE</v>
      </c>
      <c r="I68" s="3">
        <v>-748.48450773254456</v>
      </c>
      <c r="J68" s="3"/>
      <c r="K68" s="3">
        <v>0</v>
      </c>
      <c r="L68" s="3"/>
      <c r="M68" s="3">
        <f t="shared" si="12"/>
        <v>994.85549738161444</v>
      </c>
      <c r="P68" s="3">
        <f t="shared" si="13"/>
        <v>-748.48450773254456</v>
      </c>
      <c r="Q68" s="3"/>
      <c r="R68" s="3">
        <f t="shared" si="14"/>
        <v>0</v>
      </c>
      <c r="S68" s="3"/>
      <c r="T68" s="3">
        <f t="shared" si="15"/>
        <v>994.85549738161444</v>
      </c>
      <c r="W68" s="3">
        <v>0</v>
      </c>
      <c r="X68" s="3"/>
      <c r="Y68" s="3">
        <f t="shared" si="16"/>
        <v>0</v>
      </c>
      <c r="Z68" s="3"/>
      <c r="AA68" s="3">
        <v>0</v>
      </c>
      <c r="AB68" s="5"/>
      <c r="AC68" s="3">
        <f t="shared" si="17"/>
        <v>0</v>
      </c>
      <c r="AE68" s="9"/>
      <c r="AF68" s="9"/>
      <c r="AH68" s="8"/>
      <c r="AI68" s="1"/>
      <c r="AK68" s="10"/>
      <c r="AL68" s="3"/>
      <c r="AO68" s="3">
        <v>994.85549738161444</v>
      </c>
    </row>
    <row r="69" spans="2:41" x14ac:dyDescent="0.3">
      <c r="B69" s="1">
        <f t="shared" ca="1" si="18"/>
        <v>56</v>
      </c>
      <c r="D69" s="11" t="s">
        <v>176</v>
      </c>
      <c r="F69" s="1" t="str">
        <f>+INDEX('Exh. BGM-3 (2)'!$10:$10,1,MATCH($D69,'Exh. BGM-3 (2)'!$4:$4,0))</f>
        <v>DEFERRED GAINS AND LOSSES ON PROPERTY SALES</v>
      </c>
      <c r="I69" s="3">
        <v>0</v>
      </c>
      <c r="J69" s="3"/>
      <c r="K69" s="3">
        <v>0</v>
      </c>
      <c r="L69" s="3"/>
      <c r="M69" s="3">
        <f t="shared" si="12"/>
        <v>0</v>
      </c>
      <c r="P69" s="3">
        <f t="shared" si="13"/>
        <v>0</v>
      </c>
      <c r="Q69" s="3"/>
      <c r="R69" s="3">
        <f t="shared" si="14"/>
        <v>0</v>
      </c>
      <c r="S69" s="3"/>
      <c r="T69" s="3">
        <f t="shared" si="15"/>
        <v>0</v>
      </c>
      <c r="W69" s="3">
        <v>0</v>
      </c>
      <c r="X69" s="3"/>
      <c r="Y69" s="3">
        <f t="shared" si="16"/>
        <v>0</v>
      </c>
      <c r="Z69" s="3"/>
      <c r="AA69" s="3">
        <v>0</v>
      </c>
      <c r="AB69" s="5"/>
      <c r="AC69" s="3">
        <f t="shared" si="17"/>
        <v>0</v>
      </c>
      <c r="AE69" s="9"/>
      <c r="AF69" s="9"/>
      <c r="AH69" s="8"/>
      <c r="AI69" s="1"/>
      <c r="AK69" s="10"/>
      <c r="AL69" s="3"/>
      <c r="AO69" s="3">
        <v>0</v>
      </c>
    </row>
    <row r="70" spans="2:41" x14ac:dyDescent="0.3">
      <c r="B70" s="1">
        <f t="shared" ca="1" si="18"/>
        <v>57</v>
      </c>
      <c r="D70" s="11" t="s">
        <v>177</v>
      </c>
      <c r="F70" s="1" t="str">
        <f>+INDEX('Exh. BGM-3 (2)'!$10:$10,1,MATCH($D70,'Exh. BGM-3 (2)'!$4:$4,0))</f>
        <v>D&amp;O INSURANCE</v>
      </c>
      <c r="I70" s="3">
        <v>0</v>
      </c>
      <c r="J70" s="3"/>
      <c r="K70" s="3">
        <v>0</v>
      </c>
      <c r="L70" s="3"/>
      <c r="M70" s="3">
        <f t="shared" si="12"/>
        <v>0</v>
      </c>
      <c r="P70" s="3">
        <f t="shared" si="13"/>
        <v>0</v>
      </c>
      <c r="Q70" s="3"/>
      <c r="R70" s="3">
        <f t="shared" si="14"/>
        <v>0</v>
      </c>
      <c r="S70" s="3"/>
      <c r="T70" s="3">
        <f t="shared" si="15"/>
        <v>0</v>
      </c>
      <c r="W70" s="3">
        <v>0</v>
      </c>
      <c r="X70" s="3"/>
      <c r="Y70" s="3">
        <f t="shared" si="16"/>
        <v>0</v>
      </c>
      <c r="Z70" s="3"/>
      <c r="AA70" s="3">
        <v>0</v>
      </c>
      <c r="AB70" s="5"/>
      <c r="AC70" s="3">
        <f t="shared" si="17"/>
        <v>0</v>
      </c>
      <c r="AE70" s="9"/>
      <c r="AF70" s="9"/>
      <c r="AH70" s="8"/>
      <c r="AI70" s="1"/>
      <c r="AK70" s="10"/>
      <c r="AL70" s="3"/>
      <c r="AO70" s="3">
        <v>0</v>
      </c>
    </row>
    <row r="71" spans="2:41" x14ac:dyDescent="0.3">
      <c r="B71" s="1">
        <f t="shared" ca="1" si="18"/>
        <v>58</v>
      </c>
      <c r="D71" s="11" t="s">
        <v>178</v>
      </c>
      <c r="F71" s="1" t="str">
        <f>+INDEX('Exh. BGM-3 (2)'!$10:$10,1,MATCH($D71,'Exh. BGM-3 (2)'!$4:$4,0))</f>
        <v>PENSION PLAN</v>
      </c>
      <c r="I71" s="3">
        <v>-1224.5370157488292</v>
      </c>
      <c r="J71" s="3"/>
      <c r="K71" s="3">
        <v>0</v>
      </c>
      <c r="L71" s="3"/>
      <c r="M71" s="3">
        <f t="shared" si="12"/>
        <v>1627.6053402301163</v>
      </c>
      <c r="P71" s="3">
        <f t="shared" si="13"/>
        <v>-1224.5370157488292</v>
      </c>
      <c r="Q71" s="3"/>
      <c r="R71" s="3">
        <f t="shared" si="14"/>
        <v>0</v>
      </c>
      <c r="S71" s="3"/>
      <c r="T71" s="3">
        <f t="shared" si="15"/>
        <v>1627.6053402301163</v>
      </c>
      <c r="W71" s="3">
        <v>0</v>
      </c>
      <c r="X71" s="3"/>
      <c r="Y71" s="3">
        <f t="shared" si="16"/>
        <v>0</v>
      </c>
      <c r="Z71" s="3"/>
      <c r="AA71" s="3">
        <v>0</v>
      </c>
      <c r="AB71" s="5"/>
      <c r="AC71" s="3">
        <f t="shared" si="17"/>
        <v>0</v>
      </c>
      <c r="AE71" s="9"/>
      <c r="AF71" s="9"/>
      <c r="AH71" s="8"/>
      <c r="AI71" s="1"/>
      <c r="AK71" s="10"/>
      <c r="AL71" s="3"/>
      <c r="AO71" s="3">
        <v>1627.6053402301163</v>
      </c>
    </row>
    <row r="72" spans="2:41" x14ac:dyDescent="0.3">
      <c r="B72" s="1">
        <f t="shared" ca="1" si="18"/>
        <v>59</v>
      </c>
      <c r="D72" s="11" t="s">
        <v>179</v>
      </c>
      <c r="F72" s="1" t="str">
        <f>+INDEX('Exh. BGM-3 (2)'!$10:$10,1,MATCH($D72,'Exh. BGM-3 (2)'!$4:$4,0))</f>
        <v>WAGE INCREASE</v>
      </c>
      <c r="I72" s="3">
        <v>0</v>
      </c>
      <c r="J72" s="3"/>
      <c r="K72" s="3">
        <v>0</v>
      </c>
      <c r="L72" s="3"/>
      <c r="M72" s="3">
        <f t="shared" si="12"/>
        <v>0</v>
      </c>
      <c r="P72" s="3">
        <f t="shared" si="13"/>
        <v>0</v>
      </c>
      <c r="Q72" s="3"/>
      <c r="R72" s="3">
        <f t="shared" si="14"/>
        <v>0</v>
      </c>
      <c r="S72" s="3"/>
      <c r="T72" s="3">
        <f t="shared" si="15"/>
        <v>0</v>
      </c>
      <c r="W72" s="3">
        <v>0</v>
      </c>
      <c r="X72" s="3"/>
      <c r="Y72" s="3">
        <f t="shared" si="16"/>
        <v>0</v>
      </c>
      <c r="Z72" s="3"/>
      <c r="AA72" s="3">
        <v>0</v>
      </c>
      <c r="AB72" s="5"/>
      <c r="AC72" s="3">
        <f t="shared" si="17"/>
        <v>0</v>
      </c>
      <c r="AE72" s="9"/>
      <c r="AF72" s="9"/>
      <c r="AH72" s="8"/>
      <c r="AI72" s="1"/>
      <c r="AK72" s="10"/>
      <c r="AL72" s="3"/>
      <c r="AO72" s="3">
        <v>0</v>
      </c>
    </row>
    <row r="73" spans="2:41" x14ac:dyDescent="0.3">
      <c r="B73" s="1">
        <f t="shared" ca="1" si="18"/>
        <v>60</v>
      </c>
      <c r="D73" s="11" t="s">
        <v>180</v>
      </c>
      <c r="F73" s="1" t="str">
        <f>+INDEX('Exh. BGM-3 (2)'!$10:$10,1,MATCH($D73,'Exh. BGM-3 (2)'!$4:$4,0))</f>
        <v>AMA TO EOP RATE BASE</v>
      </c>
      <c r="I73" s="3">
        <v>0</v>
      </c>
      <c r="J73" s="3"/>
      <c r="K73" s="3">
        <v>0</v>
      </c>
      <c r="L73" s="3"/>
      <c r="M73" s="3">
        <f t="shared" si="12"/>
        <v>0</v>
      </c>
      <c r="P73" s="3">
        <f t="shared" si="13"/>
        <v>0</v>
      </c>
      <c r="Q73" s="3"/>
      <c r="R73" s="3">
        <f t="shared" si="14"/>
        <v>0</v>
      </c>
      <c r="S73" s="3"/>
      <c r="T73" s="3">
        <f t="shared" si="15"/>
        <v>0</v>
      </c>
      <c r="W73" s="3">
        <v>0</v>
      </c>
      <c r="X73" s="3"/>
      <c r="Y73" s="3">
        <f t="shared" si="16"/>
        <v>0</v>
      </c>
      <c r="Z73" s="3"/>
      <c r="AA73" s="3">
        <v>0</v>
      </c>
      <c r="AB73" s="5"/>
      <c r="AC73" s="3">
        <f t="shared" si="17"/>
        <v>0</v>
      </c>
      <c r="AE73" s="9"/>
      <c r="AF73" s="9"/>
      <c r="AH73" s="8"/>
      <c r="AI73" s="1"/>
      <c r="AK73" s="10"/>
      <c r="AL73" s="3"/>
      <c r="AO73" s="3">
        <v>0</v>
      </c>
    </row>
    <row r="74" spans="2:41" x14ac:dyDescent="0.3">
      <c r="B74" s="1">
        <f t="shared" ca="1" si="18"/>
        <v>61</v>
      </c>
      <c r="D74" s="11" t="s">
        <v>181</v>
      </c>
      <c r="F74" s="1" t="str">
        <f>+INDEX('Exh. BGM-3 (2)'!$10:$10,1,MATCH($D74,'Exh. BGM-3 (2)'!$4:$4,0))</f>
        <v>AMA TO EOP DEPRECIATION</v>
      </c>
      <c r="I74" s="3">
        <v>0</v>
      </c>
      <c r="J74" s="3"/>
      <c r="K74" s="3">
        <v>0</v>
      </c>
      <c r="L74" s="3"/>
      <c r="M74" s="3">
        <f t="shared" si="12"/>
        <v>0</v>
      </c>
      <c r="P74" s="3">
        <f t="shared" si="13"/>
        <v>0</v>
      </c>
      <c r="Q74" s="3"/>
      <c r="R74" s="3">
        <f t="shared" si="14"/>
        <v>0</v>
      </c>
      <c r="S74" s="3"/>
      <c r="T74" s="3">
        <f t="shared" si="15"/>
        <v>0</v>
      </c>
      <c r="W74" s="3">
        <v>0</v>
      </c>
      <c r="X74" s="3"/>
      <c r="Y74" s="3">
        <f t="shared" si="16"/>
        <v>0</v>
      </c>
      <c r="Z74" s="3"/>
      <c r="AA74" s="3">
        <v>0</v>
      </c>
      <c r="AB74" s="5"/>
      <c r="AC74" s="3">
        <f t="shared" si="17"/>
        <v>0</v>
      </c>
      <c r="AE74" s="9"/>
      <c r="AF74" s="9"/>
      <c r="AH74" s="8"/>
      <c r="AI74" s="1"/>
      <c r="AK74" s="10"/>
      <c r="AL74" s="3"/>
      <c r="AO74" s="3">
        <v>0</v>
      </c>
    </row>
    <row r="75" spans="2:41" x14ac:dyDescent="0.3">
      <c r="B75" s="1">
        <f t="shared" ca="1" si="18"/>
        <v>62</v>
      </c>
      <c r="D75" s="11" t="s">
        <v>182</v>
      </c>
      <c r="F75" s="1" t="str">
        <f>+INDEX('Exh. BGM-3 (2)'!$10:$10,1,MATCH($D75,'Exh. BGM-3 (2)'!$4:$4,0))</f>
        <v>WUTC FILING FEE</v>
      </c>
      <c r="I75" s="3">
        <v>0</v>
      </c>
      <c r="J75" s="3"/>
      <c r="K75" s="3">
        <v>0</v>
      </c>
      <c r="L75" s="3"/>
      <c r="M75" s="3">
        <f t="shared" si="12"/>
        <v>0</v>
      </c>
      <c r="P75" s="3">
        <f t="shared" si="13"/>
        <v>0</v>
      </c>
      <c r="Q75" s="3"/>
      <c r="R75" s="3">
        <f t="shared" si="14"/>
        <v>0</v>
      </c>
      <c r="S75" s="3"/>
      <c r="T75" s="3">
        <f t="shared" si="15"/>
        <v>0</v>
      </c>
      <c r="W75" s="3">
        <v>0</v>
      </c>
      <c r="X75" s="3"/>
      <c r="Y75" s="3">
        <f t="shared" si="16"/>
        <v>0</v>
      </c>
      <c r="Z75" s="3"/>
      <c r="AA75" s="3">
        <v>0</v>
      </c>
      <c r="AB75" s="5"/>
      <c r="AC75" s="3">
        <f t="shared" si="17"/>
        <v>0</v>
      </c>
      <c r="AE75" s="9"/>
      <c r="AF75" s="9"/>
      <c r="AH75" s="8"/>
      <c r="AI75" s="1"/>
      <c r="AK75" s="10"/>
      <c r="AL75" s="3"/>
      <c r="AO75" s="3">
        <v>0</v>
      </c>
    </row>
    <row r="76" spans="2:41" x14ac:dyDescent="0.3">
      <c r="B76" s="1">
        <f t="shared" ca="1" si="18"/>
        <v>63</v>
      </c>
      <c r="D76" s="11" t="s">
        <v>183</v>
      </c>
      <c r="F76" s="1" t="str">
        <f>+INDEX('Exh. BGM-3 (2)'!$10:$10,1,MATCH($D76,'Exh. BGM-3 (2)'!$4:$4,0))</f>
        <v>PRO FORMA O&amp;M</v>
      </c>
      <c r="I76" s="3">
        <v>0</v>
      </c>
      <c r="J76" s="3"/>
      <c r="K76" s="3">
        <v>0</v>
      </c>
      <c r="L76" s="3"/>
      <c r="M76" s="3">
        <f t="shared" si="12"/>
        <v>0</v>
      </c>
      <c r="P76" s="3">
        <f t="shared" si="13"/>
        <v>0</v>
      </c>
      <c r="Q76" s="3"/>
      <c r="R76" s="3">
        <f t="shared" si="14"/>
        <v>0</v>
      </c>
      <c r="S76" s="3"/>
      <c r="T76" s="3">
        <f t="shared" si="15"/>
        <v>0</v>
      </c>
      <c r="W76" s="3">
        <v>0</v>
      </c>
      <c r="X76" s="3"/>
      <c r="Y76" s="3">
        <f t="shared" si="16"/>
        <v>0</v>
      </c>
      <c r="Z76" s="3"/>
      <c r="AA76" s="3">
        <v>0</v>
      </c>
      <c r="AB76" s="5"/>
      <c r="AC76" s="3">
        <f t="shared" si="17"/>
        <v>0</v>
      </c>
      <c r="AE76" s="9"/>
      <c r="AF76" s="9"/>
      <c r="AH76" s="8"/>
      <c r="AI76" s="1"/>
      <c r="AK76" s="10"/>
      <c r="AL76" s="3"/>
      <c r="AO76" s="3">
        <v>0</v>
      </c>
    </row>
    <row r="77" spans="2:41" x14ac:dyDescent="0.3">
      <c r="B77" s="1">
        <f t="shared" ca="1" si="18"/>
        <v>64</v>
      </c>
      <c r="D77" s="11" t="s">
        <v>184</v>
      </c>
      <c r="F77" s="1" t="str">
        <f>+INDEX('Exh. BGM-3 (2)'!$10:$10,1,MATCH($D77,'Exh. BGM-3 (2)'!$4:$4,0))</f>
        <v>AMR REGULATORY ASSET</v>
      </c>
      <c r="I77" s="3">
        <v>0</v>
      </c>
      <c r="J77" s="3"/>
      <c r="K77" s="3">
        <v>0</v>
      </c>
      <c r="L77" s="3"/>
      <c r="M77" s="3">
        <f t="shared" si="12"/>
        <v>0</v>
      </c>
      <c r="P77" s="3">
        <f t="shared" si="13"/>
        <v>0</v>
      </c>
      <c r="Q77" s="3"/>
      <c r="R77" s="3">
        <f t="shared" si="14"/>
        <v>0</v>
      </c>
      <c r="S77" s="3"/>
      <c r="T77" s="3">
        <f t="shared" si="15"/>
        <v>0</v>
      </c>
      <c r="W77" s="3">
        <v>0</v>
      </c>
      <c r="X77" s="3"/>
      <c r="Y77" s="3">
        <f t="shared" si="16"/>
        <v>0</v>
      </c>
      <c r="Z77" s="3"/>
      <c r="AA77" s="3">
        <v>0</v>
      </c>
      <c r="AB77" s="5"/>
      <c r="AC77" s="3">
        <f t="shared" si="17"/>
        <v>0</v>
      </c>
      <c r="AE77" s="9"/>
      <c r="AF77" s="9"/>
      <c r="AH77" s="8"/>
      <c r="AI77" s="1"/>
      <c r="AK77" s="10"/>
      <c r="AL77" s="3"/>
      <c r="AO77" s="3">
        <v>0</v>
      </c>
    </row>
    <row r="78" spans="2:41" x14ac:dyDescent="0.3">
      <c r="B78" s="1">
        <f t="shared" ca="1" si="18"/>
        <v>65</v>
      </c>
      <c r="D78" s="11" t="s">
        <v>185</v>
      </c>
      <c r="F78" s="1" t="str">
        <f>+INDEX('Exh. BGM-3 (2)'!$10:$10,1,MATCH($D78,'Exh. BGM-3 (2)'!$4:$4,0))</f>
        <v>AMI PLANT AND DEFERRAL</v>
      </c>
      <c r="I78" s="3">
        <v>-4951.8754166999997</v>
      </c>
      <c r="J78" s="3"/>
      <c r="K78" s="3">
        <v>143015.08787042796</v>
      </c>
      <c r="L78" s="3"/>
      <c r="M78" s="3">
        <f t="shared" si="12"/>
        <v>20268.306508723694</v>
      </c>
      <c r="P78" s="3">
        <f t="shared" si="13"/>
        <v>-4951.8754166999997</v>
      </c>
      <c r="Q78" s="3"/>
      <c r="R78" s="3">
        <f t="shared" si="14"/>
        <v>143015.08787042796</v>
      </c>
      <c r="S78" s="3"/>
      <c r="T78" s="3">
        <f t="shared" si="15"/>
        <v>20268.306508723694</v>
      </c>
      <c r="W78" s="176">
        <f>+Y78/(1-AJ5)</f>
        <v>0</v>
      </c>
      <c r="X78" s="3"/>
      <c r="Y78" s="3">
        <v>0</v>
      </c>
      <c r="Z78" s="3"/>
      <c r="AA78" s="3">
        <v>0</v>
      </c>
      <c r="AB78" s="5"/>
      <c r="AC78" s="3">
        <f t="shared" si="17"/>
        <v>0</v>
      </c>
      <c r="AE78" s="9"/>
      <c r="AF78" s="9"/>
      <c r="AH78" s="8"/>
      <c r="AI78" s="1"/>
      <c r="AK78" s="10"/>
      <c r="AL78" s="3"/>
      <c r="AO78" s="3">
        <v>20629.477321642873</v>
      </c>
    </row>
    <row r="79" spans="2:41" x14ac:dyDescent="0.3">
      <c r="B79" s="1">
        <f t="shared" ca="1" si="18"/>
        <v>66</v>
      </c>
      <c r="D79" s="11" t="s">
        <v>186</v>
      </c>
      <c r="F79" s="1" t="str">
        <f>+INDEX('Exh. BGM-3 (2)'!$10:$10,1,MATCH($D79,'Exh. BGM-3 (2)'!$4:$4,0))</f>
        <v>GTZ DEFERRAL</v>
      </c>
      <c r="I79" s="3">
        <v>-8945.9408578260009</v>
      </c>
      <c r="J79" s="3"/>
      <c r="K79" s="3">
        <v>2309.8094341880446</v>
      </c>
      <c r="L79" s="3"/>
      <c r="M79" s="3">
        <f t="shared" si="12"/>
        <v>12111.632323952843</v>
      </c>
      <c r="P79" s="3">
        <f t="shared" si="13"/>
        <v>-8945.9408578260009</v>
      </c>
      <c r="Q79" s="3"/>
      <c r="R79" s="3">
        <f t="shared" si="14"/>
        <v>2309.8094341880446</v>
      </c>
      <c r="S79" s="3"/>
      <c r="T79" s="3">
        <f t="shared" si="15"/>
        <v>12111.632323952843</v>
      </c>
      <c r="W79" s="3">
        <v>0</v>
      </c>
      <c r="X79" s="3"/>
      <c r="Y79" s="3">
        <f t="shared" si="16"/>
        <v>0</v>
      </c>
      <c r="Z79" s="3"/>
      <c r="AA79" s="3">
        <v>0</v>
      </c>
      <c r="AB79" s="5"/>
      <c r="AC79" s="3">
        <f t="shared" si="17"/>
        <v>0</v>
      </c>
      <c r="AE79" s="9"/>
      <c r="AF79" s="9"/>
      <c r="AH79" s="8"/>
      <c r="AI79" s="1"/>
      <c r="AK79" s="10"/>
      <c r="AL79" s="3"/>
      <c r="AO79" s="3">
        <v>12117.465524935034</v>
      </c>
    </row>
    <row r="80" spans="2:41" x14ac:dyDescent="0.3">
      <c r="B80" s="1">
        <f t="shared" ca="1" si="18"/>
        <v>67</v>
      </c>
      <c r="D80" s="11" t="s">
        <v>187</v>
      </c>
      <c r="F80" s="1" t="str">
        <f>+INDEX('Exh. BGM-3 (2)'!$10:$10,1,MATCH($D80,'Exh. BGM-3 (2)'!$4:$4,0))</f>
        <v>ENVIRONMENTAL REMEDIATION</v>
      </c>
      <c r="I80" s="3">
        <v>1.9374896149383858E-5</v>
      </c>
      <c r="J80" s="3"/>
      <c r="K80" s="3">
        <v>0</v>
      </c>
      <c r="L80" s="3"/>
      <c r="M80" s="3">
        <f t="shared" si="12"/>
        <v>-2.5752332541664317E-5</v>
      </c>
      <c r="P80" s="3">
        <f t="shared" si="13"/>
        <v>1.9374896149383858E-5</v>
      </c>
      <c r="Q80" s="3"/>
      <c r="R80" s="3">
        <f t="shared" si="14"/>
        <v>0</v>
      </c>
      <c r="S80" s="3"/>
      <c r="T80" s="3">
        <f t="shared" si="15"/>
        <v>-2.5752332541664317E-5</v>
      </c>
      <c r="W80" s="3">
        <v>0</v>
      </c>
      <c r="X80" s="3"/>
      <c r="Y80" s="3">
        <f t="shared" si="16"/>
        <v>0</v>
      </c>
      <c r="Z80" s="3"/>
      <c r="AA80" s="3">
        <v>0</v>
      </c>
      <c r="AB80" s="5"/>
      <c r="AC80" s="3">
        <f t="shared" si="17"/>
        <v>0</v>
      </c>
      <c r="AE80" s="9"/>
      <c r="AF80" s="9"/>
      <c r="AH80" s="8"/>
      <c r="AI80" s="1"/>
      <c r="AK80" s="10"/>
      <c r="AL80" s="3"/>
      <c r="AO80" s="3">
        <v>-2.5752332541664317E-5</v>
      </c>
    </row>
    <row r="81" spans="2:41" x14ac:dyDescent="0.3">
      <c r="B81" s="1">
        <f t="shared" ca="1" si="18"/>
        <v>68</v>
      </c>
      <c r="D81" s="224" t="s">
        <v>188</v>
      </c>
      <c r="E81" s="222"/>
      <c r="F81" s="222" t="str">
        <f>+INDEX('Exh. BGM-3 (2)'!$10:$10,1,MATCH($D81,'Exh. BGM-3 (2)'!$4:$4,0))</f>
        <v>COVID DEFERRAL</v>
      </c>
      <c r="G81" s="225"/>
      <c r="H81" s="225"/>
      <c r="I81" s="226">
        <v>0</v>
      </c>
      <c r="J81" s="226"/>
      <c r="K81" s="226">
        <v>229.42270598249073</v>
      </c>
      <c r="L81" s="226"/>
      <c r="M81" s="226">
        <f t="shared" si="12"/>
        <v>21.9556390676467</v>
      </c>
      <c r="N81" s="225"/>
      <c r="O81" s="222"/>
      <c r="P81" s="226">
        <f t="shared" si="13"/>
        <v>0</v>
      </c>
      <c r="Q81" s="226"/>
      <c r="R81" s="226">
        <f t="shared" si="14"/>
        <v>-659.68486803250039</v>
      </c>
      <c r="S81" s="226"/>
      <c r="T81" s="226">
        <f t="shared" si="15"/>
        <v>-63.131514375979471</v>
      </c>
      <c r="U81" s="222"/>
      <c r="V81" s="222"/>
      <c r="W81" s="226">
        <v>0</v>
      </c>
      <c r="X81" s="226"/>
      <c r="Y81" s="226">
        <f t="shared" si="16"/>
        <v>0</v>
      </c>
      <c r="Z81" s="226"/>
      <c r="AA81" s="226">
        <f>+'[21]Lead E'!$G$21/1000</f>
        <v>-889.10757401499109</v>
      </c>
      <c r="AB81" s="227"/>
      <c r="AC81" s="226">
        <f t="shared" si="17"/>
        <v>-85.087153443626164</v>
      </c>
      <c r="AD81" s="225"/>
      <c r="AE81" s="232" t="s">
        <v>1026</v>
      </c>
      <c r="AF81" s="9"/>
      <c r="AH81" s="8"/>
      <c r="AI81" s="1"/>
      <c r="AK81" s="10"/>
      <c r="AL81" s="3"/>
      <c r="AO81" s="3">
        <v>22.535023987487374</v>
      </c>
    </row>
    <row r="82" spans="2:41" x14ac:dyDescent="0.3">
      <c r="B82" s="1">
        <f t="shared" ca="1" si="18"/>
        <v>69</v>
      </c>
      <c r="D82" s="11" t="s">
        <v>189</v>
      </c>
      <c r="F82" s="1" t="str">
        <f>+INDEX('Exh. BGM-3 (2)'!$10:$10,1,MATCH($D82,'Exh. BGM-3 (2)'!$4:$4,0))</f>
        <v>ESTIMATED PLANT RETIREMENTS RATE BASE</v>
      </c>
      <c r="I82" s="3">
        <v>0</v>
      </c>
      <c r="J82" s="3"/>
      <c r="K82" s="3">
        <v>0</v>
      </c>
      <c r="L82" s="3"/>
      <c r="M82" s="3">
        <f t="shared" si="12"/>
        <v>0</v>
      </c>
      <c r="P82" s="3">
        <f t="shared" si="13"/>
        <v>0</v>
      </c>
      <c r="Q82" s="3"/>
      <c r="R82" s="3">
        <f t="shared" si="14"/>
        <v>0</v>
      </c>
      <c r="S82" s="3"/>
      <c r="T82" s="3">
        <f t="shared" si="15"/>
        <v>0</v>
      </c>
      <c r="W82" s="3">
        <v>0</v>
      </c>
      <c r="X82" s="3"/>
      <c r="Y82" s="3">
        <f t="shared" si="16"/>
        <v>0</v>
      </c>
      <c r="Z82" s="3"/>
      <c r="AA82" s="3">
        <v>0</v>
      </c>
      <c r="AB82" s="5"/>
      <c r="AC82" s="3">
        <f t="shared" si="17"/>
        <v>0</v>
      </c>
      <c r="AE82" s="9"/>
      <c r="AF82" s="9"/>
      <c r="AH82" s="8"/>
      <c r="AI82" s="1"/>
      <c r="AK82" s="10"/>
      <c r="AL82" s="3"/>
      <c r="AO82" s="3">
        <v>0</v>
      </c>
    </row>
    <row r="83" spans="2:41" x14ac:dyDescent="0.3">
      <c r="B83" s="1">
        <f t="shared" ca="1" si="18"/>
        <v>70</v>
      </c>
      <c r="D83" s="11" t="s">
        <v>190</v>
      </c>
      <c r="F83" s="1" t="str">
        <f>+INDEX('Exh. BGM-3 (2)'!$10:$10,1,MATCH($D83,'Exh. BGM-3 (2)'!$4:$4,0))</f>
        <v>TEST YEAR PLANT ROLL FORWARD</v>
      </c>
      <c r="I83" s="3">
        <v>3044.1474886901997</v>
      </c>
      <c r="J83" s="3"/>
      <c r="K83" s="3">
        <v>-176471.82989576447</v>
      </c>
      <c r="L83" s="3"/>
      <c r="M83" s="3">
        <f t="shared" si="12"/>
        <v>-20934.424894079581</v>
      </c>
      <c r="P83" s="3">
        <f t="shared" si="13"/>
        <v>3044.1474886901997</v>
      </c>
      <c r="Q83" s="3"/>
      <c r="R83" s="3">
        <f t="shared" si="14"/>
        <v>-176471.82989576447</v>
      </c>
      <c r="S83" s="3"/>
      <c r="T83" s="3">
        <f t="shared" si="15"/>
        <v>-20934.424894079581</v>
      </c>
      <c r="W83" s="3">
        <v>0</v>
      </c>
      <c r="X83" s="3"/>
      <c r="Y83" s="3">
        <f t="shared" si="16"/>
        <v>0</v>
      </c>
      <c r="Z83" s="3"/>
      <c r="AA83" s="3">
        <v>0</v>
      </c>
      <c r="AB83" s="5"/>
      <c r="AC83" s="3">
        <f t="shared" si="17"/>
        <v>0</v>
      </c>
      <c r="AE83" s="9"/>
      <c r="AF83" s="9"/>
      <c r="AH83" s="8"/>
      <c r="AI83" s="1"/>
      <c r="AK83" s="10"/>
      <c r="AL83" s="3"/>
      <c r="AO83" s="3">
        <v>-21380.087482620827</v>
      </c>
    </row>
    <row r="84" spans="2:41" x14ac:dyDescent="0.3">
      <c r="B84" s="1">
        <f t="shared" ca="1" si="18"/>
        <v>71</v>
      </c>
      <c r="D84" s="11" t="s">
        <v>191</v>
      </c>
      <c r="F84" s="1" t="str">
        <f>+INDEX('Exh. BGM-3 (2)'!$10:$10,1,MATCH($D84,'Exh. BGM-3 (2)'!$4:$4,0))</f>
        <v>PROVISIONAL PROFORMA RETIREMENTS DEPRECIATION</v>
      </c>
      <c r="I84" s="3">
        <v>573.11439049726027</v>
      </c>
      <c r="J84" s="3"/>
      <c r="K84" s="3">
        <v>725.4612537940003</v>
      </c>
      <c r="L84" s="3"/>
      <c r="M84" s="3">
        <f t="shared" si="12"/>
        <v>-692.33431056361997</v>
      </c>
      <c r="P84" s="3">
        <f t="shared" si="13"/>
        <v>573.11439049726027</v>
      </c>
      <c r="Q84" s="3"/>
      <c r="R84" s="3">
        <f t="shared" si="14"/>
        <v>725.4612537940003</v>
      </c>
      <c r="S84" s="3"/>
      <c r="T84" s="3">
        <f t="shared" si="15"/>
        <v>-692.33431056361997</v>
      </c>
      <c r="W84" s="3">
        <v>0</v>
      </c>
      <c r="X84" s="3"/>
      <c r="Y84" s="3">
        <f t="shared" si="16"/>
        <v>0</v>
      </c>
      <c r="Z84" s="3"/>
      <c r="AA84" s="3">
        <v>0</v>
      </c>
      <c r="AB84" s="5"/>
      <c r="AC84" s="3">
        <f t="shared" si="17"/>
        <v>0</v>
      </c>
      <c r="AE84" s="9"/>
      <c r="AF84" s="9"/>
      <c r="AH84" s="8"/>
      <c r="AI84" s="1"/>
      <c r="AK84" s="10"/>
      <c r="AL84" s="3"/>
      <c r="AO84" s="3">
        <v>-690.50222812619529</v>
      </c>
    </row>
    <row r="85" spans="2:41" x14ac:dyDescent="0.3">
      <c r="B85" s="1">
        <f t="shared" ca="1" si="18"/>
        <v>72</v>
      </c>
      <c r="D85" s="11" t="s">
        <v>192</v>
      </c>
      <c r="F85" s="1" t="str">
        <f>+INDEX('Exh. BGM-3 (2)'!$10:$10,1,MATCH($D85,'Exh. BGM-3 (2)'!$4:$4,0))</f>
        <v>PROGRAMMATIC PROVISIONAL PROFORMA</v>
      </c>
      <c r="I85" s="3">
        <v>-1352.9237452072598</v>
      </c>
      <c r="J85" s="3"/>
      <c r="K85" s="3">
        <v>134447.16556129002</v>
      </c>
      <c r="L85" s="3"/>
      <c r="M85" s="3">
        <f t="shared" si="12"/>
        <v>14664.778815346668</v>
      </c>
      <c r="P85" s="3">
        <f t="shared" si="13"/>
        <v>-1352.9237452072598</v>
      </c>
      <c r="Q85" s="3"/>
      <c r="R85" s="3">
        <f t="shared" si="14"/>
        <v>134447.16556129002</v>
      </c>
      <c r="S85" s="3"/>
      <c r="T85" s="3">
        <f t="shared" si="15"/>
        <v>14664.778815346668</v>
      </c>
      <c r="W85" s="3">
        <v>0</v>
      </c>
      <c r="X85" s="3"/>
      <c r="Y85" s="3">
        <f t="shared" si="16"/>
        <v>0</v>
      </c>
      <c r="Z85" s="3"/>
      <c r="AA85" s="3">
        <v>0</v>
      </c>
      <c r="AB85" s="5"/>
      <c r="AC85" s="3">
        <f t="shared" si="17"/>
        <v>0</v>
      </c>
      <c r="AE85" s="9"/>
      <c r="AF85" s="9"/>
      <c r="AH85" s="8"/>
      <c r="AI85" s="1"/>
      <c r="AK85" s="10"/>
      <c r="AL85" s="3"/>
      <c r="AO85" s="3">
        <v>15004.312166711979</v>
      </c>
    </row>
    <row r="86" spans="2:41" x14ac:dyDescent="0.3">
      <c r="B86" s="1">
        <f t="shared" ca="1" si="18"/>
        <v>73</v>
      </c>
      <c r="D86" s="11" t="s">
        <v>193</v>
      </c>
      <c r="F86" s="1" t="str">
        <f>+INDEX('Exh. BGM-3 (2)'!$10:$10,1,MATCH($D86,'Exh. BGM-3 (2)'!$4:$4,0))</f>
        <v>CUSTOMER DRIVEN PROGRAMMATIC PROVISIONAL PROFORMA</v>
      </c>
      <c r="I86" s="3">
        <v>-211.37428810000006</v>
      </c>
      <c r="J86" s="3"/>
      <c r="K86" s="3">
        <v>35118.980799999998</v>
      </c>
      <c r="L86" s="3"/>
      <c r="M86" s="3">
        <f t="shared" si="12"/>
        <v>3641.8192285556688</v>
      </c>
      <c r="P86" s="3">
        <f t="shared" si="13"/>
        <v>-211.37428810000006</v>
      </c>
      <c r="Q86" s="3"/>
      <c r="R86" s="3">
        <f t="shared" si="14"/>
        <v>35118.980799999998</v>
      </c>
      <c r="S86" s="3"/>
      <c r="T86" s="3">
        <f t="shared" si="15"/>
        <v>3641.8192285556688</v>
      </c>
      <c r="W86" s="3">
        <v>0</v>
      </c>
      <c r="X86" s="3"/>
      <c r="Y86" s="3">
        <f t="shared" si="16"/>
        <v>0</v>
      </c>
      <c r="Z86" s="3"/>
      <c r="AA86" s="3">
        <v>0</v>
      </c>
      <c r="AB86" s="5"/>
      <c r="AC86" s="3">
        <f t="shared" si="17"/>
        <v>0</v>
      </c>
      <c r="AE86" s="9"/>
      <c r="AF86" s="9"/>
      <c r="AH86" s="8"/>
      <c r="AI86" s="1"/>
      <c r="AK86" s="10"/>
      <c r="AL86" s="3"/>
      <c r="AO86" s="3">
        <v>3730.5088279070378</v>
      </c>
    </row>
    <row r="87" spans="2:41" x14ac:dyDescent="0.3">
      <c r="B87" s="1">
        <f t="shared" ca="1" si="18"/>
        <v>74</v>
      </c>
      <c r="D87" s="11" t="s">
        <v>194</v>
      </c>
      <c r="F87" s="1" t="str">
        <f>+INDEX('Exh. BGM-3 (2)'!$10:$10,1,MATCH($D87,'Exh. BGM-3 (2)'!$4:$4,0))</f>
        <v>SPECIFIC PROVISIONAL PROFORMA</v>
      </c>
      <c r="I87" s="3">
        <v>-66.055621369259981</v>
      </c>
      <c r="J87" s="3"/>
      <c r="K87" s="3">
        <v>23103.389294628007</v>
      </c>
      <c r="L87" s="3"/>
      <c r="M87" s="3">
        <f t="shared" si="12"/>
        <v>2298.7813606375671</v>
      </c>
      <c r="P87" s="3">
        <f t="shared" si="13"/>
        <v>-66.055621369259981</v>
      </c>
      <c r="Q87" s="3"/>
      <c r="R87" s="3">
        <f t="shared" si="14"/>
        <v>23103.389294628007</v>
      </c>
      <c r="S87" s="3"/>
      <c r="T87" s="3">
        <f t="shared" si="15"/>
        <v>2298.7813606375671</v>
      </c>
      <c r="W87" s="3">
        <v>0</v>
      </c>
      <c r="X87" s="3"/>
      <c r="Y87" s="3">
        <f t="shared" si="16"/>
        <v>0</v>
      </c>
      <c r="Z87" s="3"/>
      <c r="AA87" s="3">
        <v>0</v>
      </c>
      <c r="AB87" s="5"/>
      <c r="AC87" s="3">
        <f t="shared" si="17"/>
        <v>0</v>
      </c>
      <c r="AE87" s="9"/>
      <c r="AF87" s="9"/>
      <c r="AH87" s="8"/>
      <c r="AI87" s="1"/>
      <c r="AK87" s="10"/>
      <c r="AL87" s="3"/>
      <c r="AO87" s="3">
        <v>2357.1267423520408</v>
      </c>
    </row>
    <row r="88" spans="2:41" x14ac:dyDescent="0.3">
      <c r="B88" s="1">
        <f t="shared" ca="1" si="18"/>
        <v>75</v>
      </c>
      <c r="D88" s="11" t="s">
        <v>195</v>
      </c>
      <c r="F88" s="1" t="str">
        <f>+INDEX('Exh. BGM-3 (2)'!$10:$10,1,MATCH($D88,'Exh. BGM-3 (2)'!$4:$4,0))</f>
        <v>PROJECTED PROVISIONAL PROFORMA</v>
      </c>
      <c r="I88" s="3">
        <v>-1056.9065734431999</v>
      </c>
      <c r="J88" s="3"/>
      <c r="K88" s="3">
        <v>83418.881591735961</v>
      </c>
      <c r="L88" s="3"/>
      <c r="M88" s="3">
        <f t="shared" si="12"/>
        <v>9387.9432555750791</v>
      </c>
      <c r="P88" s="3">
        <f t="shared" si="13"/>
        <v>-1056.9065734431999</v>
      </c>
      <c r="Q88" s="3"/>
      <c r="R88" s="3">
        <f t="shared" si="14"/>
        <v>83418.881591735961</v>
      </c>
      <c r="S88" s="3"/>
      <c r="T88" s="3">
        <f t="shared" si="15"/>
        <v>9387.9432555750791</v>
      </c>
      <c r="W88" s="3">
        <v>0</v>
      </c>
      <c r="X88" s="3"/>
      <c r="Y88" s="3">
        <f t="shared" si="16"/>
        <v>0</v>
      </c>
      <c r="Z88" s="3"/>
      <c r="AA88" s="3">
        <v>0</v>
      </c>
      <c r="AB88" s="5"/>
      <c r="AC88" s="3">
        <f t="shared" si="17"/>
        <v>0</v>
      </c>
      <c r="AE88" s="9"/>
      <c r="AF88" s="9"/>
      <c r="AH88" s="8"/>
      <c r="AI88" s="1"/>
      <c r="AK88" s="10"/>
      <c r="AL88" s="3"/>
      <c r="AO88" s="3">
        <v>9598.6095966298981</v>
      </c>
    </row>
    <row r="89" spans="2:41" x14ac:dyDescent="0.3">
      <c r="B89" s="1">
        <f t="shared" ca="1" si="18"/>
        <v>76</v>
      </c>
      <c r="D89" s="11" t="s">
        <v>196</v>
      </c>
      <c r="F89" s="1" t="str">
        <f>+INDEX('Exh. BGM-3 (2)'!$10:$10,1,MATCH($D89,'Exh. BGM-3 (2)'!$4:$4,0))</f>
        <v>POWER COSTS</v>
      </c>
      <c r="I89" s="3">
        <v>0</v>
      </c>
      <c r="J89" s="3"/>
      <c r="K89" s="3">
        <v>0</v>
      </c>
      <c r="L89" s="3"/>
      <c r="M89" s="3">
        <f t="shared" si="12"/>
        <v>0</v>
      </c>
      <c r="P89" s="3">
        <f t="shared" si="13"/>
        <v>0</v>
      </c>
      <c r="Q89" s="3"/>
      <c r="R89" s="3">
        <f t="shared" si="14"/>
        <v>0</v>
      </c>
      <c r="S89" s="3"/>
      <c r="T89" s="3">
        <f t="shared" si="15"/>
        <v>0</v>
      </c>
      <c r="W89" s="3">
        <v>0</v>
      </c>
      <c r="X89" s="3"/>
      <c r="Y89" s="3">
        <f t="shared" si="16"/>
        <v>0</v>
      </c>
      <c r="Z89" s="3"/>
      <c r="AA89" s="3">
        <v>0</v>
      </c>
      <c r="AB89" s="5"/>
      <c r="AC89" s="3">
        <f t="shared" si="17"/>
        <v>0</v>
      </c>
      <c r="AE89" s="9"/>
      <c r="AF89" s="9"/>
      <c r="AH89" s="8"/>
      <c r="AI89" s="1"/>
      <c r="AK89" s="10"/>
      <c r="AL89" s="3"/>
      <c r="AO89" s="3">
        <v>0</v>
      </c>
    </row>
    <row r="90" spans="2:41" x14ac:dyDescent="0.3">
      <c r="B90" s="1">
        <f t="shared" ca="1" si="18"/>
        <v>77</v>
      </c>
      <c r="D90" s="11" t="s">
        <v>197</v>
      </c>
      <c r="F90" s="1" t="str">
        <f>+INDEX('Exh. BGM-3 (2)'!$10:$10,1,MATCH($D90,'Exh. BGM-3 (2)'!$4:$4,0))</f>
        <v>MONTANA TAX</v>
      </c>
      <c r="I90" s="3">
        <v>0</v>
      </c>
      <c r="J90" s="3"/>
      <c r="K90" s="3">
        <v>0</v>
      </c>
      <c r="L90" s="3"/>
      <c r="M90" s="3">
        <f t="shared" si="12"/>
        <v>0</v>
      </c>
      <c r="P90" s="3">
        <f t="shared" si="13"/>
        <v>0</v>
      </c>
      <c r="Q90" s="3"/>
      <c r="R90" s="3">
        <f t="shared" si="14"/>
        <v>0</v>
      </c>
      <c r="S90" s="3"/>
      <c r="T90" s="3">
        <f t="shared" si="15"/>
        <v>0</v>
      </c>
      <c r="W90" s="3">
        <v>0</v>
      </c>
      <c r="X90" s="3"/>
      <c r="Y90" s="3">
        <f t="shared" si="16"/>
        <v>0</v>
      </c>
      <c r="Z90" s="3"/>
      <c r="AA90" s="3">
        <v>0</v>
      </c>
      <c r="AB90" s="5"/>
      <c r="AC90" s="3">
        <f t="shared" si="17"/>
        <v>0</v>
      </c>
      <c r="AE90" s="9"/>
      <c r="AF90" s="9"/>
      <c r="AH90" s="8"/>
      <c r="AI90" s="1"/>
      <c r="AK90" s="10"/>
      <c r="AL90" s="3"/>
      <c r="AO90" s="3">
        <v>0</v>
      </c>
    </row>
    <row r="91" spans="2:41" x14ac:dyDescent="0.3">
      <c r="B91" s="1">
        <f t="shared" ca="1" si="18"/>
        <v>78</v>
      </c>
      <c r="D91" s="11" t="s">
        <v>198</v>
      </c>
      <c r="F91" s="1" t="str">
        <f>+INDEX('Exh. BGM-3 (2)'!$10:$10,1,MATCH($D91,'Exh. BGM-3 (2)'!$4:$4,0))</f>
        <v>WILD HORSE SOLAR</v>
      </c>
      <c r="I91" s="3">
        <v>0</v>
      </c>
      <c r="J91" s="3"/>
      <c r="K91" s="3">
        <v>71.140249999999995</v>
      </c>
      <c r="L91" s="3"/>
      <c r="M91" s="3">
        <f t="shared" si="12"/>
        <v>6.8080866080507212</v>
      </c>
      <c r="P91" s="3">
        <f t="shared" si="13"/>
        <v>0</v>
      </c>
      <c r="Q91" s="3"/>
      <c r="R91" s="3">
        <f t="shared" si="14"/>
        <v>71.140249999999995</v>
      </c>
      <c r="S91" s="3"/>
      <c r="T91" s="3">
        <f t="shared" si="15"/>
        <v>6.8080866080507212</v>
      </c>
      <c r="W91" s="3">
        <v>0</v>
      </c>
      <c r="X91" s="3"/>
      <c r="Y91" s="3">
        <f t="shared" si="16"/>
        <v>0</v>
      </c>
      <c r="Z91" s="3"/>
      <c r="AA91" s="3">
        <v>0</v>
      </c>
      <c r="AB91" s="5"/>
      <c r="AC91" s="3">
        <f t="shared" si="17"/>
        <v>0</v>
      </c>
      <c r="AE91" s="9"/>
      <c r="AF91" s="9"/>
      <c r="AH91" s="8"/>
      <c r="AI91" s="1"/>
      <c r="AK91" s="10"/>
      <c r="AL91" s="3"/>
      <c r="AO91" s="3">
        <v>6.9877444490965033</v>
      </c>
    </row>
    <row r="92" spans="2:41" x14ac:dyDescent="0.3">
      <c r="B92" s="1">
        <f t="shared" ca="1" si="18"/>
        <v>79</v>
      </c>
      <c r="D92" s="11" t="s">
        <v>199</v>
      </c>
      <c r="F92" s="1" t="str">
        <f>+INDEX('Exh. BGM-3 (2)'!$10:$10,1,MATCH($D92,'Exh. BGM-3 (2)'!$4:$4,0))</f>
        <v>STORM EXPENSE NORMALIZATION</v>
      </c>
      <c r="I92" s="3">
        <v>0</v>
      </c>
      <c r="J92" s="3"/>
      <c r="K92" s="3">
        <v>0</v>
      </c>
      <c r="L92" s="3"/>
      <c r="M92" s="3">
        <f t="shared" si="12"/>
        <v>0</v>
      </c>
      <c r="P92" s="3">
        <f t="shared" si="13"/>
        <v>0</v>
      </c>
      <c r="Q92" s="3"/>
      <c r="R92" s="3">
        <f t="shared" si="14"/>
        <v>0</v>
      </c>
      <c r="S92" s="3"/>
      <c r="T92" s="3">
        <f t="shared" si="15"/>
        <v>0</v>
      </c>
      <c r="W92" s="3">
        <v>0</v>
      </c>
      <c r="X92" s="3"/>
      <c r="Y92" s="3">
        <f t="shared" si="16"/>
        <v>0</v>
      </c>
      <c r="Z92" s="3"/>
      <c r="AA92" s="3">
        <v>0</v>
      </c>
      <c r="AB92" s="5"/>
      <c r="AC92" s="3">
        <f t="shared" si="17"/>
        <v>0</v>
      </c>
      <c r="AE92" s="9"/>
      <c r="AF92" s="9"/>
      <c r="AH92" s="8"/>
      <c r="AI92" s="1"/>
      <c r="AK92" s="10"/>
      <c r="AL92" s="3"/>
      <c r="AO92" s="3">
        <v>0</v>
      </c>
    </row>
    <row r="93" spans="2:41" x14ac:dyDescent="0.3">
      <c r="B93" s="1">
        <f t="shared" ca="1" si="18"/>
        <v>80</v>
      </c>
      <c r="D93" s="11" t="s">
        <v>200</v>
      </c>
      <c r="F93" s="1" t="str">
        <f>+INDEX('Exh. BGM-3 (2)'!$10:$10,1,MATCH($D93,'Exh. BGM-3 (2)'!$4:$4,0))</f>
        <v>REGULATORY  ASSETS &amp; LIAB</v>
      </c>
      <c r="I93" s="3">
        <v>1302.1822319424739</v>
      </c>
      <c r="J93" s="3"/>
      <c r="K93" s="3">
        <v>-6172.8186654862948</v>
      </c>
      <c r="L93" s="3"/>
      <c r="M93" s="3">
        <f t="shared" si="12"/>
        <v>-2321.5439199014922</v>
      </c>
      <c r="P93" s="3">
        <f t="shared" si="13"/>
        <v>1302.1822319424739</v>
      </c>
      <c r="Q93" s="3"/>
      <c r="R93" s="3">
        <f t="shared" si="14"/>
        <v>-6172.8186654862948</v>
      </c>
      <c r="S93" s="3"/>
      <c r="T93" s="3">
        <f t="shared" si="15"/>
        <v>-2321.5439199014922</v>
      </c>
      <c r="W93" s="3">
        <v>0</v>
      </c>
      <c r="X93" s="3"/>
      <c r="Y93" s="3">
        <f t="shared" si="16"/>
        <v>0</v>
      </c>
      <c r="Z93" s="3"/>
      <c r="AA93" s="3">
        <v>0</v>
      </c>
      <c r="AB93" s="5"/>
      <c r="AC93" s="3">
        <f t="shared" si="17"/>
        <v>0</v>
      </c>
      <c r="AE93" s="9"/>
      <c r="AF93" s="9"/>
      <c r="AH93" s="8"/>
      <c r="AI93" s="1"/>
      <c r="AK93" s="10"/>
      <c r="AL93" s="3"/>
      <c r="AO93" s="3">
        <v>-2337.1327781724199</v>
      </c>
    </row>
    <row r="94" spans="2:41" x14ac:dyDescent="0.3">
      <c r="B94" s="1">
        <f t="shared" ca="1" si="18"/>
        <v>81</v>
      </c>
      <c r="D94" s="11" t="s">
        <v>201</v>
      </c>
      <c r="F94" s="1" t="str">
        <f>+INDEX('Exh. BGM-3 (2)'!$10:$10,1,MATCH($D94,'Exh. BGM-3 (2)'!$4:$4,0))</f>
        <v>GREEN DIRECT</v>
      </c>
      <c r="I94" s="3">
        <v>33.733560899999979</v>
      </c>
      <c r="J94" s="3"/>
      <c r="K94" s="3">
        <v>56.93427999999998</v>
      </c>
      <c r="L94" s="3"/>
      <c r="M94" s="3">
        <f t="shared" si="12"/>
        <v>-39.388709771318034</v>
      </c>
      <c r="P94" s="3">
        <f t="shared" si="13"/>
        <v>33.733560899999979</v>
      </c>
      <c r="Q94" s="3"/>
      <c r="R94" s="3">
        <f t="shared" si="14"/>
        <v>56.93427999999998</v>
      </c>
      <c r="S94" s="3"/>
      <c r="T94" s="3">
        <f t="shared" si="15"/>
        <v>-39.388709771318034</v>
      </c>
      <c r="W94" s="3">
        <v>0</v>
      </c>
      <c r="X94" s="3"/>
      <c r="Y94" s="3">
        <f t="shared" si="16"/>
        <v>0</v>
      </c>
      <c r="Z94" s="3"/>
      <c r="AA94" s="3">
        <v>0</v>
      </c>
      <c r="AB94" s="5"/>
      <c r="AC94" s="3">
        <f t="shared" si="17"/>
        <v>0</v>
      </c>
      <c r="AE94" s="9"/>
      <c r="AF94" s="9"/>
      <c r="AH94" s="8"/>
      <c r="AI94" s="1"/>
      <c r="AK94" s="10"/>
      <c r="AL94" s="3"/>
      <c r="AO94" s="3">
        <v>-39.24492773757067</v>
      </c>
    </row>
    <row r="95" spans="2:41" x14ac:dyDescent="0.3">
      <c r="B95" s="1">
        <f t="shared" ca="1" si="18"/>
        <v>82</v>
      </c>
      <c r="D95" s="11" t="s">
        <v>202</v>
      </c>
      <c r="F95" s="1" t="str">
        <f>+INDEX('Exh. BGM-3 (2)'!$10:$10,1,MATCH($D95,'Exh. BGM-3 (2)'!$4:$4,0))</f>
        <v>STORM DEFERRAL AMORTIZATION</v>
      </c>
      <c r="I95" s="3">
        <v>0</v>
      </c>
      <c r="J95" s="3"/>
      <c r="K95" s="3">
        <v>0</v>
      </c>
      <c r="L95" s="3"/>
      <c r="M95" s="3">
        <f t="shared" si="12"/>
        <v>0</v>
      </c>
      <c r="P95" s="3">
        <f t="shared" si="13"/>
        <v>0</v>
      </c>
      <c r="Q95" s="3"/>
      <c r="R95" s="3">
        <f t="shared" si="14"/>
        <v>0</v>
      </c>
      <c r="S95" s="3"/>
      <c r="T95" s="3">
        <f t="shared" si="15"/>
        <v>0</v>
      </c>
      <c r="W95" s="3">
        <v>0</v>
      </c>
      <c r="X95" s="3"/>
      <c r="Y95" s="3">
        <f t="shared" si="16"/>
        <v>0</v>
      </c>
      <c r="Z95" s="3"/>
      <c r="AA95" s="3">
        <v>0</v>
      </c>
      <c r="AB95" s="5"/>
      <c r="AC95" s="3">
        <f t="shared" si="17"/>
        <v>0</v>
      </c>
      <c r="AE95" s="9"/>
      <c r="AF95" s="9"/>
      <c r="AH95" s="8"/>
      <c r="AI95" s="1"/>
      <c r="AK95" s="10"/>
      <c r="AL95" s="3"/>
      <c r="AO95" s="3">
        <v>0</v>
      </c>
    </row>
    <row r="96" spans="2:41" x14ac:dyDescent="0.3">
      <c r="B96" s="1">
        <f t="shared" ca="1" si="18"/>
        <v>83</v>
      </c>
      <c r="D96" s="11" t="s">
        <v>203</v>
      </c>
      <c r="F96" s="1" t="str">
        <f>+INDEX('Exh. BGM-3 (2)'!$10:$10,1,MATCH($D96,'Exh. BGM-3 (2)'!$4:$4,0))</f>
        <v>ELECTRIC VEHICLES</v>
      </c>
      <c r="I96" s="3">
        <v>-1497.8157865000001</v>
      </c>
      <c r="J96" s="3"/>
      <c r="K96" s="3">
        <v>4432.284802203927</v>
      </c>
      <c r="L96" s="3"/>
      <c r="M96" s="3">
        <f t="shared" si="12"/>
        <v>2415.0039439608731</v>
      </c>
      <c r="P96" s="3">
        <f t="shared" si="13"/>
        <v>-1497.8157865000001</v>
      </c>
      <c r="Q96" s="3"/>
      <c r="R96" s="3">
        <f t="shared" si="14"/>
        <v>4432.284802203927</v>
      </c>
      <c r="S96" s="3"/>
      <c r="T96" s="3">
        <f t="shared" si="15"/>
        <v>2415.0039439608731</v>
      </c>
      <c r="W96" s="3">
        <v>0</v>
      </c>
      <c r="X96" s="3"/>
      <c r="Y96" s="3">
        <f t="shared" si="16"/>
        <v>0</v>
      </c>
      <c r="Z96" s="3"/>
      <c r="AA96" s="3">
        <v>0</v>
      </c>
      <c r="AB96" s="5"/>
      <c r="AC96" s="3">
        <f t="shared" si="17"/>
        <v>0</v>
      </c>
      <c r="AE96" s="9"/>
      <c r="AF96" s="9"/>
      <c r="AH96" s="8"/>
      <c r="AI96" s="1"/>
      <c r="AK96" s="10"/>
      <c r="AL96" s="3"/>
      <c r="AO96" s="3">
        <v>2426.1972518064881</v>
      </c>
    </row>
    <row r="97" spans="2:42" x14ac:dyDescent="0.3">
      <c r="B97" s="1">
        <f t="shared" ca="1" si="18"/>
        <v>84</v>
      </c>
      <c r="D97" s="11" t="s">
        <v>204</v>
      </c>
      <c r="F97" s="1" t="str">
        <f>+INDEX('Exh. BGM-3 (2)'!$10:$10,1,MATCH($D97,'Exh. BGM-3 (2)'!$4:$4,0))</f>
        <v>COLSTRIP D&amp;R TRACKER</v>
      </c>
      <c r="I97" s="3">
        <v>51935.956248247727</v>
      </c>
      <c r="J97" s="3"/>
      <c r="K97" s="3">
        <v>58064.158296151058</v>
      </c>
      <c r="L97" s="3"/>
      <c r="M97" s="3">
        <f t="shared" si="12"/>
        <v>-63474.472623860886</v>
      </c>
      <c r="P97" s="3">
        <f t="shared" si="13"/>
        <v>51935.956248247727</v>
      </c>
      <c r="Q97" s="3"/>
      <c r="R97" s="3">
        <f t="shared" si="14"/>
        <v>58064.158296151058</v>
      </c>
      <c r="S97" s="3"/>
      <c r="T97" s="3">
        <f t="shared" si="15"/>
        <v>-63474.472623860886</v>
      </c>
      <c r="W97" s="3">
        <v>0</v>
      </c>
      <c r="X97" s="3"/>
      <c r="Y97" s="3">
        <f t="shared" si="16"/>
        <v>0</v>
      </c>
      <c r="Z97" s="3"/>
      <c r="AA97" s="3">
        <v>0</v>
      </c>
      <c r="AB97" s="5"/>
      <c r="AC97" s="3">
        <f t="shared" si="17"/>
        <v>0</v>
      </c>
      <c r="AE97" s="9"/>
      <c r="AF97" s="9"/>
      <c r="AH97" s="8"/>
      <c r="AI97" s="1"/>
      <c r="AK97" s="10"/>
      <c r="AL97" s="3"/>
      <c r="AO97" s="3">
        <v>-63327.837191435116</v>
      </c>
    </row>
    <row r="98" spans="2:42" x14ac:dyDescent="0.3">
      <c r="B98" s="1">
        <f t="shared" ca="1" si="18"/>
        <v>85</v>
      </c>
      <c r="D98" s="11" t="s">
        <v>205</v>
      </c>
      <c r="F98" s="1" t="str">
        <f>+INDEX('Exh. BGM-3 (2)'!$10:$10,1,MATCH($D98,'Exh. BGM-3 (2)'!$4:$4,0))</f>
        <v>OPEN 3</v>
      </c>
      <c r="I98" s="3">
        <v>0</v>
      </c>
      <c r="J98" s="3"/>
      <c r="K98" s="3">
        <v>0</v>
      </c>
      <c r="L98" s="3"/>
      <c r="M98" s="3">
        <f t="shared" si="12"/>
        <v>0</v>
      </c>
      <c r="P98" s="3">
        <f t="shared" si="13"/>
        <v>0</v>
      </c>
      <c r="Q98" s="3"/>
      <c r="R98" s="3">
        <f t="shared" si="14"/>
        <v>0</v>
      </c>
      <c r="S98" s="3"/>
      <c r="T98" s="3">
        <f t="shared" si="15"/>
        <v>0</v>
      </c>
      <c r="W98" s="3">
        <v>0</v>
      </c>
      <c r="X98" s="3"/>
      <c r="Y98" s="3">
        <f t="shared" si="16"/>
        <v>0</v>
      </c>
      <c r="Z98" s="3"/>
      <c r="AA98" s="3">
        <v>0</v>
      </c>
      <c r="AB98" s="5"/>
      <c r="AC98" s="3">
        <f t="shared" si="17"/>
        <v>0</v>
      </c>
      <c r="AE98" s="9"/>
      <c r="AF98" s="9"/>
      <c r="AH98" s="8"/>
      <c r="AI98" s="1"/>
      <c r="AK98" s="10"/>
      <c r="AL98" s="3"/>
      <c r="AO98" s="3">
        <v>0</v>
      </c>
    </row>
    <row r="99" spans="2:42" x14ac:dyDescent="0.3">
      <c r="B99" s="1">
        <f t="shared" ca="1" si="18"/>
        <v>86</v>
      </c>
      <c r="D99" s="11" t="s">
        <v>206</v>
      </c>
      <c r="F99" s="1" t="str">
        <f>+INDEX('Exh. BGM-3 (2)'!$10:$10,1,MATCH($D99,'Exh. BGM-3 (2)'!$4:$4,0))</f>
        <v>MONETIZE PTCS FOR COLSTRIP</v>
      </c>
      <c r="I99" s="3">
        <v>0</v>
      </c>
      <c r="J99" s="3"/>
      <c r="K99" s="3">
        <v>-160912.33732015104</v>
      </c>
      <c r="L99" s="3"/>
      <c r="M99" s="3">
        <f t="shared" si="12"/>
        <v>-15399.230798028691</v>
      </c>
      <c r="P99" s="3">
        <f t="shared" ref="P99:P100" si="19">+I99+Y99</f>
        <v>0</v>
      </c>
      <c r="Q99" s="3"/>
      <c r="R99" s="3">
        <f t="shared" ref="R99:R100" si="20">+K99+AA99</f>
        <v>-160912.33732015104</v>
      </c>
      <c r="S99" s="3"/>
      <c r="T99" s="3">
        <f t="shared" si="15"/>
        <v>-15399.230798028691</v>
      </c>
      <c r="W99" s="3">
        <v>0</v>
      </c>
      <c r="X99" s="3"/>
      <c r="Y99" s="3">
        <f t="shared" ref="Y99:Y100" si="21">+W99*(1-$AJ$5)</f>
        <v>0</v>
      </c>
      <c r="Z99" s="3"/>
      <c r="AA99" s="3">
        <v>0</v>
      </c>
      <c r="AB99" s="5"/>
      <c r="AC99" s="3">
        <f t="shared" ref="AC99:AC100" si="22">+T99-M99</f>
        <v>0</v>
      </c>
      <c r="AE99" s="9"/>
      <c r="AF99" s="9"/>
      <c r="AH99" s="8"/>
      <c r="AI99" s="1"/>
      <c r="AK99" s="10"/>
      <c r="AL99" s="3"/>
      <c r="AO99" s="3">
        <v>-15805.599388532224</v>
      </c>
    </row>
    <row r="100" spans="2:42" x14ac:dyDescent="0.3">
      <c r="B100" s="1">
        <f t="shared" ca="1" si="18"/>
        <v>87</v>
      </c>
      <c r="D100" s="11" t="s">
        <v>207</v>
      </c>
      <c r="F100" s="1" t="str">
        <f>+INDEX('Exh. BGM-3 (2)'!$10:$10,1,MATCH($D100,'Exh. BGM-3 (2)'!$4:$4,0))</f>
        <v>ACQUISITION ADJUSTMENT</v>
      </c>
      <c r="I100" s="3">
        <v>0</v>
      </c>
      <c r="J100" s="3"/>
      <c r="K100" s="3">
        <v>-4207.1965800000098</v>
      </c>
      <c r="L100" s="3"/>
      <c r="M100" s="3">
        <f t="shared" si="12"/>
        <v>-402.62662408038858</v>
      </c>
      <c r="P100" s="3">
        <f t="shared" si="19"/>
        <v>0</v>
      </c>
      <c r="Q100" s="3"/>
      <c r="R100" s="3">
        <f t="shared" si="20"/>
        <v>-4207.1965800000098</v>
      </c>
      <c r="S100" s="3"/>
      <c r="T100" s="3">
        <f t="shared" si="15"/>
        <v>-402.62662408038858</v>
      </c>
      <c r="W100" s="3">
        <v>0</v>
      </c>
      <c r="X100" s="3"/>
      <c r="Y100" s="3">
        <f t="shared" si="21"/>
        <v>0</v>
      </c>
      <c r="Z100" s="3"/>
      <c r="AA100" s="3">
        <v>0</v>
      </c>
      <c r="AB100" s="5"/>
      <c r="AC100" s="3">
        <f t="shared" si="22"/>
        <v>0</v>
      </c>
      <c r="AE100" s="9"/>
      <c r="AF100" s="9"/>
      <c r="AH100" s="8"/>
      <c r="AI100" s="1"/>
      <c r="AK100" s="10"/>
      <c r="AL100" s="3"/>
      <c r="AO100" s="3">
        <v>-413.25149332695429</v>
      </c>
    </row>
    <row r="101" spans="2:42" x14ac:dyDescent="0.3">
      <c r="C101" s="7"/>
      <c r="D101" s="11"/>
      <c r="E101" s="7"/>
      <c r="I101" s="6"/>
      <c r="J101" s="6"/>
      <c r="K101" s="6"/>
      <c r="L101" s="6"/>
      <c r="M101" s="6"/>
      <c r="O101" s="7"/>
      <c r="P101" s="6"/>
      <c r="Q101" s="6"/>
      <c r="R101" s="6"/>
      <c r="S101" s="6"/>
      <c r="T101" s="6"/>
      <c r="W101" s="6"/>
      <c r="X101" s="1"/>
      <c r="Y101" s="6"/>
      <c r="Z101" s="6"/>
      <c r="AA101" s="6"/>
      <c r="AB101" s="6"/>
      <c r="AC101" s="3"/>
      <c r="AE101" s="9"/>
      <c r="AF101" s="9"/>
      <c r="AH101" s="8"/>
      <c r="AI101" s="1"/>
      <c r="AO101" s="6"/>
    </row>
    <row r="102" spans="2:42" x14ac:dyDescent="0.3">
      <c r="C102" s="7"/>
      <c r="D102" s="11"/>
      <c r="E102" s="7"/>
      <c r="I102" s="14"/>
      <c r="J102" s="6"/>
      <c r="K102" s="14"/>
      <c r="L102" s="6"/>
      <c r="M102" s="14"/>
      <c r="O102" s="7"/>
      <c r="P102" s="14"/>
      <c r="Q102" s="6"/>
      <c r="R102" s="14"/>
      <c r="S102" s="6"/>
      <c r="T102" s="14"/>
      <c r="W102" s="14"/>
      <c r="X102" s="1"/>
      <c r="Y102" s="14"/>
      <c r="Z102" s="6"/>
      <c r="AA102" s="14"/>
      <c r="AB102" s="6"/>
      <c r="AC102" s="13"/>
      <c r="AE102" s="9"/>
      <c r="AF102" s="9"/>
      <c r="AH102" s="8"/>
      <c r="AO102" s="14"/>
    </row>
    <row r="103" spans="2:42" ht="13.5" thickBot="1" x14ac:dyDescent="0.35">
      <c r="B103" s="1">
        <f ca="1">+MAX(OFFSET($B$7,0,0,ROW($B103)-ROW($B$7),1))+1</f>
        <v>88</v>
      </c>
      <c r="D103" s="11"/>
      <c r="F103" s="7" t="s">
        <v>0</v>
      </c>
      <c r="I103" s="12">
        <f>+SUM(I52:I102)</f>
        <v>416595.37849246565</v>
      </c>
      <c r="J103" s="3"/>
      <c r="K103" s="12">
        <f>+SUM(K52:K102)</f>
        <v>5504837.9941629907</v>
      </c>
      <c r="L103" s="3"/>
      <c r="M103" s="12">
        <f>+($K103*$AL$16-$I103)/$AJ$4</f>
        <v>-26911.554934479398</v>
      </c>
      <c r="P103" s="12">
        <f>+SUM(P52:P102)</f>
        <v>416590.63599266589</v>
      </c>
      <c r="Q103" s="3"/>
      <c r="R103" s="12">
        <f>+SUM(R52:R102)</f>
        <v>5493536.6307039028</v>
      </c>
      <c r="S103" s="3"/>
      <c r="T103" s="12">
        <f>+($R103*$AL$16-$P103)/$AJ$4</f>
        <v>-27986.786267101084</v>
      </c>
      <c r="W103" s="12">
        <f>+SUM(W52:W102)</f>
        <v>0</v>
      </c>
      <c r="X103" s="5"/>
      <c r="Y103" s="12">
        <f>+SUM(Y52:Y102)</f>
        <v>-4.7424997997959624</v>
      </c>
      <c r="Z103" s="3"/>
      <c r="AA103" s="12">
        <f>+SUM(AA52:AA102)</f>
        <v>-11301.363459087343</v>
      </c>
      <c r="AB103" s="3"/>
      <c r="AC103" s="12">
        <f>+SUM(AC52:AC102)</f>
        <v>-1075.2313326215587</v>
      </c>
      <c r="AE103" s="9"/>
      <c r="AF103" s="9"/>
      <c r="AH103" s="8"/>
      <c r="AL103" s="3"/>
      <c r="AO103" s="12">
        <v>-13009.61743302122</v>
      </c>
      <c r="AP103" s="6">
        <f>+M103-AO103</f>
        <v>-13901.937501458178</v>
      </c>
    </row>
    <row r="104" spans="2:42" ht="13.5" thickTop="1" x14ac:dyDescent="0.3">
      <c r="D104" s="11"/>
      <c r="R104" s="201"/>
      <c r="S104" s="202" t="s">
        <v>671</v>
      </c>
      <c r="T104" s="201">
        <f>+T103-'Exh. BGM-3 (2)'!CO70/1000</f>
        <v>5.4569682106375694E-11</v>
      </c>
      <c r="AH104" s="8"/>
      <c r="AL104" s="3"/>
    </row>
    <row r="105" spans="2:42" x14ac:dyDescent="0.3">
      <c r="B105" s="15" t="s">
        <v>403</v>
      </c>
      <c r="D105" s="11"/>
      <c r="AH105" s="8"/>
      <c r="AL105" s="3"/>
    </row>
    <row r="106" spans="2:42" x14ac:dyDescent="0.3">
      <c r="B106" s="1">
        <f t="shared" ref="B106:B153" ca="1" si="23">+MAX(OFFSET($B$7,0,0,ROW($B106)-ROW($B$7),1))+1</f>
        <v>89</v>
      </c>
      <c r="D106" s="11" t="s">
        <v>208</v>
      </c>
      <c r="F106" s="1" t="str">
        <f>+INDEX('Exh. BGM-3 (2)'!$10:$10,1,MATCH($D106,'Exh. BGM-3 (2)'!$4:$4,0))</f>
        <v>REVENUES AND EXPENSES</v>
      </c>
      <c r="I106" s="3">
        <v>-41008.047891153219</v>
      </c>
      <c r="J106" s="3"/>
      <c r="K106" s="3">
        <v>0</v>
      </c>
      <c r="L106" s="3"/>
      <c r="M106" s="3">
        <f t="shared" ref="M106:M153" si="24">+($K106*$AL$16-$I106)/$AJ$4</f>
        <v>54506.247570831882</v>
      </c>
      <c r="P106" s="3">
        <f t="shared" ref="P106:P153" si="25">+I106+Y106</f>
        <v>-41008.047891153219</v>
      </c>
      <c r="Q106" s="3"/>
      <c r="R106" s="3">
        <f t="shared" ref="R106:R153" si="26">+K106+AA106</f>
        <v>0</v>
      </c>
      <c r="S106" s="3"/>
      <c r="T106" s="3">
        <f t="shared" ref="T106:T152" si="27">+($R106*$AL$16-$P106)/$AJ$4</f>
        <v>54506.247570831882</v>
      </c>
      <c r="W106" s="3">
        <v>0</v>
      </c>
      <c r="X106" s="3"/>
      <c r="Y106" s="3">
        <f t="shared" ref="Y106:Y153" si="28">+W106*(1-$AJ$5)</f>
        <v>0</v>
      </c>
      <c r="Z106" s="3"/>
      <c r="AA106" s="3">
        <v>0</v>
      </c>
      <c r="AB106" s="5"/>
      <c r="AC106" s="3">
        <f t="shared" ref="AC106:AC153" si="29">+T106-M106</f>
        <v>0</v>
      </c>
      <c r="AE106" s="9"/>
      <c r="AF106" s="9"/>
      <c r="AH106" s="8"/>
      <c r="AL106" s="3"/>
      <c r="AO106" s="3">
        <v>54506.247570831882</v>
      </c>
    </row>
    <row r="107" spans="2:42" x14ac:dyDescent="0.3">
      <c r="B107" s="1">
        <f t="shared" ca="1" si="23"/>
        <v>90</v>
      </c>
      <c r="D107" s="11" t="s">
        <v>209</v>
      </c>
      <c r="F107" s="1" t="str">
        <f>+INDEX('Exh. BGM-3 (2)'!$10:$10,1,MATCH($D107,'Exh. BGM-3 (2)'!$4:$4,0))</f>
        <v>PASS-THROUGH REVENUE &amp; EXPENSE</v>
      </c>
      <c r="I107" s="3">
        <v>0</v>
      </c>
      <c r="J107" s="3"/>
      <c r="K107" s="3">
        <v>0</v>
      </c>
      <c r="L107" s="3"/>
      <c r="M107" s="3">
        <f t="shared" si="24"/>
        <v>0</v>
      </c>
      <c r="P107" s="3">
        <f t="shared" si="25"/>
        <v>0</v>
      </c>
      <c r="Q107" s="3"/>
      <c r="R107" s="3">
        <f t="shared" si="26"/>
        <v>0</v>
      </c>
      <c r="S107" s="3"/>
      <c r="T107" s="3">
        <f t="shared" si="27"/>
        <v>0</v>
      </c>
      <c r="W107" s="3">
        <v>0</v>
      </c>
      <c r="X107" s="3"/>
      <c r="Y107" s="3">
        <f t="shared" si="28"/>
        <v>0</v>
      </c>
      <c r="Z107" s="3"/>
      <c r="AA107" s="3">
        <v>0</v>
      </c>
      <c r="AB107" s="5"/>
      <c r="AC107" s="3">
        <f t="shared" si="29"/>
        <v>0</v>
      </c>
      <c r="AE107" s="9"/>
      <c r="AF107" s="9"/>
      <c r="AH107" s="8"/>
      <c r="AL107" s="3"/>
      <c r="AO107" s="3">
        <v>0</v>
      </c>
    </row>
    <row r="108" spans="2:42" x14ac:dyDescent="0.3">
      <c r="B108" s="1">
        <f t="shared" ca="1" si="23"/>
        <v>91</v>
      </c>
      <c r="D108" s="11" t="s">
        <v>210</v>
      </c>
      <c r="F108" s="1" t="str">
        <f>+INDEX('Exh. BGM-3 (2)'!$10:$10,1,MATCH($D108,'Exh. BGM-3 (2)'!$4:$4,0))</f>
        <v>TEMPERATURE NORMALIZATION</v>
      </c>
      <c r="I108" s="3">
        <v>0</v>
      </c>
      <c r="J108" s="3"/>
      <c r="K108" s="3">
        <v>0</v>
      </c>
      <c r="L108" s="3"/>
      <c r="M108" s="3">
        <f t="shared" si="24"/>
        <v>0</v>
      </c>
      <c r="P108" s="3">
        <f t="shared" si="25"/>
        <v>0</v>
      </c>
      <c r="Q108" s="3"/>
      <c r="R108" s="3">
        <f t="shared" si="26"/>
        <v>0</v>
      </c>
      <c r="S108" s="3"/>
      <c r="T108" s="3">
        <f t="shared" si="27"/>
        <v>0</v>
      </c>
      <c r="W108" s="3">
        <v>0</v>
      </c>
      <c r="X108" s="3"/>
      <c r="Y108" s="3">
        <f t="shared" si="28"/>
        <v>0</v>
      </c>
      <c r="Z108" s="3"/>
      <c r="AA108" s="3">
        <v>0</v>
      </c>
      <c r="AB108" s="5"/>
      <c r="AC108" s="3">
        <f t="shared" si="29"/>
        <v>0</v>
      </c>
      <c r="AE108" s="9"/>
      <c r="AF108" s="9"/>
      <c r="AH108" s="8"/>
      <c r="AL108" s="3"/>
      <c r="AO108" s="3">
        <v>0</v>
      </c>
    </row>
    <row r="109" spans="2:42" x14ac:dyDescent="0.3">
      <c r="B109" s="1">
        <f t="shared" ca="1" si="23"/>
        <v>92</v>
      </c>
      <c r="D109" s="11" t="s">
        <v>211</v>
      </c>
      <c r="F109" s="1" t="str">
        <f>+INDEX('Exh. BGM-3 (2)'!$10:$10,1,MATCH($D109,'Exh. BGM-3 (2)'!$4:$4,0))</f>
        <v>FEDERAL INCOME TAX</v>
      </c>
      <c r="I109" s="3">
        <v>399.7736811860027</v>
      </c>
      <c r="J109" s="3"/>
      <c r="K109" s="3">
        <v>21526.388995392022</v>
      </c>
      <c r="L109" s="3"/>
      <c r="M109" s="3">
        <f t="shared" si="24"/>
        <v>1528.7016454761688</v>
      </c>
      <c r="P109" s="3">
        <f t="shared" si="25"/>
        <v>399.7736811860027</v>
      </c>
      <c r="Q109" s="3"/>
      <c r="R109" s="3">
        <f t="shared" si="26"/>
        <v>21526.388995392022</v>
      </c>
      <c r="S109" s="3"/>
      <c r="T109" s="3">
        <f t="shared" si="27"/>
        <v>1528.7016454761688</v>
      </c>
      <c r="W109" s="3">
        <v>0</v>
      </c>
      <c r="X109" s="3"/>
      <c r="Y109" s="3">
        <v>0</v>
      </c>
      <c r="Z109" s="3"/>
      <c r="AA109" s="3">
        <v>0</v>
      </c>
      <c r="AB109" s="5"/>
      <c r="AC109" s="3">
        <f t="shared" si="29"/>
        <v>0</v>
      </c>
      <c r="AE109" s="9"/>
      <c r="AF109" s="9"/>
      <c r="AH109" s="8"/>
      <c r="AL109" s="3"/>
      <c r="AO109" s="3">
        <v>1583.0644650111553</v>
      </c>
    </row>
    <row r="110" spans="2:42" x14ac:dyDescent="0.3">
      <c r="B110" s="222">
        <f t="shared" ca="1" si="23"/>
        <v>93</v>
      </c>
      <c r="C110" s="222"/>
      <c r="D110" s="224" t="s">
        <v>212</v>
      </c>
      <c r="E110" s="222"/>
      <c r="F110" s="222" t="str">
        <f>+INDEX('Exh. BGM-3 (2)'!$10:$10,1,MATCH($D110,'Exh. BGM-3 (2)'!$4:$4,0))</f>
        <v>TAX BENEFIT OF INTEREST</v>
      </c>
      <c r="G110" s="225"/>
      <c r="H110" s="225"/>
      <c r="I110" s="226">
        <v>443.29829519069284</v>
      </c>
      <c r="J110" s="226"/>
      <c r="K110" s="226">
        <v>0</v>
      </c>
      <c r="L110" s="226"/>
      <c r="M110" s="226">
        <f t="shared" si="24"/>
        <v>-589.21426080865126</v>
      </c>
      <c r="N110" s="225"/>
      <c r="O110" s="222"/>
      <c r="P110" s="226">
        <f t="shared" si="25"/>
        <v>631.15154481271679</v>
      </c>
      <c r="Q110" s="226"/>
      <c r="R110" s="226">
        <f t="shared" si="26"/>
        <v>0</v>
      </c>
      <c r="S110" s="226"/>
      <c r="T110" s="226">
        <f t="shared" si="27"/>
        <v>-838.90124318003711</v>
      </c>
      <c r="U110" s="222"/>
      <c r="V110" s="222"/>
      <c r="W110" s="226">
        <v>0</v>
      </c>
      <c r="X110" s="226"/>
      <c r="Y110" s="226">
        <f>+SUM(AA111:AA154)*$AL$14*$AJ$5</f>
        <v>187.85324962202401</v>
      </c>
      <c r="Z110" s="226"/>
      <c r="AA110" s="226">
        <v>0</v>
      </c>
      <c r="AB110" s="227"/>
      <c r="AC110" s="226">
        <f t="shared" si="29"/>
        <v>-249.68698237138585</v>
      </c>
      <c r="AD110" s="225"/>
      <c r="AE110" s="232" t="s">
        <v>1065</v>
      </c>
      <c r="AF110" s="9"/>
      <c r="AH110" s="8"/>
      <c r="AL110" s="3"/>
      <c r="AO110" s="3">
        <v>-589.21426080865126</v>
      </c>
    </row>
    <row r="111" spans="2:42" x14ac:dyDescent="0.3">
      <c r="B111" s="1">
        <f t="shared" ca="1" si="23"/>
        <v>94</v>
      </c>
      <c r="D111" s="11" t="s">
        <v>213</v>
      </c>
      <c r="F111" s="1" t="str">
        <f>+INDEX('Exh. BGM-3 (2)'!$10:$10,1,MATCH($D111,'Exh. BGM-3 (2)'!$4:$4,0))</f>
        <v>BAD DEBT EXPENSE</v>
      </c>
      <c r="I111" s="3">
        <v>0</v>
      </c>
      <c r="J111" s="3"/>
      <c r="K111" s="3">
        <v>0</v>
      </c>
      <c r="L111" s="3"/>
      <c r="M111" s="3">
        <f t="shared" si="24"/>
        <v>0</v>
      </c>
      <c r="P111" s="3">
        <f t="shared" si="25"/>
        <v>0</v>
      </c>
      <c r="Q111" s="3"/>
      <c r="R111" s="3">
        <f t="shared" si="26"/>
        <v>0</v>
      </c>
      <c r="S111" s="3"/>
      <c r="T111" s="3">
        <f t="shared" si="27"/>
        <v>0</v>
      </c>
      <c r="W111" s="3">
        <v>0</v>
      </c>
      <c r="X111" s="3"/>
      <c r="Y111" s="3">
        <f t="shared" si="28"/>
        <v>0</v>
      </c>
      <c r="Z111" s="3"/>
      <c r="AA111" s="3">
        <v>0</v>
      </c>
      <c r="AB111" s="5"/>
      <c r="AC111" s="3">
        <f t="shared" si="29"/>
        <v>0</v>
      </c>
      <c r="AE111" s="9"/>
      <c r="AF111" s="9"/>
      <c r="AH111" s="8"/>
      <c r="AL111" s="3"/>
      <c r="AO111" s="3">
        <v>0</v>
      </c>
    </row>
    <row r="112" spans="2:42" x14ac:dyDescent="0.3">
      <c r="B112" s="1">
        <f t="shared" ca="1" si="23"/>
        <v>95</v>
      </c>
      <c r="D112" s="11" t="s">
        <v>214</v>
      </c>
      <c r="F112" s="1" t="str">
        <f>+INDEX('Exh. BGM-3 (2)'!$10:$10,1,MATCH($D112,'Exh. BGM-3 (2)'!$4:$4,0))</f>
        <v>RATE CASE EXPENSE</v>
      </c>
      <c r="I112" s="3">
        <v>0</v>
      </c>
      <c r="J112" s="3"/>
      <c r="K112" s="3">
        <v>0</v>
      </c>
      <c r="L112" s="3"/>
      <c r="M112" s="3">
        <f t="shared" si="24"/>
        <v>0</v>
      </c>
      <c r="P112" s="3">
        <f t="shared" si="25"/>
        <v>0</v>
      </c>
      <c r="Q112" s="3"/>
      <c r="R112" s="3">
        <f t="shared" si="26"/>
        <v>0</v>
      </c>
      <c r="S112" s="3"/>
      <c r="T112" s="3">
        <f t="shared" si="27"/>
        <v>0</v>
      </c>
      <c r="W112" s="3">
        <v>0</v>
      </c>
      <c r="X112" s="3"/>
      <c r="Y112" s="3">
        <f t="shared" si="28"/>
        <v>0</v>
      </c>
      <c r="Z112" s="3"/>
      <c r="AA112" s="3">
        <v>0</v>
      </c>
      <c r="AB112" s="5"/>
      <c r="AC112" s="3">
        <f t="shared" si="29"/>
        <v>0</v>
      </c>
      <c r="AE112" s="9"/>
      <c r="AF112" s="9"/>
      <c r="AH112" s="8"/>
      <c r="AL112" s="3"/>
      <c r="AO112" s="3">
        <v>0</v>
      </c>
    </row>
    <row r="113" spans="2:41" x14ac:dyDescent="0.3">
      <c r="B113" s="1">
        <f t="shared" ca="1" si="23"/>
        <v>96</v>
      </c>
      <c r="D113" s="11" t="s">
        <v>215</v>
      </c>
      <c r="F113" s="1" t="str">
        <f>+INDEX('Exh. BGM-3 (2)'!$10:$10,1,MATCH($D113,'Exh. BGM-3 (2)'!$4:$4,0))</f>
        <v xml:space="preserve">EXCISE TAX </v>
      </c>
      <c r="I113" s="3">
        <v>0</v>
      </c>
      <c r="J113" s="3"/>
      <c r="K113" s="3">
        <v>0</v>
      </c>
      <c r="L113" s="3"/>
      <c r="M113" s="3">
        <f t="shared" si="24"/>
        <v>0</v>
      </c>
      <c r="P113" s="3">
        <f t="shared" si="25"/>
        <v>0</v>
      </c>
      <c r="Q113" s="3"/>
      <c r="R113" s="3">
        <f t="shared" si="26"/>
        <v>0</v>
      </c>
      <c r="S113" s="3"/>
      <c r="T113" s="3">
        <f t="shared" si="27"/>
        <v>0</v>
      </c>
      <c r="W113" s="3">
        <v>0</v>
      </c>
      <c r="X113" s="3"/>
      <c r="Y113" s="3">
        <f t="shared" si="28"/>
        <v>0</v>
      </c>
      <c r="Z113" s="3"/>
      <c r="AA113" s="3">
        <v>0</v>
      </c>
      <c r="AB113" s="5"/>
      <c r="AC113" s="3">
        <f t="shared" si="29"/>
        <v>0</v>
      </c>
      <c r="AE113" s="9"/>
      <c r="AF113" s="9"/>
      <c r="AH113" s="8"/>
      <c r="AL113" s="3"/>
      <c r="AO113" s="3">
        <v>0</v>
      </c>
    </row>
    <row r="114" spans="2:41" x14ac:dyDescent="0.3">
      <c r="B114" s="1">
        <f t="shared" ca="1" si="23"/>
        <v>97</v>
      </c>
      <c r="D114" s="11" t="s">
        <v>216</v>
      </c>
      <c r="F114" s="1" t="str">
        <f>+INDEX('Exh. BGM-3 (2)'!$10:$10,1,MATCH($D114,'Exh. BGM-3 (2)'!$4:$4,0))</f>
        <v>EMPLOYEE INSURANCE</v>
      </c>
      <c r="I114" s="3">
        <v>0</v>
      </c>
      <c r="J114" s="3"/>
      <c r="K114" s="3">
        <v>0</v>
      </c>
      <c r="L114" s="3"/>
      <c r="M114" s="3">
        <f t="shared" si="24"/>
        <v>0</v>
      </c>
      <c r="P114" s="3">
        <f t="shared" si="25"/>
        <v>0</v>
      </c>
      <c r="Q114" s="3"/>
      <c r="R114" s="3">
        <f t="shared" si="26"/>
        <v>0</v>
      </c>
      <c r="S114" s="3"/>
      <c r="T114" s="3">
        <f t="shared" si="27"/>
        <v>0</v>
      </c>
      <c r="W114" s="3">
        <v>0</v>
      </c>
      <c r="X114" s="3"/>
      <c r="Y114" s="3">
        <f t="shared" si="28"/>
        <v>0</v>
      </c>
      <c r="Z114" s="3"/>
      <c r="AA114" s="3">
        <v>0</v>
      </c>
      <c r="AB114" s="5"/>
      <c r="AC114" s="3">
        <f t="shared" si="29"/>
        <v>0</v>
      </c>
      <c r="AE114" s="9"/>
      <c r="AF114" s="9"/>
      <c r="AH114" s="8"/>
      <c r="AL114" s="3"/>
      <c r="AO114" s="3">
        <v>0</v>
      </c>
    </row>
    <row r="115" spans="2:41" x14ac:dyDescent="0.3">
      <c r="B115" s="1">
        <f t="shared" ca="1" si="23"/>
        <v>98</v>
      </c>
      <c r="D115" s="11" t="s">
        <v>217</v>
      </c>
      <c r="F115" s="1" t="str">
        <f>+INDEX('Exh. BGM-3 (2)'!$10:$10,1,MATCH($D115,'Exh. BGM-3 (2)'!$4:$4,0))</f>
        <v>INJURIES &amp; DAMAGES</v>
      </c>
      <c r="I115" s="3">
        <v>0</v>
      </c>
      <c r="J115" s="3"/>
      <c r="K115" s="3">
        <v>0</v>
      </c>
      <c r="L115" s="3"/>
      <c r="M115" s="3">
        <f t="shared" si="24"/>
        <v>0</v>
      </c>
      <c r="P115" s="3">
        <f t="shared" si="25"/>
        <v>0</v>
      </c>
      <c r="Q115" s="3"/>
      <c r="R115" s="3">
        <f t="shared" si="26"/>
        <v>0</v>
      </c>
      <c r="S115" s="3"/>
      <c r="T115" s="3">
        <f t="shared" si="27"/>
        <v>0</v>
      </c>
      <c r="W115" s="3">
        <v>0</v>
      </c>
      <c r="X115" s="3"/>
      <c r="Y115" s="3">
        <f t="shared" si="28"/>
        <v>0</v>
      </c>
      <c r="Z115" s="3"/>
      <c r="AA115" s="3">
        <v>0</v>
      </c>
      <c r="AB115" s="5"/>
      <c r="AC115" s="3">
        <f t="shared" si="29"/>
        <v>0</v>
      </c>
      <c r="AE115" s="9"/>
      <c r="AF115" s="9"/>
      <c r="AH115" s="8"/>
      <c r="AL115" s="3"/>
      <c r="AO115" s="3">
        <v>0</v>
      </c>
    </row>
    <row r="116" spans="2:41" x14ac:dyDescent="0.3">
      <c r="B116" s="1">
        <f t="shared" ca="1" si="23"/>
        <v>99</v>
      </c>
      <c r="D116" s="11" t="s">
        <v>218</v>
      </c>
      <c r="F116" s="1" t="str">
        <f>+INDEX('Exh. BGM-3 (2)'!$10:$10,1,MATCH($D116,'Exh. BGM-3 (2)'!$4:$4,0))</f>
        <v>INCENTIVE PAY</v>
      </c>
      <c r="I116" s="3">
        <v>-306.31114921122276</v>
      </c>
      <c r="J116" s="3"/>
      <c r="K116" s="3">
        <v>0</v>
      </c>
      <c r="L116" s="3"/>
      <c r="M116" s="3">
        <f t="shared" si="24"/>
        <v>407.13645713954548</v>
      </c>
      <c r="P116" s="3">
        <f t="shared" si="25"/>
        <v>-306.31114921122276</v>
      </c>
      <c r="Q116" s="3"/>
      <c r="R116" s="3">
        <f t="shared" si="26"/>
        <v>0</v>
      </c>
      <c r="S116" s="3"/>
      <c r="T116" s="3">
        <f t="shared" si="27"/>
        <v>407.13645713954548</v>
      </c>
      <c r="W116" s="3">
        <v>0</v>
      </c>
      <c r="X116" s="3"/>
      <c r="Y116" s="3">
        <f t="shared" si="28"/>
        <v>0</v>
      </c>
      <c r="Z116" s="3"/>
      <c r="AA116" s="3">
        <v>0</v>
      </c>
      <c r="AB116" s="5"/>
      <c r="AC116" s="3">
        <f t="shared" si="29"/>
        <v>0</v>
      </c>
      <c r="AE116" s="9"/>
      <c r="AF116" s="9"/>
      <c r="AH116" s="8"/>
      <c r="AL116" s="3"/>
      <c r="AO116" s="3">
        <v>407.13645713954548</v>
      </c>
    </row>
    <row r="117" spans="2:41" x14ac:dyDescent="0.3">
      <c r="B117" s="1">
        <f t="shared" ca="1" si="23"/>
        <v>100</v>
      </c>
      <c r="D117" s="11" t="s">
        <v>219</v>
      </c>
      <c r="F117" s="1" t="str">
        <f>+INDEX('Exh. BGM-3 (2)'!$10:$10,1,MATCH($D117,'Exh. BGM-3 (2)'!$4:$4,0))</f>
        <v>INVESTMENT PLAN</v>
      </c>
      <c r="I117" s="3">
        <v>0</v>
      </c>
      <c r="J117" s="3"/>
      <c r="K117" s="3">
        <v>0</v>
      </c>
      <c r="L117" s="3"/>
      <c r="M117" s="3">
        <f t="shared" si="24"/>
        <v>0</v>
      </c>
      <c r="P117" s="3">
        <f t="shared" si="25"/>
        <v>0</v>
      </c>
      <c r="Q117" s="3"/>
      <c r="R117" s="3">
        <f t="shared" si="26"/>
        <v>0</v>
      </c>
      <c r="S117" s="3"/>
      <c r="T117" s="3">
        <f t="shared" si="27"/>
        <v>0</v>
      </c>
      <c r="W117" s="3">
        <v>0</v>
      </c>
      <c r="X117" s="3"/>
      <c r="Y117" s="3">
        <f t="shared" si="28"/>
        <v>0</v>
      </c>
      <c r="Z117" s="3"/>
      <c r="AA117" s="3">
        <v>0</v>
      </c>
      <c r="AB117" s="5"/>
      <c r="AC117" s="3">
        <f t="shared" si="29"/>
        <v>0</v>
      </c>
      <c r="AE117" s="9"/>
      <c r="AF117" s="9"/>
      <c r="AH117" s="8"/>
      <c r="AL117" s="3"/>
      <c r="AO117" s="3">
        <v>0</v>
      </c>
    </row>
    <row r="118" spans="2:41" x14ac:dyDescent="0.3">
      <c r="B118" s="1">
        <f t="shared" ca="1" si="23"/>
        <v>101</v>
      </c>
      <c r="D118" s="11" t="s">
        <v>220</v>
      </c>
      <c r="F118" s="1" t="str">
        <f>+INDEX('Exh. BGM-3 (2)'!$10:$10,1,MATCH($D118,'Exh. BGM-3 (2)'!$4:$4,0))</f>
        <v>INTEREST ON  CUSTOMER DEPOSITS</v>
      </c>
      <c r="I118" s="3">
        <v>0</v>
      </c>
      <c r="J118" s="3"/>
      <c r="K118" s="3">
        <v>0</v>
      </c>
      <c r="L118" s="3"/>
      <c r="M118" s="3">
        <f t="shared" si="24"/>
        <v>0</v>
      </c>
      <c r="P118" s="3">
        <f t="shared" si="25"/>
        <v>0</v>
      </c>
      <c r="Q118" s="3"/>
      <c r="R118" s="3">
        <f t="shared" si="26"/>
        <v>0</v>
      </c>
      <c r="S118" s="3"/>
      <c r="T118" s="3">
        <f t="shared" si="27"/>
        <v>0</v>
      </c>
      <c r="W118" s="3">
        <v>0</v>
      </c>
      <c r="X118" s="3"/>
      <c r="Y118" s="3">
        <f t="shared" si="28"/>
        <v>0</v>
      </c>
      <c r="Z118" s="3"/>
      <c r="AA118" s="3">
        <v>0</v>
      </c>
      <c r="AB118" s="5"/>
      <c r="AC118" s="3">
        <f t="shared" si="29"/>
        <v>0</v>
      </c>
      <c r="AE118" s="9"/>
      <c r="AF118" s="9"/>
      <c r="AH118" s="8"/>
      <c r="AL118" s="3"/>
      <c r="AO118" s="3">
        <v>0</v>
      </c>
    </row>
    <row r="119" spans="2:41" x14ac:dyDescent="0.3">
      <c r="B119" s="1">
        <f t="shared" ca="1" si="23"/>
        <v>102</v>
      </c>
      <c r="D119" s="11" t="s">
        <v>221</v>
      </c>
      <c r="F119" s="1" t="str">
        <f>+INDEX('Exh. BGM-3 (2)'!$10:$10,1,MATCH($D119,'Exh. BGM-3 (2)'!$4:$4,0))</f>
        <v>PROPERTY AND LIAB INSURANCE</v>
      </c>
      <c r="I119" s="3">
        <v>0</v>
      </c>
      <c r="J119" s="3"/>
      <c r="K119" s="3">
        <v>0</v>
      </c>
      <c r="L119" s="3"/>
      <c r="M119" s="3">
        <f t="shared" si="24"/>
        <v>0</v>
      </c>
      <c r="P119" s="3">
        <f t="shared" si="25"/>
        <v>0</v>
      </c>
      <c r="Q119" s="3"/>
      <c r="R119" s="3">
        <f t="shared" si="26"/>
        <v>0</v>
      </c>
      <c r="S119" s="3"/>
      <c r="T119" s="3">
        <f t="shared" si="27"/>
        <v>0</v>
      </c>
      <c r="W119" s="3">
        <v>0</v>
      </c>
      <c r="X119" s="3"/>
      <c r="Y119" s="3">
        <f t="shared" si="28"/>
        <v>0</v>
      </c>
      <c r="Z119" s="3"/>
      <c r="AA119" s="3">
        <v>0</v>
      </c>
      <c r="AB119" s="5"/>
      <c r="AC119" s="3">
        <f t="shared" si="29"/>
        <v>0</v>
      </c>
      <c r="AE119" s="9"/>
      <c r="AF119" s="9"/>
      <c r="AH119" s="8"/>
      <c r="AL119" s="3"/>
      <c r="AO119" s="3">
        <v>0</v>
      </c>
    </row>
    <row r="120" spans="2:41" x14ac:dyDescent="0.3">
      <c r="B120" s="1">
        <f t="shared" ca="1" si="23"/>
        <v>103</v>
      </c>
      <c r="D120" s="11" t="s">
        <v>222</v>
      </c>
      <c r="F120" s="1" t="str">
        <f>+INDEX('Exh. BGM-3 (2)'!$10:$10,1,MATCH($D120,'Exh. BGM-3 (2)'!$4:$4,0))</f>
        <v>DEFERRED GAINS AND LOSSES ON PROPERTY SALES</v>
      </c>
      <c r="I120" s="3">
        <v>-1163.5735173000005</v>
      </c>
      <c r="J120" s="3"/>
      <c r="K120" s="3">
        <v>0</v>
      </c>
      <c r="L120" s="3"/>
      <c r="M120" s="3">
        <f t="shared" si="24"/>
        <v>1546.5751105528648</v>
      </c>
      <c r="P120" s="3">
        <f t="shared" si="25"/>
        <v>-1163.5735173000005</v>
      </c>
      <c r="Q120" s="3"/>
      <c r="R120" s="3">
        <f t="shared" si="26"/>
        <v>0</v>
      </c>
      <c r="S120" s="3"/>
      <c r="T120" s="3">
        <f t="shared" si="27"/>
        <v>1546.5751105528648</v>
      </c>
      <c r="W120" s="3">
        <v>0</v>
      </c>
      <c r="X120" s="3"/>
      <c r="Y120" s="3">
        <f t="shared" si="28"/>
        <v>0</v>
      </c>
      <c r="Z120" s="3"/>
      <c r="AA120" s="3">
        <v>0</v>
      </c>
      <c r="AB120" s="5"/>
      <c r="AC120" s="3">
        <f t="shared" si="29"/>
        <v>0</v>
      </c>
      <c r="AE120" s="9"/>
      <c r="AF120" s="9"/>
      <c r="AH120" s="8"/>
      <c r="AL120" s="3"/>
      <c r="AO120" s="3">
        <v>1546.5751105528648</v>
      </c>
    </row>
    <row r="121" spans="2:41" x14ac:dyDescent="0.3">
      <c r="B121" s="1">
        <f t="shared" ca="1" si="23"/>
        <v>104</v>
      </c>
      <c r="D121" s="11" t="s">
        <v>223</v>
      </c>
      <c r="F121" s="1" t="str">
        <f>+INDEX('Exh. BGM-3 (2)'!$10:$10,1,MATCH($D121,'Exh. BGM-3 (2)'!$4:$4,0))</f>
        <v>D&amp;O INSURANCE</v>
      </c>
      <c r="I121" s="3">
        <v>0</v>
      </c>
      <c r="J121" s="3"/>
      <c r="K121" s="3">
        <v>0</v>
      </c>
      <c r="L121" s="3"/>
      <c r="M121" s="3">
        <f t="shared" si="24"/>
        <v>0</v>
      </c>
      <c r="P121" s="3">
        <f t="shared" si="25"/>
        <v>0</v>
      </c>
      <c r="Q121" s="3"/>
      <c r="R121" s="3">
        <f t="shared" si="26"/>
        <v>0</v>
      </c>
      <c r="S121" s="3"/>
      <c r="T121" s="3">
        <f t="shared" si="27"/>
        <v>0</v>
      </c>
      <c r="W121" s="3">
        <v>0</v>
      </c>
      <c r="X121" s="3"/>
      <c r="Y121" s="3">
        <f t="shared" si="28"/>
        <v>0</v>
      </c>
      <c r="Z121" s="3"/>
      <c r="AA121" s="3">
        <v>0</v>
      </c>
      <c r="AB121" s="5"/>
      <c r="AC121" s="3">
        <f t="shared" si="29"/>
        <v>0</v>
      </c>
      <c r="AE121" s="9"/>
      <c r="AF121" s="9"/>
      <c r="AH121" s="8"/>
      <c r="AL121" s="3"/>
      <c r="AO121" s="3">
        <v>0</v>
      </c>
    </row>
    <row r="122" spans="2:41" x14ac:dyDescent="0.3">
      <c r="B122" s="1">
        <f t="shared" ca="1" si="23"/>
        <v>105</v>
      </c>
      <c r="D122" s="11" t="s">
        <v>224</v>
      </c>
      <c r="F122" s="1" t="str">
        <f>+INDEX('Exh. BGM-3 (2)'!$10:$10,1,MATCH($D122,'Exh. BGM-3 (2)'!$4:$4,0))</f>
        <v>PENSION PLAN</v>
      </c>
      <c r="I122" s="3">
        <v>0</v>
      </c>
      <c r="J122" s="3"/>
      <c r="K122" s="3">
        <v>0</v>
      </c>
      <c r="L122" s="3"/>
      <c r="M122" s="3">
        <f t="shared" si="24"/>
        <v>0</v>
      </c>
      <c r="P122" s="3">
        <f t="shared" si="25"/>
        <v>0</v>
      </c>
      <c r="Q122" s="3"/>
      <c r="R122" s="3">
        <f t="shared" si="26"/>
        <v>0</v>
      </c>
      <c r="S122" s="3"/>
      <c r="T122" s="3">
        <f t="shared" si="27"/>
        <v>0</v>
      </c>
      <c r="W122" s="3">
        <v>0</v>
      </c>
      <c r="X122" s="3"/>
      <c r="Y122" s="3">
        <f t="shared" si="28"/>
        <v>0</v>
      </c>
      <c r="Z122" s="3"/>
      <c r="AA122" s="3">
        <v>0</v>
      </c>
      <c r="AB122" s="5"/>
      <c r="AC122" s="3">
        <f t="shared" si="29"/>
        <v>0</v>
      </c>
      <c r="AE122" s="9"/>
      <c r="AF122" s="9"/>
      <c r="AH122" s="8"/>
      <c r="AL122" s="3"/>
      <c r="AO122" s="3">
        <v>0</v>
      </c>
    </row>
    <row r="123" spans="2:41" x14ac:dyDescent="0.3">
      <c r="B123" s="1">
        <f t="shared" ca="1" si="23"/>
        <v>106</v>
      </c>
      <c r="D123" s="11" t="s">
        <v>225</v>
      </c>
      <c r="F123" s="1" t="str">
        <f>+INDEX('Exh. BGM-3 (2)'!$10:$10,1,MATCH($D123,'Exh. BGM-3 (2)'!$4:$4,0))</f>
        <v>WAGE INCREASE</v>
      </c>
      <c r="I123" s="3">
        <v>0</v>
      </c>
      <c r="J123" s="3"/>
      <c r="K123" s="3">
        <v>0</v>
      </c>
      <c r="L123" s="3"/>
      <c r="M123" s="3">
        <f t="shared" si="24"/>
        <v>0</v>
      </c>
      <c r="P123" s="3">
        <f t="shared" si="25"/>
        <v>0</v>
      </c>
      <c r="Q123" s="3"/>
      <c r="R123" s="3">
        <f t="shared" si="26"/>
        <v>0</v>
      </c>
      <c r="S123" s="3"/>
      <c r="T123" s="3">
        <f t="shared" si="27"/>
        <v>0</v>
      </c>
      <c r="W123" s="3">
        <v>0</v>
      </c>
      <c r="X123" s="3"/>
      <c r="Y123" s="3">
        <f t="shared" si="28"/>
        <v>0</v>
      </c>
      <c r="Z123" s="3"/>
      <c r="AA123" s="3">
        <v>0</v>
      </c>
      <c r="AB123" s="5"/>
      <c r="AC123" s="3">
        <f t="shared" si="29"/>
        <v>0</v>
      </c>
      <c r="AE123" s="9"/>
      <c r="AF123" s="9"/>
      <c r="AH123" s="8"/>
      <c r="AL123" s="3"/>
      <c r="AO123" s="3">
        <v>0</v>
      </c>
    </row>
    <row r="124" spans="2:41" x14ac:dyDescent="0.3">
      <c r="B124" s="1">
        <f t="shared" ca="1" si="23"/>
        <v>107</v>
      </c>
      <c r="D124" s="11" t="s">
        <v>226</v>
      </c>
      <c r="F124" s="1" t="str">
        <f>+INDEX('Exh. BGM-3 (2)'!$10:$10,1,MATCH($D124,'Exh. BGM-3 (2)'!$4:$4,0))</f>
        <v>AMA TO EOP RATE BASE</v>
      </c>
      <c r="I124" s="3">
        <v>0</v>
      </c>
      <c r="J124" s="3"/>
      <c r="K124" s="3">
        <v>0</v>
      </c>
      <c r="L124" s="3"/>
      <c r="M124" s="3">
        <f t="shared" si="24"/>
        <v>0</v>
      </c>
      <c r="P124" s="3">
        <f t="shared" si="25"/>
        <v>0</v>
      </c>
      <c r="Q124" s="3"/>
      <c r="R124" s="3">
        <f t="shared" si="26"/>
        <v>0</v>
      </c>
      <c r="S124" s="3"/>
      <c r="T124" s="3">
        <f t="shared" si="27"/>
        <v>0</v>
      </c>
      <c r="W124" s="3">
        <v>0</v>
      </c>
      <c r="X124" s="3"/>
      <c r="Y124" s="3">
        <f t="shared" si="28"/>
        <v>0</v>
      </c>
      <c r="Z124" s="3"/>
      <c r="AA124" s="3">
        <v>0</v>
      </c>
      <c r="AB124" s="5"/>
      <c r="AC124" s="3">
        <f t="shared" si="29"/>
        <v>0</v>
      </c>
      <c r="AE124" s="9"/>
      <c r="AF124" s="9"/>
      <c r="AH124" s="8"/>
      <c r="AL124" s="3"/>
      <c r="AO124" s="3">
        <v>0</v>
      </c>
    </row>
    <row r="125" spans="2:41" x14ac:dyDescent="0.3">
      <c r="B125" s="1">
        <f t="shared" ca="1" si="23"/>
        <v>108</v>
      </c>
      <c r="D125" s="11" t="s">
        <v>227</v>
      </c>
      <c r="F125" s="1" t="str">
        <f>+INDEX('Exh. BGM-3 (2)'!$10:$10,1,MATCH($D125,'Exh. BGM-3 (2)'!$4:$4,0))</f>
        <v>AMA TO EOP DEPRECIATION</v>
      </c>
      <c r="I125" s="3">
        <v>0</v>
      </c>
      <c r="J125" s="3"/>
      <c r="K125" s="3">
        <v>0</v>
      </c>
      <c r="L125" s="3"/>
      <c r="M125" s="3">
        <f t="shared" si="24"/>
        <v>0</v>
      </c>
      <c r="P125" s="3">
        <f t="shared" si="25"/>
        <v>0</v>
      </c>
      <c r="Q125" s="3"/>
      <c r="R125" s="3">
        <f t="shared" si="26"/>
        <v>0</v>
      </c>
      <c r="S125" s="3"/>
      <c r="T125" s="3">
        <f t="shared" si="27"/>
        <v>0</v>
      </c>
      <c r="W125" s="3">
        <v>0</v>
      </c>
      <c r="X125" s="3"/>
      <c r="Y125" s="3">
        <f t="shared" si="28"/>
        <v>0</v>
      </c>
      <c r="Z125" s="3"/>
      <c r="AA125" s="3">
        <v>0</v>
      </c>
      <c r="AB125" s="5"/>
      <c r="AC125" s="3">
        <f t="shared" si="29"/>
        <v>0</v>
      </c>
      <c r="AE125" s="9"/>
      <c r="AF125" s="9"/>
      <c r="AH125" s="8"/>
      <c r="AL125" s="3"/>
      <c r="AO125" s="3">
        <v>0</v>
      </c>
    </row>
    <row r="126" spans="2:41" x14ac:dyDescent="0.3">
      <c r="B126" s="1">
        <f t="shared" ca="1" si="23"/>
        <v>109</v>
      </c>
      <c r="D126" s="11" t="s">
        <v>228</v>
      </c>
      <c r="F126" s="1" t="str">
        <f>+INDEX('Exh. BGM-3 (2)'!$10:$10,1,MATCH($D126,'Exh. BGM-3 (2)'!$4:$4,0))</f>
        <v>WUTC FILING FEE</v>
      </c>
      <c r="I126" s="3">
        <v>0</v>
      </c>
      <c r="J126" s="3"/>
      <c r="K126" s="3">
        <v>0</v>
      </c>
      <c r="L126" s="3"/>
      <c r="M126" s="3">
        <f t="shared" si="24"/>
        <v>0</v>
      </c>
      <c r="P126" s="3">
        <f t="shared" si="25"/>
        <v>0</v>
      </c>
      <c r="Q126" s="3"/>
      <c r="R126" s="3">
        <f t="shared" si="26"/>
        <v>0</v>
      </c>
      <c r="S126" s="3"/>
      <c r="T126" s="3">
        <f t="shared" si="27"/>
        <v>0</v>
      </c>
      <c r="W126" s="3">
        <v>0</v>
      </c>
      <c r="X126" s="3"/>
      <c r="Y126" s="3">
        <f t="shared" si="28"/>
        <v>0</v>
      </c>
      <c r="Z126" s="3"/>
      <c r="AA126" s="3">
        <v>0</v>
      </c>
      <c r="AB126" s="5"/>
      <c r="AC126" s="3">
        <f t="shared" si="29"/>
        <v>0</v>
      </c>
      <c r="AE126" s="9"/>
      <c r="AF126" s="9"/>
      <c r="AH126" s="8"/>
      <c r="AL126" s="3"/>
      <c r="AO126" s="3">
        <v>0</v>
      </c>
    </row>
    <row r="127" spans="2:41" x14ac:dyDescent="0.3">
      <c r="B127" s="1">
        <f t="shared" ca="1" si="23"/>
        <v>110</v>
      </c>
      <c r="D127" s="11" t="s">
        <v>229</v>
      </c>
      <c r="F127" s="1" t="str">
        <f>+INDEX('Exh. BGM-3 (2)'!$10:$10,1,MATCH($D127,'Exh. BGM-3 (2)'!$4:$4,0))</f>
        <v>PRO FORMA O&amp;M</v>
      </c>
      <c r="I127" s="3">
        <v>0</v>
      </c>
      <c r="J127" s="3"/>
      <c r="K127" s="3">
        <v>0</v>
      </c>
      <c r="L127" s="3"/>
      <c r="M127" s="3">
        <f t="shared" si="24"/>
        <v>0</v>
      </c>
      <c r="P127" s="3">
        <f t="shared" si="25"/>
        <v>0</v>
      </c>
      <c r="Q127" s="3"/>
      <c r="R127" s="3">
        <f t="shared" si="26"/>
        <v>0</v>
      </c>
      <c r="S127" s="3"/>
      <c r="T127" s="3">
        <f t="shared" si="27"/>
        <v>0</v>
      </c>
      <c r="W127" s="3">
        <v>0</v>
      </c>
      <c r="X127" s="3"/>
      <c r="Y127" s="3">
        <f t="shared" si="28"/>
        <v>0</v>
      </c>
      <c r="Z127" s="3"/>
      <c r="AA127" s="3">
        <v>0</v>
      </c>
      <c r="AB127" s="5"/>
      <c r="AC127" s="3">
        <f t="shared" si="29"/>
        <v>0</v>
      </c>
      <c r="AE127" s="9"/>
      <c r="AF127" s="9"/>
      <c r="AH127" s="8"/>
      <c r="AL127" s="3"/>
      <c r="AO127" s="3">
        <v>0</v>
      </c>
    </row>
    <row r="128" spans="2:41" x14ac:dyDescent="0.3">
      <c r="B128" s="1">
        <f t="shared" ca="1" si="23"/>
        <v>111</v>
      </c>
      <c r="D128" s="11" t="s">
        <v>230</v>
      </c>
      <c r="F128" s="1" t="str">
        <f>+INDEX('Exh. BGM-3 (2)'!$10:$10,1,MATCH($D128,'Exh. BGM-3 (2)'!$4:$4,0))</f>
        <v>AMR REGULATORY ASSET</v>
      </c>
      <c r="I128" s="3">
        <v>0</v>
      </c>
      <c r="J128" s="3"/>
      <c r="K128" s="3">
        <v>0</v>
      </c>
      <c r="L128" s="3"/>
      <c r="M128" s="3">
        <f t="shared" si="24"/>
        <v>0</v>
      </c>
      <c r="P128" s="3">
        <f t="shared" si="25"/>
        <v>0</v>
      </c>
      <c r="Q128" s="3"/>
      <c r="R128" s="3">
        <f t="shared" si="26"/>
        <v>0</v>
      </c>
      <c r="S128" s="3"/>
      <c r="T128" s="3">
        <f t="shared" si="27"/>
        <v>0</v>
      </c>
      <c r="W128" s="3">
        <v>0</v>
      </c>
      <c r="X128" s="3"/>
      <c r="Y128" s="3">
        <f t="shared" si="28"/>
        <v>0</v>
      </c>
      <c r="Z128" s="3"/>
      <c r="AA128" s="3">
        <v>0</v>
      </c>
      <c r="AB128" s="5"/>
      <c r="AC128" s="3">
        <f t="shared" si="29"/>
        <v>0</v>
      </c>
      <c r="AE128" s="9"/>
      <c r="AF128" s="9"/>
      <c r="AH128" s="8"/>
      <c r="AL128" s="3"/>
      <c r="AO128" s="3">
        <v>0</v>
      </c>
    </row>
    <row r="129" spans="2:41" x14ac:dyDescent="0.3">
      <c r="B129" s="1">
        <f t="shared" ca="1" si="23"/>
        <v>112</v>
      </c>
      <c r="D129" s="11" t="s">
        <v>231</v>
      </c>
      <c r="F129" s="1" t="str">
        <f>+INDEX('Exh. BGM-3 (2)'!$10:$10,1,MATCH($D129,'Exh. BGM-3 (2)'!$4:$4,0))</f>
        <v>AMI PLANT AND DEFERRAL</v>
      </c>
      <c r="I129" s="3">
        <v>0</v>
      </c>
      <c r="J129" s="3"/>
      <c r="K129" s="3">
        <v>0</v>
      </c>
      <c r="L129" s="3"/>
      <c r="M129" s="3">
        <f t="shared" si="24"/>
        <v>0</v>
      </c>
      <c r="P129" s="3">
        <f t="shared" si="25"/>
        <v>0</v>
      </c>
      <c r="Q129" s="3"/>
      <c r="R129" s="3">
        <f t="shared" si="26"/>
        <v>0</v>
      </c>
      <c r="S129" s="3"/>
      <c r="T129" s="3">
        <f t="shared" si="27"/>
        <v>0</v>
      </c>
      <c r="W129" s="3">
        <v>0</v>
      </c>
      <c r="X129" s="3"/>
      <c r="Y129" s="3">
        <f t="shared" si="28"/>
        <v>0</v>
      </c>
      <c r="Z129" s="3"/>
      <c r="AA129" s="3">
        <v>0</v>
      </c>
      <c r="AB129" s="5"/>
      <c r="AC129" s="3">
        <f t="shared" si="29"/>
        <v>0</v>
      </c>
      <c r="AE129" s="9"/>
      <c r="AF129" s="9"/>
      <c r="AH129" s="8"/>
      <c r="AL129" s="3"/>
      <c r="AO129" s="3">
        <v>0</v>
      </c>
    </row>
    <row r="130" spans="2:41" x14ac:dyDescent="0.3">
      <c r="B130" s="1">
        <f t="shared" ca="1" si="23"/>
        <v>113</v>
      </c>
      <c r="D130" s="11" t="s">
        <v>232</v>
      </c>
      <c r="F130" s="1" t="str">
        <f>+INDEX('Exh. BGM-3 (2)'!$10:$10,1,MATCH($D130,'Exh. BGM-3 (2)'!$4:$4,0))</f>
        <v>GTZ DEFERRAL</v>
      </c>
      <c r="I130" s="3">
        <v>0</v>
      </c>
      <c r="J130" s="3"/>
      <c r="K130" s="3">
        <v>4198.345214849347</v>
      </c>
      <c r="L130" s="3"/>
      <c r="M130" s="3">
        <f t="shared" si="24"/>
        <v>401.77955282965229</v>
      </c>
      <c r="P130" s="3">
        <f t="shared" si="25"/>
        <v>0</v>
      </c>
      <c r="Q130" s="3"/>
      <c r="R130" s="3">
        <f t="shared" si="26"/>
        <v>4198.345214849347</v>
      </c>
      <c r="S130" s="3"/>
      <c r="T130" s="3">
        <f t="shared" si="27"/>
        <v>401.77955282965229</v>
      </c>
      <c r="W130" s="3">
        <v>0</v>
      </c>
      <c r="X130" s="3"/>
      <c r="Y130" s="3">
        <f t="shared" si="28"/>
        <v>0</v>
      </c>
      <c r="Z130" s="3"/>
      <c r="AA130" s="3">
        <v>0</v>
      </c>
      <c r="AB130" s="5"/>
      <c r="AC130" s="3">
        <f t="shared" si="29"/>
        <v>0</v>
      </c>
      <c r="AE130" s="9"/>
      <c r="AF130" s="9"/>
      <c r="AH130" s="8"/>
      <c r="AL130" s="3"/>
      <c r="AO130" s="3">
        <v>412.38206880710135</v>
      </c>
    </row>
    <row r="131" spans="2:41" x14ac:dyDescent="0.3">
      <c r="B131" s="1">
        <f t="shared" ca="1" si="23"/>
        <v>114</v>
      </c>
      <c r="D131" s="11" t="s">
        <v>233</v>
      </c>
      <c r="F131" s="1" t="str">
        <f>+INDEX('Exh. BGM-3 (2)'!$10:$10,1,MATCH($D131,'Exh. BGM-3 (2)'!$4:$4,0))</f>
        <v>ENVIRONMENTAL REMEDIATION</v>
      </c>
      <c r="I131" s="3">
        <v>0</v>
      </c>
      <c r="J131" s="3"/>
      <c r="K131" s="3">
        <v>0</v>
      </c>
      <c r="L131" s="3"/>
      <c r="M131" s="3">
        <f t="shared" si="24"/>
        <v>0</v>
      </c>
      <c r="P131" s="3">
        <f t="shared" si="25"/>
        <v>0</v>
      </c>
      <c r="Q131" s="3"/>
      <c r="R131" s="3">
        <f t="shared" si="26"/>
        <v>0</v>
      </c>
      <c r="S131" s="3"/>
      <c r="T131" s="3">
        <f t="shared" si="27"/>
        <v>0</v>
      </c>
      <c r="W131" s="3">
        <v>0</v>
      </c>
      <c r="X131" s="3"/>
      <c r="Y131" s="3">
        <f t="shared" si="28"/>
        <v>0</v>
      </c>
      <c r="Z131" s="3"/>
      <c r="AA131" s="3">
        <v>0</v>
      </c>
      <c r="AB131" s="5"/>
      <c r="AC131" s="3">
        <f t="shared" si="29"/>
        <v>0</v>
      </c>
      <c r="AE131" s="9"/>
      <c r="AF131" s="9"/>
      <c r="AH131" s="8"/>
      <c r="AL131" s="3"/>
      <c r="AO131" s="3">
        <v>0</v>
      </c>
    </row>
    <row r="132" spans="2:41" x14ac:dyDescent="0.3">
      <c r="B132" s="222">
        <f t="shared" ca="1" si="23"/>
        <v>115</v>
      </c>
      <c r="C132" s="222"/>
      <c r="D132" s="224" t="s">
        <v>234</v>
      </c>
      <c r="E132" s="222"/>
      <c r="F132" s="222" t="str">
        <f>+INDEX('Exh. BGM-3 (2)'!$10:$10,1,MATCH($D132,'Exh. BGM-3 (2)'!$4:$4,0))</f>
        <v>COVID DEFERRAL</v>
      </c>
      <c r="G132" s="225"/>
      <c r="H132" s="225"/>
      <c r="I132" s="226">
        <v>0</v>
      </c>
      <c r="J132" s="226"/>
      <c r="K132" s="226">
        <v>114.71135299124552</v>
      </c>
      <c r="L132" s="226"/>
      <c r="M132" s="226">
        <f t="shared" si="24"/>
        <v>10.977819533823364</v>
      </c>
      <c r="N132" s="225"/>
      <c r="O132" s="222"/>
      <c r="P132" s="226">
        <f t="shared" si="25"/>
        <v>0</v>
      </c>
      <c r="Q132" s="226"/>
      <c r="R132" s="226">
        <f t="shared" si="26"/>
        <v>-329.84243401625042</v>
      </c>
      <c r="S132" s="226"/>
      <c r="T132" s="226">
        <f t="shared" si="27"/>
        <v>-31.565757187989753</v>
      </c>
      <c r="U132" s="222"/>
      <c r="V132" s="222"/>
      <c r="W132" s="226">
        <v>0</v>
      </c>
      <c r="X132" s="226"/>
      <c r="Y132" s="226">
        <f t="shared" si="28"/>
        <v>0</v>
      </c>
      <c r="Z132" s="226"/>
      <c r="AA132" s="226">
        <f>+'[21]Lead E'!$I$21/1000</f>
        <v>-444.55378700749594</v>
      </c>
      <c r="AB132" s="227"/>
      <c r="AC132" s="226">
        <f t="shared" si="29"/>
        <v>-42.543576721813118</v>
      </c>
      <c r="AD132" s="225"/>
      <c r="AE132" s="232" t="s">
        <v>1026</v>
      </c>
      <c r="AF132" s="9"/>
      <c r="AH132" s="8"/>
      <c r="AL132" s="3"/>
      <c r="AO132" s="3">
        <v>11.267511993743701</v>
      </c>
    </row>
    <row r="133" spans="2:41" x14ac:dyDescent="0.3">
      <c r="B133" s="1">
        <f t="shared" ca="1" si="23"/>
        <v>116</v>
      </c>
      <c r="D133" s="11" t="s">
        <v>235</v>
      </c>
      <c r="F133" s="1" t="str">
        <f>+INDEX('Exh. BGM-3 (2)'!$10:$10,1,MATCH($D133,'Exh. BGM-3 (2)'!$4:$4,0))</f>
        <v>ESTIMATED PLANT RETIREMENTS RATE BASE</v>
      </c>
      <c r="I133" s="3">
        <v>0</v>
      </c>
      <c r="J133" s="3"/>
      <c r="K133" s="3">
        <v>0</v>
      </c>
      <c r="L133" s="3"/>
      <c r="M133" s="3">
        <f t="shared" si="24"/>
        <v>0</v>
      </c>
      <c r="P133" s="3">
        <f t="shared" si="25"/>
        <v>0</v>
      </c>
      <c r="Q133" s="3"/>
      <c r="R133" s="3">
        <f t="shared" si="26"/>
        <v>0</v>
      </c>
      <c r="S133" s="3"/>
      <c r="T133" s="3">
        <f t="shared" si="27"/>
        <v>0</v>
      </c>
      <c r="W133" s="3">
        <v>0</v>
      </c>
      <c r="X133" s="3"/>
      <c r="Y133" s="3">
        <f t="shared" si="28"/>
        <v>0</v>
      </c>
      <c r="Z133" s="3"/>
      <c r="AA133" s="3">
        <v>0</v>
      </c>
      <c r="AB133" s="5"/>
      <c r="AC133" s="3">
        <f t="shared" si="29"/>
        <v>0</v>
      </c>
      <c r="AE133" s="9"/>
      <c r="AF133" s="9"/>
      <c r="AH133" s="8"/>
      <c r="AL133" s="3"/>
      <c r="AO133" s="3">
        <v>0</v>
      </c>
    </row>
    <row r="134" spans="2:41" x14ac:dyDescent="0.3">
      <c r="B134" s="1">
        <f t="shared" ca="1" si="23"/>
        <v>117</v>
      </c>
      <c r="D134" s="11" t="s">
        <v>236</v>
      </c>
      <c r="F134" s="1" t="str">
        <f>+INDEX('Exh. BGM-3 (2)'!$10:$10,1,MATCH($D134,'Exh. BGM-3 (2)'!$4:$4,0))</f>
        <v>TEST YEAR PLANT ROLL FORWARD</v>
      </c>
      <c r="I134" s="3">
        <v>14739.499822137697</v>
      </c>
      <c r="J134" s="3"/>
      <c r="K134" s="3">
        <v>-414160.54826198198</v>
      </c>
      <c r="L134" s="3"/>
      <c r="M134" s="3">
        <f t="shared" si="24"/>
        <v>-59226.109080155511</v>
      </c>
      <c r="P134" s="3">
        <f t="shared" si="25"/>
        <v>14739.499822137697</v>
      </c>
      <c r="Q134" s="3"/>
      <c r="R134" s="3">
        <f t="shared" si="26"/>
        <v>-414160.54826198198</v>
      </c>
      <c r="S134" s="3"/>
      <c r="T134" s="3">
        <f t="shared" si="27"/>
        <v>-59226.109080155511</v>
      </c>
      <c r="W134" s="3">
        <v>0</v>
      </c>
      <c r="X134" s="3"/>
      <c r="Y134" s="3">
        <f t="shared" si="28"/>
        <v>0</v>
      </c>
      <c r="Z134" s="3"/>
      <c r="AA134" s="3">
        <v>0</v>
      </c>
      <c r="AB134" s="5"/>
      <c r="AC134" s="3">
        <f t="shared" si="29"/>
        <v>0</v>
      </c>
      <c r="AE134" s="9"/>
      <c r="AF134" s="9"/>
      <c r="AH134" s="8"/>
      <c r="AL134" s="3"/>
      <c r="AO134" s="3">
        <v>-60272.031605689022</v>
      </c>
    </row>
    <row r="135" spans="2:41" x14ac:dyDescent="0.3">
      <c r="B135" s="1">
        <f t="shared" ca="1" si="23"/>
        <v>118</v>
      </c>
      <c r="D135" s="11" t="s">
        <v>237</v>
      </c>
      <c r="F135" s="1" t="str">
        <f>+INDEX('Exh. BGM-3 (2)'!$10:$10,1,MATCH($D135,'Exh. BGM-3 (2)'!$4:$4,0))</f>
        <v>PROVISIONAL PROFORMA RETIREMENTS DEPRECIATION</v>
      </c>
      <c r="I135" s="3">
        <v>4397.7984569056607</v>
      </c>
      <c r="J135" s="3"/>
      <c r="K135" s="3">
        <v>6292.2947435479973</v>
      </c>
      <c r="L135" s="3"/>
      <c r="M135" s="3">
        <f t="shared" si="24"/>
        <v>-5243.2073095416463</v>
      </c>
      <c r="P135" s="3">
        <f t="shared" si="25"/>
        <v>4397.7984569056607</v>
      </c>
      <c r="Q135" s="3"/>
      <c r="R135" s="3">
        <f t="shared" si="26"/>
        <v>6292.2947435479973</v>
      </c>
      <c r="S135" s="3"/>
      <c r="T135" s="3">
        <f t="shared" si="27"/>
        <v>-5243.2073095416463</v>
      </c>
      <c r="W135" s="3">
        <v>0</v>
      </c>
      <c r="X135" s="3"/>
      <c r="Y135" s="3">
        <f t="shared" si="28"/>
        <v>0</v>
      </c>
      <c r="Z135" s="3"/>
      <c r="AA135" s="3">
        <v>0</v>
      </c>
      <c r="AB135" s="5"/>
      <c r="AC135" s="3">
        <f t="shared" si="29"/>
        <v>0</v>
      </c>
      <c r="AE135" s="9"/>
      <c r="AF135" s="9"/>
      <c r="AH135" s="8"/>
      <c r="AL135" s="3"/>
      <c r="AO135" s="3">
        <v>-5227.3167259571128</v>
      </c>
    </row>
    <row r="136" spans="2:41" x14ac:dyDescent="0.3">
      <c r="B136" s="1">
        <f t="shared" ca="1" si="23"/>
        <v>119</v>
      </c>
      <c r="D136" s="11" t="s">
        <v>238</v>
      </c>
      <c r="F136" s="1" t="str">
        <f>+INDEX('Exh. BGM-3 (2)'!$10:$10,1,MATCH($D136,'Exh. BGM-3 (2)'!$4:$4,0))</f>
        <v>PROGRAMMATIC PROVISIONAL PROFORMA</v>
      </c>
      <c r="I136" s="3">
        <v>-10993.462594550598</v>
      </c>
      <c r="J136" s="3"/>
      <c r="K136" s="3">
        <v>257327.35985496003</v>
      </c>
      <c r="L136" s="3"/>
      <c r="M136" s="3">
        <f t="shared" si="24"/>
        <v>39238.168822042418</v>
      </c>
      <c r="P136" s="3">
        <f t="shared" si="25"/>
        <v>-10993.462594550598</v>
      </c>
      <c r="Q136" s="3"/>
      <c r="R136" s="3">
        <f t="shared" si="26"/>
        <v>257327.35985496003</v>
      </c>
      <c r="S136" s="3"/>
      <c r="T136" s="3">
        <f t="shared" si="27"/>
        <v>39238.168822042418</v>
      </c>
      <c r="W136" s="3">
        <v>0</v>
      </c>
      <c r="X136" s="3"/>
      <c r="Y136" s="3">
        <f t="shared" si="28"/>
        <v>0</v>
      </c>
      <c r="Z136" s="3"/>
      <c r="AA136" s="3">
        <v>0</v>
      </c>
      <c r="AB136" s="5"/>
      <c r="AC136" s="3">
        <f t="shared" si="29"/>
        <v>0</v>
      </c>
      <c r="AE136" s="9"/>
      <c r="AF136" s="9"/>
      <c r="AH136" s="8"/>
      <c r="AL136" s="3"/>
      <c r="AO136" s="3">
        <v>39888.024254284406</v>
      </c>
    </row>
    <row r="137" spans="2:41" x14ac:dyDescent="0.3">
      <c r="B137" s="1">
        <f t="shared" ca="1" si="23"/>
        <v>120</v>
      </c>
      <c r="D137" s="11" t="s">
        <v>239</v>
      </c>
      <c r="F137" s="1" t="str">
        <f>+INDEX('Exh. BGM-3 (2)'!$10:$10,1,MATCH($D137,'Exh. BGM-3 (2)'!$4:$4,0))</f>
        <v>CUSTOMER DRIVEN PROGRAMMATIC PROVISIONAL PROFORMA</v>
      </c>
      <c r="I137" s="3">
        <v>-792.15234710000004</v>
      </c>
      <c r="J137" s="3"/>
      <c r="K137" s="3">
        <v>2321.6169599999935</v>
      </c>
      <c r="L137" s="3"/>
      <c r="M137" s="3">
        <f t="shared" si="24"/>
        <v>1275.0746233094744</v>
      </c>
      <c r="P137" s="3">
        <f t="shared" si="25"/>
        <v>-792.15234710000004</v>
      </c>
      <c r="Q137" s="3"/>
      <c r="R137" s="3">
        <f t="shared" si="26"/>
        <v>2321.6169599999935</v>
      </c>
      <c r="S137" s="3"/>
      <c r="T137" s="3">
        <f t="shared" si="27"/>
        <v>1275.0746233094744</v>
      </c>
      <c r="W137" s="3">
        <v>0</v>
      </c>
      <c r="X137" s="3"/>
      <c r="Y137" s="3">
        <f t="shared" si="28"/>
        <v>0</v>
      </c>
      <c r="Z137" s="3"/>
      <c r="AA137" s="3">
        <v>0</v>
      </c>
      <c r="AB137" s="5"/>
      <c r="AC137" s="3">
        <f t="shared" si="29"/>
        <v>0</v>
      </c>
      <c r="AE137" s="9"/>
      <c r="AF137" s="9"/>
      <c r="AH137" s="8"/>
      <c r="AL137" s="3"/>
      <c r="AO137" s="3">
        <v>1280.9376430594593</v>
      </c>
    </row>
    <row r="138" spans="2:41" x14ac:dyDescent="0.3">
      <c r="B138" s="236">
        <f t="shared" ca="1" si="23"/>
        <v>121</v>
      </c>
      <c r="C138" s="237"/>
      <c r="D138" s="238" t="s">
        <v>240</v>
      </c>
      <c r="E138" s="237"/>
      <c r="F138" s="237" t="str">
        <f>+INDEX('Exh. BGM-3 (2)'!$10:$10,1,MATCH($D138,'Exh. BGM-3 (2)'!$4:$4,0))</f>
        <v>SPECIFIC PROVISIONAL PROFORMA</v>
      </c>
      <c r="G138" s="239"/>
      <c r="H138" s="239"/>
      <c r="I138" s="13">
        <v>-1791.3018699107404</v>
      </c>
      <c r="J138" s="13"/>
      <c r="K138" s="13">
        <v>89111.442698463972</v>
      </c>
      <c r="L138" s="13"/>
      <c r="M138" s="13">
        <f t="shared" si="24"/>
        <v>10908.847212021115</v>
      </c>
      <c r="N138" s="239"/>
      <c r="O138" s="237"/>
      <c r="P138" s="13">
        <f t="shared" si="25"/>
        <v>-1791.3018699107404</v>
      </c>
      <c r="Q138" s="13"/>
      <c r="R138" s="13">
        <f t="shared" si="26"/>
        <v>89111.442698463972</v>
      </c>
      <c r="S138" s="13"/>
      <c r="T138" s="13">
        <f t="shared" si="27"/>
        <v>10908.847212021115</v>
      </c>
      <c r="U138" s="237"/>
      <c r="V138" s="237"/>
      <c r="W138" s="13">
        <v>0</v>
      </c>
      <c r="X138" s="13"/>
      <c r="Y138" s="13">
        <f t="shared" si="28"/>
        <v>0</v>
      </c>
      <c r="Z138" s="13"/>
      <c r="AA138" s="13">
        <v>0</v>
      </c>
      <c r="AB138" s="240"/>
      <c r="AC138" s="13">
        <f t="shared" si="29"/>
        <v>0</v>
      </c>
      <c r="AD138" s="239"/>
      <c r="AE138" s="241" t="s">
        <v>1026</v>
      </c>
      <c r="AF138" s="9"/>
      <c r="AH138" s="8"/>
      <c r="AL138" s="3"/>
      <c r="AO138" s="3">
        <v>11133.889567195309</v>
      </c>
    </row>
    <row r="139" spans="2:41" x14ac:dyDescent="0.3">
      <c r="B139" s="242">
        <f t="shared" ca="1" si="23"/>
        <v>122</v>
      </c>
      <c r="C139" s="243"/>
      <c r="D139" s="243" t="str">
        <f>+D138</f>
        <v>6.33 GY</v>
      </c>
      <c r="E139" s="243"/>
      <c r="F139" s="243" t="s">
        <v>1031</v>
      </c>
      <c r="G139" s="244"/>
      <c r="H139" s="244"/>
      <c r="I139" s="245">
        <v>0</v>
      </c>
      <c r="J139" s="245"/>
      <c r="K139" s="245">
        <v>0</v>
      </c>
      <c r="L139" s="245"/>
      <c r="M139" s="245">
        <f t="shared" ref="M139" si="30">+($K139*$AL$46-$I139)/$AJ$4</f>
        <v>0</v>
      </c>
      <c r="N139" s="244"/>
      <c r="O139" s="243"/>
      <c r="P139" s="245">
        <f t="shared" si="25"/>
        <v>30.602964700000001</v>
      </c>
      <c r="Q139" s="245"/>
      <c r="R139" s="245">
        <f t="shared" si="26"/>
        <v>-1026.1273846299964</v>
      </c>
      <c r="S139" s="245"/>
      <c r="T139" s="245">
        <f t="shared" ref="T139" si="31">+($R139*$AL$46-$P139)/$AJ$4</f>
        <v>-138.87611086968221</v>
      </c>
      <c r="U139" s="243"/>
      <c r="V139" s="243"/>
      <c r="W139" s="245">
        <f>-'6.33 (EESD)'!E31</f>
        <v>38.737929999999999</v>
      </c>
      <c r="X139" s="245"/>
      <c r="Y139" s="245">
        <f t="shared" si="28"/>
        <v>30.602964700000001</v>
      </c>
      <c r="Z139" s="245"/>
      <c r="AA139" s="245">
        <f>+'6.33 (EESD)'!E24+'6.33 (EESD)'!E39+'6.33 (EESD)'!E60</f>
        <v>-1026.1273846299964</v>
      </c>
      <c r="AB139" s="246"/>
      <c r="AC139" s="245">
        <f t="shared" si="29"/>
        <v>-138.87611086968221</v>
      </c>
      <c r="AD139" s="244"/>
      <c r="AE139" s="247" t="s">
        <v>1026</v>
      </c>
      <c r="AF139" s="9"/>
      <c r="AH139" s="8"/>
      <c r="AL139" s="3"/>
      <c r="AO139" s="3"/>
    </row>
    <row r="140" spans="2:41" x14ac:dyDescent="0.3">
      <c r="B140" s="1">
        <f t="shared" ca="1" si="23"/>
        <v>123</v>
      </c>
      <c r="D140" s="11" t="s">
        <v>241</v>
      </c>
      <c r="F140" s="1" t="str">
        <f>+INDEX('Exh. BGM-3 (2)'!$10:$10,1,MATCH($D140,'Exh. BGM-3 (2)'!$4:$4,0))</f>
        <v>PROJECTED PROVISIONAL PROFORMA</v>
      </c>
      <c r="I140" s="3">
        <v>-8465.4440078082189</v>
      </c>
      <c r="J140" s="3"/>
      <c r="K140" s="3">
        <v>104456.52171575002</v>
      </c>
      <c r="L140" s="3"/>
      <c r="M140" s="3">
        <f t="shared" si="24"/>
        <v>21248.364896016137</v>
      </c>
      <c r="P140" s="3">
        <f t="shared" si="25"/>
        <v>-8465.4440078082189</v>
      </c>
      <c r="Q140" s="3"/>
      <c r="R140" s="3">
        <f t="shared" si="26"/>
        <v>104456.52171575002</v>
      </c>
      <c r="S140" s="3"/>
      <c r="T140" s="3">
        <f t="shared" si="27"/>
        <v>21248.364896016137</v>
      </c>
      <c r="W140" s="3">
        <v>0</v>
      </c>
      <c r="X140" s="3"/>
      <c r="Y140" s="3">
        <f t="shared" si="28"/>
        <v>0</v>
      </c>
      <c r="Z140" s="3"/>
      <c r="AA140" s="3">
        <v>0</v>
      </c>
      <c r="AB140" s="5"/>
      <c r="AC140" s="3">
        <f t="shared" si="29"/>
        <v>0</v>
      </c>
      <c r="AE140" s="9"/>
      <c r="AF140" s="9"/>
      <c r="AH140" s="8"/>
      <c r="AL140" s="3"/>
      <c r="AO140" s="3">
        <v>21512.159768463218</v>
      </c>
    </row>
    <row r="141" spans="2:41" x14ac:dyDescent="0.3">
      <c r="B141" s="1">
        <f t="shared" ca="1" si="23"/>
        <v>124</v>
      </c>
      <c r="D141" s="11" t="s">
        <v>242</v>
      </c>
      <c r="F141" s="1" t="str">
        <f>+INDEX('Exh. BGM-3 (2)'!$10:$10,1,MATCH($D141,'Exh. BGM-3 (2)'!$4:$4,0))</f>
        <v>POWER COSTS</v>
      </c>
      <c r="I141" s="3">
        <v>0</v>
      </c>
      <c r="J141" s="3"/>
      <c r="K141" s="3">
        <v>0</v>
      </c>
      <c r="L141" s="3"/>
      <c r="M141" s="3">
        <f t="shared" si="24"/>
        <v>0</v>
      </c>
      <c r="P141" s="3">
        <f t="shared" si="25"/>
        <v>0</v>
      </c>
      <c r="Q141" s="3"/>
      <c r="R141" s="3">
        <f t="shared" si="26"/>
        <v>0</v>
      </c>
      <c r="S141" s="3"/>
      <c r="T141" s="3">
        <f t="shared" si="27"/>
        <v>0</v>
      </c>
      <c r="W141" s="3">
        <v>0</v>
      </c>
      <c r="X141" s="3"/>
      <c r="Y141" s="3">
        <f t="shared" si="28"/>
        <v>0</v>
      </c>
      <c r="Z141" s="3"/>
      <c r="AA141" s="3">
        <v>0</v>
      </c>
      <c r="AB141" s="5"/>
      <c r="AC141" s="3">
        <f t="shared" si="29"/>
        <v>0</v>
      </c>
      <c r="AE141" s="9"/>
      <c r="AF141" s="9"/>
      <c r="AH141" s="8"/>
      <c r="AL141" s="3"/>
      <c r="AO141" s="3">
        <v>0</v>
      </c>
    </row>
    <row r="142" spans="2:41" x14ac:dyDescent="0.3">
      <c r="B142" s="1">
        <f t="shared" ca="1" si="23"/>
        <v>125</v>
      </c>
      <c r="D142" s="11" t="s">
        <v>243</v>
      </c>
      <c r="F142" s="1" t="str">
        <f>+INDEX('Exh. BGM-3 (2)'!$10:$10,1,MATCH($D142,'Exh. BGM-3 (2)'!$4:$4,0))</f>
        <v>MONTANA TAX</v>
      </c>
      <c r="I142" s="3">
        <v>0</v>
      </c>
      <c r="J142" s="3"/>
      <c r="K142" s="3">
        <v>0</v>
      </c>
      <c r="L142" s="3"/>
      <c r="M142" s="3">
        <f t="shared" si="24"/>
        <v>0</v>
      </c>
      <c r="P142" s="3">
        <f t="shared" si="25"/>
        <v>0</v>
      </c>
      <c r="Q142" s="3"/>
      <c r="R142" s="3">
        <f t="shared" si="26"/>
        <v>0</v>
      </c>
      <c r="S142" s="3"/>
      <c r="T142" s="3">
        <f t="shared" si="27"/>
        <v>0</v>
      </c>
      <c r="W142" s="3">
        <v>0</v>
      </c>
      <c r="X142" s="3"/>
      <c r="Y142" s="3">
        <f t="shared" si="28"/>
        <v>0</v>
      </c>
      <c r="Z142" s="3"/>
      <c r="AA142" s="3">
        <v>0</v>
      </c>
      <c r="AB142" s="5"/>
      <c r="AC142" s="3">
        <f t="shared" si="29"/>
        <v>0</v>
      </c>
      <c r="AE142" s="9"/>
      <c r="AF142" s="9"/>
      <c r="AH142" s="8"/>
      <c r="AL142" s="3"/>
      <c r="AO142" s="3">
        <v>0</v>
      </c>
    </row>
    <row r="143" spans="2:41" x14ac:dyDescent="0.3">
      <c r="B143" s="1">
        <f t="shared" ca="1" si="23"/>
        <v>126</v>
      </c>
      <c r="D143" s="11" t="s">
        <v>244</v>
      </c>
      <c r="F143" s="1" t="str">
        <f>+INDEX('Exh. BGM-3 (2)'!$10:$10,1,MATCH($D143,'Exh. BGM-3 (2)'!$4:$4,0))</f>
        <v>WILD HORSE SOLAR</v>
      </c>
      <c r="I143" s="3">
        <v>0</v>
      </c>
      <c r="J143" s="3"/>
      <c r="K143" s="3">
        <v>142.28</v>
      </c>
      <c r="L143" s="3"/>
      <c r="M143" s="3">
        <f t="shared" si="24"/>
        <v>13.616125366349664</v>
      </c>
      <c r="P143" s="3">
        <f t="shared" si="25"/>
        <v>0</v>
      </c>
      <c r="Q143" s="3"/>
      <c r="R143" s="3">
        <f t="shared" si="26"/>
        <v>142.28</v>
      </c>
      <c r="S143" s="3"/>
      <c r="T143" s="3">
        <f t="shared" si="27"/>
        <v>13.616125366349664</v>
      </c>
      <c r="W143" s="3">
        <v>0</v>
      </c>
      <c r="X143" s="3"/>
      <c r="Y143" s="3">
        <f t="shared" si="28"/>
        <v>0</v>
      </c>
      <c r="Z143" s="3"/>
      <c r="AA143" s="3">
        <v>0</v>
      </c>
      <c r="AB143" s="5"/>
      <c r="AC143" s="3">
        <f t="shared" si="29"/>
        <v>0</v>
      </c>
      <c r="AE143" s="9"/>
      <c r="AF143" s="9"/>
      <c r="AH143" s="8"/>
      <c r="AL143" s="3"/>
      <c r="AO143" s="3">
        <v>13.975439785739443</v>
      </c>
    </row>
    <row r="144" spans="2:41" x14ac:dyDescent="0.3">
      <c r="B144" s="1">
        <f t="shared" ca="1" si="23"/>
        <v>127</v>
      </c>
      <c r="D144" s="11" t="s">
        <v>245</v>
      </c>
      <c r="F144" s="1" t="str">
        <f>+INDEX('Exh. BGM-3 (2)'!$10:$10,1,MATCH($D144,'Exh. BGM-3 (2)'!$4:$4,0))</f>
        <v>STORM EXPENSE NORMALIZATION</v>
      </c>
      <c r="I144" s="3">
        <v>0</v>
      </c>
      <c r="J144" s="3"/>
      <c r="K144" s="3">
        <v>0</v>
      </c>
      <c r="L144" s="3"/>
      <c r="M144" s="3">
        <f t="shared" si="24"/>
        <v>0</v>
      </c>
      <c r="P144" s="3">
        <f t="shared" si="25"/>
        <v>0</v>
      </c>
      <c r="Q144" s="3"/>
      <c r="R144" s="3">
        <f t="shared" si="26"/>
        <v>0</v>
      </c>
      <c r="S144" s="3"/>
      <c r="T144" s="3">
        <f t="shared" si="27"/>
        <v>0</v>
      </c>
      <c r="W144" s="3">
        <v>0</v>
      </c>
      <c r="X144" s="3"/>
      <c r="Y144" s="3">
        <f t="shared" si="28"/>
        <v>0</v>
      </c>
      <c r="Z144" s="3"/>
      <c r="AA144" s="3">
        <v>0</v>
      </c>
      <c r="AB144" s="5"/>
      <c r="AC144" s="3">
        <f t="shared" si="29"/>
        <v>0</v>
      </c>
      <c r="AE144" s="9"/>
      <c r="AF144" s="9"/>
      <c r="AH144" s="8"/>
      <c r="AL144" s="3"/>
      <c r="AO144" s="3">
        <v>0</v>
      </c>
    </row>
    <row r="145" spans="2:42" x14ac:dyDescent="0.3">
      <c r="B145" s="1">
        <f t="shared" ca="1" si="23"/>
        <v>128</v>
      </c>
      <c r="D145" s="11" t="s">
        <v>246</v>
      </c>
      <c r="F145" s="1" t="str">
        <f>+INDEX('Exh. BGM-3 (2)'!$10:$10,1,MATCH($D145,'Exh. BGM-3 (2)'!$4:$4,0))</f>
        <v>REGULATORY  ASSETS &amp; LIAB</v>
      </c>
      <c r="I145" s="3">
        <v>-242.02231235291325</v>
      </c>
      <c r="J145" s="3"/>
      <c r="K145" s="3">
        <v>-11947.081314286395</v>
      </c>
      <c r="L145" s="3"/>
      <c r="M145" s="3">
        <f t="shared" si="24"/>
        <v>-821.64342933283797</v>
      </c>
      <c r="P145" s="3">
        <f t="shared" si="25"/>
        <v>-242.02231235291325</v>
      </c>
      <c r="Q145" s="3"/>
      <c r="R145" s="3">
        <f t="shared" si="26"/>
        <v>-11947.081314286395</v>
      </c>
      <c r="S145" s="3"/>
      <c r="T145" s="3">
        <f t="shared" si="27"/>
        <v>-821.64342933283797</v>
      </c>
      <c r="W145" s="3">
        <v>0</v>
      </c>
      <c r="X145" s="3"/>
      <c r="Y145" s="3">
        <f t="shared" si="28"/>
        <v>0</v>
      </c>
      <c r="Z145" s="3"/>
      <c r="AA145" s="3">
        <v>0</v>
      </c>
      <c r="AB145" s="5"/>
      <c r="AC145" s="3">
        <f t="shared" si="29"/>
        <v>0</v>
      </c>
      <c r="AE145" s="9"/>
      <c r="AF145" s="9"/>
      <c r="AH145" s="8"/>
      <c r="AL145" s="3"/>
      <c r="AO145" s="3">
        <v>-851.81463108884941</v>
      </c>
    </row>
    <row r="146" spans="2:42" x14ac:dyDescent="0.3">
      <c r="B146" s="1">
        <f t="shared" ca="1" si="23"/>
        <v>129</v>
      </c>
      <c r="D146" s="11" t="s">
        <v>247</v>
      </c>
      <c r="F146" s="1" t="str">
        <f>+INDEX('Exh. BGM-3 (2)'!$10:$10,1,MATCH($D146,'Exh. BGM-3 (2)'!$4:$4,0))</f>
        <v>GREEN DIRECT</v>
      </c>
      <c r="I146" s="3">
        <v>0</v>
      </c>
      <c r="J146" s="3"/>
      <c r="K146" s="3">
        <v>113.86855999999996</v>
      </c>
      <c r="L146" s="3"/>
      <c r="M146" s="3">
        <f t="shared" si="24"/>
        <v>10.897164662958309</v>
      </c>
      <c r="P146" s="3">
        <f t="shared" si="25"/>
        <v>0</v>
      </c>
      <c r="Q146" s="3"/>
      <c r="R146" s="3">
        <f t="shared" si="26"/>
        <v>113.86855999999996</v>
      </c>
      <c r="S146" s="3"/>
      <c r="T146" s="3">
        <f t="shared" si="27"/>
        <v>10.897164662958309</v>
      </c>
      <c r="W146" s="3">
        <v>0</v>
      </c>
      <c r="X146" s="3"/>
      <c r="Y146" s="3">
        <f t="shared" si="28"/>
        <v>0</v>
      </c>
      <c r="Z146" s="3"/>
      <c r="AA146" s="3">
        <v>0</v>
      </c>
      <c r="AB146" s="5"/>
      <c r="AC146" s="3">
        <f t="shared" si="29"/>
        <v>0</v>
      </c>
      <c r="AE146" s="9"/>
      <c r="AF146" s="9"/>
      <c r="AH146" s="8"/>
      <c r="AL146" s="3"/>
      <c r="AO146" s="3">
        <v>11.184728730453038</v>
      </c>
    </row>
    <row r="147" spans="2:42" x14ac:dyDescent="0.3">
      <c r="B147" s="1">
        <f t="shared" ca="1" si="23"/>
        <v>130</v>
      </c>
      <c r="D147" s="11" t="s">
        <v>248</v>
      </c>
      <c r="F147" s="1" t="str">
        <f>+INDEX('Exh. BGM-3 (2)'!$10:$10,1,MATCH($D147,'Exh. BGM-3 (2)'!$4:$4,0))</f>
        <v>STORM DEFERRAL AMORTIZATION</v>
      </c>
      <c r="I147" s="3">
        <v>0</v>
      </c>
      <c r="J147" s="3"/>
      <c r="K147" s="3">
        <v>0</v>
      </c>
      <c r="L147" s="3"/>
      <c r="M147" s="3">
        <f t="shared" si="24"/>
        <v>0</v>
      </c>
      <c r="P147" s="3">
        <f t="shared" si="25"/>
        <v>0</v>
      </c>
      <c r="Q147" s="3"/>
      <c r="R147" s="3">
        <f t="shared" si="26"/>
        <v>0</v>
      </c>
      <c r="S147" s="3"/>
      <c r="T147" s="3">
        <f t="shared" si="27"/>
        <v>0</v>
      </c>
      <c r="W147" s="3">
        <v>0</v>
      </c>
      <c r="X147" s="3"/>
      <c r="Y147" s="3">
        <f t="shared" si="28"/>
        <v>0</v>
      </c>
      <c r="Z147" s="3"/>
      <c r="AA147" s="3">
        <v>0</v>
      </c>
      <c r="AB147" s="5"/>
      <c r="AC147" s="3">
        <f t="shared" si="29"/>
        <v>0</v>
      </c>
      <c r="AE147" s="9"/>
      <c r="AF147" s="9"/>
      <c r="AH147" s="8"/>
      <c r="AL147" s="3"/>
      <c r="AO147" s="3">
        <v>0</v>
      </c>
    </row>
    <row r="148" spans="2:42" x14ac:dyDescent="0.3">
      <c r="B148" s="1">
        <f t="shared" ca="1" si="23"/>
        <v>131</v>
      </c>
      <c r="D148" s="11" t="s">
        <v>249</v>
      </c>
      <c r="F148" s="1" t="str">
        <f>+INDEX('Exh. BGM-3 (2)'!$10:$10,1,MATCH($D148,'Exh. BGM-3 (2)'!$4:$4,0))</f>
        <v>ELECTRIC VEHICLES</v>
      </c>
      <c r="I148" s="3">
        <v>0</v>
      </c>
      <c r="J148" s="3"/>
      <c r="K148" s="3">
        <v>1742.0152007266017</v>
      </c>
      <c r="L148" s="3"/>
      <c r="M148" s="3">
        <f t="shared" si="24"/>
        <v>166.70998990146319</v>
      </c>
      <c r="P148" s="3">
        <f t="shared" si="25"/>
        <v>0</v>
      </c>
      <c r="Q148" s="3"/>
      <c r="R148" s="3">
        <f t="shared" si="26"/>
        <v>1742.0152007266017</v>
      </c>
      <c r="S148" s="3"/>
      <c r="T148" s="3">
        <f t="shared" si="27"/>
        <v>166.70998990146319</v>
      </c>
      <c r="W148" s="3">
        <v>0</v>
      </c>
      <c r="X148" s="3"/>
      <c r="Y148" s="3">
        <f t="shared" si="28"/>
        <v>0</v>
      </c>
      <c r="Z148" s="3"/>
      <c r="AA148" s="3">
        <v>0</v>
      </c>
      <c r="AB148" s="5"/>
      <c r="AC148" s="3">
        <f t="shared" si="29"/>
        <v>0</v>
      </c>
      <c r="AE148" s="9"/>
      <c r="AF148" s="9"/>
      <c r="AH148" s="8"/>
      <c r="AL148" s="3"/>
      <c r="AO148" s="3">
        <v>171.10928130164066</v>
      </c>
    </row>
    <row r="149" spans="2:42" x14ac:dyDescent="0.3">
      <c r="B149" s="1">
        <f t="shared" ca="1" si="23"/>
        <v>132</v>
      </c>
      <c r="D149" s="11" t="s">
        <v>250</v>
      </c>
      <c r="F149" s="1" t="str">
        <f>+INDEX('Exh. BGM-3 (2)'!$10:$10,1,MATCH($D149,'Exh. BGM-3 (2)'!$4:$4,0))</f>
        <v>COLSTRIP D&amp;R TRACKER</v>
      </c>
      <c r="I149" s="3">
        <v>-39.655383872746022</v>
      </c>
      <c r="J149" s="3"/>
      <c r="K149" s="3">
        <v>65921.512419419407</v>
      </c>
      <c r="L149" s="3"/>
      <c r="M149" s="3">
        <f t="shared" si="24"/>
        <v>6361.36435335838</v>
      </c>
      <c r="P149" s="3">
        <f t="shared" si="25"/>
        <v>-39.655383872746022</v>
      </c>
      <c r="Q149" s="3"/>
      <c r="R149" s="3">
        <f t="shared" si="26"/>
        <v>65921.512419419407</v>
      </c>
      <c r="S149" s="3"/>
      <c r="T149" s="3">
        <f t="shared" si="27"/>
        <v>6361.36435335838</v>
      </c>
      <c r="W149" s="3">
        <v>0</v>
      </c>
      <c r="X149" s="3"/>
      <c r="Y149" s="3">
        <f t="shared" si="28"/>
        <v>0</v>
      </c>
      <c r="Z149" s="3"/>
      <c r="AA149" s="3">
        <v>0</v>
      </c>
      <c r="AB149" s="5"/>
      <c r="AC149" s="3">
        <f t="shared" si="29"/>
        <v>0</v>
      </c>
      <c r="AE149" s="9"/>
      <c r="AF149" s="9"/>
      <c r="AH149" s="8"/>
      <c r="AL149" s="3"/>
      <c r="AO149" s="3">
        <v>6527.8427759074366</v>
      </c>
    </row>
    <row r="150" spans="2:42" x14ac:dyDescent="0.3">
      <c r="B150" s="1">
        <f t="shared" ca="1" si="23"/>
        <v>133</v>
      </c>
      <c r="D150" s="11" t="s">
        <v>251</v>
      </c>
      <c r="F150" s="1" t="str">
        <f>+INDEX('Exh. BGM-3 (2)'!$10:$10,1,MATCH($D150,'Exh. BGM-3 (2)'!$4:$4,0))</f>
        <v>OPEN 3</v>
      </c>
      <c r="I150" s="3">
        <v>0</v>
      </c>
      <c r="J150" s="3"/>
      <c r="K150" s="3">
        <v>0</v>
      </c>
      <c r="L150" s="3"/>
      <c r="M150" s="3">
        <f t="shared" si="24"/>
        <v>0</v>
      </c>
      <c r="P150" s="3">
        <f t="shared" si="25"/>
        <v>0</v>
      </c>
      <c r="Q150" s="3"/>
      <c r="R150" s="3">
        <f t="shared" si="26"/>
        <v>0</v>
      </c>
      <c r="S150" s="3"/>
      <c r="T150" s="3">
        <f t="shared" si="27"/>
        <v>0</v>
      </c>
      <c r="W150" s="3">
        <v>0</v>
      </c>
      <c r="X150" s="3"/>
      <c r="Y150" s="3">
        <f t="shared" si="28"/>
        <v>0</v>
      </c>
      <c r="Z150" s="3"/>
      <c r="AA150" s="3">
        <v>0</v>
      </c>
      <c r="AB150" s="5"/>
      <c r="AC150" s="3">
        <f t="shared" si="29"/>
        <v>0</v>
      </c>
      <c r="AE150" s="9"/>
      <c r="AF150" s="9"/>
      <c r="AH150" s="8"/>
      <c r="AL150" s="3"/>
      <c r="AO150" s="3">
        <v>0</v>
      </c>
    </row>
    <row r="151" spans="2:42" x14ac:dyDescent="0.3">
      <c r="B151" s="1">
        <f t="shared" ca="1" si="23"/>
        <v>134</v>
      </c>
      <c r="D151" s="11" t="s">
        <v>252</v>
      </c>
      <c r="F151" s="1" t="str">
        <f>+INDEX('Exh. BGM-3 (2)'!$10:$10,1,MATCH($D151,'Exh. BGM-3 (2)'!$4:$4,0))</f>
        <v>MONETIZE PTCS FOR COLSTRIP</v>
      </c>
      <c r="I151" s="3">
        <v>0</v>
      </c>
      <c r="J151" s="3"/>
      <c r="K151" s="3">
        <v>-38618.08508941943</v>
      </c>
      <c r="L151" s="3"/>
      <c r="M151" s="3">
        <f t="shared" si="24"/>
        <v>-3695.7315714499132</v>
      </c>
      <c r="P151" s="3">
        <f t="shared" si="25"/>
        <v>0</v>
      </c>
      <c r="Q151" s="3"/>
      <c r="R151" s="3">
        <f t="shared" si="26"/>
        <v>-38618.08508941943</v>
      </c>
      <c r="S151" s="3"/>
      <c r="T151" s="3">
        <f t="shared" si="27"/>
        <v>-3695.7315714499132</v>
      </c>
      <c r="W151" s="3">
        <v>0</v>
      </c>
      <c r="X151" s="3"/>
      <c r="Y151" s="3">
        <f t="shared" si="28"/>
        <v>0</v>
      </c>
      <c r="Z151" s="3"/>
      <c r="AA151" s="3">
        <v>0</v>
      </c>
      <c r="AB151" s="5"/>
      <c r="AC151" s="3">
        <f t="shared" si="29"/>
        <v>0</v>
      </c>
      <c r="AE151" s="9"/>
      <c r="AF151" s="9"/>
      <c r="AH151" s="8"/>
      <c r="AL151" s="3"/>
      <c r="AO151" s="3">
        <v>-3793.2578212520625</v>
      </c>
    </row>
    <row r="152" spans="2:42" x14ac:dyDescent="0.3">
      <c r="B152" s="1">
        <f t="shared" ca="1" si="23"/>
        <v>135</v>
      </c>
      <c r="D152" s="11" t="s">
        <v>253</v>
      </c>
      <c r="F152" s="1" t="str">
        <f>+INDEX('Exh. BGM-3 (2)'!$10:$10,1,MATCH($D152,'Exh. BGM-3 (2)'!$4:$4,0))</f>
        <v>ACQUISITION ADJUSTMENT</v>
      </c>
      <c r="I152" s="3">
        <v>349.29203779998261</v>
      </c>
      <c r="J152" s="3"/>
      <c r="K152" s="3">
        <v>-7972.2513400000407</v>
      </c>
      <c r="L152" s="3"/>
      <c r="M152" s="3">
        <f t="shared" si="24"/>
        <v>-1227.2054206856944</v>
      </c>
      <c r="P152" s="3">
        <f t="shared" si="25"/>
        <v>349.29203779998261</v>
      </c>
      <c r="Q152" s="3"/>
      <c r="R152" s="3">
        <f t="shared" si="26"/>
        <v>-7972.2513400000407</v>
      </c>
      <c r="S152" s="3"/>
      <c r="T152" s="3">
        <f t="shared" si="27"/>
        <v>-1227.2054206856944</v>
      </c>
      <c r="W152" s="3">
        <v>0</v>
      </c>
      <c r="X152" s="3"/>
      <c r="Y152" s="3">
        <f t="shared" si="28"/>
        <v>0</v>
      </c>
      <c r="Z152" s="3"/>
      <c r="AA152" s="3">
        <v>0</v>
      </c>
      <c r="AB152" s="5"/>
      <c r="AC152" s="3">
        <f t="shared" si="29"/>
        <v>0</v>
      </c>
      <c r="AE152" s="9"/>
      <c r="AF152" s="9"/>
      <c r="AH152" s="8"/>
      <c r="AL152" s="3"/>
      <c r="AO152" s="3">
        <v>-1247.3385726498602</v>
      </c>
    </row>
    <row r="153" spans="2:42" x14ac:dyDescent="0.3">
      <c r="B153" s="222">
        <f t="shared" ca="1" si="23"/>
        <v>136</v>
      </c>
      <c r="C153" s="223"/>
      <c r="D153" s="224" t="s">
        <v>1017</v>
      </c>
      <c r="E153" s="222"/>
      <c r="F153" s="224" t="str">
        <f>+INDEX('Exh. BGM-3 (2)'!$10:$10,1,MATCH($D153,'Exh. BGM-3 (2)'!$4:$4,0))</f>
        <v>CAPITAL PRIORITIZATION</v>
      </c>
      <c r="G153" s="225"/>
      <c r="H153" s="225"/>
      <c r="I153" s="226">
        <v>0</v>
      </c>
      <c r="J153" s="226"/>
      <c r="K153" s="226">
        <v>0</v>
      </c>
      <c r="L153" s="226"/>
      <c r="M153" s="226">
        <f t="shared" si="24"/>
        <v>0</v>
      </c>
      <c r="N153" s="225"/>
      <c r="O153" s="222"/>
      <c r="P153" s="226">
        <f t="shared" si="25"/>
        <v>-1104.6283266117171</v>
      </c>
      <c r="Q153" s="226"/>
      <c r="R153" s="226">
        <f t="shared" si="26"/>
        <v>36688.763215511513</v>
      </c>
      <c r="S153" s="226"/>
      <c r="T153" s="226">
        <f>+($R153*$AL$16-$P153)/$AJ$4</f>
        <v>4979.3239602694821</v>
      </c>
      <c r="U153" s="222"/>
      <c r="V153" s="222"/>
      <c r="W153" s="226">
        <f>-'Exh. BGM-3 (2)'!EH35/1000</f>
        <v>-1398.2637045717936</v>
      </c>
      <c r="X153" s="226"/>
      <c r="Y153" s="226">
        <f t="shared" si="28"/>
        <v>-1104.6283266117171</v>
      </c>
      <c r="Z153" s="226"/>
      <c r="AA153" s="226">
        <f>+'Exh. BGM-3 (2)'!EH57/1000</f>
        <v>36688.763215511513</v>
      </c>
      <c r="AB153" s="227"/>
      <c r="AC153" s="226">
        <f t="shared" si="29"/>
        <v>4979.3239602694821</v>
      </c>
      <c r="AE153" s="9"/>
      <c r="AF153" s="9"/>
      <c r="AH153" s="8"/>
      <c r="AI153" s="1"/>
      <c r="AO153" s="6"/>
    </row>
    <row r="154" spans="2:42" x14ac:dyDescent="0.3">
      <c r="C154" s="7"/>
      <c r="D154" s="11"/>
      <c r="E154" s="7"/>
      <c r="I154" s="6"/>
      <c r="J154" s="6"/>
      <c r="K154" s="6"/>
      <c r="L154" s="6"/>
      <c r="M154" s="6"/>
      <c r="O154" s="7"/>
      <c r="P154" s="6"/>
      <c r="Q154" s="6"/>
      <c r="R154" s="6"/>
      <c r="S154" s="6"/>
      <c r="T154" s="6"/>
      <c r="W154" s="6"/>
      <c r="X154" s="1"/>
      <c r="Y154" s="6"/>
      <c r="Z154" s="6"/>
      <c r="AA154" s="6"/>
      <c r="AB154" s="6"/>
      <c r="AC154" s="3"/>
      <c r="AE154" s="9"/>
      <c r="AF154" s="9"/>
      <c r="AH154" s="8"/>
      <c r="AI154" s="1"/>
      <c r="AO154" s="6"/>
    </row>
    <row r="155" spans="2:42" x14ac:dyDescent="0.3">
      <c r="C155" s="7"/>
      <c r="D155" s="11"/>
      <c r="E155" s="7"/>
      <c r="I155" s="14"/>
      <c r="J155" s="6"/>
      <c r="K155" s="14"/>
      <c r="L155" s="6"/>
      <c r="M155" s="14"/>
      <c r="O155" s="7"/>
      <c r="P155" s="14"/>
      <c r="Q155" s="6"/>
      <c r="R155" s="14"/>
      <c r="S155" s="6"/>
      <c r="T155" s="14"/>
      <c r="W155" s="14"/>
      <c r="X155" s="1"/>
      <c r="Y155" s="14"/>
      <c r="Z155" s="6"/>
      <c r="AA155" s="14"/>
      <c r="AB155" s="6"/>
      <c r="AC155" s="13"/>
      <c r="AE155" s="9"/>
      <c r="AF155" s="9"/>
      <c r="AH155" s="8"/>
      <c r="AO155" s="14"/>
    </row>
    <row r="156" spans="2:42" ht="13.5" thickBot="1" x14ac:dyDescent="0.35">
      <c r="B156" s="1">
        <f t="shared" ref="B156" ca="1" si="32">+MAX(OFFSET($B$7,0,0,ROW($B156)-ROW($B$7),1))+1</f>
        <v>137</v>
      </c>
      <c r="D156" s="11"/>
      <c r="F156" s="7" t="s">
        <v>254</v>
      </c>
      <c r="I156" s="12">
        <f>+SUM(I103:I155)</f>
        <v>372123.06971242599</v>
      </c>
      <c r="J156" s="3"/>
      <c r="K156" s="12">
        <f>+SUM(K103:K155)</f>
        <v>5585408.3858734043</v>
      </c>
      <c r="L156" s="3"/>
      <c r="M156" s="12">
        <f>+($K156*$AL$16-$I156)/$AJ$4</f>
        <v>39909.795336588686</v>
      </c>
      <c r="P156" s="12">
        <f>+SUM(P103:P155)</f>
        <v>371232.15510033653</v>
      </c>
      <c r="Q156" s="3"/>
      <c r="R156" s="12">
        <f>+SUM(R103:R155)</f>
        <v>5609325.1044581905</v>
      </c>
      <c r="S156" s="3"/>
      <c r="T156" s="12">
        <f>+($R156*$AL$16-$P156)/$AJ$4</f>
        <v>43382.781294273635</v>
      </c>
      <c r="W156" s="12">
        <f>+SUM(W103:W155)</f>
        <v>-1359.5257745717936</v>
      </c>
      <c r="X156" s="5"/>
      <c r="Y156" s="12">
        <f>+SUM(Y103:Y155)</f>
        <v>-890.91461208948897</v>
      </c>
      <c r="Z156" s="3"/>
      <c r="AA156" s="12">
        <f>+SUM(AA103:AA155)</f>
        <v>23916.718584786679</v>
      </c>
      <c r="AB156" s="3"/>
      <c r="AC156" s="12">
        <f>+SUM(AC103:AC155)</f>
        <v>3472.9859576850422</v>
      </c>
      <c r="AE156" s="9"/>
      <c r="AF156" s="9"/>
      <c r="AH156" s="8"/>
      <c r="AL156" s="3"/>
      <c r="AO156" s="12">
        <v>54015.205592597355</v>
      </c>
      <c r="AP156" s="6">
        <f>+M156-AO156</f>
        <v>-14105.410256008669</v>
      </c>
    </row>
    <row r="157" spans="2:42" ht="13.5" thickTop="1" x14ac:dyDescent="0.3">
      <c r="D157" s="11"/>
      <c r="F157" s="7"/>
      <c r="I157" s="134"/>
      <c r="J157" s="3"/>
      <c r="K157" s="134"/>
      <c r="L157" s="3"/>
      <c r="M157" s="134"/>
      <c r="P157" s="134"/>
      <c r="Q157" s="3"/>
      <c r="R157" s="201"/>
      <c r="S157" s="202" t="s">
        <v>671</v>
      </c>
      <c r="T157" s="201">
        <f>+T156-'Exh. BGM-3 (2)'!EL70/1000</f>
        <v>1.2150849215686321E-9</v>
      </c>
      <c r="W157" s="134"/>
      <c r="X157" s="5"/>
      <c r="Y157" s="134"/>
      <c r="Z157" s="3"/>
      <c r="AA157" s="134"/>
      <c r="AB157" s="3"/>
      <c r="AC157" s="134"/>
      <c r="AE157" s="9"/>
      <c r="AF157" s="9"/>
      <c r="AH157" s="8"/>
      <c r="AL157" s="3"/>
      <c r="AO157" s="134"/>
    </row>
    <row r="158" spans="2:42" x14ac:dyDescent="0.3">
      <c r="B158" s="15" t="s">
        <v>404</v>
      </c>
      <c r="D158" s="11"/>
      <c r="F158" s="7"/>
      <c r="I158" s="134"/>
      <c r="J158" s="3"/>
      <c r="K158" s="134"/>
      <c r="L158" s="3"/>
      <c r="M158" s="134"/>
      <c r="P158" s="134"/>
      <c r="Q158" s="3"/>
      <c r="R158" s="134"/>
      <c r="S158" s="3"/>
      <c r="T158" s="134"/>
      <c r="W158" s="134"/>
      <c r="X158" s="5"/>
      <c r="Y158" s="134"/>
      <c r="Z158" s="3"/>
      <c r="AA158" s="134"/>
      <c r="AB158" s="3"/>
      <c r="AC158" s="134"/>
      <c r="AE158" s="9"/>
      <c r="AF158" s="9"/>
      <c r="AH158" s="8"/>
      <c r="AL158" s="3"/>
      <c r="AO158" s="134"/>
    </row>
    <row r="159" spans="2:42" x14ac:dyDescent="0.3">
      <c r="B159" s="1">
        <f t="shared" ref="B159:B207" ca="1" si="33">+MAX(OFFSET($B$7,0,0,ROW($B159)-ROW($B$7),1))+1</f>
        <v>138</v>
      </c>
      <c r="D159" s="11" t="s">
        <v>255</v>
      </c>
      <c r="F159" s="1" t="str">
        <f>+INDEX('Exh. BGM-3 (2)'!$10:$10,1,MATCH($D159,'Exh. BGM-3 (2)'!$4:$4,0))</f>
        <v>REVENUES AND EXPENSES</v>
      </c>
      <c r="I159" s="3">
        <v>15909.781895945809</v>
      </c>
      <c r="J159" s="3"/>
      <c r="K159" s="3">
        <v>0</v>
      </c>
      <c r="L159" s="3"/>
      <c r="M159" s="3">
        <f t="shared" ref="M159:M207" si="34">+($K159*$AL$16-$I159)/$AJ$4</f>
        <v>-21146.642071822225</v>
      </c>
      <c r="P159" s="3">
        <f t="shared" ref="P159:P206" si="35">+I159+Y159</f>
        <v>15909.781895945809</v>
      </c>
      <c r="Q159" s="3"/>
      <c r="R159" s="3">
        <f t="shared" ref="R159:R206" si="36">+K159+AA159</f>
        <v>0</v>
      </c>
      <c r="S159" s="3"/>
      <c r="T159" s="3">
        <f t="shared" ref="T159:T207" si="37">+($R159*$AL$16-$P159)/$AJ$4</f>
        <v>-21146.642071822225</v>
      </c>
      <c r="W159" s="3">
        <v>0</v>
      </c>
      <c r="X159" s="3"/>
      <c r="Y159" s="3">
        <f t="shared" ref="Y159:Y205" si="38">+W159*(1-$AJ$5)</f>
        <v>0</v>
      </c>
      <c r="Z159" s="3"/>
      <c r="AA159" s="3">
        <v>0</v>
      </c>
      <c r="AB159" s="5"/>
      <c r="AC159" s="3">
        <f t="shared" ref="AC159:AC205" si="39">+T159-M159</f>
        <v>0</v>
      </c>
      <c r="AE159" s="9"/>
      <c r="AF159" s="9"/>
      <c r="AH159" s="8"/>
      <c r="AL159" s="3"/>
      <c r="AO159" s="3">
        <v>-21146.642071822225</v>
      </c>
    </row>
    <row r="160" spans="2:42" x14ac:dyDescent="0.3">
      <c r="B160" s="1">
        <f t="shared" ca="1" si="33"/>
        <v>139</v>
      </c>
      <c r="D160" s="11" t="s">
        <v>256</v>
      </c>
      <c r="F160" s="1" t="str">
        <f>+INDEX('Exh. BGM-3 (2)'!$10:$10,1,MATCH($D160,'Exh. BGM-3 (2)'!$4:$4,0))</f>
        <v>PASS-THROUGH REVENUE &amp; EXPENSE</v>
      </c>
      <c r="I160" s="3">
        <v>0</v>
      </c>
      <c r="J160" s="3"/>
      <c r="K160" s="3">
        <v>0</v>
      </c>
      <c r="L160" s="3"/>
      <c r="M160" s="3">
        <f t="shared" si="34"/>
        <v>0</v>
      </c>
      <c r="P160" s="3">
        <f t="shared" si="35"/>
        <v>0</v>
      </c>
      <c r="Q160" s="3"/>
      <c r="R160" s="3">
        <f t="shared" si="36"/>
        <v>0</v>
      </c>
      <c r="S160" s="3"/>
      <c r="T160" s="3">
        <f t="shared" si="37"/>
        <v>0</v>
      </c>
      <c r="W160" s="3">
        <v>0</v>
      </c>
      <c r="X160" s="3"/>
      <c r="Y160" s="3">
        <f t="shared" si="38"/>
        <v>0</v>
      </c>
      <c r="Z160" s="3"/>
      <c r="AA160" s="3">
        <v>0</v>
      </c>
      <c r="AB160" s="5"/>
      <c r="AC160" s="3">
        <f t="shared" si="39"/>
        <v>0</v>
      </c>
      <c r="AE160" s="9"/>
      <c r="AF160" s="9"/>
      <c r="AH160" s="8"/>
      <c r="AL160" s="3"/>
      <c r="AO160" s="3">
        <v>0</v>
      </c>
    </row>
    <row r="161" spans="2:41" x14ac:dyDescent="0.3">
      <c r="B161" s="1">
        <f t="shared" ca="1" si="33"/>
        <v>140</v>
      </c>
      <c r="D161" s="11" t="s">
        <v>257</v>
      </c>
      <c r="F161" s="1" t="str">
        <f>+INDEX('Exh. BGM-3 (2)'!$10:$10,1,MATCH($D161,'Exh. BGM-3 (2)'!$4:$4,0))</f>
        <v>TEMPERATURE NORMALIZATION</v>
      </c>
      <c r="I161" s="3">
        <v>0</v>
      </c>
      <c r="J161" s="3"/>
      <c r="K161" s="3">
        <v>0</v>
      </c>
      <c r="L161" s="3"/>
      <c r="M161" s="3">
        <f t="shared" si="34"/>
        <v>0</v>
      </c>
      <c r="P161" s="3">
        <f t="shared" si="35"/>
        <v>0</v>
      </c>
      <c r="Q161" s="3"/>
      <c r="R161" s="3">
        <f t="shared" si="36"/>
        <v>0</v>
      </c>
      <c r="S161" s="3"/>
      <c r="T161" s="3">
        <f t="shared" si="37"/>
        <v>0</v>
      </c>
      <c r="W161" s="3">
        <v>0</v>
      </c>
      <c r="X161" s="3"/>
      <c r="Y161" s="3">
        <f t="shared" si="38"/>
        <v>0</v>
      </c>
      <c r="Z161" s="3"/>
      <c r="AA161" s="3">
        <v>0</v>
      </c>
      <c r="AB161" s="5"/>
      <c r="AC161" s="3">
        <f t="shared" si="39"/>
        <v>0</v>
      </c>
      <c r="AE161" s="9"/>
      <c r="AF161" s="9"/>
      <c r="AH161" s="8"/>
      <c r="AL161" s="3"/>
      <c r="AO161" s="3">
        <v>0</v>
      </c>
    </row>
    <row r="162" spans="2:41" x14ac:dyDescent="0.3">
      <c r="B162" s="1">
        <f t="shared" ca="1" si="33"/>
        <v>141</v>
      </c>
      <c r="D162" s="11" t="s">
        <v>258</v>
      </c>
      <c r="F162" s="1" t="str">
        <f>+INDEX('Exh. BGM-3 (2)'!$10:$10,1,MATCH($D162,'Exh. BGM-3 (2)'!$4:$4,0))</f>
        <v>FEDERAL INCOME TAX</v>
      </c>
      <c r="I162" s="3">
        <v>668.84291487600092</v>
      </c>
      <c r="J162" s="3"/>
      <c r="K162" s="3">
        <v>10098.693721887634</v>
      </c>
      <c r="L162" s="3"/>
      <c r="M162" s="3">
        <f t="shared" si="34"/>
        <v>77.440879770731556</v>
      </c>
      <c r="P162" s="3">
        <f t="shared" si="35"/>
        <v>668.84291487600092</v>
      </c>
      <c r="Q162" s="3"/>
      <c r="R162" s="3">
        <f t="shared" si="36"/>
        <v>10098.693721887634</v>
      </c>
      <c r="S162" s="3"/>
      <c r="T162" s="3">
        <f t="shared" si="37"/>
        <v>77.440879770731556</v>
      </c>
      <c r="W162" s="3">
        <v>0</v>
      </c>
      <c r="X162" s="3"/>
      <c r="Y162" s="3">
        <f t="shared" si="38"/>
        <v>0</v>
      </c>
      <c r="Z162" s="3"/>
      <c r="AA162" s="3">
        <v>0</v>
      </c>
      <c r="AB162" s="5"/>
      <c r="AC162" s="3">
        <f t="shared" si="39"/>
        <v>0</v>
      </c>
      <c r="AE162" s="9"/>
      <c r="AF162" s="9"/>
      <c r="AH162" s="8"/>
      <c r="AL162" s="3"/>
      <c r="AO162" s="3">
        <v>102.94415690929831</v>
      </c>
    </row>
    <row r="163" spans="2:41" x14ac:dyDescent="0.3">
      <c r="B163" s="222">
        <f t="shared" ca="1" si="33"/>
        <v>142</v>
      </c>
      <c r="C163" s="222"/>
      <c r="D163" s="224" t="s">
        <v>259</v>
      </c>
      <c r="E163" s="222"/>
      <c r="F163" s="222" t="str">
        <f>+INDEX('Exh. BGM-3 (2)'!$10:$10,1,MATCH($D163,'Exh. BGM-3 (2)'!$4:$4,0))</f>
        <v>TAX BENEFIT OF INTEREST</v>
      </c>
      <c r="G163" s="225"/>
      <c r="H163" s="225"/>
      <c r="I163" s="226">
        <v>-545.41401797072763</v>
      </c>
      <c r="J163" s="226"/>
      <c r="K163" s="226">
        <v>0</v>
      </c>
      <c r="L163" s="226"/>
      <c r="M163" s="226">
        <f t="shared" si="34"/>
        <v>724.94237158087287</v>
      </c>
      <c r="N163" s="225"/>
      <c r="O163" s="222"/>
      <c r="P163" s="226">
        <f t="shared" si="35"/>
        <v>-1131.6146942501646</v>
      </c>
      <c r="Q163" s="226"/>
      <c r="R163" s="226">
        <f t="shared" si="36"/>
        <v>0</v>
      </c>
      <c r="S163" s="226"/>
      <c r="T163" s="226">
        <f t="shared" si="37"/>
        <v>1504.0967286057307</v>
      </c>
      <c r="U163" s="222"/>
      <c r="V163" s="222"/>
      <c r="W163" s="226"/>
      <c r="X163" s="226"/>
      <c r="Y163" s="226">
        <f>+SUM(AA164:AA207)*$AL$14*$AJ$5</f>
        <v>-586.20067627943706</v>
      </c>
      <c r="Z163" s="226"/>
      <c r="AA163" s="226">
        <v>0</v>
      </c>
      <c r="AB163" s="227"/>
      <c r="AC163" s="226">
        <f t="shared" si="39"/>
        <v>779.15435702485786</v>
      </c>
      <c r="AD163" s="225"/>
      <c r="AE163" s="232" t="s">
        <v>1065</v>
      </c>
      <c r="AF163" s="9"/>
      <c r="AH163" s="8"/>
      <c r="AL163" s="3"/>
      <c r="AO163" s="3">
        <v>724.94237158087287</v>
      </c>
    </row>
    <row r="164" spans="2:41" x14ac:dyDescent="0.3">
      <c r="B164" s="1">
        <f t="shared" ca="1" si="33"/>
        <v>143</v>
      </c>
      <c r="D164" s="11" t="s">
        <v>260</v>
      </c>
      <c r="F164" s="1" t="str">
        <f>+INDEX('Exh. BGM-3 (2)'!$10:$10,1,MATCH($D164,'Exh. BGM-3 (2)'!$4:$4,0))</f>
        <v>BAD DEBT EXPENSE</v>
      </c>
      <c r="I164" s="3">
        <v>0</v>
      </c>
      <c r="J164" s="3"/>
      <c r="K164" s="3">
        <v>0</v>
      </c>
      <c r="L164" s="3"/>
      <c r="M164" s="3">
        <f t="shared" si="34"/>
        <v>0</v>
      </c>
      <c r="P164" s="3">
        <f t="shared" si="35"/>
        <v>0</v>
      </c>
      <c r="Q164" s="3"/>
      <c r="R164" s="3">
        <f t="shared" si="36"/>
        <v>0</v>
      </c>
      <c r="S164" s="3"/>
      <c r="T164" s="3">
        <f t="shared" si="37"/>
        <v>0</v>
      </c>
      <c r="W164" s="3">
        <v>0</v>
      </c>
      <c r="X164" s="3"/>
      <c r="Y164" s="3">
        <f t="shared" si="38"/>
        <v>0</v>
      </c>
      <c r="Z164" s="3"/>
      <c r="AA164" s="3">
        <v>0</v>
      </c>
      <c r="AB164" s="5"/>
      <c r="AC164" s="3">
        <f t="shared" si="39"/>
        <v>0</v>
      </c>
      <c r="AE164" s="9"/>
      <c r="AF164" s="9"/>
      <c r="AH164" s="8"/>
      <c r="AL164" s="3"/>
      <c r="AO164" s="3">
        <v>0</v>
      </c>
    </row>
    <row r="165" spans="2:41" x14ac:dyDescent="0.3">
      <c r="B165" s="1">
        <f t="shared" ca="1" si="33"/>
        <v>144</v>
      </c>
      <c r="D165" s="11" t="s">
        <v>261</v>
      </c>
      <c r="F165" s="1" t="str">
        <f>+INDEX('Exh. BGM-3 (2)'!$10:$10,1,MATCH($D165,'Exh. BGM-3 (2)'!$4:$4,0))</f>
        <v>RATE CASE EXPENSE</v>
      </c>
      <c r="I165" s="3">
        <v>0</v>
      </c>
      <c r="J165" s="3"/>
      <c r="K165" s="3">
        <v>0</v>
      </c>
      <c r="L165" s="3"/>
      <c r="M165" s="3">
        <f t="shared" si="34"/>
        <v>0</v>
      </c>
      <c r="P165" s="3">
        <f t="shared" si="35"/>
        <v>0</v>
      </c>
      <c r="Q165" s="3"/>
      <c r="R165" s="3">
        <f t="shared" si="36"/>
        <v>0</v>
      </c>
      <c r="S165" s="3"/>
      <c r="T165" s="3">
        <f t="shared" si="37"/>
        <v>0</v>
      </c>
      <c r="W165" s="3">
        <v>0</v>
      </c>
      <c r="X165" s="3"/>
      <c r="Y165" s="3">
        <f t="shared" si="38"/>
        <v>0</v>
      </c>
      <c r="Z165" s="3"/>
      <c r="AA165" s="3">
        <v>0</v>
      </c>
      <c r="AB165" s="5"/>
      <c r="AC165" s="3">
        <f t="shared" si="39"/>
        <v>0</v>
      </c>
      <c r="AE165" s="9"/>
      <c r="AF165" s="9"/>
      <c r="AH165" s="8"/>
      <c r="AL165" s="3"/>
      <c r="AO165" s="3">
        <v>0</v>
      </c>
    </row>
    <row r="166" spans="2:41" x14ac:dyDescent="0.3">
      <c r="B166" s="1">
        <f t="shared" ca="1" si="33"/>
        <v>145</v>
      </c>
      <c r="D166" s="11" t="s">
        <v>262</v>
      </c>
      <c r="F166" s="1" t="str">
        <f>+INDEX('Exh. BGM-3 (2)'!$10:$10,1,MATCH($D166,'Exh. BGM-3 (2)'!$4:$4,0))</f>
        <v xml:space="preserve">EXCISE TAX </v>
      </c>
      <c r="I166" s="3">
        <v>0</v>
      </c>
      <c r="J166" s="3"/>
      <c r="K166" s="3">
        <v>0</v>
      </c>
      <c r="L166" s="3"/>
      <c r="M166" s="3">
        <f t="shared" si="34"/>
        <v>0</v>
      </c>
      <c r="P166" s="3">
        <f t="shared" si="35"/>
        <v>0</v>
      </c>
      <c r="Q166" s="3"/>
      <c r="R166" s="3">
        <f t="shared" si="36"/>
        <v>0</v>
      </c>
      <c r="S166" s="3"/>
      <c r="T166" s="3">
        <f t="shared" si="37"/>
        <v>0</v>
      </c>
      <c r="W166" s="3">
        <v>0</v>
      </c>
      <c r="X166" s="3"/>
      <c r="Y166" s="3">
        <f t="shared" si="38"/>
        <v>0</v>
      </c>
      <c r="Z166" s="3"/>
      <c r="AA166" s="3">
        <v>0</v>
      </c>
      <c r="AB166" s="5"/>
      <c r="AC166" s="3">
        <f t="shared" si="39"/>
        <v>0</v>
      </c>
      <c r="AE166" s="9"/>
      <c r="AF166" s="9"/>
      <c r="AH166" s="8"/>
      <c r="AL166" s="3"/>
      <c r="AO166" s="3">
        <v>0</v>
      </c>
    </row>
    <row r="167" spans="2:41" x14ac:dyDescent="0.3">
      <c r="B167" s="1">
        <f t="shared" ca="1" si="33"/>
        <v>146</v>
      </c>
      <c r="D167" s="11" t="s">
        <v>263</v>
      </c>
      <c r="F167" s="1" t="str">
        <f>+INDEX('Exh. BGM-3 (2)'!$10:$10,1,MATCH($D167,'Exh. BGM-3 (2)'!$4:$4,0))</f>
        <v>EMPLOYEE INSURANCE</v>
      </c>
      <c r="I167" s="3">
        <v>0</v>
      </c>
      <c r="J167" s="3"/>
      <c r="K167" s="3">
        <v>0</v>
      </c>
      <c r="L167" s="3"/>
      <c r="M167" s="3">
        <f t="shared" si="34"/>
        <v>0</v>
      </c>
      <c r="P167" s="3">
        <f t="shared" si="35"/>
        <v>0</v>
      </c>
      <c r="Q167" s="3"/>
      <c r="R167" s="3">
        <f t="shared" si="36"/>
        <v>0</v>
      </c>
      <c r="S167" s="3"/>
      <c r="T167" s="3">
        <f t="shared" si="37"/>
        <v>0</v>
      </c>
      <c r="W167" s="3">
        <v>0</v>
      </c>
      <c r="X167" s="3"/>
      <c r="Y167" s="3">
        <f t="shared" si="38"/>
        <v>0</v>
      </c>
      <c r="Z167" s="3"/>
      <c r="AA167" s="3">
        <v>0</v>
      </c>
      <c r="AB167" s="5"/>
      <c r="AC167" s="3">
        <f t="shared" si="39"/>
        <v>0</v>
      </c>
      <c r="AE167" s="9"/>
      <c r="AF167" s="9"/>
      <c r="AH167" s="8"/>
      <c r="AL167" s="3"/>
      <c r="AO167" s="3">
        <v>0</v>
      </c>
    </row>
    <row r="168" spans="2:41" x14ac:dyDescent="0.3">
      <c r="B168" s="1">
        <f t="shared" ca="1" si="33"/>
        <v>147</v>
      </c>
      <c r="D168" s="11" t="s">
        <v>264</v>
      </c>
      <c r="F168" s="1" t="str">
        <f>+INDEX('Exh. BGM-3 (2)'!$10:$10,1,MATCH($D168,'Exh. BGM-3 (2)'!$4:$4,0))</f>
        <v>INJURIES &amp; DAMAGES</v>
      </c>
      <c r="I168" s="3">
        <v>0</v>
      </c>
      <c r="J168" s="3"/>
      <c r="K168" s="3">
        <v>0</v>
      </c>
      <c r="L168" s="3"/>
      <c r="M168" s="3">
        <f t="shared" si="34"/>
        <v>0</v>
      </c>
      <c r="P168" s="3">
        <f t="shared" si="35"/>
        <v>0</v>
      </c>
      <c r="Q168" s="3"/>
      <c r="R168" s="3">
        <f t="shared" si="36"/>
        <v>0</v>
      </c>
      <c r="S168" s="3"/>
      <c r="T168" s="3">
        <f t="shared" si="37"/>
        <v>0</v>
      </c>
      <c r="W168" s="3">
        <v>0</v>
      </c>
      <c r="X168" s="3"/>
      <c r="Y168" s="3">
        <f t="shared" si="38"/>
        <v>0</v>
      </c>
      <c r="Z168" s="3"/>
      <c r="AA168" s="3">
        <v>0</v>
      </c>
      <c r="AB168" s="5"/>
      <c r="AC168" s="3">
        <f t="shared" si="39"/>
        <v>0</v>
      </c>
      <c r="AE168" s="9"/>
      <c r="AF168" s="9"/>
      <c r="AH168" s="8"/>
      <c r="AL168" s="3"/>
      <c r="AO168" s="3">
        <v>0</v>
      </c>
    </row>
    <row r="169" spans="2:41" x14ac:dyDescent="0.3">
      <c r="B169" s="1">
        <f t="shared" ca="1" si="33"/>
        <v>148</v>
      </c>
      <c r="D169" s="11" t="s">
        <v>265</v>
      </c>
      <c r="F169" s="1" t="str">
        <f>+INDEX('Exh. BGM-3 (2)'!$10:$10,1,MATCH($D169,'Exh. BGM-3 (2)'!$4:$4,0))</f>
        <v>INCENTIVE PAY</v>
      </c>
      <c r="I169" s="3">
        <v>-564.8014703185421</v>
      </c>
      <c r="J169" s="3"/>
      <c r="K169" s="3">
        <v>0</v>
      </c>
      <c r="L169" s="3"/>
      <c r="M169" s="3">
        <f t="shared" si="34"/>
        <v>750.71139331637607</v>
      </c>
      <c r="P169" s="3">
        <f t="shared" si="35"/>
        <v>-564.8014703185421</v>
      </c>
      <c r="Q169" s="3"/>
      <c r="R169" s="3">
        <f t="shared" si="36"/>
        <v>0</v>
      </c>
      <c r="S169" s="3"/>
      <c r="T169" s="3">
        <f t="shared" si="37"/>
        <v>750.71139331637607</v>
      </c>
      <c r="W169" s="3">
        <v>0</v>
      </c>
      <c r="X169" s="3"/>
      <c r="Y169" s="3">
        <f t="shared" si="38"/>
        <v>0</v>
      </c>
      <c r="Z169" s="3"/>
      <c r="AA169" s="3">
        <v>0</v>
      </c>
      <c r="AB169" s="5"/>
      <c r="AC169" s="3">
        <f t="shared" si="39"/>
        <v>0</v>
      </c>
      <c r="AE169" s="9"/>
      <c r="AF169" s="9"/>
      <c r="AH169" s="8"/>
      <c r="AL169" s="3"/>
      <c r="AO169" s="3">
        <v>750.71139331637607</v>
      </c>
    </row>
    <row r="170" spans="2:41" x14ac:dyDescent="0.3">
      <c r="B170" s="1">
        <f t="shared" ca="1" si="33"/>
        <v>149</v>
      </c>
      <c r="D170" s="11" t="s">
        <v>266</v>
      </c>
      <c r="F170" s="1" t="str">
        <f>+INDEX('Exh. BGM-3 (2)'!$10:$10,1,MATCH($D170,'Exh. BGM-3 (2)'!$4:$4,0))</f>
        <v>INVESTMENT PLAN</v>
      </c>
      <c r="I170" s="3">
        <v>0</v>
      </c>
      <c r="J170" s="3"/>
      <c r="K170" s="3">
        <v>0</v>
      </c>
      <c r="L170" s="3"/>
      <c r="M170" s="3">
        <f t="shared" si="34"/>
        <v>0</v>
      </c>
      <c r="P170" s="3">
        <f t="shared" si="35"/>
        <v>0</v>
      </c>
      <c r="Q170" s="3"/>
      <c r="R170" s="3">
        <f t="shared" si="36"/>
        <v>0</v>
      </c>
      <c r="S170" s="3"/>
      <c r="T170" s="3">
        <f>+($R170*$AL$16-$P170)/$AJ$4</f>
        <v>0</v>
      </c>
      <c r="W170" s="3">
        <v>0</v>
      </c>
      <c r="X170" s="3"/>
      <c r="Y170" s="3">
        <f t="shared" si="38"/>
        <v>0</v>
      </c>
      <c r="Z170" s="3"/>
      <c r="AA170" s="3">
        <v>0</v>
      </c>
      <c r="AB170" s="5"/>
      <c r="AC170" s="3">
        <f t="shared" si="39"/>
        <v>0</v>
      </c>
      <c r="AE170" s="9"/>
      <c r="AF170" s="9"/>
      <c r="AH170" s="8"/>
      <c r="AL170" s="3"/>
      <c r="AO170" s="3">
        <v>0</v>
      </c>
    </row>
    <row r="171" spans="2:41" x14ac:dyDescent="0.3">
      <c r="B171" s="1">
        <f t="shared" ca="1" si="33"/>
        <v>150</v>
      </c>
      <c r="D171" s="11" t="s">
        <v>267</v>
      </c>
      <c r="F171" s="1" t="str">
        <f>+INDEX('Exh. BGM-3 (2)'!$10:$10,1,MATCH($D171,'Exh. BGM-3 (2)'!$4:$4,0))</f>
        <v>INTEREST ON  CUSTOMER DEPOSITS</v>
      </c>
      <c r="I171" s="3">
        <v>0</v>
      </c>
      <c r="J171" s="3"/>
      <c r="K171" s="3">
        <v>0</v>
      </c>
      <c r="L171" s="3"/>
      <c r="M171" s="3">
        <f t="shared" si="34"/>
        <v>0</v>
      </c>
      <c r="P171" s="3">
        <f t="shared" si="35"/>
        <v>0</v>
      </c>
      <c r="Q171" s="3"/>
      <c r="R171" s="3">
        <f t="shared" si="36"/>
        <v>0</v>
      </c>
      <c r="S171" s="3"/>
      <c r="T171" s="3">
        <f t="shared" si="37"/>
        <v>0</v>
      </c>
      <c r="W171" s="3">
        <v>0</v>
      </c>
      <c r="X171" s="3"/>
      <c r="Y171" s="3">
        <f t="shared" si="38"/>
        <v>0</v>
      </c>
      <c r="Z171" s="3"/>
      <c r="AA171" s="3">
        <v>0</v>
      </c>
      <c r="AB171" s="5"/>
      <c r="AC171" s="3">
        <f t="shared" si="39"/>
        <v>0</v>
      </c>
      <c r="AE171" s="9"/>
      <c r="AF171" s="9"/>
      <c r="AH171" s="8"/>
      <c r="AL171" s="3"/>
      <c r="AO171" s="3">
        <v>0</v>
      </c>
    </row>
    <row r="172" spans="2:41" x14ac:dyDescent="0.3">
      <c r="B172" s="1">
        <f t="shared" ca="1" si="33"/>
        <v>151</v>
      </c>
      <c r="D172" s="11" t="s">
        <v>268</v>
      </c>
      <c r="F172" s="1" t="str">
        <f>+INDEX('Exh. BGM-3 (2)'!$10:$10,1,MATCH($D172,'Exh. BGM-3 (2)'!$4:$4,0))</f>
        <v>PROPERTY AND LIAB INSURANCE</v>
      </c>
      <c r="I172" s="3">
        <v>0</v>
      </c>
      <c r="J172" s="3"/>
      <c r="K172" s="3">
        <v>0</v>
      </c>
      <c r="L172" s="3"/>
      <c r="M172" s="3">
        <f t="shared" si="34"/>
        <v>0</v>
      </c>
      <c r="P172" s="3">
        <f t="shared" si="35"/>
        <v>0</v>
      </c>
      <c r="Q172" s="3"/>
      <c r="R172" s="3">
        <f t="shared" si="36"/>
        <v>0</v>
      </c>
      <c r="S172" s="3"/>
      <c r="T172" s="3">
        <f t="shared" si="37"/>
        <v>0</v>
      </c>
      <c r="W172" s="3">
        <v>0</v>
      </c>
      <c r="X172" s="3"/>
      <c r="Y172" s="3">
        <f t="shared" si="38"/>
        <v>0</v>
      </c>
      <c r="Z172" s="3"/>
      <c r="AA172" s="3">
        <v>0</v>
      </c>
      <c r="AB172" s="5"/>
      <c r="AC172" s="3">
        <f t="shared" si="39"/>
        <v>0</v>
      </c>
      <c r="AE172" s="9"/>
      <c r="AF172" s="9"/>
      <c r="AH172" s="8"/>
      <c r="AL172" s="3"/>
      <c r="AO172" s="3">
        <v>0</v>
      </c>
    </row>
    <row r="173" spans="2:41" x14ac:dyDescent="0.3">
      <c r="B173" s="1">
        <f t="shared" ca="1" si="33"/>
        <v>152</v>
      </c>
      <c r="D173" s="11" t="s">
        <v>269</v>
      </c>
      <c r="F173" s="1" t="str">
        <f>+INDEX('Exh. BGM-3 (2)'!$10:$10,1,MATCH($D173,'Exh. BGM-3 (2)'!$4:$4,0))</f>
        <v>DEFERRED GAINS AND LOSSES ON PROPERTY SALES</v>
      </c>
      <c r="I173" s="3">
        <v>-3468.3518046000004</v>
      </c>
      <c r="J173" s="3"/>
      <c r="K173" s="3">
        <v>0</v>
      </c>
      <c r="L173" s="3"/>
      <c r="M173" s="3">
        <f t="shared" si="34"/>
        <v>4609.9936926052205</v>
      </c>
      <c r="P173" s="3">
        <f t="shared" si="35"/>
        <v>-3468.3518046000004</v>
      </c>
      <c r="Q173" s="3"/>
      <c r="R173" s="3">
        <f t="shared" si="36"/>
        <v>0</v>
      </c>
      <c r="S173" s="3"/>
      <c r="T173" s="3">
        <f t="shared" si="37"/>
        <v>4609.9936926052205</v>
      </c>
      <c r="W173" s="3">
        <v>0</v>
      </c>
      <c r="X173" s="3"/>
      <c r="Y173" s="3">
        <f t="shared" si="38"/>
        <v>0</v>
      </c>
      <c r="Z173" s="3"/>
      <c r="AA173" s="3">
        <v>0</v>
      </c>
      <c r="AB173" s="5"/>
      <c r="AC173" s="3">
        <f t="shared" si="39"/>
        <v>0</v>
      </c>
      <c r="AE173" s="9"/>
      <c r="AF173" s="9"/>
      <c r="AH173" s="8"/>
      <c r="AL173" s="3"/>
      <c r="AO173" s="3">
        <v>4609.9936926052205</v>
      </c>
    </row>
    <row r="174" spans="2:41" x14ac:dyDescent="0.3">
      <c r="B174" s="1">
        <f t="shared" ca="1" si="33"/>
        <v>153</v>
      </c>
      <c r="D174" s="11" t="s">
        <v>270</v>
      </c>
      <c r="F174" s="1" t="str">
        <f>+INDEX('Exh. BGM-3 (2)'!$10:$10,1,MATCH($D174,'Exh. BGM-3 (2)'!$4:$4,0))</f>
        <v>D&amp;O INSURANCE</v>
      </c>
      <c r="I174" s="3">
        <v>0</v>
      </c>
      <c r="J174" s="3"/>
      <c r="K174" s="3">
        <v>0</v>
      </c>
      <c r="L174" s="3"/>
      <c r="M174" s="3">
        <f t="shared" si="34"/>
        <v>0</v>
      </c>
      <c r="P174" s="3">
        <f t="shared" si="35"/>
        <v>0</v>
      </c>
      <c r="Q174" s="3"/>
      <c r="R174" s="3">
        <f t="shared" si="36"/>
        <v>0</v>
      </c>
      <c r="S174" s="3"/>
      <c r="T174" s="3">
        <f t="shared" si="37"/>
        <v>0</v>
      </c>
      <c r="W174" s="3">
        <v>0</v>
      </c>
      <c r="X174" s="3"/>
      <c r="Y174" s="3">
        <f t="shared" si="38"/>
        <v>0</v>
      </c>
      <c r="Z174" s="3"/>
      <c r="AA174" s="3">
        <v>0</v>
      </c>
      <c r="AB174" s="5"/>
      <c r="AC174" s="3">
        <f t="shared" si="39"/>
        <v>0</v>
      </c>
      <c r="AE174" s="9"/>
      <c r="AF174" s="9"/>
      <c r="AH174" s="8"/>
      <c r="AL174" s="3"/>
      <c r="AO174" s="3">
        <v>0</v>
      </c>
    </row>
    <row r="175" spans="2:41" x14ac:dyDescent="0.3">
      <c r="B175" s="1">
        <f t="shared" ca="1" si="33"/>
        <v>154</v>
      </c>
      <c r="D175" s="11" t="s">
        <v>271</v>
      </c>
      <c r="F175" s="1" t="str">
        <f>+INDEX('Exh. BGM-3 (2)'!$10:$10,1,MATCH($D175,'Exh. BGM-3 (2)'!$4:$4,0))</f>
        <v>PENSION PLAN</v>
      </c>
      <c r="I175" s="3">
        <v>0</v>
      </c>
      <c r="J175" s="3"/>
      <c r="K175" s="3">
        <v>0</v>
      </c>
      <c r="L175" s="3"/>
      <c r="M175" s="3">
        <f t="shared" si="34"/>
        <v>0</v>
      </c>
      <c r="P175" s="3">
        <f t="shared" si="35"/>
        <v>0</v>
      </c>
      <c r="Q175" s="3"/>
      <c r="R175" s="3">
        <f t="shared" si="36"/>
        <v>0</v>
      </c>
      <c r="S175" s="3"/>
      <c r="T175" s="3">
        <f t="shared" si="37"/>
        <v>0</v>
      </c>
      <c r="W175" s="3">
        <v>0</v>
      </c>
      <c r="X175" s="3"/>
      <c r="Y175" s="3">
        <f t="shared" si="38"/>
        <v>0</v>
      </c>
      <c r="Z175" s="3"/>
      <c r="AA175" s="3">
        <v>0</v>
      </c>
      <c r="AB175" s="5"/>
      <c r="AC175" s="3">
        <f t="shared" si="39"/>
        <v>0</v>
      </c>
      <c r="AE175" s="9"/>
      <c r="AF175" s="9"/>
      <c r="AH175" s="8"/>
      <c r="AL175" s="3"/>
      <c r="AO175" s="3">
        <v>0</v>
      </c>
    </row>
    <row r="176" spans="2:41" x14ac:dyDescent="0.3">
      <c r="B176" s="1">
        <f t="shared" ca="1" si="33"/>
        <v>155</v>
      </c>
      <c r="D176" s="11" t="s">
        <v>272</v>
      </c>
      <c r="F176" s="1" t="str">
        <f>+INDEX('Exh. BGM-3 (2)'!$10:$10,1,MATCH($D176,'Exh. BGM-3 (2)'!$4:$4,0))</f>
        <v>WAGE INCREASE</v>
      </c>
      <c r="I176" s="3">
        <v>0</v>
      </c>
      <c r="J176" s="3"/>
      <c r="K176" s="3">
        <v>0</v>
      </c>
      <c r="L176" s="3"/>
      <c r="M176" s="3">
        <f t="shared" si="34"/>
        <v>0</v>
      </c>
      <c r="P176" s="3">
        <f t="shared" si="35"/>
        <v>0</v>
      </c>
      <c r="Q176" s="3"/>
      <c r="R176" s="3">
        <f t="shared" si="36"/>
        <v>0</v>
      </c>
      <c r="S176" s="3"/>
      <c r="T176" s="3">
        <f t="shared" si="37"/>
        <v>0</v>
      </c>
      <c r="W176" s="3">
        <v>0</v>
      </c>
      <c r="X176" s="3"/>
      <c r="Y176" s="3">
        <f t="shared" si="38"/>
        <v>0</v>
      </c>
      <c r="Z176" s="3"/>
      <c r="AA176" s="3">
        <v>0</v>
      </c>
      <c r="AB176" s="5"/>
      <c r="AC176" s="3">
        <f t="shared" si="39"/>
        <v>0</v>
      </c>
      <c r="AE176" s="9"/>
      <c r="AF176" s="9"/>
      <c r="AH176" s="8"/>
      <c r="AL176" s="3"/>
      <c r="AO176" s="3">
        <v>0</v>
      </c>
    </row>
    <row r="177" spans="2:41" x14ac:dyDescent="0.3">
      <c r="B177" s="1">
        <f t="shared" ca="1" si="33"/>
        <v>156</v>
      </c>
      <c r="D177" s="11" t="s">
        <v>273</v>
      </c>
      <c r="F177" s="1" t="str">
        <f>+INDEX('Exh. BGM-3 (2)'!$10:$10,1,MATCH($D177,'Exh. BGM-3 (2)'!$4:$4,0))</f>
        <v>AMA TO EOP RATE BASE</v>
      </c>
      <c r="I177" s="3">
        <v>0</v>
      </c>
      <c r="J177" s="3"/>
      <c r="K177" s="3">
        <v>0</v>
      </c>
      <c r="L177" s="3"/>
      <c r="M177" s="3">
        <f t="shared" si="34"/>
        <v>0</v>
      </c>
      <c r="P177" s="3">
        <f t="shared" si="35"/>
        <v>0</v>
      </c>
      <c r="Q177" s="3"/>
      <c r="R177" s="3">
        <f t="shared" si="36"/>
        <v>0</v>
      </c>
      <c r="S177" s="3"/>
      <c r="T177" s="3">
        <f t="shared" si="37"/>
        <v>0</v>
      </c>
      <c r="W177" s="3">
        <v>0</v>
      </c>
      <c r="X177" s="3"/>
      <c r="Y177" s="3">
        <f t="shared" si="38"/>
        <v>0</v>
      </c>
      <c r="Z177" s="3"/>
      <c r="AA177" s="3">
        <v>0</v>
      </c>
      <c r="AB177" s="5"/>
      <c r="AC177" s="3">
        <f t="shared" si="39"/>
        <v>0</v>
      </c>
      <c r="AE177" s="9"/>
      <c r="AF177" s="9"/>
      <c r="AH177" s="8"/>
      <c r="AL177" s="3"/>
      <c r="AO177" s="3">
        <v>0</v>
      </c>
    </row>
    <row r="178" spans="2:41" x14ac:dyDescent="0.3">
      <c r="B178" s="1">
        <f t="shared" ca="1" si="33"/>
        <v>157</v>
      </c>
      <c r="D178" s="11" t="s">
        <v>274</v>
      </c>
      <c r="F178" s="1" t="str">
        <f>+INDEX('Exh. BGM-3 (2)'!$10:$10,1,MATCH($D178,'Exh. BGM-3 (2)'!$4:$4,0))</f>
        <v>AMA TO EOP DEPRECIATION</v>
      </c>
      <c r="I178" s="3">
        <v>0</v>
      </c>
      <c r="J178" s="3"/>
      <c r="K178" s="3">
        <v>0</v>
      </c>
      <c r="L178" s="3"/>
      <c r="M178" s="3">
        <f t="shared" si="34"/>
        <v>0</v>
      </c>
      <c r="P178" s="3">
        <f t="shared" si="35"/>
        <v>0</v>
      </c>
      <c r="Q178" s="3"/>
      <c r="R178" s="3">
        <f t="shared" si="36"/>
        <v>0</v>
      </c>
      <c r="S178" s="3"/>
      <c r="T178" s="3">
        <f t="shared" si="37"/>
        <v>0</v>
      </c>
      <c r="W178" s="3">
        <v>0</v>
      </c>
      <c r="X178" s="3"/>
      <c r="Y178" s="3">
        <f t="shared" si="38"/>
        <v>0</v>
      </c>
      <c r="Z178" s="3"/>
      <c r="AA178" s="3">
        <v>0</v>
      </c>
      <c r="AB178" s="5"/>
      <c r="AC178" s="3">
        <f t="shared" si="39"/>
        <v>0</v>
      </c>
      <c r="AE178" s="9"/>
      <c r="AF178" s="9"/>
      <c r="AH178" s="8"/>
      <c r="AL178" s="3"/>
      <c r="AO178" s="3">
        <v>0</v>
      </c>
    </row>
    <row r="179" spans="2:41" x14ac:dyDescent="0.3">
      <c r="B179" s="1">
        <f t="shared" ca="1" si="33"/>
        <v>158</v>
      </c>
      <c r="D179" s="11" t="s">
        <v>275</v>
      </c>
      <c r="F179" s="1" t="str">
        <f>+INDEX('Exh. BGM-3 (2)'!$10:$10,1,MATCH($D179,'Exh. BGM-3 (2)'!$4:$4,0))</f>
        <v>WUTC FILING FEE</v>
      </c>
      <c r="I179" s="3">
        <v>0</v>
      </c>
      <c r="J179" s="3"/>
      <c r="K179" s="3">
        <v>0</v>
      </c>
      <c r="L179" s="3"/>
      <c r="M179" s="3">
        <f t="shared" si="34"/>
        <v>0</v>
      </c>
      <c r="P179" s="3">
        <f t="shared" si="35"/>
        <v>0</v>
      </c>
      <c r="Q179" s="3"/>
      <c r="R179" s="3">
        <f t="shared" si="36"/>
        <v>0</v>
      </c>
      <c r="S179" s="3"/>
      <c r="T179" s="3">
        <f t="shared" si="37"/>
        <v>0</v>
      </c>
      <c r="W179" s="3">
        <v>0</v>
      </c>
      <c r="X179" s="3"/>
      <c r="Y179" s="3">
        <f t="shared" si="38"/>
        <v>0</v>
      </c>
      <c r="Z179" s="3"/>
      <c r="AA179" s="3">
        <v>0</v>
      </c>
      <c r="AB179" s="5"/>
      <c r="AC179" s="3">
        <f t="shared" si="39"/>
        <v>0</v>
      </c>
      <c r="AE179" s="9"/>
      <c r="AF179" s="9"/>
      <c r="AH179" s="8"/>
      <c r="AL179" s="3"/>
      <c r="AO179" s="3">
        <v>0</v>
      </c>
    </row>
    <row r="180" spans="2:41" x14ac:dyDescent="0.3">
      <c r="B180" s="222">
        <f t="shared" ca="1" si="33"/>
        <v>159</v>
      </c>
      <c r="C180" s="222"/>
      <c r="D180" s="224" t="s">
        <v>276</v>
      </c>
      <c r="E180" s="222"/>
      <c r="F180" s="222" t="str">
        <f>+INDEX('Exh. BGM-3 (2)'!$10:$10,1,MATCH($D180,'Exh. BGM-3 (2)'!$4:$4,0))</f>
        <v>PRO FORMA O&amp;M</v>
      </c>
      <c r="G180" s="225"/>
      <c r="H180" s="225"/>
      <c r="I180" s="226">
        <v>-61645.700114186278</v>
      </c>
      <c r="J180" s="226"/>
      <c r="K180" s="226">
        <v>0</v>
      </c>
      <c r="L180" s="226"/>
      <c r="M180" s="226">
        <f t="shared" si="34"/>
        <v>81936.984686997865</v>
      </c>
      <c r="N180" s="225"/>
      <c r="O180" s="222"/>
      <c r="P180" s="226">
        <f t="shared" si="35"/>
        <v>-11010.328998507772</v>
      </c>
      <c r="Q180" s="226"/>
      <c r="R180" s="226">
        <f t="shared" si="36"/>
        <v>0</v>
      </c>
      <c r="S180" s="226"/>
      <c r="T180" s="226">
        <f t="shared" si="37"/>
        <v>14634.486377451831</v>
      </c>
      <c r="U180" s="222"/>
      <c r="V180" s="222"/>
      <c r="W180" s="226">
        <f>-'[22]BGM-7'!$W$83</f>
        <v>64095.406475542411</v>
      </c>
      <c r="X180" s="226"/>
      <c r="Y180" s="226">
        <f t="shared" si="38"/>
        <v>50635.371115678507</v>
      </c>
      <c r="Z180" s="226"/>
      <c r="AA180" s="226">
        <v>0</v>
      </c>
      <c r="AB180" s="227"/>
      <c r="AC180" s="226">
        <f t="shared" si="39"/>
        <v>-67302.498309546034</v>
      </c>
      <c r="AD180" s="225"/>
      <c r="AE180" s="232" t="s">
        <v>1026</v>
      </c>
      <c r="AF180" s="9"/>
      <c r="AH180" s="8"/>
      <c r="AL180" s="3"/>
      <c r="AO180" s="3">
        <v>81936.984686997865</v>
      </c>
    </row>
    <row r="181" spans="2:41" x14ac:dyDescent="0.3">
      <c r="B181" s="1">
        <f t="shared" ca="1" si="33"/>
        <v>160</v>
      </c>
      <c r="D181" s="11" t="s">
        <v>277</v>
      </c>
      <c r="F181" s="1" t="str">
        <f>+INDEX('Exh. BGM-3 (2)'!$10:$10,1,MATCH($D181,'Exh. BGM-3 (2)'!$4:$4,0))</f>
        <v>AMR REGULATORY ASSET</v>
      </c>
      <c r="I181" s="3">
        <v>-245.50514664022265</v>
      </c>
      <c r="J181" s="3"/>
      <c r="K181" s="3">
        <v>1743.3843323934791</v>
      </c>
      <c r="L181" s="3"/>
      <c r="M181" s="3">
        <f t="shared" si="34"/>
        <v>493.15657976959437</v>
      </c>
      <c r="P181" s="3">
        <f t="shared" si="35"/>
        <v>-245.50514664022265</v>
      </c>
      <c r="Q181" s="3"/>
      <c r="R181" s="3">
        <f t="shared" si="36"/>
        <v>1743.3843323934791</v>
      </c>
      <c r="S181" s="3"/>
      <c r="T181" s="3">
        <f t="shared" si="37"/>
        <v>493.15657976959437</v>
      </c>
      <c r="W181" s="3">
        <v>0</v>
      </c>
      <c r="X181" s="3"/>
      <c r="Y181" s="3">
        <f t="shared" si="38"/>
        <v>0</v>
      </c>
      <c r="Z181" s="3"/>
      <c r="AA181" s="3">
        <v>0</v>
      </c>
      <c r="AB181" s="5"/>
      <c r="AC181" s="3">
        <f t="shared" si="39"/>
        <v>0</v>
      </c>
      <c r="AE181" s="9"/>
      <c r="AF181" s="9"/>
      <c r="AH181" s="8"/>
      <c r="AL181" s="3"/>
      <c r="AO181" s="3">
        <v>497.55932877976579</v>
      </c>
    </row>
    <row r="182" spans="2:41" x14ac:dyDescent="0.3">
      <c r="B182" s="1">
        <f t="shared" ca="1" si="33"/>
        <v>161</v>
      </c>
      <c r="D182" s="11" t="s">
        <v>278</v>
      </c>
      <c r="F182" s="1" t="str">
        <f>+INDEX('Exh. BGM-3 (2)'!$10:$10,1,MATCH($D182,'Exh. BGM-3 (2)'!$4:$4,0))</f>
        <v>AMI PLANT AND DEFERRAL</v>
      </c>
      <c r="I182" s="3">
        <v>-6591.9843532083478</v>
      </c>
      <c r="J182" s="3"/>
      <c r="K182" s="3">
        <v>0</v>
      </c>
      <c r="L182" s="3"/>
      <c r="M182" s="3">
        <f t="shared" si="34"/>
        <v>8761.800417633096</v>
      </c>
      <c r="P182" s="3">
        <f t="shared" si="35"/>
        <v>-6591.9843532083478</v>
      </c>
      <c r="Q182" s="3"/>
      <c r="R182" s="3">
        <f t="shared" si="36"/>
        <v>0</v>
      </c>
      <c r="S182" s="3"/>
      <c r="T182" s="3">
        <f t="shared" si="37"/>
        <v>8761.800417633096</v>
      </c>
      <c r="W182" s="3">
        <v>0</v>
      </c>
      <c r="X182" s="3"/>
      <c r="Y182" s="3">
        <f t="shared" si="38"/>
        <v>0</v>
      </c>
      <c r="Z182" s="3"/>
      <c r="AA182" s="3">
        <f>-K182</f>
        <v>0</v>
      </c>
      <c r="AB182" s="5"/>
      <c r="AC182" s="3">
        <f t="shared" si="39"/>
        <v>0</v>
      </c>
      <c r="AE182" s="9"/>
      <c r="AF182" s="9"/>
      <c r="AH182" s="8"/>
      <c r="AL182" s="3"/>
      <c r="AO182" s="3">
        <v>8761.800417633096</v>
      </c>
    </row>
    <row r="183" spans="2:41" x14ac:dyDescent="0.3">
      <c r="B183" s="1">
        <f t="shared" ca="1" si="33"/>
        <v>162</v>
      </c>
      <c r="D183" s="11" t="s">
        <v>279</v>
      </c>
      <c r="F183" s="1" t="str">
        <f>+INDEX('Exh. BGM-3 (2)'!$10:$10,1,MATCH($D183,'Exh. BGM-3 (2)'!$4:$4,0))</f>
        <v>GTZ DEFERRAL</v>
      </c>
      <c r="I183" s="3">
        <v>-5506.395014822323</v>
      </c>
      <c r="J183" s="3"/>
      <c r="K183" s="3">
        <v>-242.60700961800106</v>
      </c>
      <c r="L183" s="3"/>
      <c r="M183" s="3">
        <f t="shared" si="34"/>
        <v>7295.6613701375372</v>
      </c>
      <c r="P183" s="3">
        <f t="shared" si="35"/>
        <v>-5506.395014822323</v>
      </c>
      <c r="Q183" s="3"/>
      <c r="R183" s="3">
        <f t="shared" si="36"/>
        <v>-242.60700961800106</v>
      </c>
      <c r="S183" s="3"/>
      <c r="T183" s="3">
        <f t="shared" si="37"/>
        <v>7295.6613701375372</v>
      </c>
      <c r="W183" s="3">
        <v>0</v>
      </c>
      <c r="X183" s="3"/>
      <c r="Y183" s="3">
        <f t="shared" si="38"/>
        <v>0</v>
      </c>
      <c r="Z183" s="3"/>
      <c r="AA183" s="3">
        <v>0</v>
      </c>
      <c r="AB183" s="5"/>
      <c r="AC183" s="3">
        <f t="shared" si="39"/>
        <v>0</v>
      </c>
      <c r="AE183" s="9"/>
      <c r="AF183" s="9"/>
      <c r="AH183" s="8"/>
      <c r="AL183" s="3"/>
      <c r="AO183" s="3">
        <v>7295.0486895302793</v>
      </c>
    </row>
    <row r="184" spans="2:41" x14ac:dyDescent="0.3">
      <c r="B184" s="1">
        <f t="shared" ca="1" si="33"/>
        <v>163</v>
      </c>
      <c r="D184" s="11" t="s">
        <v>280</v>
      </c>
      <c r="F184" s="1" t="str">
        <f>+INDEX('Exh. BGM-3 (2)'!$10:$10,1,MATCH($D184,'Exh. BGM-3 (2)'!$4:$4,0))</f>
        <v>ENVIRONMENTAL REMEDIATION</v>
      </c>
      <c r="I184" s="3">
        <v>-80.037032855528466</v>
      </c>
      <c r="J184" s="3"/>
      <c r="K184" s="3">
        <v>0</v>
      </c>
      <c r="L184" s="3"/>
      <c r="M184" s="3">
        <f t="shared" si="34"/>
        <v>106.38200431382587</v>
      </c>
      <c r="P184" s="3">
        <f t="shared" si="35"/>
        <v>-80.037032855528466</v>
      </c>
      <c r="Q184" s="3"/>
      <c r="R184" s="3">
        <f t="shared" si="36"/>
        <v>0</v>
      </c>
      <c r="S184" s="3"/>
      <c r="T184" s="3">
        <f t="shared" si="37"/>
        <v>106.38200431382587</v>
      </c>
      <c r="W184" s="3">
        <v>0</v>
      </c>
      <c r="X184" s="3"/>
      <c r="Y184" s="3">
        <f t="shared" si="38"/>
        <v>0</v>
      </c>
      <c r="Z184" s="3"/>
      <c r="AA184" s="3">
        <v>0</v>
      </c>
      <c r="AB184" s="5"/>
      <c r="AC184" s="3">
        <f t="shared" si="39"/>
        <v>0</v>
      </c>
      <c r="AE184" s="9"/>
      <c r="AF184" s="9"/>
      <c r="AH184" s="8"/>
      <c r="AL184" s="3"/>
      <c r="AO184" s="3">
        <v>106.38200431382587</v>
      </c>
    </row>
    <row r="185" spans="2:41" x14ac:dyDescent="0.3">
      <c r="B185" s="222">
        <f t="shared" ca="1" si="33"/>
        <v>164</v>
      </c>
      <c r="C185" s="222"/>
      <c r="D185" s="224" t="s">
        <v>281</v>
      </c>
      <c r="E185" s="222"/>
      <c r="F185" s="222" t="str">
        <f>+INDEX('Exh. BGM-3 (2)'!$10:$10,1,MATCH($D185,'Exh. BGM-3 (2)'!$4:$4,0))</f>
        <v>COVID DEFERRAL</v>
      </c>
      <c r="G185" s="225"/>
      <c r="H185" s="225"/>
      <c r="I185" s="226">
        <v>-803.1151094240571</v>
      </c>
      <c r="J185" s="226"/>
      <c r="K185" s="226">
        <v>-401.55755471202889</v>
      </c>
      <c r="L185" s="226"/>
      <c r="M185" s="226">
        <f t="shared" si="34"/>
        <v>1029.0394368147895</v>
      </c>
      <c r="N185" s="225"/>
      <c r="O185" s="222"/>
      <c r="P185" s="226">
        <f t="shared" si="35"/>
        <v>637.37539979791643</v>
      </c>
      <c r="Q185" s="226"/>
      <c r="R185" s="226">
        <f t="shared" si="36"/>
        <v>318.68769989895799</v>
      </c>
      <c r="S185" s="226"/>
      <c r="T185" s="226">
        <f t="shared" si="37"/>
        <v>-816.67548618031583</v>
      </c>
      <c r="U185" s="222"/>
      <c r="V185" s="222"/>
      <c r="W185" s="226">
        <f>+'[21]Lead E'!$K$29/1000</f>
        <v>1823.4057078759158</v>
      </c>
      <c r="X185" s="226"/>
      <c r="Y185" s="226">
        <f t="shared" si="38"/>
        <v>1440.4905092219735</v>
      </c>
      <c r="Z185" s="226"/>
      <c r="AA185" s="226">
        <f>+'[21]Lead E'!$K$21/1000</f>
        <v>720.24525461098688</v>
      </c>
      <c r="AB185" s="227"/>
      <c r="AC185" s="226">
        <f t="shared" si="39"/>
        <v>-1845.7149229951053</v>
      </c>
      <c r="AD185" s="225"/>
      <c r="AE185" s="232" t="s">
        <v>1026</v>
      </c>
      <c r="AF185" s="9"/>
      <c r="AH185" s="8"/>
      <c r="AL185" s="3"/>
      <c r="AO185" s="3">
        <v>1028.0253419341111</v>
      </c>
    </row>
    <row r="186" spans="2:41" x14ac:dyDescent="0.3">
      <c r="B186" s="1">
        <f t="shared" ca="1" si="33"/>
        <v>165</v>
      </c>
      <c r="D186" s="11" t="s">
        <v>282</v>
      </c>
      <c r="F186" s="1" t="str">
        <f>+INDEX('Exh. BGM-3 (2)'!$10:$10,1,MATCH($D186,'Exh. BGM-3 (2)'!$4:$4,0))</f>
        <v>ESTIMATED PLANT RETIREMENTS RATE BASE</v>
      </c>
      <c r="I186" s="3">
        <v>0</v>
      </c>
      <c r="J186" s="3"/>
      <c r="K186" s="3">
        <v>0</v>
      </c>
      <c r="L186" s="3"/>
      <c r="M186" s="3">
        <f t="shared" si="34"/>
        <v>0</v>
      </c>
      <c r="P186" s="3">
        <f t="shared" si="35"/>
        <v>0</v>
      </c>
      <c r="Q186" s="3"/>
      <c r="R186" s="3">
        <f t="shared" si="36"/>
        <v>0</v>
      </c>
      <c r="S186" s="3"/>
      <c r="T186" s="3">
        <f t="shared" si="37"/>
        <v>0</v>
      </c>
      <c r="W186" s="3">
        <v>0</v>
      </c>
      <c r="X186" s="3"/>
      <c r="Y186" s="3">
        <f t="shared" si="38"/>
        <v>0</v>
      </c>
      <c r="Z186" s="3"/>
      <c r="AA186" s="3">
        <v>0</v>
      </c>
      <c r="AB186" s="5"/>
      <c r="AC186" s="3">
        <f t="shared" si="39"/>
        <v>0</v>
      </c>
      <c r="AE186" s="9"/>
      <c r="AF186" s="9"/>
      <c r="AH186" s="8"/>
      <c r="AL186" s="3"/>
      <c r="AO186" s="3">
        <v>0</v>
      </c>
    </row>
    <row r="187" spans="2:41" x14ac:dyDescent="0.3">
      <c r="B187" s="1">
        <f t="shared" ca="1" si="33"/>
        <v>166</v>
      </c>
      <c r="D187" s="11" t="s">
        <v>283</v>
      </c>
      <c r="F187" s="1" t="str">
        <f>+INDEX('Exh. BGM-3 (2)'!$10:$10,1,MATCH($D187,'Exh. BGM-3 (2)'!$4:$4,0))</f>
        <v>TEST YEAR PLANT ROLL FORWARD</v>
      </c>
      <c r="I187" s="3">
        <v>21655.401978452868</v>
      </c>
      <c r="J187" s="3"/>
      <c r="K187" s="3">
        <v>-195386.56426574243</v>
      </c>
      <c r="L187" s="3"/>
      <c r="M187" s="3">
        <f t="shared" si="34"/>
        <v>-47481.886350973044</v>
      </c>
      <c r="P187" s="3">
        <f t="shared" si="35"/>
        <v>21655.401978452868</v>
      </c>
      <c r="Q187" s="3"/>
      <c r="R187" s="3">
        <f t="shared" si="36"/>
        <v>-195386.56426574243</v>
      </c>
      <c r="S187" s="3"/>
      <c r="T187" s="3">
        <f t="shared" si="37"/>
        <v>-47481.886350973044</v>
      </c>
      <c r="W187" s="3">
        <v>0</v>
      </c>
      <c r="X187" s="3"/>
      <c r="Y187" s="3">
        <f t="shared" si="38"/>
        <v>0</v>
      </c>
      <c r="Z187" s="3"/>
      <c r="AA187" s="3">
        <v>0</v>
      </c>
      <c r="AB187" s="5"/>
      <c r="AC187" s="3">
        <f t="shared" si="39"/>
        <v>0</v>
      </c>
      <c r="AE187" s="9"/>
      <c r="AF187" s="9"/>
      <c r="AH187" s="8"/>
      <c r="AL187" s="3"/>
      <c r="AO187" s="3">
        <v>-47975.316277144739</v>
      </c>
    </row>
    <row r="188" spans="2:41" x14ac:dyDescent="0.3">
      <c r="B188" s="1">
        <f t="shared" ca="1" si="33"/>
        <v>167</v>
      </c>
      <c r="D188" s="11" t="s">
        <v>284</v>
      </c>
      <c r="F188" s="1" t="str">
        <f>+INDEX('Exh. BGM-3 (2)'!$10:$10,1,MATCH($D188,'Exh. BGM-3 (2)'!$4:$4,0))</f>
        <v>PROVISIONAL PROFORMA RETIREMENTS DEPRECIATION</v>
      </c>
      <c r="I188" s="3">
        <v>5525.7414497995323</v>
      </c>
      <c r="J188" s="3"/>
      <c r="K188" s="3">
        <v>6185.9650190380025</v>
      </c>
      <c r="L188" s="3"/>
      <c r="M188" s="3">
        <f t="shared" si="34"/>
        <v>-6752.5994622602302</v>
      </c>
      <c r="P188" s="3">
        <f t="shared" si="35"/>
        <v>5525.7414497995323</v>
      </c>
      <c r="Q188" s="3"/>
      <c r="R188" s="3">
        <f t="shared" si="36"/>
        <v>6185.9650190380025</v>
      </c>
      <c r="S188" s="3"/>
      <c r="T188" s="3">
        <f t="shared" si="37"/>
        <v>-6752.5994622602302</v>
      </c>
      <c r="W188" s="3">
        <v>0</v>
      </c>
      <c r="X188" s="3"/>
      <c r="Y188" s="3">
        <f t="shared" si="38"/>
        <v>0</v>
      </c>
      <c r="Z188" s="3"/>
      <c r="AA188" s="3">
        <v>0</v>
      </c>
      <c r="AB188" s="5"/>
      <c r="AC188" s="3">
        <f t="shared" si="39"/>
        <v>0</v>
      </c>
      <c r="AE188" s="9"/>
      <c r="AF188" s="9"/>
      <c r="AH188" s="8"/>
      <c r="AL188" s="3"/>
      <c r="AO188" s="3">
        <v>-6736.9774041411611</v>
      </c>
    </row>
    <row r="189" spans="2:41" x14ac:dyDescent="0.3">
      <c r="B189" s="1">
        <f t="shared" ca="1" si="33"/>
        <v>168</v>
      </c>
      <c r="D189" s="11" t="s">
        <v>285</v>
      </c>
      <c r="F189" s="1" t="str">
        <f>+INDEX('Exh. BGM-3 (2)'!$10:$10,1,MATCH($D189,'Exh. BGM-3 (2)'!$4:$4,0))</f>
        <v>PROGRAMMATIC PROVISIONAL PROFORMA</v>
      </c>
      <c r="I189" s="3">
        <v>-13328.051774230498</v>
      </c>
      <c r="J189" s="3"/>
      <c r="K189" s="3">
        <v>174642.00214264984</v>
      </c>
      <c r="L189" s="3"/>
      <c r="M189" s="3">
        <f t="shared" si="34"/>
        <v>34428.263158351161</v>
      </c>
      <c r="P189" s="3">
        <f t="shared" si="35"/>
        <v>-13328.051774230498</v>
      </c>
      <c r="Q189" s="3"/>
      <c r="R189" s="3">
        <f t="shared" si="36"/>
        <v>174642.00214264984</v>
      </c>
      <c r="S189" s="3"/>
      <c r="T189" s="3">
        <f t="shared" si="37"/>
        <v>34428.263158351161</v>
      </c>
      <c r="W189" s="3">
        <v>0</v>
      </c>
      <c r="X189" s="3"/>
      <c r="Y189" s="3">
        <f t="shared" si="38"/>
        <v>0</v>
      </c>
      <c r="Z189" s="3"/>
      <c r="AA189" s="3">
        <v>0</v>
      </c>
      <c r="AB189" s="5"/>
      <c r="AC189" s="3">
        <f t="shared" si="39"/>
        <v>0</v>
      </c>
      <c r="AE189" s="9"/>
      <c r="AF189" s="9"/>
      <c r="AH189" s="8"/>
      <c r="AL189" s="3"/>
      <c r="AO189" s="3">
        <v>34869.304693359278</v>
      </c>
    </row>
    <row r="190" spans="2:41" x14ac:dyDescent="0.3">
      <c r="B190" s="1">
        <f t="shared" ca="1" si="33"/>
        <v>169</v>
      </c>
      <c r="D190" s="11" t="s">
        <v>286</v>
      </c>
      <c r="F190" s="1" t="str">
        <f>+INDEX('Exh. BGM-3 (2)'!$10:$10,1,MATCH($D190,'Exh. BGM-3 (2)'!$4:$4,0))</f>
        <v>CUSTOMER DRIVEN PROGRAMMATIC PROVISIONAL PROFORMA</v>
      </c>
      <c r="I190" s="3">
        <v>-125.08427870000018</v>
      </c>
      <c r="J190" s="3"/>
      <c r="K190" s="3">
        <v>3146.6608700000083</v>
      </c>
      <c r="L190" s="3"/>
      <c r="M190" s="3">
        <f t="shared" si="34"/>
        <v>467.39087444092326</v>
      </c>
      <c r="P190" s="3">
        <f t="shared" si="35"/>
        <v>-125.08427870000018</v>
      </c>
      <c r="Q190" s="3"/>
      <c r="R190" s="3">
        <f t="shared" si="36"/>
        <v>3146.6608700000083</v>
      </c>
      <c r="S190" s="3"/>
      <c r="T190" s="3">
        <f t="shared" si="37"/>
        <v>467.39087444092326</v>
      </c>
      <c r="W190" s="3">
        <v>0</v>
      </c>
      <c r="X190" s="3"/>
      <c r="Y190" s="3">
        <f t="shared" si="38"/>
        <v>0</v>
      </c>
      <c r="Z190" s="3"/>
      <c r="AA190" s="3">
        <v>0</v>
      </c>
      <c r="AB190" s="5"/>
      <c r="AC190" s="3">
        <f t="shared" si="39"/>
        <v>0</v>
      </c>
      <c r="AE190" s="9"/>
      <c r="AF190" s="9"/>
      <c r="AH190" s="8"/>
      <c r="AL190" s="3"/>
      <c r="AO190" s="3">
        <v>475.33746302344076</v>
      </c>
    </row>
    <row r="191" spans="2:41" x14ac:dyDescent="0.3">
      <c r="B191" s="266">
        <f t="shared" ca="1" si="33"/>
        <v>170</v>
      </c>
      <c r="C191" s="267"/>
      <c r="D191" s="268" t="s">
        <v>287</v>
      </c>
      <c r="E191" s="267"/>
      <c r="F191" s="267" t="str">
        <f>+INDEX('Exh. BGM-3 (2)'!$10:$10,1,MATCH($D191,'Exh. BGM-3 (2)'!$4:$4,0))</f>
        <v>SPECIFIC PROVISIONAL PROFORMA</v>
      </c>
      <c r="G191" s="269"/>
      <c r="H191" s="269"/>
      <c r="I191" s="270">
        <v>-2355.3624850000006</v>
      </c>
      <c r="J191" s="270"/>
      <c r="K191" s="270">
        <v>17890.263581616018</v>
      </c>
      <c r="L191" s="270"/>
      <c r="M191" s="270">
        <f t="shared" si="34"/>
        <v>4842.7424060135891</v>
      </c>
      <c r="N191" s="269"/>
      <c r="O191" s="267"/>
      <c r="P191" s="270">
        <f t="shared" si="35"/>
        <v>-2355.3624850000006</v>
      </c>
      <c r="Q191" s="270"/>
      <c r="R191" s="270">
        <f t="shared" si="36"/>
        <v>17890.263581616018</v>
      </c>
      <c r="S191" s="270"/>
      <c r="T191" s="270">
        <f t="shared" si="37"/>
        <v>4842.7424060135891</v>
      </c>
      <c r="U191" s="267"/>
      <c r="V191" s="267"/>
      <c r="W191" s="270">
        <v>0</v>
      </c>
      <c r="X191" s="270"/>
      <c r="Y191" s="270">
        <f t="shared" si="38"/>
        <v>0</v>
      </c>
      <c r="Z191" s="270"/>
      <c r="AA191" s="270">
        <v>0</v>
      </c>
      <c r="AB191" s="271"/>
      <c r="AC191" s="270">
        <f t="shared" si="39"/>
        <v>0</v>
      </c>
      <c r="AD191" s="269"/>
      <c r="AE191" s="272" t="s">
        <v>1026</v>
      </c>
      <c r="AF191" s="9"/>
      <c r="AH191" s="8"/>
      <c r="AL191" s="3"/>
      <c r="AO191" s="3">
        <v>4887.9225414617094</v>
      </c>
    </row>
    <row r="192" spans="2:41" x14ac:dyDescent="0.3">
      <c r="B192" s="260">
        <f t="shared" ca="1" si="33"/>
        <v>171</v>
      </c>
      <c r="C192" s="261"/>
      <c r="D192" s="261" t="str">
        <f>+D191</f>
        <v>6.33 RY1</v>
      </c>
      <c r="E192" s="261"/>
      <c r="F192" s="261" t="s">
        <v>1031</v>
      </c>
      <c r="G192" s="262"/>
      <c r="H192" s="262"/>
      <c r="I192" s="263">
        <v>0</v>
      </c>
      <c r="J192" s="263"/>
      <c r="K192" s="263">
        <v>0</v>
      </c>
      <c r="L192" s="263"/>
      <c r="M192" s="263">
        <f t="shared" ref="M192" si="40">+($K192*$AL$46-$I192)/$AJ$4</f>
        <v>0</v>
      </c>
      <c r="N192" s="262"/>
      <c r="O192" s="261"/>
      <c r="P192" s="263">
        <f t="shared" si="35"/>
        <v>587.38685929999997</v>
      </c>
      <c r="Q192" s="263"/>
      <c r="R192" s="263">
        <f t="shared" si="36"/>
        <v>-36679.961325192489</v>
      </c>
      <c r="S192" s="263"/>
      <c r="T192" s="263">
        <f t="shared" ref="T192" si="41">+($R192*$AL$46-$P192)/$AJ$4</f>
        <v>-4290.9850731554379</v>
      </c>
      <c r="U192" s="261"/>
      <c r="V192" s="261"/>
      <c r="W192" s="263">
        <f>-'6.33 (EESD)'!F31</f>
        <v>743.52766999999994</v>
      </c>
      <c r="X192" s="263"/>
      <c r="Y192" s="263">
        <f t="shared" si="38"/>
        <v>587.38685929999997</v>
      </c>
      <c r="Z192" s="263"/>
      <c r="AA192" s="263">
        <f>+'6.33 (EESD)'!F24+'6.33 (EESD)'!F39+'6.33 (EESD)'!F60</f>
        <v>-36679.961325192489</v>
      </c>
      <c r="AB192" s="264"/>
      <c r="AC192" s="263">
        <f t="shared" si="39"/>
        <v>-4290.9850731554379</v>
      </c>
      <c r="AD192" s="262"/>
      <c r="AE192" s="265" t="s">
        <v>1026</v>
      </c>
      <c r="AF192" s="9"/>
      <c r="AH192" s="8"/>
      <c r="AL192" s="3"/>
      <c r="AO192" s="3"/>
    </row>
    <row r="193" spans="2:41" x14ac:dyDescent="0.3">
      <c r="B193" s="1">
        <f t="shared" ca="1" si="33"/>
        <v>172</v>
      </c>
      <c r="D193" s="11" t="s">
        <v>288</v>
      </c>
      <c r="F193" s="1" t="str">
        <f>+INDEX('Exh. BGM-3 (2)'!$10:$10,1,MATCH($D193,'Exh. BGM-3 (2)'!$4:$4,0))</f>
        <v>PROJECTED PROVISIONAL PROFORMA</v>
      </c>
      <c r="I193" s="3">
        <v>-10217.273590264838</v>
      </c>
      <c r="J193" s="3"/>
      <c r="K193" s="3">
        <v>54806.63901632787</v>
      </c>
      <c r="L193" s="3"/>
      <c r="M193" s="3">
        <f t="shared" si="34"/>
        <v>18825.357177715898</v>
      </c>
      <c r="P193" s="3">
        <f t="shared" si="35"/>
        <v>-10217.273590264838</v>
      </c>
      <c r="Q193" s="3"/>
      <c r="R193" s="3">
        <f t="shared" si="36"/>
        <v>54806.63901632787</v>
      </c>
      <c r="S193" s="3"/>
      <c r="T193" s="3">
        <f t="shared" si="37"/>
        <v>18825.357177715898</v>
      </c>
      <c r="W193" s="3">
        <v>0</v>
      </c>
      <c r="X193" s="3"/>
      <c r="Y193" s="3">
        <f t="shared" si="38"/>
        <v>0</v>
      </c>
      <c r="Z193" s="3"/>
      <c r="AA193" s="3">
        <v>0</v>
      </c>
      <c r="AB193" s="5"/>
      <c r="AC193" s="3">
        <f t="shared" si="39"/>
        <v>0</v>
      </c>
      <c r="AE193" s="9"/>
      <c r="AF193" s="9"/>
      <c r="AH193" s="8"/>
      <c r="AL193" s="3"/>
      <c r="AO193" s="3">
        <v>18963.766059335645</v>
      </c>
    </row>
    <row r="194" spans="2:41" x14ac:dyDescent="0.3">
      <c r="B194" s="249">
        <f t="shared" ca="1" si="33"/>
        <v>173</v>
      </c>
      <c r="C194" s="249"/>
      <c r="D194" s="250" t="s">
        <v>289</v>
      </c>
      <c r="E194" s="249"/>
      <c r="F194" s="249" t="str">
        <f>+INDEX('Exh. BGM-3 (2)'!$10:$10,1,MATCH($D194,'Exh. BGM-3 (2)'!$4:$4,0))</f>
        <v>POWER COSTS</v>
      </c>
      <c r="G194" s="251"/>
      <c r="H194" s="251"/>
      <c r="I194" s="174">
        <v>-125477.11599038982</v>
      </c>
      <c r="J194" s="174"/>
      <c r="K194" s="174">
        <v>0</v>
      </c>
      <c r="L194" s="174"/>
      <c r="M194" s="174">
        <f t="shared" si="34"/>
        <v>166779.13483713116</v>
      </c>
      <c r="N194" s="251"/>
      <c r="O194" s="249"/>
      <c r="P194" s="174">
        <f t="shared" si="35"/>
        <v>-122038.24599038983</v>
      </c>
      <c r="Q194" s="174"/>
      <c r="R194" s="174">
        <f t="shared" si="36"/>
        <v>0</v>
      </c>
      <c r="S194" s="174"/>
      <c r="T194" s="174">
        <f t="shared" si="37"/>
        <v>162208.32717319592</v>
      </c>
      <c r="U194" s="249"/>
      <c r="V194" s="249"/>
      <c r="W194" s="174">
        <v>4353</v>
      </c>
      <c r="X194" s="174"/>
      <c r="Y194" s="174">
        <f t="shared" si="38"/>
        <v>3438.8700000000003</v>
      </c>
      <c r="Z194" s="174"/>
      <c r="AA194" s="174">
        <v>0</v>
      </c>
      <c r="AB194" s="252"/>
      <c r="AC194" s="174">
        <f t="shared" si="39"/>
        <v>-4570.8076639352366</v>
      </c>
      <c r="AD194" s="251"/>
      <c r="AE194" s="253" t="s">
        <v>1026</v>
      </c>
      <c r="AF194" s="9"/>
      <c r="AH194" s="8"/>
      <c r="AL194" s="3"/>
      <c r="AO194" s="3">
        <v>166779.13483713116</v>
      </c>
    </row>
    <row r="195" spans="2:41" x14ac:dyDescent="0.3">
      <c r="B195" s="1">
        <f t="shared" ca="1" si="33"/>
        <v>174</v>
      </c>
      <c r="D195" s="11" t="s">
        <v>290</v>
      </c>
      <c r="F195" s="1" t="str">
        <f>+INDEX('Exh. BGM-3 (2)'!$10:$10,1,MATCH($D195,'Exh. BGM-3 (2)'!$4:$4,0))</f>
        <v>MONTANA TAX</v>
      </c>
      <c r="I195" s="3">
        <v>-139.46869547499998</v>
      </c>
      <c r="J195" s="3"/>
      <c r="K195" s="3">
        <v>0</v>
      </c>
      <c r="L195" s="3"/>
      <c r="M195" s="3">
        <f t="shared" si="34"/>
        <v>185.37617942992335</v>
      </c>
      <c r="P195" s="3">
        <f t="shared" si="35"/>
        <v>-139.46869547499998</v>
      </c>
      <c r="Q195" s="3"/>
      <c r="R195" s="3">
        <f t="shared" si="36"/>
        <v>0</v>
      </c>
      <c r="S195" s="3"/>
      <c r="T195" s="3">
        <f t="shared" si="37"/>
        <v>185.37617942992335</v>
      </c>
      <c r="W195" s="3">
        <v>0</v>
      </c>
      <c r="X195" s="3"/>
      <c r="Y195" s="3">
        <f t="shared" si="38"/>
        <v>0</v>
      </c>
      <c r="Z195" s="3"/>
      <c r="AA195" s="3">
        <v>0</v>
      </c>
      <c r="AB195" s="5"/>
      <c r="AC195" s="3">
        <f t="shared" si="39"/>
        <v>0</v>
      </c>
      <c r="AE195" s="9"/>
      <c r="AF195" s="9"/>
      <c r="AH195" s="8"/>
      <c r="AL195" s="3"/>
      <c r="AO195" s="3">
        <v>185.37617942992335</v>
      </c>
    </row>
    <row r="196" spans="2:41" x14ac:dyDescent="0.3">
      <c r="B196" s="1">
        <f t="shared" ca="1" si="33"/>
        <v>175</v>
      </c>
      <c r="D196" s="11" t="s">
        <v>291</v>
      </c>
      <c r="F196" s="1" t="str">
        <f>+INDEX('Exh. BGM-3 (2)'!$10:$10,1,MATCH($D196,'Exh. BGM-3 (2)'!$4:$4,0))</f>
        <v>WILD HORSE SOLAR</v>
      </c>
      <c r="I196" s="3">
        <v>12.529914132000002</v>
      </c>
      <c r="J196" s="3"/>
      <c r="K196" s="3">
        <v>79.070325399999973</v>
      </c>
      <c r="L196" s="3"/>
      <c r="M196" s="3">
        <f t="shared" si="34"/>
        <v>-9.0872669194728601</v>
      </c>
      <c r="P196" s="3">
        <f t="shared" si="35"/>
        <v>12.529914132000002</v>
      </c>
      <c r="Q196" s="3"/>
      <c r="R196" s="3">
        <f t="shared" si="36"/>
        <v>79.070325399999973</v>
      </c>
      <c r="S196" s="3"/>
      <c r="T196" s="3">
        <f t="shared" si="37"/>
        <v>-9.0872669194728601</v>
      </c>
      <c r="W196" s="3">
        <v>0</v>
      </c>
      <c r="X196" s="3"/>
      <c r="Y196" s="3">
        <f t="shared" si="38"/>
        <v>0</v>
      </c>
      <c r="Z196" s="3"/>
      <c r="AA196" s="3">
        <v>0</v>
      </c>
      <c r="AB196" s="5"/>
      <c r="AC196" s="3">
        <f t="shared" si="39"/>
        <v>0</v>
      </c>
      <c r="AE196" s="9"/>
      <c r="AF196" s="9"/>
      <c r="AH196" s="8"/>
      <c r="AL196" s="3"/>
      <c r="AO196" s="3">
        <v>-8.8875824377321937</v>
      </c>
    </row>
    <row r="197" spans="2:41" x14ac:dyDescent="0.3">
      <c r="B197" s="1">
        <f t="shared" ca="1" si="33"/>
        <v>176</v>
      </c>
      <c r="D197" s="11" t="s">
        <v>292</v>
      </c>
      <c r="F197" s="1" t="str">
        <f>+INDEX('Exh. BGM-3 (2)'!$10:$10,1,MATCH($D197,'Exh. BGM-3 (2)'!$4:$4,0))</f>
        <v>STORM EXPENSE NORMALIZATION</v>
      </c>
      <c r="I197" s="3">
        <v>827.1735013499972</v>
      </c>
      <c r="J197" s="3"/>
      <c r="K197" s="3">
        <v>0</v>
      </c>
      <c r="L197" s="3"/>
      <c r="M197" s="3">
        <f t="shared" si="34"/>
        <v>-1099.4457421695838</v>
      </c>
      <c r="P197" s="3">
        <f t="shared" si="35"/>
        <v>827.1735013499972</v>
      </c>
      <c r="Q197" s="3"/>
      <c r="R197" s="3">
        <f t="shared" si="36"/>
        <v>0</v>
      </c>
      <c r="S197" s="3"/>
      <c r="T197" s="3">
        <f t="shared" si="37"/>
        <v>-1099.4457421695838</v>
      </c>
      <c r="W197" s="3">
        <v>0</v>
      </c>
      <c r="X197" s="3"/>
      <c r="Y197" s="3">
        <f t="shared" si="38"/>
        <v>0</v>
      </c>
      <c r="Z197" s="3"/>
      <c r="AA197" s="3">
        <v>0</v>
      </c>
      <c r="AB197" s="5"/>
      <c r="AC197" s="3">
        <f t="shared" si="39"/>
        <v>0</v>
      </c>
      <c r="AE197" s="9"/>
      <c r="AF197" s="9"/>
      <c r="AH197" s="8"/>
      <c r="AL197" s="3"/>
      <c r="AO197" s="3">
        <v>-1099.4457421695838</v>
      </c>
    </row>
    <row r="198" spans="2:41" x14ac:dyDescent="0.3">
      <c r="B198" s="1">
        <f t="shared" ca="1" si="33"/>
        <v>177</v>
      </c>
      <c r="D198" s="11" t="s">
        <v>293</v>
      </c>
      <c r="F198" s="1" t="str">
        <f>+INDEX('Exh. BGM-3 (2)'!$10:$10,1,MATCH($D198,'Exh. BGM-3 (2)'!$4:$4,0))</f>
        <v>REGULATORY  ASSETS &amp; LIAB</v>
      </c>
      <c r="I198" s="3">
        <v>2257.5670605767573</v>
      </c>
      <c r="J198" s="3"/>
      <c r="K198" s="3">
        <v>-6069.0728816930105</v>
      </c>
      <c r="L198" s="3"/>
      <c r="M198" s="3">
        <f t="shared" si="34"/>
        <v>-3581.4745805619073</v>
      </c>
      <c r="P198" s="3">
        <f t="shared" si="35"/>
        <v>2257.5670605767573</v>
      </c>
      <c r="Q198" s="3"/>
      <c r="R198" s="3">
        <f t="shared" si="36"/>
        <v>-6069.0728816930105</v>
      </c>
      <c r="S198" s="3"/>
      <c r="T198" s="3">
        <f t="shared" si="37"/>
        <v>-3581.4745805619073</v>
      </c>
      <c r="W198" s="3">
        <v>0</v>
      </c>
      <c r="X198" s="3"/>
      <c r="Y198" s="3">
        <f t="shared" si="38"/>
        <v>0</v>
      </c>
      <c r="Z198" s="3"/>
      <c r="AA198" s="3">
        <v>0</v>
      </c>
      <c r="AB198" s="5"/>
      <c r="AC198" s="3">
        <f t="shared" si="39"/>
        <v>0</v>
      </c>
      <c r="AE198" s="9"/>
      <c r="AF198" s="9"/>
      <c r="AH198" s="8"/>
      <c r="AL198" s="3"/>
      <c r="AO198" s="3">
        <v>-3596.8014388604724</v>
      </c>
    </row>
    <row r="199" spans="2:41" x14ac:dyDescent="0.3">
      <c r="B199" s="1">
        <f t="shared" ca="1" si="33"/>
        <v>178</v>
      </c>
      <c r="D199" s="11" t="s">
        <v>294</v>
      </c>
      <c r="F199" s="1" t="str">
        <f>+INDEX('Exh. BGM-3 (2)'!$10:$10,1,MATCH($D199,'Exh. BGM-3 (2)'!$4:$4,0))</f>
        <v>GREEN DIRECT</v>
      </c>
      <c r="I199" s="3">
        <v>-11.244520300000051</v>
      </c>
      <c r="J199" s="3"/>
      <c r="K199" s="3">
        <v>50.175311134722243</v>
      </c>
      <c r="L199" s="3"/>
      <c r="M199" s="3">
        <f t="shared" si="34"/>
        <v>19.747516400768323</v>
      </c>
      <c r="P199" s="3">
        <f t="shared" si="35"/>
        <v>-11.244520300000051</v>
      </c>
      <c r="Q199" s="3"/>
      <c r="R199" s="3">
        <f t="shared" si="36"/>
        <v>50.175311134722243</v>
      </c>
      <c r="S199" s="3"/>
      <c r="T199" s="3">
        <f t="shared" si="37"/>
        <v>19.747516400768323</v>
      </c>
      <c r="W199" s="3">
        <v>0</v>
      </c>
      <c r="X199" s="3"/>
      <c r="Y199" s="3">
        <f t="shared" si="38"/>
        <v>0</v>
      </c>
      <c r="Z199" s="3"/>
      <c r="AA199" s="3">
        <v>0</v>
      </c>
      <c r="AB199" s="5"/>
      <c r="AC199" s="3">
        <f t="shared" si="39"/>
        <v>0</v>
      </c>
      <c r="AE199" s="9"/>
      <c r="AF199" s="9"/>
      <c r="AH199" s="8"/>
      <c r="AL199" s="3"/>
      <c r="AO199" s="3">
        <v>19.874229310439919</v>
      </c>
    </row>
    <row r="200" spans="2:41" x14ac:dyDescent="0.3">
      <c r="B200" s="222">
        <f t="shared" ca="1" si="33"/>
        <v>179</v>
      </c>
      <c r="C200" s="222"/>
      <c r="D200" s="224" t="s">
        <v>295</v>
      </c>
      <c r="E200" s="222"/>
      <c r="F200" s="222" t="str">
        <f>+INDEX('Exh. BGM-3 (2)'!$10:$10,1,MATCH($D200,'Exh. BGM-3 (2)'!$4:$4,0))</f>
        <v>STORM DEFERRAL AMORTIZATION</v>
      </c>
      <c r="G200" s="225"/>
      <c r="H200" s="225"/>
      <c r="I200" s="226">
        <v>-9794.9400194749978</v>
      </c>
      <c r="J200" s="226"/>
      <c r="K200" s="226">
        <v>0</v>
      </c>
      <c r="L200" s="226"/>
      <c r="M200" s="226">
        <f t="shared" si="34"/>
        <v>13019.040239614274</v>
      </c>
      <c r="N200" s="225"/>
      <c r="O200" s="222"/>
      <c r="P200" s="226">
        <f t="shared" si="35"/>
        <v>305.3248618873331</v>
      </c>
      <c r="Q200" s="226"/>
      <c r="R200" s="226">
        <f t="shared" si="36"/>
        <v>-8790.2141875838024</v>
      </c>
      <c r="S200" s="226"/>
      <c r="T200" s="226">
        <f t="shared" si="37"/>
        <v>-1247.0446576328554</v>
      </c>
      <c r="U200" s="222"/>
      <c r="V200" s="222"/>
      <c r="W200" s="226">
        <f>-'[23]BGM-10'!$L$47/1000</f>
        <v>12785.145419445987</v>
      </c>
      <c r="X200" s="226"/>
      <c r="Y200" s="226">
        <f t="shared" si="38"/>
        <v>10100.264881362331</v>
      </c>
      <c r="Z200" s="226"/>
      <c r="AA200" s="226">
        <f>+[23]Adjustment!$F$44+[23]Adjustment!$F$53</f>
        <v>-8790.2141875838024</v>
      </c>
      <c r="AB200" s="227"/>
      <c r="AC200" s="226">
        <f t="shared" si="39"/>
        <v>-14266.08489724713</v>
      </c>
      <c r="AD200" s="225"/>
      <c r="AE200" s="253" t="s">
        <v>1026</v>
      </c>
      <c r="AF200" s="9"/>
      <c r="AH200" s="8"/>
      <c r="AL200" s="3"/>
      <c r="AO200" s="3">
        <v>13019.040239614274</v>
      </c>
    </row>
    <row r="201" spans="2:41" x14ac:dyDescent="0.3">
      <c r="B201" s="1">
        <f t="shared" ca="1" si="33"/>
        <v>180</v>
      </c>
      <c r="D201" s="11" t="s">
        <v>296</v>
      </c>
      <c r="F201" s="1" t="str">
        <f>+INDEX('Exh. BGM-3 (2)'!$10:$10,1,MATCH($D201,'Exh. BGM-3 (2)'!$4:$4,0))</f>
        <v>ELECTRIC VEHICLES</v>
      </c>
      <c r="I201" s="3">
        <v>-1707.5742478025375</v>
      </c>
      <c r="J201" s="3"/>
      <c r="K201" s="3">
        <v>-771.78750036631664</v>
      </c>
      <c r="L201" s="3"/>
      <c r="M201" s="3">
        <f t="shared" si="34"/>
        <v>2195.7793166472779</v>
      </c>
      <c r="P201" s="3">
        <f t="shared" si="35"/>
        <v>-1707.5742478025375</v>
      </c>
      <c r="Q201" s="3"/>
      <c r="R201" s="3">
        <f t="shared" si="36"/>
        <v>-771.78750036631664</v>
      </c>
      <c r="S201" s="3"/>
      <c r="T201" s="3">
        <f t="shared" si="37"/>
        <v>2195.7793166472779</v>
      </c>
      <c r="W201" s="3">
        <v>0</v>
      </c>
      <c r="X201" s="3"/>
      <c r="Y201" s="3">
        <f t="shared" si="38"/>
        <v>0</v>
      </c>
      <c r="Z201" s="3"/>
      <c r="AA201" s="3">
        <v>0</v>
      </c>
      <c r="AB201" s="5"/>
      <c r="AC201" s="3">
        <f t="shared" si="39"/>
        <v>0</v>
      </c>
      <c r="AE201" s="9"/>
      <c r="AF201" s="9"/>
      <c r="AH201" s="8"/>
      <c r="AL201" s="3"/>
      <c r="AO201" s="3">
        <v>2193.8302417415539</v>
      </c>
    </row>
    <row r="202" spans="2:41" x14ac:dyDescent="0.3">
      <c r="B202" s="1">
        <f t="shared" ca="1" si="33"/>
        <v>181</v>
      </c>
      <c r="D202" s="11" t="s">
        <v>297</v>
      </c>
      <c r="F202" s="1" t="str">
        <f>+INDEX('Exh. BGM-3 (2)'!$10:$10,1,MATCH($D202,'Exh. BGM-3 (2)'!$4:$4,0))</f>
        <v>COLSTRIP D&amp;R TRACKER</v>
      </c>
      <c r="I202" s="3">
        <v>-8200.8210775916541</v>
      </c>
      <c r="J202" s="3"/>
      <c r="K202" s="3">
        <v>10775.509003744235</v>
      </c>
      <c r="L202" s="3"/>
      <c r="M202" s="3">
        <f t="shared" si="34"/>
        <v>11931.412333089087</v>
      </c>
      <c r="P202" s="3">
        <f t="shared" si="35"/>
        <v>-8200.8210775916541</v>
      </c>
      <c r="Q202" s="3"/>
      <c r="R202" s="3">
        <f t="shared" si="36"/>
        <v>10775.509003744235</v>
      </c>
      <c r="S202" s="3"/>
      <c r="T202" s="3">
        <f t="shared" si="37"/>
        <v>11931.412333089087</v>
      </c>
      <c r="W202" s="3">
        <v>0</v>
      </c>
      <c r="X202" s="3"/>
      <c r="Y202" s="3">
        <f t="shared" si="38"/>
        <v>0</v>
      </c>
      <c r="Z202" s="3"/>
      <c r="AA202" s="3">
        <v>0</v>
      </c>
      <c r="AB202" s="5"/>
      <c r="AC202" s="3">
        <f t="shared" si="39"/>
        <v>0</v>
      </c>
      <c r="AE202" s="9"/>
      <c r="AF202" s="9"/>
      <c r="AH202" s="8"/>
      <c r="AL202" s="3"/>
      <c r="AO202" s="3">
        <v>11958.624841954068</v>
      </c>
    </row>
    <row r="203" spans="2:41" x14ac:dyDescent="0.3">
      <c r="B203" s="1">
        <f t="shared" ca="1" si="33"/>
        <v>182</v>
      </c>
      <c r="D203" s="11" t="s">
        <v>298</v>
      </c>
      <c r="F203" s="1" t="str">
        <f>+INDEX('Exh. BGM-3 (2)'!$10:$10,1,MATCH($D203,'Exh. BGM-3 (2)'!$4:$4,0))</f>
        <v>OPEN 3</v>
      </c>
      <c r="I203" s="3">
        <v>0</v>
      </c>
      <c r="J203" s="3"/>
      <c r="K203" s="3">
        <v>0</v>
      </c>
      <c r="L203" s="3"/>
      <c r="M203" s="3">
        <f t="shared" si="34"/>
        <v>0</v>
      </c>
      <c r="P203" s="3">
        <f t="shared" si="35"/>
        <v>0</v>
      </c>
      <c r="Q203" s="3"/>
      <c r="R203" s="3">
        <f t="shared" si="36"/>
        <v>0</v>
      </c>
      <c r="S203" s="3"/>
      <c r="T203" s="3">
        <f t="shared" si="37"/>
        <v>0</v>
      </c>
      <c r="W203" s="3">
        <v>0</v>
      </c>
      <c r="X203" s="3"/>
      <c r="Y203" s="3">
        <f t="shared" si="38"/>
        <v>0</v>
      </c>
      <c r="Z203" s="3"/>
      <c r="AA203" s="3">
        <v>0</v>
      </c>
      <c r="AB203" s="5"/>
      <c r="AC203" s="3">
        <f t="shared" si="39"/>
        <v>0</v>
      </c>
      <c r="AE203" s="9"/>
      <c r="AF203" s="9"/>
      <c r="AH203" s="8"/>
      <c r="AL203" s="3"/>
      <c r="AO203" s="3">
        <v>0</v>
      </c>
    </row>
    <row r="204" spans="2:41" x14ac:dyDescent="0.3">
      <c r="B204" s="1">
        <f t="shared" ca="1" si="33"/>
        <v>183</v>
      </c>
      <c r="D204" s="11" t="s">
        <v>299</v>
      </c>
      <c r="F204" s="1" t="str">
        <f>+INDEX('Exh. BGM-3 (2)'!$10:$10,1,MATCH($D204,'Exh. BGM-3 (2)'!$4:$4,0))</f>
        <v>MONETIZE PTCS FOR COLSTRIP</v>
      </c>
      <c r="I204" s="3">
        <v>0</v>
      </c>
      <c r="J204" s="3"/>
      <c r="K204" s="3">
        <v>0</v>
      </c>
      <c r="L204" s="3"/>
      <c r="M204" s="3">
        <f t="shared" si="34"/>
        <v>0</v>
      </c>
      <c r="P204" s="3">
        <f t="shared" si="35"/>
        <v>0</v>
      </c>
      <c r="Q204" s="3"/>
      <c r="R204" s="3">
        <f t="shared" si="36"/>
        <v>0</v>
      </c>
      <c r="S204" s="3"/>
      <c r="T204" s="3">
        <f t="shared" si="37"/>
        <v>0</v>
      </c>
      <c r="W204" s="3">
        <v>0</v>
      </c>
      <c r="X204" s="3"/>
      <c r="Y204" s="3">
        <f t="shared" si="38"/>
        <v>0</v>
      </c>
      <c r="Z204" s="3"/>
      <c r="AA204" s="3">
        <v>0</v>
      </c>
      <c r="AB204" s="5"/>
      <c r="AC204" s="3">
        <f t="shared" si="39"/>
        <v>0</v>
      </c>
      <c r="AE204" s="9"/>
      <c r="AF204" s="9"/>
      <c r="AH204" s="8"/>
      <c r="AL204" s="3"/>
      <c r="AO204" s="3">
        <v>0</v>
      </c>
    </row>
    <row r="205" spans="2:41" x14ac:dyDescent="0.3">
      <c r="B205" s="1">
        <f t="shared" ca="1" si="33"/>
        <v>184</v>
      </c>
      <c r="D205" s="11" t="s">
        <v>300</v>
      </c>
      <c r="F205" s="1" t="str">
        <f>+INDEX('Exh. BGM-3 (2)'!$10:$10,1,MATCH($D205,'Exh. BGM-3 (2)'!$4:$4,0))</f>
        <v>ACQUISITION ADJUSTMENT</v>
      </c>
      <c r="I205" s="3">
        <v>1746.4989622000173</v>
      </c>
      <c r="J205" s="3"/>
      <c r="K205" s="3">
        <v>-2880.7465800000095</v>
      </c>
      <c r="L205" s="3"/>
      <c r="M205" s="3">
        <f t="shared" si="34"/>
        <v>-2597.0621793701353</v>
      </c>
      <c r="P205" s="3">
        <f t="shared" si="35"/>
        <v>1746.4989622000173</v>
      </c>
      <c r="Q205" s="3"/>
      <c r="R205" s="3">
        <f t="shared" si="36"/>
        <v>-2880.7465800000095</v>
      </c>
      <c r="S205" s="3"/>
      <c r="T205" s="3">
        <f t="shared" si="37"/>
        <v>-2597.0621793701353</v>
      </c>
      <c r="W205" s="3">
        <v>0</v>
      </c>
      <c r="X205" s="3"/>
      <c r="Y205" s="3">
        <f t="shared" si="38"/>
        <v>0</v>
      </c>
      <c r="Z205" s="3"/>
      <c r="AA205" s="3">
        <v>0</v>
      </c>
      <c r="AB205" s="5"/>
      <c r="AC205" s="3">
        <f t="shared" si="39"/>
        <v>0</v>
      </c>
      <c r="AE205" s="9"/>
      <c r="AF205" s="9"/>
      <c r="AH205" s="8"/>
      <c r="AL205" s="3"/>
      <c r="AO205" s="3">
        <v>-2604.3372270564</v>
      </c>
    </row>
    <row r="206" spans="2:41" x14ac:dyDescent="0.3">
      <c r="B206" s="222">
        <f t="shared" ca="1" si="33"/>
        <v>185</v>
      </c>
      <c r="C206" s="223"/>
      <c r="D206" s="224" t="s">
        <v>1023</v>
      </c>
      <c r="E206" s="222"/>
      <c r="F206" s="224" t="str">
        <f>+INDEX('Exh. BGM-3 (2)'!$10:$10,1,MATCH($D206,'Exh. BGM-3 (2)'!$4:$4,0))</f>
        <v>CAPITAL PRIORITIZATION</v>
      </c>
      <c r="G206" s="225"/>
      <c r="H206" s="225"/>
      <c r="I206" s="226">
        <v>0</v>
      </c>
      <c r="J206" s="226"/>
      <c r="K206" s="226">
        <v>0</v>
      </c>
      <c r="L206" s="226"/>
      <c r="M206" s="226">
        <f t="shared" si="34"/>
        <v>0</v>
      </c>
      <c r="N206" s="225"/>
      <c r="O206" s="222"/>
      <c r="P206" s="226">
        <f t="shared" si="35"/>
        <v>1902.6980242401814</v>
      </c>
      <c r="Q206" s="226"/>
      <c r="R206" s="226">
        <f t="shared" si="36"/>
        <v>-65148.959183049003</v>
      </c>
      <c r="S206" s="226"/>
      <c r="T206" s="226">
        <f t="shared" si="37"/>
        <v>-8763.7127226106168</v>
      </c>
      <c r="U206" s="222"/>
      <c r="V206" s="222"/>
      <c r="W206" s="226">
        <f>-'Exh. BGM-3 (2)'!GE35/1000</f>
        <v>2408.4785116964322</v>
      </c>
      <c r="X206" s="226"/>
      <c r="Y206" s="226">
        <f t="shared" ref="Y206" si="42">+W206*(1-$AJ$5)</f>
        <v>1902.6980242401814</v>
      </c>
      <c r="Z206" s="226"/>
      <c r="AA206" s="226">
        <f>+'Exh. BGM-3 (2)'!GE57/1000</f>
        <v>-65148.959183049003</v>
      </c>
      <c r="AB206" s="227"/>
      <c r="AC206" s="226">
        <f t="shared" ref="AC206" si="43">+T206-M206</f>
        <v>-8763.7127226106168</v>
      </c>
      <c r="AD206" s="178"/>
      <c r="AE206" s="253" t="s">
        <v>1026</v>
      </c>
      <c r="AF206" s="180"/>
      <c r="AH206" s="8"/>
      <c r="AI206" s="1"/>
      <c r="AO206" s="179"/>
    </row>
    <row r="207" spans="2:41" x14ac:dyDescent="0.3">
      <c r="B207" s="222">
        <f t="shared" ca="1" si="33"/>
        <v>186</v>
      </c>
      <c r="C207" s="223"/>
      <c r="D207" s="224" t="s">
        <v>1048</v>
      </c>
      <c r="E207" s="222"/>
      <c r="F207" s="224" t="str">
        <f>+INDEX('Exh. BGM-3 (2)'!$10:$10,1,MATCH($D207,'Exh. BGM-3 (2)'!$4:$4,0))</f>
        <v>DIRECTORS' FEES</v>
      </c>
      <c r="G207" s="225"/>
      <c r="H207" s="225"/>
      <c r="I207" s="226">
        <v>0</v>
      </c>
      <c r="J207" s="226"/>
      <c r="K207" s="226">
        <v>0</v>
      </c>
      <c r="L207" s="226"/>
      <c r="M207" s="226">
        <f t="shared" si="34"/>
        <v>0</v>
      </c>
      <c r="N207" s="225"/>
      <c r="O207" s="222"/>
      <c r="P207" s="226">
        <f t="shared" ref="P207" si="44">+I207+Y207</f>
        <v>399.84661577827274</v>
      </c>
      <c r="Q207" s="226"/>
      <c r="R207" s="226">
        <f t="shared" ref="R207" si="45">+K207+AA207</f>
        <v>0</v>
      </c>
      <c r="S207" s="226"/>
      <c r="T207" s="226">
        <f t="shared" si="37"/>
        <v>-531.46003652301476</v>
      </c>
      <c r="U207" s="222"/>
      <c r="V207" s="222"/>
      <c r="W207" s="226">
        <f>-'A2 (Dir. Fees)'!X11/1000</f>
        <v>506.13495668135783</v>
      </c>
      <c r="X207" s="226"/>
      <c r="Y207" s="226">
        <f t="shared" ref="Y207" si="46">+W207*(1-$AJ$5)</f>
        <v>399.84661577827274</v>
      </c>
      <c r="Z207" s="226"/>
      <c r="AA207" s="226">
        <f>+'Exh. BGM-3 (2)'!GE58/1000</f>
        <v>0</v>
      </c>
      <c r="AB207" s="227"/>
      <c r="AC207" s="226">
        <f t="shared" ref="AC207" si="47">+T207-M207</f>
        <v>-531.46003652301476</v>
      </c>
      <c r="AD207" s="178"/>
      <c r="AE207" s="253" t="s">
        <v>1026</v>
      </c>
      <c r="AF207" s="180"/>
      <c r="AH207" s="8"/>
      <c r="AI207" s="1"/>
      <c r="AO207" s="179"/>
    </row>
    <row r="208" spans="2:41" x14ac:dyDescent="0.3">
      <c r="C208" s="7"/>
      <c r="D208" s="11"/>
      <c r="E208" s="7"/>
      <c r="I208" s="6"/>
      <c r="J208" s="6"/>
      <c r="K208" s="6"/>
      <c r="L208" s="6"/>
      <c r="M208" s="6"/>
      <c r="O208" s="7"/>
      <c r="P208" s="6"/>
      <c r="Q208" s="6"/>
      <c r="R208" s="6"/>
      <c r="S208" s="6"/>
      <c r="T208" s="6"/>
      <c r="W208" s="6"/>
      <c r="X208" s="1"/>
      <c r="Y208" s="6"/>
      <c r="Z208" s="6"/>
      <c r="AA208" s="6"/>
      <c r="AB208" s="6"/>
      <c r="AC208" s="3"/>
      <c r="AE208" s="9"/>
      <c r="AF208" s="9"/>
      <c r="AH208" s="8"/>
      <c r="AI208" s="1"/>
      <c r="AO208" s="6"/>
    </row>
    <row r="209" spans="2:42" x14ac:dyDescent="0.3">
      <c r="C209" s="7"/>
      <c r="D209" s="11"/>
      <c r="E209" s="7"/>
      <c r="I209" s="14"/>
      <c r="J209" s="6"/>
      <c r="K209" s="14"/>
      <c r="L209" s="6"/>
      <c r="M209" s="14"/>
      <c r="O209" s="7"/>
      <c r="P209" s="14"/>
      <c r="Q209" s="6"/>
      <c r="R209" s="14"/>
      <c r="S209" s="6"/>
      <c r="T209" s="14"/>
      <c r="W209" s="14"/>
      <c r="X209" s="1"/>
      <c r="Y209" s="14"/>
      <c r="Z209" s="6"/>
      <c r="AA209" s="14"/>
      <c r="AB209" s="6"/>
      <c r="AC209" s="13"/>
      <c r="AE209" s="9"/>
      <c r="AF209" s="9"/>
      <c r="AH209" s="8"/>
      <c r="AO209" s="14"/>
    </row>
    <row r="210" spans="2:42" ht="13.5" thickBot="1" x14ac:dyDescent="0.35">
      <c r="B210" s="1">
        <f ca="1">+MAX(OFFSET($B$7,0,0,ROW($B210)-ROW($B$7),1))+1</f>
        <v>187</v>
      </c>
      <c r="D210" s="11"/>
      <c r="F210" s="7" t="s">
        <v>393</v>
      </c>
      <c r="I210" s="12">
        <f>+SUM(I156:I209)</f>
        <v>169918.36664650365</v>
      </c>
      <c r="J210" s="3"/>
      <c r="K210" s="12">
        <f>+SUM(K156:K209)</f>
        <v>5659074.413405464</v>
      </c>
      <c r="L210" s="3"/>
      <c r="M210" s="12">
        <f>+($K210*$AL$16-$I210)/$AJ$4</f>
        <v>315721.95455428591</v>
      </c>
      <c r="P210" s="12">
        <f>+SUM(P156:P209)</f>
        <v>236946.17936371599</v>
      </c>
      <c r="Q210" s="3"/>
      <c r="R210" s="12">
        <f>+SUM(R156:R209)</f>
        <v>5573092.2425490348</v>
      </c>
      <c r="S210" s="3"/>
      <c r="T210" s="12">
        <f>+($R210*$AL$16-$P210)/$AJ$4</f>
        <v>218402.83124298311</v>
      </c>
      <c r="W210" s="12">
        <f>+SUM(W156:W209)</f>
        <v>85355.572966670326</v>
      </c>
      <c r="X210" s="5"/>
      <c r="Y210" s="12">
        <f>+SUM(Y156:Y209)</f>
        <v>67027.812717212335</v>
      </c>
      <c r="Z210" s="3"/>
      <c r="AA210" s="12">
        <f>+SUM(AA156:AA209)</f>
        <v>-85982.170856427634</v>
      </c>
      <c r="AB210" s="3"/>
      <c r="AC210" s="12">
        <f>+SUM(AC156:AC209)</f>
        <v>-97319.123311302668</v>
      </c>
      <c r="AE210" s="9"/>
      <c r="AF210" s="9"/>
      <c r="AH210" s="8"/>
      <c r="AL210" s="3"/>
      <c r="AO210" s="12">
        <v>330013.40125892713</v>
      </c>
      <c r="AP210" s="6">
        <f>+M210-AO210</f>
        <v>-14291.446704641217</v>
      </c>
    </row>
    <row r="211" spans="2:42" ht="13.5" thickTop="1" x14ac:dyDescent="0.3">
      <c r="D211" s="11"/>
      <c r="F211" s="7"/>
      <c r="I211" s="134"/>
      <c r="J211" s="3"/>
      <c r="K211" s="134"/>
      <c r="L211" s="3"/>
      <c r="M211" s="134"/>
      <c r="P211" s="134"/>
      <c r="Q211" s="3"/>
      <c r="R211" s="201"/>
      <c r="S211" s="202" t="s">
        <v>671</v>
      </c>
      <c r="T211" s="201">
        <f>+T210-'Exh. BGM-3 (2)'!GJ70/1000</f>
        <v>0</v>
      </c>
      <c r="W211" s="134"/>
      <c r="X211" s="5"/>
      <c r="Y211" s="134"/>
      <c r="Z211" s="3"/>
      <c r="AA211" s="134"/>
      <c r="AB211" s="3"/>
      <c r="AC211" s="134"/>
      <c r="AE211" s="9"/>
      <c r="AF211" s="9"/>
      <c r="AH211" s="8"/>
      <c r="AL211" s="3"/>
      <c r="AO211" s="134"/>
    </row>
    <row r="212" spans="2:42" x14ac:dyDescent="0.3">
      <c r="B212" s="15" t="s">
        <v>405</v>
      </c>
      <c r="D212" s="11"/>
      <c r="F212" s="7"/>
      <c r="I212" s="134"/>
      <c r="J212" s="3"/>
      <c r="K212" s="134"/>
      <c r="L212" s="3"/>
      <c r="M212" s="134"/>
      <c r="P212" s="134"/>
      <c r="Q212" s="3"/>
      <c r="R212" s="134"/>
      <c r="S212" s="3"/>
      <c r="T212" s="134"/>
      <c r="W212" s="134"/>
      <c r="X212" s="5"/>
      <c r="Y212" s="134"/>
      <c r="Z212" s="3"/>
      <c r="AA212" s="134"/>
      <c r="AB212" s="3"/>
      <c r="AC212" s="134"/>
      <c r="AE212" s="9"/>
      <c r="AF212" s="9"/>
      <c r="AH212" s="8"/>
      <c r="AL212" s="3"/>
      <c r="AO212" s="134"/>
    </row>
    <row r="213" spans="2:42" x14ac:dyDescent="0.3">
      <c r="B213" s="1">
        <f t="shared" ref="B213:B261" ca="1" si="48">+MAX(OFFSET($B$7,0,0,ROW($B213)-ROW($B$7),1))+1</f>
        <v>188</v>
      </c>
      <c r="D213" s="11" t="s">
        <v>301</v>
      </c>
      <c r="F213" s="1" t="str">
        <f>+INDEX('Exh. BGM-3 (2)'!$10:$10,1,MATCH($D213,'Exh. BGM-3 (2)'!$4:$4,0))</f>
        <v>REVENUES AND EXPENSES</v>
      </c>
      <c r="I213" s="3">
        <v>16230.699011550085</v>
      </c>
      <c r="J213" s="3"/>
      <c r="K213" s="3">
        <v>0</v>
      </c>
      <c r="L213" s="3"/>
      <c r="M213" s="3">
        <f>+($K213*$AL$31-$I213)/$AJ$4</f>
        <v>-21573.192191917493</v>
      </c>
      <c r="P213" s="3">
        <f t="shared" ref="P213:P260" si="49">+I213+Y213</f>
        <v>16230.699011550085</v>
      </c>
      <c r="Q213" s="3"/>
      <c r="R213" s="3">
        <f t="shared" ref="R213:R260" si="50">+K213+AA213</f>
        <v>0</v>
      </c>
      <c r="S213" s="3"/>
      <c r="T213" s="3">
        <f>+($R213*$AL$31-$P213)/$AJ$4</f>
        <v>-21573.192191917493</v>
      </c>
      <c r="W213" s="3">
        <v>0</v>
      </c>
      <c r="X213" s="3"/>
      <c r="Y213" s="3">
        <f t="shared" ref="Y213:Y260" si="51">+W213*(1-$AJ$5)</f>
        <v>0</v>
      </c>
      <c r="Z213" s="3"/>
      <c r="AA213" s="3">
        <v>0</v>
      </c>
      <c r="AB213" s="5"/>
      <c r="AC213" s="3">
        <f t="shared" ref="AC213:AC260" si="52">+T213-M213</f>
        <v>0</v>
      </c>
      <c r="AE213" s="9"/>
      <c r="AF213" s="9"/>
      <c r="AH213" s="8"/>
      <c r="AL213" s="3"/>
      <c r="AO213" s="3">
        <v>-21573.192191917493</v>
      </c>
    </row>
    <row r="214" spans="2:42" x14ac:dyDescent="0.3">
      <c r="B214" s="1">
        <f t="shared" ca="1" si="48"/>
        <v>189</v>
      </c>
      <c r="D214" s="11" t="s">
        <v>302</v>
      </c>
      <c r="F214" s="1" t="str">
        <f>+INDEX('Exh. BGM-3 (2)'!$10:$10,1,MATCH($D214,'Exh. BGM-3 (2)'!$4:$4,0))</f>
        <v>PASS-THROUGH REVENUE &amp; EXPENSE</v>
      </c>
      <c r="I214" s="3">
        <v>0</v>
      </c>
      <c r="J214" s="3"/>
      <c r="K214" s="3">
        <v>0</v>
      </c>
      <c r="L214" s="3"/>
      <c r="M214" s="3">
        <f t="shared" ref="M214:M259" si="53">+($K214*$AL$31-$I214)/$AJ$4</f>
        <v>0</v>
      </c>
      <c r="P214" s="3">
        <f t="shared" si="49"/>
        <v>0</v>
      </c>
      <c r="Q214" s="3"/>
      <c r="R214" s="3">
        <f t="shared" si="50"/>
        <v>0</v>
      </c>
      <c r="S214" s="3"/>
      <c r="T214" s="3">
        <f t="shared" ref="T214:T259" si="54">+($R214*$AL$31-$P214)/$AJ$4</f>
        <v>0</v>
      </c>
      <c r="W214" s="3">
        <v>0</v>
      </c>
      <c r="X214" s="3"/>
      <c r="Y214" s="3">
        <f t="shared" si="51"/>
        <v>0</v>
      </c>
      <c r="Z214" s="3"/>
      <c r="AA214" s="3">
        <v>0</v>
      </c>
      <c r="AB214" s="5"/>
      <c r="AC214" s="3">
        <f t="shared" si="52"/>
        <v>0</v>
      </c>
      <c r="AE214" s="9"/>
      <c r="AF214" s="9"/>
      <c r="AH214" s="8"/>
      <c r="AL214" s="3"/>
      <c r="AO214" s="3">
        <v>0</v>
      </c>
    </row>
    <row r="215" spans="2:42" x14ac:dyDescent="0.3">
      <c r="B215" s="1">
        <f t="shared" ca="1" si="48"/>
        <v>190</v>
      </c>
      <c r="D215" s="11" t="s">
        <v>303</v>
      </c>
      <c r="F215" s="1" t="str">
        <f>+INDEX('Exh. BGM-3 (2)'!$10:$10,1,MATCH($D215,'Exh. BGM-3 (2)'!$4:$4,0))</f>
        <v>TEMPERATURE NORMALIZATION</v>
      </c>
      <c r="I215" s="3">
        <v>0</v>
      </c>
      <c r="J215" s="3"/>
      <c r="K215" s="3">
        <v>0</v>
      </c>
      <c r="L215" s="3"/>
      <c r="M215" s="3">
        <f t="shared" si="53"/>
        <v>0</v>
      </c>
      <c r="P215" s="3">
        <f t="shared" si="49"/>
        <v>0</v>
      </c>
      <c r="Q215" s="3"/>
      <c r="R215" s="3">
        <f t="shared" si="50"/>
        <v>0</v>
      </c>
      <c r="S215" s="3"/>
      <c r="T215" s="3">
        <f t="shared" si="54"/>
        <v>0</v>
      </c>
      <c r="W215" s="3">
        <v>0</v>
      </c>
      <c r="X215" s="3"/>
      <c r="Y215" s="3">
        <f t="shared" si="51"/>
        <v>0</v>
      </c>
      <c r="Z215" s="3"/>
      <c r="AA215" s="3">
        <v>0</v>
      </c>
      <c r="AB215" s="5"/>
      <c r="AC215" s="3">
        <f t="shared" si="52"/>
        <v>0</v>
      </c>
      <c r="AE215" s="9"/>
      <c r="AF215" s="9"/>
      <c r="AH215" s="8"/>
      <c r="AL215" s="3"/>
      <c r="AO215" s="3">
        <v>0</v>
      </c>
    </row>
    <row r="216" spans="2:42" x14ac:dyDescent="0.3">
      <c r="B216" s="1">
        <f t="shared" ca="1" si="48"/>
        <v>191</v>
      </c>
      <c r="D216" s="11" t="s">
        <v>304</v>
      </c>
      <c r="F216" s="1" t="str">
        <f>+INDEX('Exh. BGM-3 (2)'!$10:$10,1,MATCH($D216,'Exh. BGM-3 (2)'!$4:$4,0))</f>
        <v>FEDERAL INCOME TAX</v>
      </c>
      <c r="I216" s="3">
        <v>-467.40399771801174</v>
      </c>
      <c r="J216" s="3"/>
      <c r="K216" s="3">
        <v>21213.022136484979</v>
      </c>
      <c r="L216" s="3"/>
      <c r="M216" s="3">
        <f t="shared" si="53"/>
        <v>2651.330278319318</v>
      </c>
      <c r="P216" s="3">
        <f t="shared" si="49"/>
        <v>-467.40399771801174</v>
      </c>
      <c r="Q216" s="3"/>
      <c r="R216" s="3">
        <f t="shared" si="50"/>
        <v>21213.022136484979</v>
      </c>
      <c r="S216" s="3"/>
      <c r="T216" s="3">
        <f t="shared" si="54"/>
        <v>2651.330278319318</v>
      </c>
      <c r="W216" s="3">
        <v>0</v>
      </c>
      <c r="X216" s="3"/>
      <c r="Y216" s="3">
        <f t="shared" si="51"/>
        <v>0</v>
      </c>
      <c r="Z216" s="3"/>
      <c r="AA216" s="3">
        <v>0</v>
      </c>
      <c r="AB216" s="5"/>
      <c r="AC216" s="3">
        <f t="shared" si="52"/>
        <v>0</v>
      </c>
      <c r="AE216" s="9"/>
      <c r="AF216" s="9"/>
      <c r="AH216" s="8"/>
      <c r="AL216" s="3"/>
      <c r="AO216" s="3">
        <v>2718.9994679007837</v>
      </c>
    </row>
    <row r="217" spans="2:42" x14ac:dyDescent="0.3">
      <c r="B217" s="222">
        <f t="shared" ca="1" si="48"/>
        <v>192</v>
      </c>
      <c r="C217" s="222"/>
      <c r="D217" s="224" t="s">
        <v>305</v>
      </c>
      <c r="E217" s="222"/>
      <c r="F217" s="222" t="str">
        <f>+INDEX('Exh. BGM-3 (2)'!$10:$10,1,MATCH($D217,'Exh. BGM-3 (2)'!$4:$4,0))</f>
        <v>TAX BENEFIT OF INTEREST</v>
      </c>
      <c r="G217" s="225"/>
      <c r="H217" s="225"/>
      <c r="I217" s="226">
        <v>1969.4313573734869</v>
      </c>
      <c r="J217" s="226"/>
      <c r="K217" s="226">
        <v>0</v>
      </c>
      <c r="L217" s="226"/>
      <c r="M217" s="226">
        <f t="shared" si="53"/>
        <v>-2617.6889332475853</v>
      </c>
      <c r="N217" s="225"/>
      <c r="O217" s="222"/>
      <c r="P217" s="226">
        <f t="shared" si="49"/>
        <v>676.7098631215556</v>
      </c>
      <c r="Q217" s="226"/>
      <c r="R217" s="226">
        <f t="shared" si="50"/>
        <v>0</v>
      </c>
      <c r="S217" s="226"/>
      <c r="T217" s="226">
        <f t="shared" si="54"/>
        <v>-899.45552714018731</v>
      </c>
      <c r="U217" s="222"/>
      <c r="V217" s="222"/>
      <c r="W217" s="226">
        <v>0</v>
      </c>
      <c r="X217" s="226"/>
      <c r="Y217" s="226">
        <f>+SUM(AA218:AA261)*$AL$14*$AJ$5</f>
        <v>-1292.7214942519313</v>
      </c>
      <c r="Z217" s="226"/>
      <c r="AA217" s="226">
        <v>0</v>
      </c>
      <c r="AB217" s="227"/>
      <c r="AC217" s="226">
        <f t="shared" si="52"/>
        <v>1718.233406107398</v>
      </c>
      <c r="AD217" s="225"/>
      <c r="AE217" s="232" t="s">
        <v>1065</v>
      </c>
      <c r="AF217" s="9"/>
      <c r="AH217" s="8"/>
      <c r="AL217" s="3"/>
      <c r="AO217" s="3">
        <v>-2617.6889332475853</v>
      </c>
    </row>
    <row r="218" spans="2:42" x14ac:dyDescent="0.3">
      <c r="B218" s="1">
        <f t="shared" ca="1" si="48"/>
        <v>193</v>
      </c>
      <c r="D218" s="11" t="s">
        <v>306</v>
      </c>
      <c r="F218" s="1" t="str">
        <f>+INDEX('Exh. BGM-3 (2)'!$10:$10,1,MATCH($D218,'Exh. BGM-3 (2)'!$4:$4,0))</f>
        <v>BAD DEBT EXPENSE</v>
      </c>
      <c r="I218" s="3">
        <v>0</v>
      </c>
      <c r="J218" s="3"/>
      <c r="K218" s="3">
        <v>0</v>
      </c>
      <c r="L218" s="3"/>
      <c r="M218" s="3">
        <f t="shared" si="53"/>
        <v>0</v>
      </c>
      <c r="P218" s="3">
        <f t="shared" si="49"/>
        <v>0</v>
      </c>
      <c r="Q218" s="3"/>
      <c r="R218" s="3">
        <f t="shared" si="50"/>
        <v>0</v>
      </c>
      <c r="S218" s="3"/>
      <c r="T218" s="3">
        <f t="shared" si="54"/>
        <v>0</v>
      </c>
      <c r="W218" s="3">
        <v>0</v>
      </c>
      <c r="X218" s="3"/>
      <c r="Y218" s="3">
        <f t="shared" si="51"/>
        <v>0</v>
      </c>
      <c r="Z218" s="3"/>
      <c r="AA218" s="3">
        <v>0</v>
      </c>
      <c r="AB218" s="5"/>
      <c r="AC218" s="3">
        <f t="shared" si="52"/>
        <v>0</v>
      </c>
      <c r="AE218" s="9"/>
      <c r="AF218" s="9"/>
      <c r="AH218" s="8"/>
      <c r="AL218" s="3"/>
      <c r="AO218" s="3">
        <v>0</v>
      </c>
    </row>
    <row r="219" spans="2:42" x14ac:dyDescent="0.3">
      <c r="B219" s="1">
        <f t="shared" ca="1" si="48"/>
        <v>194</v>
      </c>
      <c r="D219" s="11" t="s">
        <v>307</v>
      </c>
      <c r="F219" s="1" t="str">
        <f>+INDEX('Exh. BGM-3 (2)'!$10:$10,1,MATCH($D219,'Exh. BGM-3 (2)'!$4:$4,0))</f>
        <v>RATE CASE EXPENSE</v>
      </c>
      <c r="I219" s="3">
        <v>0</v>
      </c>
      <c r="J219" s="3"/>
      <c r="K219" s="3">
        <v>0</v>
      </c>
      <c r="L219" s="3"/>
      <c r="M219" s="3">
        <f t="shared" si="53"/>
        <v>0</v>
      </c>
      <c r="P219" s="3">
        <f t="shared" si="49"/>
        <v>0</v>
      </c>
      <c r="Q219" s="3"/>
      <c r="R219" s="3">
        <f t="shared" si="50"/>
        <v>0</v>
      </c>
      <c r="S219" s="3"/>
      <c r="T219" s="3">
        <f t="shared" si="54"/>
        <v>0</v>
      </c>
      <c r="W219" s="3">
        <v>0</v>
      </c>
      <c r="X219" s="3"/>
      <c r="Y219" s="3">
        <f t="shared" si="51"/>
        <v>0</v>
      </c>
      <c r="Z219" s="3"/>
      <c r="AA219" s="3">
        <v>0</v>
      </c>
      <c r="AB219" s="5"/>
      <c r="AC219" s="3">
        <f t="shared" si="52"/>
        <v>0</v>
      </c>
      <c r="AE219" s="9"/>
      <c r="AF219" s="9"/>
      <c r="AH219" s="8"/>
      <c r="AL219" s="3"/>
      <c r="AO219" s="3">
        <v>0</v>
      </c>
    </row>
    <row r="220" spans="2:42" x14ac:dyDescent="0.3">
      <c r="B220" s="1">
        <f t="shared" ca="1" si="48"/>
        <v>195</v>
      </c>
      <c r="D220" s="11" t="s">
        <v>308</v>
      </c>
      <c r="F220" s="1" t="str">
        <f>+INDEX('Exh. BGM-3 (2)'!$10:$10,1,MATCH($D220,'Exh. BGM-3 (2)'!$4:$4,0))</f>
        <v xml:space="preserve">EXCISE TAX </v>
      </c>
      <c r="I220" s="3">
        <v>0</v>
      </c>
      <c r="J220" s="3"/>
      <c r="K220" s="3">
        <v>0</v>
      </c>
      <c r="L220" s="3"/>
      <c r="M220" s="3">
        <f t="shared" si="53"/>
        <v>0</v>
      </c>
      <c r="P220" s="3">
        <f t="shared" si="49"/>
        <v>0</v>
      </c>
      <c r="Q220" s="3"/>
      <c r="R220" s="3">
        <f t="shared" si="50"/>
        <v>0</v>
      </c>
      <c r="S220" s="3"/>
      <c r="T220" s="3">
        <f t="shared" si="54"/>
        <v>0</v>
      </c>
      <c r="W220" s="3">
        <v>0</v>
      </c>
      <c r="X220" s="3"/>
      <c r="Y220" s="3">
        <f t="shared" si="51"/>
        <v>0</v>
      </c>
      <c r="Z220" s="3"/>
      <c r="AA220" s="3">
        <v>0</v>
      </c>
      <c r="AB220" s="5"/>
      <c r="AC220" s="3">
        <f t="shared" si="52"/>
        <v>0</v>
      </c>
      <c r="AE220" s="9"/>
      <c r="AF220" s="9"/>
      <c r="AH220" s="8"/>
      <c r="AL220" s="3"/>
      <c r="AO220" s="3">
        <v>0</v>
      </c>
    </row>
    <row r="221" spans="2:42" x14ac:dyDescent="0.3">
      <c r="B221" s="1">
        <f t="shared" ca="1" si="48"/>
        <v>196</v>
      </c>
      <c r="D221" s="11" t="s">
        <v>309</v>
      </c>
      <c r="F221" s="1" t="str">
        <f>+INDEX('Exh. BGM-3 (2)'!$10:$10,1,MATCH($D221,'Exh. BGM-3 (2)'!$4:$4,0))</f>
        <v>EMPLOYEE INSURANCE</v>
      </c>
      <c r="I221" s="3">
        <v>0</v>
      </c>
      <c r="J221" s="3"/>
      <c r="K221" s="3">
        <v>0</v>
      </c>
      <c r="L221" s="3"/>
      <c r="M221" s="3">
        <f t="shared" si="53"/>
        <v>0</v>
      </c>
      <c r="P221" s="3">
        <f t="shared" si="49"/>
        <v>0</v>
      </c>
      <c r="Q221" s="3"/>
      <c r="R221" s="3">
        <f t="shared" si="50"/>
        <v>0</v>
      </c>
      <c r="S221" s="3"/>
      <c r="T221" s="3">
        <f t="shared" si="54"/>
        <v>0</v>
      </c>
      <c r="W221" s="3">
        <v>0</v>
      </c>
      <c r="X221" s="3"/>
      <c r="Y221" s="3">
        <f t="shared" si="51"/>
        <v>0</v>
      </c>
      <c r="Z221" s="3"/>
      <c r="AA221" s="3">
        <v>0</v>
      </c>
      <c r="AB221" s="5"/>
      <c r="AC221" s="3">
        <f t="shared" si="52"/>
        <v>0</v>
      </c>
      <c r="AE221" s="9"/>
      <c r="AF221" s="9"/>
      <c r="AH221" s="8"/>
      <c r="AL221" s="3"/>
      <c r="AO221" s="3">
        <v>0</v>
      </c>
    </row>
    <row r="222" spans="2:42" x14ac:dyDescent="0.3">
      <c r="B222" s="1">
        <f t="shared" ca="1" si="48"/>
        <v>197</v>
      </c>
      <c r="D222" s="11" t="s">
        <v>310</v>
      </c>
      <c r="F222" s="1" t="str">
        <f>+INDEX('Exh. BGM-3 (2)'!$10:$10,1,MATCH($D222,'Exh. BGM-3 (2)'!$4:$4,0))</f>
        <v>INJURIES &amp; DAMAGES</v>
      </c>
      <c r="I222" s="3">
        <v>0</v>
      </c>
      <c r="J222" s="3"/>
      <c r="K222" s="3">
        <v>0</v>
      </c>
      <c r="L222" s="3"/>
      <c r="M222" s="3">
        <f t="shared" si="53"/>
        <v>0</v>
      </c>
      <c r="P222" s="3">
        <f t="shared" si="49"/>
        <v>0</v>
      </c>
      <c r="Q222" s="3"/>
      <c r="R222" s="3">
        <f t="shared" si="50"/>
        <v>0</v>
      </c>
      <c r="S222" s="3"/>
      <c r="T222" s="3">
        <f t="shared" si="54"/>
        <v>0</v>
      </c>
      <c r="W222" s="3">
        <v>0</v>
      </c>
      <c r="X222" s="3"/>
      <c r="Y222" s="3">
        <f t="shared" si="51"/>
        <v>0</v>
      </c>
      <c r="Z222" s="3"/>
      <c r="AA222" s="3">
        <v>0</v>
      </c>
      <c r="AB222" s="5"/>
      <c r="AC222" s="3">
        <f t="shared" si="52"/>
        <v>0</v>
      </c>
      <c r="AE222" s="9"/>
      <c r="AF222" s="9"/>
      <c r="AH222" s="8"/>
      <c r="AL222" s="3"/>
      <c r="AO222" s="3">
        <v>0</v>
      </c>
    </row>
    <row r="223" spans="2:42" x14ac:dyDescent="0.3">
      <c r="B223" s="1">
        <f t="shared" ca="1" si="48"/>
        <v>198</v>
      </c>
      <c r="D223" s="11" t="s">
        <v>311</v>
      </c>
      <c r="F223" s="1" t="str">
        <f>+INDEX('Exh. BGM-3 (2)'!$10:$10,1,MATCH($D223,'Exh. BGM-3 (2)'!$4:$4,0))</f>
        <v>INCENTIVE PAY</v>
      </c>
      <c r="I223" s="3">
        <v>-1312.687165039951</v>
      </c>
      <c r="J223" s="3"/>
      <c r="K223" s="3">
        <v>0</v>
      </c>
      <c r="L223" s="3"/>
      <c r="M223" s="3">
        <f t="shared" si="53"/>
        <v>1744.7709725328482</v>
      </c>
      <c r="P223" s="3">
        <f t="shared" si="49"/>
        <v>-1312.687165039951</v>
      </c>
      <c r="Q223" s="3"/>
      <c r="R223" s="3">
        <f t="shared" si="50"/>
        <v>0</v>
      </c>
      <c r="S223" s="3"/>
      <c r="T223" s="3">
        <f t="shared" si="54"/>
        <v>1744.7709725328482</v>
      </c>
      <c r="W223" s="3">
        <v>0</v>
      </c>
      <c r="X223" s="3"/>
      <c r="Y223" s="3">
        <f t="shared" si="51"/>
        <v>0</v>
      </c>
      <c r="Z223" s="3"/>
      <c r="AA223" s="3">
        <v>0</v>
      </c>
      <c r="AB223" s="5"/>
      <c r="AC223" s="3">
        <f t="shared" si="52"/>
        <v>0</v>
      </c>
      <c r="AE223" s="9"/>
      <c r="AF223" s="9"/>
      <c r="AH223" s="8"/>
      <c r="AL223" s="3"/>
      <c r="AO223" s="3">
        <v>1744.7709725328482</v>
      </c>
    </row>
    <row r="224" spans="2:42" x14ac:dyDescent="0.3">
      <c r="B224" s="1">
        <f t="shared" ca="1" si="48"/>
        <v>199</v>
      </c>
      <c r="D224" s="11" t="s">
        <v>312</v>
      </c>
      <c r="F224" s="1" t="str">
        <f>+INDEX('Exh. BGM-3 (2)'!$10:$10,1,MATCH($D224,'Exh. BGM-3 (2)'!$4:$4,0))</f>
        <v>INVESTMENT PLAN</v>
      </c>
      <c r="I224" s="3">
        <v>0</v>
      </c>
      <c r="J224" s="3"/>
      <c r="K224" s="3">
        <v>0</v>
      </c>
      <c r="L224" s="3"/>
      <c r="M224" s="3">
        <f t="shared" si="53"/>
        <v>0</v>
      </c>
      <c r="P224" s="3">
        <f t="shared" si="49"/>
        <v>0</v>
      </c>
      <c r="Q224" s="3"/>
      <c r="R224" s="3">
        <f t="shared" si="50"/>
        <v>0</v>
      </c>
      <c r="S224" s="3"/>
      <c r="T224" s="3">
        <f t="shared" si="54"/>
        <v>0</v>
      </c>
      <c r="W224" s="3">
        <v>0</v>
      </c>
      <c r="X224" s="3"/>
      <c r="Y224" s="3">
        <f t="shared" si="51"/>
        <v>0</v>
      </c>
      <c r="Z224" s="3"/>
      <c r="AA224" s="3">
        <v>0</v>
      </c>
      <c r="AB224" s="5"/>
      <c r="AC224" s="3">
        <f t="shared" si="52"/>
        <v>0</v>
      </c>
      <c r="AE224" s="9"/>
      <c r="AF224" s="9"/>
      <c r="AH224" s="8"/>
      <c r="AL224" s="3"/>
      <c r="AO224" s="3">
        <v>0</v>
      </c>
    </row>
    <row r="225" spans="2:41" x14ac:dyDescent="0.3">
      <c r="B225" s="1">
        <f t="shared" ca="1" si="48"/>
        <v>200</v>
      </c>
      <c r="D225" s="11" t="s">
        <v>313</v>
      </c>
      <c r="F225" s="1" t="str">
        <f>+INDEX('Exh. BGM-3 (2)'!$10:$10,1,MATCH($D225,'Exh. BGM-3 (2)'!$4:$4,0))</f>
        <v>INTEREST ON  CUSTOMER DEPOSITS</v>
      </c>
      <c r="I225" s="3">
        <v>0</v>
      </c>
      <c r="J225" s="3"/>
      <c r="K225" s="3">
        <v>0</v>
      </c>
      <c r="L225" s="3"/>
      <c r="M225" s="3">
        <f t="shared" si="53"/>
        <v>0</v>
      </c>
      <c r="P225" s="3">
        <f t="shared" si="49"/>
        <v>0</v>
      </c>
      <c r="Q225" s="3"/>
      <c r="R225" s="3">
        <f t="shared" si="50"/>
        <v>0</v>
      </c>
      <c r="S225" s="3"/>
      <c r="T225" s="3">
        <f t="shared" si="54"/>
        <v>0</v>
      </c>
      <c r="W225" s="3">
        <v>0</v>
      </c>
      <c r="X225" s="3"/>
      <c r="Y225" s="3">
        <f t="shared" si="51"/>
        <v>0</v>
      </c>
      <c r="Z225" s="3"/>
      <c r="AA225" s="3">
        <v>0</v>
      </c>
      <c r="AB225" s="5"/>
      <c r="AC225" s="3">
        <f t="shared" si="52"/>
        <v>0</v>
      </c>
      <c r="AE225" s="9"/>
      <c r="AF225" s="9"/>
      <c r="AH225" s="8"/>
      <c r="AL225" s="3"/>
      <c r="AO225" s="3">
        <v>0</v>
      </c>
    </row>
    <row r="226" spans="2:41" x14ac:dyDescent="0.3">
      <c r="B226" s="1">
        <f t="shared" ca="1" si="48"/>
        <v>201</v>
      </c>
      <c r="D226" s="11" t="s">
        <v>314</v>
      </c>
      <c r="F226" s="1" t="str">
        <f>+INDEX('Exh. BGM-3 (2)'!$10:$10,1,MATCH($D226,'Exh. BGM-3 (2)'!$4:$4,0))</f>
        <v>PROPERTY AND LIAB INSURANCE</v>
      </c>
      <c r="I226" s="3">
        <v>0</v>
      </c>
      <c r="J226" s="3"/>
      <c r="K226" s="3">
        <v>0</v>
      </c>
      <c r="L226" s="3"/>
      <c r="M226" s="3">
        <f t="shared" si="53"/>
        <v>0</v>
      </c>
      <c r="P226" s="3">
        <f t="shared" si="49"/>
        <v>0</v>
      </c>
      <c r="Q226" s="3"/>
      <c r="R226" s="3">
        <f t="shared" si="50"/>
        <v>0</v>
      </c>
      <c r="S226" s="3"/>
      <c r="T226" s="3">
        <f t="shared" si="54"/>
        <v>0</v>
      </c>
      <c r="W226" s="3">
        <v>0</v>
      </c>
      <c r="X226" s="3"/>
      <c r="Y226" s="3">
        <f t="shared" si="51"/>
        <v>0</v>
      </c>
      <c r="Z226" s="3"/>
      <c r="AA226" s="3">
        <v>0</v>
      </c>
      <c r="AB226" s="5"/>
      <c r="AC226" s="3">
        <f t="shared" si="52"/>
        <v>0</v>
      </c>
      <c r="AE226" s="9"/>
      <c r="AF226" s="9"/>
      <c r="AH226" s="8"/>
      <c r="AL226" s="3"/>
      <c r="AO226" s="3">
        <v>0</v>
      </c>
    </row>
    <row r="227" spans="2:41" x14ac:dyDescent="0.3">
      <c r="B227" s="1">
        <f t="shared" ca="1" si="48"/>
        <v>202</v>
      </c>
      <c r="D227" s="11" t="s">
        <v>315</v>
      </c>
      <c r="F227" s="1" t="str">
        <f>+INDEX('Exh. BGM-3 (2)'!$10:$10,1,MATCH($D227,'Exh. BGM-3 (2)'!$4:$4,0))</f>
        <v>DEFERRED GAINS AND LOSSES ON PROPERTY SALES</v>
      </c>
      <c r="I227" s="3">
        <v>0</v>
      </c>
      <c r="J227" s="3"/>
      <c r="K227" s="3">
        <v>0</v>
      </c>
      <c r="L227" s="3"/>
      <c r="M227" s="3">
        <f t="shared" si="53"/>
        <v>0</v>
      </c>
      <c r="P227" s="3">
        <f t="shared" si="49"/>
        <v>0</v>
      </c>
      <c r="Q227" s="3"/>
      <c r="R227" s="3">
        <f t="shared" si="50"/>
        <v>0</v>
      </c>
      <c r="S227" s="3"/>
      <c r="T227" s="3">
        <f t="shared" si="54"/>
        <v>0</v>
      </c>
      <c r="W227" s="3">
        <v>0</v>
      </c>
      <c r="X227" s="3"/>
      <c r="Y227" s="3">
        <f t="shared" si="51"/>
        <v>0</v>
      </c>
      <c r="Z227" s="3"/>
      <c r="AA227" s="3">
        <v>0</v>
      </c>
      <c r="AB227" s="5"/>
      <c r="AC227" s="3">
        <f t="shared" si="52"/>
        <v>0</v>
      </c>
      <c r="AE227" s="9"/>
      <c r="AF227" s="9"/>
      <c r="AH227" s="8"/>
      <c r="AL227" s="3"/>
      <c r="AO227" s="3">
        <v>0</v>
      </c>
    </row>
    <row r="228" spans="2:41" x14ac:dyDescent="0.3">
      <c r="B228" s="1">
        <f t="shared" ca="1" si="48"/>
        <v>203</v>
      </c>
      <c r="D228" s="11" t="s">
        <v>316</v>
      </c>
      <c r="F228" s="1" t="str">
        <f>+INDEX('Exh. BGM-3 (2)'!$10:$10,1,MATCH($D228,'Exh. BGM-3 (2)'!$4:$4,0))</f>
        <v>D&amp;O INSURANCE</v>
      </c>
      <c r="I228" s="3">
        <v>0</v>
      </c>
      <c r="J228" s="3"/>
      <c r="K228" s="3">
        <v>0</v>
      </c>
      <c r="L228" s="3"/>
      <c r="M228" s="3">
        <f t="shared" si="53"/>
        <v>0</v>
      </c>
      <c r="P228" s="3">
        <f t="shared" si="49"/>
        <v>0</v>
      </c>
      <c r="Q228" s="3"/>
      <c r="R228" s="3">
        <f t="shared" si="50"/>
        <v>0</v>
      </c>
      <c r="S228" s="3"/>
      <c r="T228" s="3">
        <f t="shared" si="54"/>
        <v>0</v>
      </c>
      <c r="W228" s="3">
        <v>0</v>
      </c>
      <c r="X228" s="3"/>
      <c r="Y228" s="3">
        <f t="shared" si="51"/>
        <v>0</v>
      </c>
      <c r="Z228" s="3"/>
      <c r="AA228" s="3">
        <v>0</v>
      </c>
      <c r="AB228" s="5"/>
      <c r="AC228" s="3">
        <f t="shared" si="52"/>
        <v>0</v>
      </c>
      <c r="AE228" s="9"/>
      <c r="AF228" s="9"/>
      <c r="AH228" s="8"/>
      <c r="AL228" s="3"/>
      <c r="AO228" s="3">
        <v>0</v>
      </c>
    </row>
    <row r="229" spans="2:41" x14ac:dyDescent="0.3">
      <c r="B229" s="1">
        <f t="shared" ca="1" si="48"/>
        <v>204</v>
      </c>
      <c r="D229" s="11" t="s">
        <v>317</v>
      </c>
      <c r="F229" s="1" t="str">
        <f>+INDEX('Exh. BGM-3 (2)'!$10:$10,1,MATCH($D229,'Exh. BGM-3 (2)'!$4:$4,0))</f>
        <v>PENSION PLAN</v>
      </c>
      <c r="I229" s="3">
        <v>0</v>
      </c>
      <c r="J229" s="3"/>
      <c r="K229" s="3">
        <v>0</v>
      </c>
      <c r="L229" s="3"/>
      <c r="M229" s="3">
        <f t="shared" si="53"/>
        <v>0</v>
      </c>
      <c r="P229" s="3">
        <f t="shared" si="49"/>
        <v>0</v>
      </c>
      <c r="Q229" s="3"/>
      <c r="R229" s="3">
        <f t="shared" si="50"/>
        <v>0</v>
      </c>
      <c r="S229" s="3"/>
      <c r="T229" s="3">
        <f t="shared" si="54"/>
        <v>0</v>
      </c>
      <c r="W229" s="3">
        <v>0</v>
      </c>
      <c r="X229" s="3"/>
      <c r="Y229" s="3">
        <f t="shared" si="51"/>
        <v>0</v>
      </c>
      <c r="Z229" s="3"/>
      <c r="AA229" s="3">
        <v>0</v>
      </c>
      <c r="AB229" s="5"/>
      <c r="AC229" s="3">
        <f t="shared" si="52"/>
        <v>0</v>
      </c>
      <c r="AE229" s="9"/>
      <c r="AF229" s="9"/>
      <c r="AH229" s="8"/>
      <c r="AL229" s="3"/>
      <c r="AO229" s="3">
        <v>0</v>
      </c>
    </row>
    <row r="230" spans="2:41" x14ac:dyDescent="0.3">
      <c r="B230" s="1">
        <f t="shared" ca="1" si="48"/>
        <v>205</v>
      </c>
      <c r="D230" s="11" t="s">
        <v>318</v>
      </c>
      <c r="F230" s="1" t="str">
        <f>+INDEX('Exh. BGM-3 (2)'!$10:$10,1,MATCH($D230,'Exh. BGM-3 (2)'!$4:$4,0))</f>
        <v>WAGE INCREASE</v>
      </c>
      <c r="I230" s="3">
        <v>0</v>
      </c>
      <c r="J230" s="3"/>
      <c r="K230" s="3">
        <v>0</v>
      </c>
      <c r="L230" s="3"/>
      <c r="M230" s="3">
        <f t="shared" si="53"/>
        <v>0</v>
      </c>
      <c r="P230" s="3">
        <f t="shared" si="49"/>
        <v>0</v>
      </c>
      <c r="Q230" s="3"/>
      <c r="R230" s="3">
        <f t="shared" si="50"/>
        <v>0</v>
      </c>
      <c r="S230" s="3"/>
      <c r="T230" s="3">
        <f t="shared" si="54"/>
        <v>0</v>
      </c>
      <c r="W230" s="3">
        <v>0</v>
      </c>
      <c r="X230" s="3"/>
      <c r="Y230" s="3">
        <f t="shared" si="51"/>
        <v>0</v>
      </c>
      <c r="Z230" s="3"/>
      <c r="AA230" s="3">
        <v>0</v>
      </c>
      <c r="AB230" s="5"/>
      <c r="AC230" s="3">
        <f t="shared" si="52"/>
        <v>0</v>
      </c>
      <c r="AE230" s="9"/>
      <c r="AF230" s="9"/>
      <c r="AH230" s="8"/>
      <c r="AL230" s="3"/>
      <c r="AO230" s="3">
        <v>0</v>
      </c>
    </row>
    <row r="231" spans="2:41" x14ac:dyDescent="0.3">
      <c r="B231" s="1">
        <f t="shared" ca="1" si="48"/>
        <v>206</v>
      </c>
      <c r="D231" s="11" t="s">
        <v>319</v>
      </c>
      <c r="F231" s="1" t="str">
        <f>+INDEX('Exh. BGM-3 (2)'!$10:$10,1,MATCH($D231,'Exh. BGM-3 (2)'!$4:$4,0))</f>
        <v>AMA TO EOP RATE BASE</v>
      </c>
      <c r="I231" s="3">
        <v>0</v>
      </c>
      <c r="J231" s="3"/>
      <c r="K231" s="3">
        <v>0</v>
      </c>
      <c r="L231" s="3"/>
      <c r="M231" s="3">
        <f t="shared" si="53"/>
        <v>0</v>
      </c>
      <c r="P231" s="3">
        <f t="shared" si="49"/>
        <v>0</v>
      </c>
      <c r="Q231" s="3"/>
      <c r="R231" s="3">
        <f t="shared" si="50"/>
        <v>0</v>
      </c>
      <c r="S231" s="3"/>
      <c r="T231" s="3">
        <f t="shared" si="54"/>
        <v>0</v>
      </c>
      <c r="W231" s="3">
        <v>0</v>
      </c>
      <c r="X231" s="3"/>
      <c r="Y231" s="3">
        <f t="shared" si="51"/>
        <v>0</v>
      </c>
      <c r="Z231" s="3"/>
      <c r="AA231" s="3">
        <v>0</v>
      </c>
      <c r="AB231" s="5"/>
      <c r="AC231" s="3">
        <f t="shared" si="52"/>
        <v>0</v>
      </c>
      <c r="AE231" s="9"/>
      <c r="AF231" s="9"/>
      <c r="AH231" s="8"/>
      <c r="AL231" s="3"/>
      <c r="AO231" s="3">
        <v>0</v>
      </c>
    </row>
    <row r="232" spans="2:41" x14ac:dyDescent="0.3">
      <c r="B232" s="1">
        <f t="shared" ca="1" si="48"/>
        <v>207</v>
      </c>
      <c r="D232" s="11" t="s">
        <v>320</v>
      </c>
      <c r="F232" s="1" t="str">
        <f>+INDEX('Exh. BGM-3 (2)'!$10:$10,1,MATCH($D232,'Exh. BGM-3 (2)'!$4:$4,0))</f>
        <v>AMA TO EOP DEPRECIATION</v>
      </c>
      <c r="I232" s="3">
        <v>0</v>
      </c>
      <c r="J232" s="3"/>
      <c r="K232" s="3">
        <v>0</v>
      </c>
      <c r="L232" s="3"/>
      <c r="M232" s="3">
        <f t="shared" si="53"/>
        <v>0</v>
      </c>
      <c r="P232" s="3">
        <f t="shared" si="49"/>
        <v>0</v>
      </c>
      <c r="Q232" s="3"/>
      <c r="R232" s="3">
        <f t="shared" si="50"/>
        <v>0</v>
      </c>
      <c r="S232" s="3"/>
      <c r="T232" s="3">
        <f t="shared" si="54"/>
        <v>0</v>
      </c>
      <c r="W232" s="3">
        <v>0</v>
      </c>
      <c r="X232" s="3"/>
      <c r="Y232" s="3">
        <f t="shared" si="51"/>
        <v>0</v>
      </c>
      <c r="Z232" s="3"/>
      <c r="AA232" s="3">
        <v>0</v>
      </c>
      <c r="AB232" s="5"/>
      <c r="AC232" s="3">
        <f t="shared" si="52"/>
        <v>0</v>
      </c>
      <c r="AE232" s="9"/>
      <c r="AF232" s="9"/>
      <c r="AH232" s="8"/>
      <c r="AL232" s="3"/>
      <c r="AO232" s="3">
        <v>0</v>
      </c>
    </row>
    <row r="233" spans="2:41" x14ac:dyDescent="0.3">
      <c r="B233" s="1">
        <f t="shared" ca="1" si="48"/>
        <v>208</v>
      </c>
      <c r="D233" s="11" t="s">
        <v>321</v>
      </c>
      <c r="F233" s="1" t="str">
        <f>+INDEX('Exh. BGM-3 (2)'!$10:$10,1,MATCH($D233,'Exh. BGM-3 (2)'!$4:$4,0))</f>
        <v>WUTC FILING FEE</v>
      </c>
      <c r="I233" s="3">
        <v>0</v>
      </c>
      <c r="J233" s="3"/>
      <c r="K233" s="3">
        <v>0</v>
      </c>
      <c r="L233" s="3"/>
      <c r="M233" s="3">
        <f t="shared" si="53"/>
        <v>0</v>
      </c>
      <c r="P233" s="3">
        <f t="shared" si="49"/>
        <v>0</v>
      </c>
      <c r="Q233" s="3"/>
      <c r="R233" s="3">
        <f t="shared" si="50"/>
        <v>0</v>
      </c>
      <c r="S233" s="3"/>
      <c r="T233" s="3">
        <f t="shared" si="54"/>
        <v>0</v>
      </c>
      <c r="W233" s="3">
        <v>0</v>
      </c>
      <c r="X233" s="3"/>
      <c r="Y233" s="3">
        <f t="shared" si="51"/>
        <v>0</v>
      </c>
      <c r="Z233" s="3"/>
      <c r="AA233" s="3">
        <v>0</v>
      </c>
      <c r="AB233" s="5"/>
      <c r="AC233" s="3">
        <f t="shared" si="52"/>
        <v>0</v>
      </c>
      <c r="AE233" s="9"/>
      <c r="AF233" s="9"/>
      <c r="AH233" s="8"/>
      <c r="AL233" s="3"/>
      <c r="AO233" s="3">
        <v>0</v>
      </c>
    </row>
    <row r="234" spans="2:41" x14ac:dyDescent="0.3">
      <c r="B234" s="222">
        <f t="shared" ca="1" si="48"/>
        <v>209</v>
      </c>
      <c r="C234" s="222"/>
      <c r="D234" s="224" t="s">
        <v>322</v>
      </c>
      <c r="E234" s="222"/>
      <c r="F234" s="222" t="str">
        <f>+INDEX('Exh. BGM-3 (2)'!$10:$10,1,MATCH($D234,'Exh. BGM-3 (2)'!$4:$4,0))</f>
        <v>PRO FORMA O&amp;M</v>
      </c>
      <c r="G234" s="225"/>
      <c r="H234" s="225"/>
      <c r="I234" s="226">
        <v>-10074.160952368702</v>
      </c>
      <c r="J234" s="226"/>
      <c r="K234" s="226">
        <v>0</v>
      </c>
      <c r="L234" s="226"/>
      <c r="M234" s="226">
        <f t="shared" si="53"/>
        <v>13390.16947101927</v>
      </c>
      <c r="N234" s="225"/>
      <c r="O234" s="222"/>
      <c r="P234" s="226">
        <f t="shared" si="49"/>
        <v>-8744.0294964648801</v>
      </c>
      <c r="Q234" s="226"/>
      <c r="R234" s="226">
        <f t="shared" si="50"/>
        <v>0</v>
      </c>
      <c r="S234" s="226"/>
      <c r="T234" s="226">
        <f t="shared" si="54"/>
        <v>11622.212248825195</v>
      </c>
      <c r="U234" s="222"/>
      <c r="V234" s="222"/>
      <c r="W234" s="226">
        <f>-'[22]BGM-7'!$X$83</f>
        <v>1683.7107036757245</v>
      </c>
      <c r="X234" s="226"/>
      <c r="Y234" s="226">
        <f t="shared" si="51"/>
        <v>1330.1314559038224</v>
      </c>
      <c r="Z234" s="226"/>
      <c r="AA234" s="226">
        <v>0</v>
      </c>
      <c r="AB234" s="227"/>
      <c r="AC234" s="226">
        <f t="shared" si="52"/>
        <v>-1767.9572221940743</v>
      </c>
      <c r="AD234" s="225"/>
      <c r="AE234" s="232" t="s">
        <v>1026</v>
      </c>
      <c r="AF234" s="9"/>
      <c r="AH234" s="8"/>
      <c r="AL234" s="3"/>
      <c r="AO234" s="3">
        <v>13390.16947101927</v>
      </c>
    </row>
    <row r="235" spans="2:41" x14ac:dyDescent="0.3">
      <c r="B235" s="1">
        <f t="shared" ca="1" si="48"/>
        <v>210</v>
      </c>
      <c r="D235" s="11" t="s">
        <v>323</v>
      </c>
      <c r="F235" s="1" t="str">
        <f>+INDEX('Exh. BGM-3 (2)'!$10:$10,1,MATCH($D235,'Exh. BGM-3 (2)'!$4:$4,0))</f>
        <v>AMR REGULATORY ASSET</v>
      </c>
      <c r="I235" s="3">
        <v>-2700.5566130424486</v>
      </c>
      <c r="J235" s="3"/>
      <c r="K235" s="3">
        <v>-21401.979720287658</v>
      </c>
      <c r="L235" s="3"/>
      <c r="M235" s="3">
        <f t="shared" si="53"/>
        <v>1541.3123767127713</v>
      </c>
      <c r="P235" s="3">
        <f t="shared" si="49"/>
        <v>-2700.5566130424486</v>
      </c>
      <c r="Q235" s="3"/>
      <c r="R235" s="3">
        <f t="shared" si="50"/>
        <v>-21401.979720287658</v>
      </c>
      <c r="S235" s="3"/>
      <c r="T235" s="3">
        <f t="shared" si="54"/>
        <v>1541.3123767127713</v>
      </c>
      <c r="W235" s="3">
        <v>0</v>
      </c>
      <c r="X235" s="3"/>
      <c r="Y235" s="3">
        <f t="shared" si="51"/>
        <v>0</v>
      </c>
      <c r="Z235" s="3"/>
      <c r="AA235" s="3">
        <v>0</v>
      </c>
      <c r="AB235" s="5"/>
      <c r="AC235" s="3">
        <f t="shared" si="52"/>
        <v>0</v>
      </c>
      <c r="AE235" s="9"/>
      <c r="AF235" s="9"/>
      <c r="AH235" s="8"/>
      <c r="AL235" s="3"/>
      <c r="AO235" s="3">
        <v>1473.0404155658525</v>
      </c>
    </row>
    <row r="236" spans="2:41" x14ac:dyDescent="0.3">
      <c r="B236" s="1">
        <f t="shared" ca="1" si="48"/>
        <v>211</v>
      </c>
      <c r="D236" s="11" t="s">
        <v>324</v>
      </c>
      <c r="F236" s="1" t="str">
        <f>+INDEX('Exh. BGM-3 (2)'!$10:$10,1,MATCH($D236,'Exh. BGM-3 (2)'!$4:$4,0))</f>
        <v>AMI PLANT AND DEFERRAL</v>
      </c>
      <c r="I236" s="3">
        <v>0</v>
      </c>
      <c r="J236" s="3"/>
      <c r="K236" s="3">
        <v>0</v>
      </c>
      <c r="L236" s="3"/>
      <c r="M236" s="3">
        <f t="shared" si="53"/>
        <v>0</v>
      </c>
      <c r="P236" s="3">
        <f t="shared" si="49"/>
        <v>0</v>
      </c>
      <c r="Q236" s="3"/>
      <c r="R236" s="3">
        <f t="shared" si="50"/>
        <v>0</v>
      </c>
      <c r="S236" s="3"/>
      <c r="T236" s="3">
        <f t="shared" si="54"/>
        <v>0</v>
      </c>
      <c r="W236" s="3">
        <v>0</v>
      </c>
      <c r="X236" s="3"/>
      <c r="Y236" s="3">
        <f t="shared" si="51"/>
        <v>0</v>
      </c>
      <c r="Z236" s="3"/>
      <c r="AA236" s="3">
        <v>0</v>
      </c>
      <c r="AB236" s="5"/>
      <c r="AC236" s="3">
        <f t="shared" si="52"/>
        <v>0</v>
      </c>
      <c r="AE236" s="9"/>
      <c r="AF236" s="9"/>
      <c r="AH236" s="8"/>
      <c r="AL236" s="3"/>
      <c r="AO236" s="3">
        <v>0</v>
      </c>
    </row>
    <row r="237" spans="2:41" x14ac:dyDescent="0.3">
      <c r="B237" s="1">
        <f t="shared" ca="1" si="48"/>
        <v>212</v>
      </c>
      <c r="D237" s="11" t="s">
        <v>325</v>
      </c>
      <c r="F237" s="1" t="str">
        <f>+INDEX('Exh. BGM-3 (2)'!$10:$10,1,MATCH($D237,'Exh. BGM-3 (2)'!$4:$4,0))</f>
        <v>GTZ DEFERRAL</v>
      </c>
      <c r="I237" s="3">
        <v>0</v>
      </c>
      <c r="J237" s="3"/>
      <c r="K237" s="3">
        <v>-5294.3161638720921</v>
      </c>
      <c r="L237" s="3"/>
      <c r="M237" s="3">
        <f t="shared" si="53"/>
        <v>-506.66342856602358</v>
      </c>
      <c r="P237" s="3">
        <f t="shared" si="49"/>
        <v>0</v>
      </c>
      <c r="Q237" s="3"/>
      <c r="R237" s="3">
        <f t="shared" si="50"/>
        <v>-5294.3161638720921</v>
      </c>
      <c r="S237" s="3"/>
      <c r="T237" s="3">
        <f t="shared" si="54"/>
        <v>-506.66342856602358</v>
      </c>
      <c r="W237" s="3">
        <v>0</v>
      </c>
      <c r="X237" s="3"/>
      <c r="Y237" s="3">
        <f t="shared" si="51"/>
        <v>0</v>
      </c>
      <c r="Z237" s="3"/>
      <c r="AA237" s="3">
        <v>0</v>
      </c>
      <c r="AB237" s="5"/>
      <c r="AC237" s="3">
        <f t="shared" si="52"/>
        <v>0</v>
      </c>
      <c r="AE237" s="9"/>
      <c r="AF237" s="9"/>
      <c r="AH237" s="8"/>
      <c r="AL237" s="3"/>
      <c r="AO237" s="3">
        <v>-523.55220951822434</v>
      </c>
    </row>
    <row r="238" spans="2:41" x14ac:dyDescent="0.3">
      <c r="B238" s="1">
        <f t="shared" ca="1" si="48"/>
        <v>213</v>
      </c>
      <c r="D238" s="11" t="s">
        <v>326</v>
      </c>
      <c r="F238" s="1" t="str">
        <f>+INDEX('Exh. BGM-3 (2)'!$10:$10,1,MATCH($D238,'Exh. BGM-3 (2)'!$4:$4,0))</f>
        <v>ENVIRONMENTAL REMEDIATION</v>
      </c>
      <c r="I238" s="3">
        <v>0</v>
      </c>
      <c r="J238" s="3"/>
      <c r="K238" s="3">
        <v>0</v>
      </c>
      <c r="L238" s="3"/>
      <c r="M238" s="3">
        <f t="shared" si="53"/>
        <v>0</v>
      </c>
      <c r="P238" s="3">
        <f t="shared" si="49"/>
        <v>0</v>
      </c>
      <c r="Q238" s="3"/>
      <c r="R238" s="3">
        <f t="shared" si="50"/>
        <v>0</v>
      </c>
      <c r="S238" s="3"/>
      <c r="T238" s="3">
        <f t="shared" si="54"/>
        <v>0</v>
      </c>
      <c r="W238" s="3">
        <v>0</v>
      </c>
      <c r="X238" s="3"/>
      <c r="Y238" s="3">
        <f t="shared" si="51"/>
        <v>0</v>
      </c>
      <c r="Z238" s="3"/>
      <c r="AA238" s="3">
        <v>0</v>
      </c>
      <c r="AB238" s="5"/>
      <c r="AC238" s="3">
        <f t="shared" si="52"/>
        <v>0</v>
      </c>
      <c r="AE238" s="9"/>
      <c r="AF238" s="9"/>
      <c r="AH238" s="8"/>
      <c r="AL238" s="3"/>
      <c r="AO238" s="3">
        <v>0</v>
      </c>
    </row>
    <row r="239" spans="2:41" x14ac:dyDescent="0.3">
      <c r="B239" s="222">
        <f t="shared" ca="1" si="48"/>
        <v>214</v>
      </c>
      <c r="C239" s="222"/>
      <c r="D239" s="224" t="s">
        <v>327</v>
      </c>
      <c r="E239" s="222"/>
      <c r="F239" s="222" t="str">
        <f>+INDEX('Exh. BGM-3 (2)'!$10:$10,1,MATCH($D239,'Exh. BGM-3 (2)'!$4:$4,0))</f>
        <v>COVID DEFERRAL</v>
      </c>
      <c r="G239" s="225"/>
      <c r="H239" s="225"/>
      <c r="I239" s="226">
        <v>0</v>
      </c>
      <c r="J239" s="226"/>
      <c r="K239" s="226">
        <v>-803.11510942405812</v>
      </c>
      <c r="L239" s="226"/>
      <c r="M239" s="226">
        <f t="shared" si="53"/>
        <v>-76.857717272474019</v>
      </c>
      <c r="N239" s="225"/>
      <c r="O239" s="222"/>
      <c r="P239" s="226">
        <f t="shared" si="49"/>
        <v>0</v>
      </c>
      <c r="Q239" s="226"/>
      <c r="R239" s="226">
        <f t="shared" si="50"/>
        <v>637.37539979791632</v>
      </c>
      <c r="S239" s="226"/>
      <c r="T239" s="226">
        <f t="shared" si="54"/>
        <v>60.996509341268393</v>
      </c>
      <c r="U239" s="222"/>
      <c r="V239" s="222"/>
      <c r="W239" s="226">
        <v>0</v>
      </c>
      <c r="X239" s="226"/>
      <c r="Y239" s="226">
        <f t="shared" si="51"/>
        <v>0</v>
      </c>
      <c r="Z239" s="226"/>
      <c r="AA239" s="226">
        <f>+'[21]Lead E'!$M$21/1000</f>
        <v>1440.4905092219744</v>
      </c>
      <c r="AB239" s="227"/>
      <c r="AC239" s="226">
        <f t="shared" si="52"/>
        <v>137.85422661374241</v>
      </c>
      <c r="AD239" s="225"/>
      <c r="AE239" s="232" t="s">
        <v>1026</v>
      </c>
      <c r="AF239" s="9"/>
      <c r="AH239" s="8"/>
      <c r="AL239" s="3"/>
      <c r="AO239" s="3">
        <v>-79.419641181556472</v>
      </c>
    </row>
    <row r="240" spans="2:41" x14ac:dyDescent="0.3">
      <c r="B240" s="1">
        <f t="shared" ca="1" si="48"/>
        <v>215</v>
      </c>
      <c r="D240" s="11" t="s">
        <v>328</v>
      </c>
      <c r="F240" s="1" t="str">
        <f>+INDEX('Exh. BGM-3 (2)'!$10:$10,1,MATCH($D240,'Exh. BGM-3 (2)'!$4:$4,0))</f>
        <v>ESTIMATED PLANT RETIREMENTS RATE BASE</v>
      </c>
      <c r="I240" s="3">
        <v>0</v>
      </c>
      <c r="J240" s="3"/>
      <c r="K240" s="3">
        <v>0</v>
      </c>
      <c r="L240" s="3"/>
      <c r="M240" s="3">
        <f t="shared" si="53"/>
        <v>0</v>
      </c>
      <c r="P240" s="3">
        <f t="shared" si="49"/>
        <v>0</v>
      </c>
      <c r="Q240" s="3"/>
      <c r="R240" s="3">
        <f t="shared" si="50"/>
        <v>0</v>
      </c>
      <c r="S240" s="3"/>
      <c r="T240" s="3">
        <f t="shared" si="54"/>
        <v>0</v>
      </c>
      <c r="W240" s="3">
        <v>0</v>
      </c>
      <c r="X240" s="3"/>
      <c r="Y240" s="3">
        <f t="shared" si="51"/>
        <v>0</v>
      </c>
      <c r="Z240" s="3"/>
      <c r="AA240" s="3">
        <v>0</v>
      </c>
      <c r="AB240" s="5"/>
      <c r="AC240" s="3">
        <f t="shared" si="52"/>
        <v>0</v>
      </c>
      <c r="AE240" s="9"/>
      <c r="AF240" s="9"/>
      <c r="AH240" s="8"/>
      <c r="AL240" s="3"/>
      <c r="AO240" s="3">
        <v>0</v>
      </c>
    </row>
    <row r="241" spans="1:50" x14ac:dyDescent="0.3">
      <c r="B241" s="1">
        <f t="shared" ca="1" si="48"/>
        <v>216</v>
      </c>
      <c r="D241" s="11" t="s">
        <v>329</v>
      </c>
      <c r="F241" s="1" t="str">
        <f>+INDEX('Exh. BGM-3 (2)'!$10:$10,1,MATCH($D241,'Exh. BGM-3 (2)'!$4:$4,0))</f>
        <v>TEST YEAR PLANT ROLL FORWARD</v>
      </c>
      <c r="I241" s="3">
        <v>15753.467313203077</v>
      </c>
      <c r="J241" s="3"/>
      <c r="K241" s="3">
        <v>-369995.48359326913</v>
      </c>
      <c r="L241" s="3"/>
      <c r="M241" s="3">
        <f t="shared" si="53"/>
        <v>-56347.259115601621</v>
      </c>
      <c r="P241" s="3">
        <f t="shared" si="49"/>
        <v>15753.467313203077</v>
      </c>
      <c r="Q241" s="3"/>
      <c r="R241" s="3">
        <f t="shared" si="50"/>
        <v>-369995.48359326913</v>
      </c>
      <c r="S241" s="3"/>
      <c r="T241" s="3">
        <f t="shared" si="54"/>
        <v>-56347.259115601621</v>
      </c>
      <c r="W241" s="3">
        <v>0</v>
      </c>
      <c r="X241" s="3"/>
      <c r="Y241" s="3">
        <f t="shared" si="51"/>
        <v>0</v>
      </c>
      <c r="Z241" s="3"/>
      <c r="AA241" s="3">
        <v>0</v>
      </c>
      <c r="AB241" s="5"/>
      <c r="AC241" s="3">
        <f t="shared" si="52"/>
        <v>0</v>
      </c>
      <c r="AE241" s="9"/>
      <c r="AF241" s="9"/>
      <c r="AH241" s="8"/>
      <c r="AL241" s="3"/>
      <c r="AO241" s="3">
        <v>-57527.538585564391</v>
      </c>
    </row>
    <row r="242" spans="1:50" x14ac:dyDescent="0.3">
      <c r="B242" s="1">
        <f t="shared" ca="1" si="48"/>
        <v>217</v>
      </c>
      <c r="D242" s="11" t="s">
        <v>330</v>
      </c>
      <c r="F242" s="1" t="str">
        <f>+INDEX('Exh. BGM-3 (2)'!$10:$10,1,MATCH($D242,'Exh. BGM-3 (2)'!$4:$4,0))</f>
        <v>PROVISIONAL PROFORMA RETIREMENTS DEPRECIATION</v>
      </c>
      <c r="I242" s="3">
        <v>3186.1275465514395</v>
      </c>
      <c r="J242" s="3"/>
      <c r="K242" s="3">
        <v>15530.997728948005</v>
      </c>
      <c r="L242" s="3"/>
      <c r="M242" s="3">
        <f t="shared" si="53"/>
        <v>-2748.5637897896381</v>
      </c>
      <c r="P242" s="3">
        <f t="shared" si="49"/>
        <v>3186.1275465514395</v>
      </c>
      <c r="Q242" s="3"/>
      <c r="R242" s="3">
        <f t="shared" si="50"/>
        <v>15530.997728948005</v>
      </c>
      <c r="S242" s="3"/>
      <c r="T242" s="3">
        <f t="shared" si="54"/>
        <v>-2748.5637897896381</v>
      </c>
      <c r="W242" s="3">
        <v>0</v>
      </c>
      <c r="X242" s="3"/>
      <c r="Y242" s="3">
        <f t="shared" si="51"/>
        <v>0</v>
      </c>
      <c r="Z242" s="3"/>
      <c r="AA242" s="3">
        <v>0</v>
      </c>
      <c r="AB242" s="5"/>
      <c r="AC242" s="3">
        <f t="shared" si="52"/>
        <v>0</v>
      </c>
      <c r="AE242" s="9"/>
      <c r="AF242" s="9"/>
      <c r="AH242" s="8"/>
      <c r="AL242" s="3"/>
      <c r="AO242" s="3">
        <v>-2699.0201640418527</v>
      </c>
    </row>
    <row r="243" spans="1:50" x14ac:dyDescent="0.3">
      <c r="B243" s="1">
        <f t="shared" ca="1" si="48"/>
        <v>218</v>
      </c>
      <c r="D243" s="11" t="s">
        <v>331</v>
      </c>
      <c r="F243" s="1" t="str">
        <f>+INDEX('Exh. BGM-3 (2)'!$10:$10,1,MATCH($D243,'Exh. BGM-3 (2)'!$4:$4,0))</f>
        <v>PROGRAMMATIC PROVISIONAL PROFORMA</v>
      </c>
      <c r="I243" s="3">
        <v>-24146.729005190726</v>
      </c>
      <c r="J243" s="3"/>
      <c r="K243" s="3">
        <v>504451.93422671396</v>
      </c>
      <c r="L243" s="3"/>
      <c r="M243" s="3">
        <f t="shared" si="53"/>
        <v>80370.660485427929</v>
      </c>
      <c r="P243" s="3">
        <f t="shared" si="49"/>
        <v>-24146.729005190726</v>
      </c>
      <c r="Q243" s="3"/>
      <c r="R243" s="3">
        <f t="shared" si="50"/>
        <v>504451.93422671396</v>
      </c>
      <c r="S243" s="3"/>
      <c r="T243" s="3">
        <f t="shared" si="54"/>
        <v>80370.660485427929</v>
      </c>
      <c r="W243" s="3">
        <v>0</v>
      </c>
      <c r="X243" s="3"/>
      <c r="Y243" s="3">
        <f t="shared" si="51"/>
        <v>0</v>
      </c>
      <c r="Z243" s="3"/>
      <c r="AA243" s="3">
        <v>0</v>
      </c>
      <c r="AB243" s="5"/>
      <c r="AC243" s="3">
        <f t="shared" si="52"/>
        <v>0</v>
      </c>
      <c r="AE243" s="9"/>
      <c r="AF243" s="9"/>
      <c r="AH243" s="8"/>
      <c r="AL243" s="3"/>
      <c r="AO243" s="3">
        <v>81979.853807920779</v>
      </c>
    </row>
    <row r="244" spans="1:50" x14ac:dyDescent="0.3">
      <c r="B244" s="1">
        <f t="shared" ca="1" si="48"/>
        <v>219</v>
      </c>
      <c r="D244" s="11" t="s">
        <v>332</v>
      </c>
      <c r="F244" s="1" t="str">
        <f>+INDEX('Exh. BGM-3 (2)'!$10:$10,1,MATCH($D244,'Exh. BGM-3 (2)'!$4:$4,0))</f>
        <v>CUSTOMER DRIVEN PROGRAMMATIC PROVISIONAL PROFORMA</v>
      </c>
      <c r="I244" s="3">
        <v>-247.67257610000021</v>
      </c>
      <c r="J244" s="3"/>
      <c r="K244" s="3">
        <v>6798.4140799999996</v>
      </c>
      <c r="L244" s="3"/>
      <c r="M244" s="3">
        <f t="shared" si="53"/>
        <v>979.80127713645857</v>
      </c>
      <c r="P244" s="3">
        <f t="shared" si="49"/>
        <v>-247.67257610000021</v>
      </c>
      <c r="Q244" s="3"/>
      <c r="R244" s="3">
        <f t="shared" si="50"/>
        <v>6798.4140799999996</v>
      </c>
      <c r="S244" s="3"/>
      <c r="T244" s="3">
        <f t="shared" si="54"/>
        <v>979.80127713645857</v>
      </c>
      <c r="W244" s="3">
        <v>0</v>
      </c>
      <c r="X244" s="3"/>
      <c r="Y244" s="3">
        <f t="shared" si="51"/>
        <v>0</v>
      </c>
      <c r="Z244" s="3"/>
      <c r="AA244" s="3">
        <v>0</v>
      </c>
      <c r="AB244" s="5"/>
      <c r="AC244" s="3">
        <f t="shared" si="52"/>
        <v>0</v>
      </c>
      <c r="AE244" s="9"/>
      <c r="AF244" s="9"/>
      <c r="AH244" s="8"/>
      <c r="AL244" s="3"/>
      <c r="AO244" s="3">
        <v>1001.4881055512359</v>
      </c>
    </row>
    <row r="245" spans="1:50" x14ac:dyDescent="0.3">
      <c r="B245" s="236">
        <f t="shared" ca="1" si="48"/>
        <v>220</v>
      </c>
      <c r="C245" s="237"/>
      <c r="D245" s="238" t="s">
        <v>333</v>
      </c>
      <c r="E245" s="237"/>
      <c r="F245" s="237" t="str">
        <f>+INDEX('Exh. BGM-3 (2)'!$10:$10,1,MATCH($D245,'Exh. BGM-3 (2)'!$4:$4,0))</f>
        <v>SPECIFIC PROVISIONAL PROFORMA</v>
      </c>
      <c r="G245" s="239"/>
      <c r="H245" s="239"/>
      <c r="I245" s="13">
        <v>-2612.1179206581992</v>
      </c>
      <c r="J245" s="13"/>
      <c r="K245" s="13">
        <v>103418.99261372801</v>
      </c>
      <c r="L245" s="13"/>
      <c r="M245" s="13">
        <f t="shared" si="53"/>
        <v>13369.068310633433</v>
      </c>
      <c r="N245" s="239"/>
      <c r="O245" s="237"/>
      <c r="P245" s="13">
        <f t="shared" si="49"/>
        <v>-2612.1179206581992</v>
      </c>
      <c r="Q245" s="13"/>
      <c r="R245" s="13">
        <f t="shared" si="50"/>
        <v>103418.99261372801</v>
      </c>
      <c r="S245" s="13"/>
      <c r="T245" s="13">
        <f t="shared" si="54"/>
        <v>13369.068310633433</v>
      </c>
      <c r="U245" s="237"/>
      <c r="V245" s="237"/>
      <c r="W245" s="13">
        <v>0</v>
      </c>
      <c r="X245" s="13"/>
      <c r="Y245" s="13">
        <f t="shared" si="51"/>
        <v>0</v>
      </c>
      <c r="Z245" s="13"/>
      <c r="AA245" s="13">
        <v>0</v>
      </c>
      <c r="AB245" s="240"/>
      <c r="AC245" s="13">
        <f t="shared" si="52"/>
        <v>0</v>
      </c>
      <c r="AD245" s="239"/>
      <c r="AE245" s="241" t="s">
        <v>1026</v>
      </c>
      <c r="AF245" s="9"/>
      <c r="AH245" s="8"/>
      <c r="AL245" s="3"/>
      <c r="AO245" s="3">
        <v>13698.973185689683</v>
      </c>
    </row>
    <row r="246" spans="1:50" x14ac:dyDescent="0.3">
      <c r="B246" s="242">
        <f t="shared" ca="1" si="48"/>
        <v>221</v>
      </c>
      <c r="C246" s="243"/>
      <c r="D246" s="243" t="str">
        <f>+D245</f>
        <v>6.33 RY2</v>
      </c>
      <c r="E246" s="243"/>
      <c r="F246" s="243" t="s">
        <v>1031</v>
      </c>
      <c r="G246" s="244"/>
      <c r="H246" s="244"/>
      <c r="I246" s="245">
        <v>0</v>
      </c>
      <c r="J246" s="245"/>
      <c r="K246" s="245">
        <v>0</v>
      </c>
      <c r="L246" s="245"/>
      <c r="M246" s="245">
        <f t="shared" ref="M246" si="55">+($K246*$AL$46-$I246)/$AJ$4</f>
        <v>0</v>
      </c>
      <c r="N246" s="244"/>
      <c r="O246" s="243"/>
      <c r="P246" s="245">
        <f t="shared" si="49"/>
        <v>1352.1181089000002</v>
      </c>
      <c r="Q246" s="245"/>
      <c r="R246" s="245">
        <f t="shared" si="50"/>
        <v>-67354.820361097969</v>
      </c>
      <c r="S246" s="245"/>
      <c r="T246" s="245">
        <f t="shared" ref="T246" si="56">+($R246*$AL$46-$P246)/$AJ$4</f>
        <v>-8243.0038677207631</v>
      </c>
      <c r="U246" s="243"/>
      <c r="V246" s="243"/>
      <c r="W246" s="245">
        <f>-'6.33 (EESD)'!G31</f>
        <v>1711.5419100000001</v>
      </c>
      <c r="X246" s="245"/>
      <c r="Y246" s="245">
        <f t="shared" si="51"/>
        <v>1352.1181089000002</v>
      </c>
      <c r="Z246" s="245"/>
      <c r="AA246" s="245">
        <f>+'6.33 (EESD)'!G24+'6.33 (EESD)'!G39+'6.33 (EESD)'!G60</f>
        <v>-67354.820361097969</v>
      </c>
      <c r="AB246" s="246"/>
      <c r="AC246" s="245">
        <f t="shared" si="52"/>
        <v>-8243.0038677207631</v>
      </c>
      <c r="AD246" s="244"/>
      <c r="AE246" s="247" t="s">
        <v>1026</v>
      </c>
      <c r="AF246" s="9"/>
      <c r="AH246" s="8"/>
      <c r="AL246" s="3"/>
      <c r="AO246" s="3"/>
    </row>
    <row r="247" spans="1:50" x14ac:dyDescent="0.3">
      <c r="B247" s="1">
        <f t="shared" ca="1" si="48"/>
        <v>222</v>
      </c>
      <c r="D247" s="11" t="s">
        <v>334</v>
      </c>
      <c r="F247" s="1" t="str">
        <f>+INDEX('Exh. BGM-3 (2)'!$10:$10,1,MATCH($D247,'Exh. BGM-3 (2)'!$4:$4,0))</f>
        <v>PROJECTED PROVISIONAL PROFORMA</v>
      </c>
      <c r="I247" s="3">
        <v>-13638.239265215576</v>
      </c>
      <c r="J247" s="3"/>
      <c r="K247" s="3">
        <v>122625.30025564418</v>
      </c>
      <c r="L247" s="3"/>
      <c r="M247" s="3">
        <f t="shared" si="53"/>
        <v>29862.579345683833</v>
      </c>
      <c r="P247" s="3">
        <f t="shared" si="49"/>
        <v>-13638.239265215576</v>
      </c>
      <c r="Q247" s="3"/>
      <c r="R247" s="3">
        <f t="shared" si="50"/>
        <v>122625.30025564418</v>
      </c>
      <c r="S247" s="3"/>
      <c r="T247" s="3">
        <f t="shared" si="54"/>
        <v>29862.579345683833</v>
      </c>
      <c r="W247" s="3">
        <v>0</v>
      </c>
      <c r="X247" s="3"/>
      <c r="Y247" s="3">
        <f t="shared" si="51"/>
        <v>0</v>
      </c>
      <c r="Z247" s="3"/>
      <c r="AA247" s="3">
        <v>0</v>
      </c>
      <c r="AB247" s="5"/>
      <c r="AC247" s="3">
        <f t="shared" si="52"/>
        <v>0</v>
      </c>
      <c r="AE247" s="9"/>
      <c r="AF247" s="9"/>
      <c r="AH247" s="8"/>
      <c r="AL247" s="3"/>
      <c r="AO247" s="3">
        <v>30253.752024291065</v>
      </c>
    </row>
    <row r="248" spans="1:50" x14ac:dyDescent="0.3">
      <c r="B248" s="1">
        <f t="shared" ca="1" si="48"/>
        <v>223</v>
      </c>
      <c r="D248" s="11" t="s">
        <v>335</v>
      </c>
      <c r="F248" s="1" t="str">
        <f>+INDEX('Exh. BGM-3 (2)'!$10:$10,1,MATCH($D248,'Exh. BGM-3 (2)'!$4:$4,0))</f>
        <v>POWER COSTS</v>
      </c>
      <c r="I248" s="3">
        <v>-8975.7712570642616</v>
      </c>
      <c r="J248" s="3"/>
      <c r="K248" s="3">
        <v>0</v>
      </c>
      <c r="L248" s="3"/>
      <c r="M248" s="3">
        <f t="shared" si="53"/>
        <v>11930.23407442532</v>
      </c>
      <c r="P248" s="3">
        <f t="shared" si="49"/>
        <v>-12414.641257064262</v>
      </c>
      <c r="Q248" s="3"/>
      <c r="R248" s="3">
        <f t="shared" si="50"/>
        <v>0</v>
      </c>
      <c r="S248" s="3"/>
      <c r="T248" s="3">
        <f t="shared" si="54"/>
        <v>16501.041738360564</v>
      </c>
      <c r="W248" s="3">
        <f>-W194</f>
        <v>-4353</v>
      </c>
      <c r="X248" s="3"/>
      <c r="Y248" s="3">
        <f t="shared" si="51"/>
        <v>-3438.8700000000003</v>
      </c>
      <c r="Z248" s="3"/>
      <c r="AA248" s="3">
        <v>0</v>
      </c>
      <c r="AB248" s="5"/>
      <c r="AC248" s="3">
        <f t="shared" si="52"/>
        <v>4570.8076639352439</v>
      </c>
      <c r="AE248" s="253" t="s">
        <v>1026</v>
      </c>
      <c r="AF248" s="9"/>
      <c r="AH248" s="8"/>
      <c r="AL248" s="3"/>
      <c r="AO248" s="3">
        <v>11930.23407442532</v>
      </c>
    </row>
    <row r="249" spans="1:50" x14ac:dyDescent="0.3">
      <c r="B249" s="1">
        <f t="shared" ca="1" si="48"/>
        <v>224</v>
      </c>
      <c r="D249" s="11" t="s">
        <v>336</v>
      </c>
      <c r="F249" s="1" t="str">
        <f>+INDEX('Exh. BGM-3 (2)'!$10:$10,1,MATCH($D249,'Exh. BGM-3 (2)'!$4:$4,0))</f>
        <v>MONTANA TAX</v>
      </c>
      <c r="I249" s="3">
        <v>47.877975674999981</v>
      </c>
      <c r="J249" s="3"/>
      <c r="K249" s="3">
        <v>0</v>
      </c>
      <c r="L249" s="3"/>
      <c r="M249" s="3">
        <f t="shared" si="53"/>
        <v>-63.637479215264044</v>
      </c>
      <c r="P249" s="3">
        <f t="shared" si="49"/>
        <v>47.877975674999981</v>
      </c>
      <c r="Q249" s="3"/>
      <c r="R249" s="3">
        <f t="shared" si="50"/>
        <v>0</v>
      </c>
      <c r="S249" s="3"/>
      <c r="T249" s="3">
        <f t="shared" si="54"/>
        <v>-63.637479215264044</v>
      </c>
      <c r="W249" s="3">
        <v>0</v>
      </c>
      <c r="X249" s="3"/>
      <c r="Y249" s="3">
        <f t="shared" si="51"/>
        <v>0</v>
      </c>
      <c r="Z249" s="3"/>
      <c r="AA249" s="3">
        <v>0</v>
      </c>
      <c r="AB249" s="5"/>
      <c r="AC249" s="3">
        <f t="shared" si="52"/>
        <v>0</v>
      </c>
      <c r="AE249" s="9"/>
      <c r="AF249" s="9"/>
      <c r="AH249" s="8"/>
      <c r="AL249" s="3"/>
      <c r="AO249" s="3">
        <v>-63.637479215264044</v>
      </c>
    </row>
    <row r="250" spans="1:50" x14ac:dyDescent="0.3">
      <c r="B250" s="1">
        <f t="shared" ca="1" si="48"/>
        <v>225</v>
      </c>
      <c r="D250" s="11" t="s">
        <v>337</v>
      </c>
      <c r="F250" s="1" t="str">
        <f>+INDEX('Exh. BGM-3 (2)'!$10:$10,1,MATCH($D250,'Exh. BGM-3 (2)'!$4:$4,0))</f>
        <v>WILD HORSE SOLAR</v>
      </c>
      <c r="I250" s="3">
        <v>0</v>
      </c>
      <c r="J250" s="3"/>
      <c r="K250" s="3">
        <v>158.14065079999901</v>
      </c>
      <c r="L250" s="3"/>
      <c r="M250" s="3">
        <f t="shared" si="53"/>
        <v>15.133981774029454</v>
      </c>
      <c r="P250" s="3">
        <f t="shared" si="49"/>
        <v>0</v>
      </c>
      <c r="Q250" s="3"/>
      <c r="R250" s="3">
        <f t="shared" si="50"/>
        <v>158.14065079999901</v>
      </c>
      <c r="S250" s="3"/>
      <c r="T250" s="3">
        <f t="shared" si="54"/>
        <v>15.133981774029454</v>
      </c>
      <c r="W250" s="3">
        <v>0</v>
      </c>
      <c r="X250" s="3"/>
      <c r="Y250" s="3">
        <f t="shared" si="51"/>
        <v>0</v>
      </c>
      <c r="Z250" s="3"/>
      <c r="AA250" s="3">
        <v>0</v>
      </c>
      <c r="AB250" s="5"/>
      <c r="AC250" s="3">
        <f t="shared" si="52"/>
        <v>0</v>
      </c>
      <c r="AE250" s="9"/>
      <c r="AF250" s="9"/>
      <c r="AH250" s="8"/>
      <c r="AL250" s="3"/>
      <c r="AO250" s="3">
        <v>15.638447833163767</v>
      </c>
    </row>
    <row r="251" spans="1:50" x14ac:dyDescent="0.3">
      <c r="B251" s="1">
        <f t="shared" ca="1" si="48"/>
        <v>226</v>
      </c>
      <c r="D251" s="11" t="s">
        <v>338</v>
      </c>
      <c r="F251" s="1" t="str">
        <f>+INDEX('Exh. BGM-3 (2)'!$10:$10,1,MATCH($D251,'Exh. BGM-3 (2)'!$4:$4,0))</f>
        <v>STORM EXPENSE NORMALIZATION</v>
      </c>
      <c r="I251" s="3">
        <v>0</v>
      </c>
      <c r="J251" s="3"/>
      <c r="K251" s="3">
        <v>0</v>
      </c>
      <c r="L251" s="3"/>
      <c r="M251" s="3">
        <f t="shared" si="53"/>
        <v>0</v>
      </c>
      <c r="P251" s="3">
        <f t="shared" si="49"/>
        <v>0</v>
      </c>
      <c r="Q251" s="3"/>
      <c r="R251" s="3">
        <f t="shared" si="50"/>
        <v>0</v>
      </c>
      <c r="S251" s="3"/>
      <c r="T251" s="3">
        <f t="shared" si="54"/>
        <v>0</v>
      </c>
      <c r="W251" s="3">
        <v>0</v>
      </c>
      <c r="X251" s="3"/>
      <c r="Y251" s="3">
        <f t="shared" si="51"/>
        <v>0</v>
      </c>
      <c r="Z251" s="3"/>
      <c r="AA251" s="3">
        <v>0</v>
      </c>
      <c r="AB251" s="5"/>
      <c r="AC251" s="3">
        <f t="shared" si="52"/>
        <v>0</v>
      </c>
      <c r="AE251" s="9"/>
      <c r="AF251" s="9"/>
      <c r="AH251" s="8"/>
      <c r="AL251" s="3"/>
      <c r="AO251" s="3">
        <v>0</v>
      </c>
    </row>
    <row r="252" spans="1:50" x14ac:dyDescent="0.3">
      <c r="B252" s="1">
        <f t="shared" ca="1" si="48"/>
        <v>227</v>
      </c>
      <c r="D252" s="11" t="s">
        <v>339</v>
      </c>
      <c r="F252" s="1" t="str">
        <f>+INDEX('Exh. BGM-3 (2)'!$10:$10,1,MATCH($D252,'Exh. BGM-3 (2)'!$4:$4,0))</f>
        <v>REGULATORY  ASSETS &amp; LIAB</v>
      </c>
      <c r="I252" s="3">
        <v>7717.397320672133</v>
      </c>
      <c r="J252" s="3"/>
      <c r="K252" s="3">
        <v>-14555.862582186886</v>
      </c>
      <c r="L252" s="3"/>
      <c r="M252" s="3">
        <f t="shared" si="53"/>
        <v>-11650.642883465371</v>
      </c>
      <c r="P252" s="3">
        <f t="shared" si="49"/>
        <v>7717.397320672133</v>
      </c>
      <c r="Q252" s="3"/>
      <c r="R252" s="3">
        <f t="shared" si="50"/>
        <v>-14555.862582186886</v>
      </c>
      <c r="S252" s="3"/>
      <c r="T252" s="3">
        <f t="shared" si="54"/>
        <v>-11650.642883465371</v>
      </c>
      <c r="W252" s="3">
        <v>0</v>
      </c>
      <c r="X252" s="3"/>
      <c r="Y252" s="3">
        <f t="shared" si="51"/>
        <v>0</v>
      </c>
      <c r="Z252" s="3"/>
      <c r="AA252" s="3">
        <v>0</v>
      </c>
      <c r="AB252" s="5"/>
      <c r="AC252" s="3">
        <f t="shared" si="52"/>
        <v>0</v>
      </c>
      <c r="AE252" s="9"/>
      <c r="AF252" s="9"/>
      <c r="AH252" s="8"/>
      <c r="AL252" s="3"/>
      <c r="AO252" s="3">
        <v>-11697.075844231562</v>
      </c>
    </row>
    <row r="253" spans="1:50" x14ac:dyDescent="0.3">
      <c r="B253" s="1">
        <f t="shared" ca="1" si="48"/>
        <v>228</v>
      </c>
      <c r="D253" s="11" t="s">
        <v>340</v>
      </c>
      <c r="F253" s="1" t="str">
        <f>+INDEX('Exh. BGM-3 (2)'!$10:$10,1,MATCH($D253,'Exh. BGM-3 (2)'!$4:$4,0))</f>
        <v>GREEN DIRECT</v>
      </c>
      <c r="I253" s="3">
        <v>-78.711642099999935</v>
      </c>
      <c r="J253" s="3"/>
      <c r="K253" s="3">
        <v>40.49252976527788</v>
      </c>
      <c r="L253" s="3"/>
      <c r="M253" s="3">
        <f t="shared" si="53"/>
        <v>108.49546323623812</v>
      </c>
      <c r="P253" s="3">
        <f t="shared" si="49"/>
        <v>-78.711642099999935</v>
      </c>
      <c r="Q253" s="3"/>
      <c r="R253" s="3">
        <f t="shared" si="50"/>
        <v>40.49252976527788</v>
      </c>
      <c r="S253" s="3"/>
      <c r="T253" s="3">
        <f t="shared" si="54"/>
        <v>108.49546323623812</v>
      </c>
      <c r="W253" s="3">
        <v>0</v>
      </c>
      <c r="X253" s="3"/>
      <c r="Y253" s="3">
        <f t="shared" si="51"/>
        <v>0</v>
      </c>
      <c r="Z253" s="3"/>
      <c r="AA253" s="3">
        <v>0</v>
      </c>
      <c r="AB253" s="5"/>
      <c r="AC253" s="3">
        <f t="shared" si="52"/>
        <v>0</v>
      </c>
      <c r="AE253" s="9"/>
      <c r="AF253" s="9"/>
      <c r="AH253" s="8"/>
      <c r="AO253" s="3">
        <v>108.6246337361174</v>
      </c>
    </row>
    <row r="254" spans="1:50" x14ac:dyDescent="0.3">
      <c r="B254" s="222">
        <f t="shared" ca="1" si="48"/>
        <v>229</v>
      </c>
      <c r="C254" s="222"/>
      <c r="D254" s="224" t="s">
        <v>341</v>
      </c>
      <c r="E254" s="222"/>
      <c r="F254" s="222" t="str">
        <f>+INDEX('Exh. BGM-3 (2)'!$10:$10,1,MATCH($D254,'Exh. BGM-3 (2)'!$4:$4,0))</f>
        <v>STORM DEFERRAL AMORTIZATION</v>
      </c>
      <c r="G254" s="225"/>
      <c r="H254" s="225"/>
      <c r="I254" s="226">
        <v>0</v>
      </c>
      <c r="J254" s="226"/>
      <c r="K254" s="226">
        <v>0</v>
      </c>
      <c r="L254" s="226"/>
      <c r="M254" s="226">
        <f t="shared" si="53"/>
        <v>0</v>
      </c>
      <c r="N254" s="225"/>
      <c r="O254" s="222"/>
      <c r="P254" s="226">
        <f t="shared" si="49"/>
        <v>0</v>
      </c>
      <c r="Q254" s="226"/>
      <c r="R254" s="226">
        <f t="shared" si="50"/>
        <v>-17580.428375167601</v>
      </c>
      <c r="S254" s="226"/>
      <c r="T254" s="226">
        <f t="shared" si="54"/>
        <v>-1682.4382678550251</v>
      </c>
      <c r="U254" s="222"/>
      <c r="V254" s="222"/>
      <c r="W254" s="226">
        <v>0</v>
      </c>
      <c r="X254" s="226"/>
      <c r="Y254" s="226">
        <f t="shared" si="51"/>
        <v>0</v>
      </c>
      <c r="Z254" s="226"/>
      <c r="AA254" s="226">
        <f>+[23]Adjustment!$G$44+[23]Adjustment!$G$53</f>
        <v>-17580.428375167601</v>
      </c>
      <c r="AB254" s="227"/>
      <c r="AC254" s="226">
        <f t="shared" si="52"/>
        <v>-1682.4382678550251</v>
      </c>
      <c r="AE254" s="253" t="s">
        <v>1026</v>
      </c>
      <c r="AF254" s="9"/>
      <c r="AH254" s="8"/>
      <c r="AO254" s="3">
        <v>0</v>
      </c>
    </row>
    <row r="255" spans="1:50" x14ac:dyDescent="0.3">
      <c r="B255" s="1">
        <f t="shared" ca="1" si="48"/>
        <v>230</v>
      </c>
      <c r="D255" s="1" t="s">
        <v>342</v>
      </c>
      <c r="F255" s="1" t="str">
        <f>+INDEX('Exh. BGM-3 (2)'!$10:$10,1,MATCH($D255,'Exh. BGM-3 (2)'!$4:$4,0))</f>
        <v>ELECTRIC VEHICLES</v>
      </c>
      <c r="I255" s="3">
        <v>-141.14079015213591</v>
      </c>
      <c r="J255" s="3"/>
      <c r="K255" s="3">
        <v>-1543.5750007326342</v>
      </c>
      <c r="L255" s="3"/>
      <c r="M255" s="3">
        <f t="shared" si="53"/>
        <v>39.879299133236621</v>
      </c>
      <c r="N255" s="1"/>
      <c r="P255" s="3">
        <f t="shared" si="49"/>
        <v>-141.14079015213591</v>
      </c>
      <c r="Q255" s="3"/>
      <c r="R255" s="3">
        <f t="shared" si="50"/>
        <v>-1543.5750007326342</v>
      </c>
      <c r="S255" s="3"/>
      <c r="T255" s="3">
        <f t="shared" si="54"/>
        <v>39.879299133236621</v>
      </c>
      <c r="W255" s="3">
        <v>0</v>
      </c>
      <c r="X255" s="3"/>
      <c r="Y255" s="3">
        <f t="shared" si="51"/>
        <v>0</v>
      </c>
      <c r="Z255" s="3"/>
      <c r="AA255" s="3">
        <v>0</v>
      </c>
      <c r="AB255" s="5"/>
      <c r="AC255" s="3">
        <f t="shared" si="52"/>
        <v>0</v>
      </c>
      <c r="AE255" s="9"/>
      <c r="AF255" s="9"/>
      <c r="AH255" s="8"/>
      <c r="AO255" s="3">
        <v>34.955320424039101</v>
      </c>
    </row>
    <row r="256" spans="1:50" s="2" customFormat="1" x14ac:dyDescent="0.3">
      <c r="A256" s="1"/>
      <c r="B256" s="1">
        <f t="shared" ca="1" si="48"/>
        <v>231</v>
      </c>
      <c r="C256" s="1"/>
      <c r="D256" s="1" t="s">
        <v>343</v>
      </c>
      <c r="E256" s="1"/>
      <c r="F256" s="1" t="str">
        <f>+INDEX('Exh. BGM-3 (2)'!$10:$10,1,MATCH($D256,'Exh. BGM-3 (2)'!$4:$4,0))</f>
        <v>COLSTRIP D&amp;R TRACKER</v>
      </c>
      <c r="I256" s="3">
        <v>2642.6644267250022</v>
      </c>
      <c r="J256" s="3"/>
      <c r="K256" s="3">
        <v>14340.757836875102</v>
      </c>
      <c r="L256" s="3"/>
      <c r="M256" s="3">
        <f t="shared" si="53"/>
        <v>-2140.1198403280296</v>
      </c>
      <c r="O256" s="1"/>
      <c r="P256" s="3">
        <f t="shared" si="49"/>
        <v>2642.6644267250022</v>
      </c>
      <c r="Q256" s="3"/>
      <c r="R256" s="3">
        <f t="shared" si="50"/>
        <v>14340.757836875102</v>
      </c>
      <c r="S256" s="3"/>
      <c r="T256" s="3">
        <f t="shared" si="54"/>
        <v>-2140.1198403280296</v>
      </c>
      <c r="U256" s="1"/>
      <c r="V256" s="1"/>
      <c r="W256" s="3">
        <v>0</v>
      </c>
      <c r="X256" s="3"/>
      <c r="Y256" s="3">
        <f t="shared" si="51"/>
        <v>0</v>
      </c>
      <c r="Z256" s="3"/>
      <c r="AA256" s="3">
        <v>0</v>
      </c>
      <c r="AB256" s="5"/>
      <c r="AC256" s="3">
        <f t="shared" si="52"/>
        <v>0</v>
      </c>
      <c r="AE256" s="9"/>
      <c r="AF256" s="9"/>
      <c r="AH256" s="8"/>
      <c r="AJ256" s="1"/>
      <c r="AK256" s="1"/>
      <c r="AL256" s="1"/>
      <c r="AM256" s="1"/>
      <c r="AN256" s="1"/>
      <c r="AO256" s="3">
        <v>-2094.3730601398206</v>
      </c>
      <c r="AP256" s="1"/>
      <c r="AQ256" s="1"/>
      <c r="AR256" s="1"/>
      <c r="AS256" s="1"/>
      <c r="AT256" s="1"/>
      <c r="AU256" s="1"/>
      <c r="AV256" s="1"/>
      <c r="AW256" s="1"/>
      <c r="AX256" s="1"/>
    </row>
    <row r="257" spans="1:50" s="2" customFormat="1" x14ac:dyDescent="0.3">
      <c r="A257" s="1"/>
      <c r="B257" s="1">
        <f t="shared" ca="1" si="48"/>
        <v>232</v>
      </c>
      <c r="C257" s="1"/>
      <c r="D257" s="1" t="s">
        <v>344</v>
      </c>
      <c r="E257" s="1"/>
      <c r="F257" s="1" t="str">
        <f>+INDEX('Exh. BGM-3 (2)'!$10:$10,1,MATCH($D257,'Exh. BGM-3 (2)'!$4:$4,0))</f>
        <v>OPEN 3</v>
      </c>
      <c r="I257" s="3">
        <v>0</v>
      </c>
      <c r="J257" s="3"/>
      <c r="K257" s="3">
        <v>0</v>
      </c>
      <c r="L257" s="3"/>
      <c r="M257" s="3">
        <f t="shared" si="53"/>
        <v>0</v>
      </c>
      <c r="O257" s="1"/>
      <c r="P257" s="3">
        <f t="shared" si="49"/>
        <v>0</v>
      </c>
      <c r="Q257" s="3"/>
      <c r="R257" s="3">
        <f t="shared" si="50"/>
        <v>0</v>
      </c>
      <c r="S257" s="3"/>
      <c r="T257" s="3">
        <f t="shared" si="54"/>
        <v>0</v>
      </c>
      <c r="U257" s="1"/>
      <c r="V257" s="1"/>
      <c r="W257" s="3">
        <v>0</v>
      </c>
      <c r="X257" s="3"/>
      <c r="Y257" s="3">
        <f t="shared" si="51"/>
        <v>0</v>
      </c>
      <c r="Z257" s="3"/>
      <c r="AA257" s="3">
        <v>0</v>
      </c>
      <c r="AB257" s="5"/>
      <c r="AC257" s="3">
        <f t="shared" si="52"/>
        <v>0</v>
      </c>
      <c r="AE257" s="9"/>
      <c r="AF257" s="9"/>
      <c r="AH257" s="8"/>
      <c r="AJ257" s="1"/>
      <c r="AK257" s="1"/>
      <c r="AL257" s="1"/>
      <c r="AM257" s="1"/>
      <c r="AN257" s="1"/>
      <c r="AO257" s="3">
        <v>0</v>
      </c>
      <c r="AP257" s="1"/>
      <c r="AQ257" s="1"/>
      <c r="AR257" s="1"/>
      <c r="AS257" s="1"/>
      <c r="AT257" s="1"/>
      <c r="AU257" s="1"/>
      <c r="AV257" s="1"/>
      <c r="AW257" s="1"/>
      <c r="AX257" s="1"/>
    </row>
    <row r="258" spans="1:50" x14ac:dyDescent="0.3">
      <c r="B258" s="1">
        <f t="shared" ca="1" si="48"/>
        <v>233</v>
      </c>
      <c r="D258" s="1" t="s">
        <v>345</v>
      </c>
      <c r="F258" s="1" t="str">
        <f>+INDEX('Exh. BGM-3 (2)'!$10:$10,1,MATCH($D258,'Exh. BGM-3 (2)'!$4:$4,0))</f>
        <v>MONETIZE PTCS FOR COLSTRIP</v>
      </c>
      <c r="I258" s="3">
        <v>0</v>
      </c>
      <c r="J258" s="3"/>
      <c r="K258" s="3">
        <v>0</v>
      </c>
      <c r="L258" s="3"/>
      <c r="M258" s="3">
        <f t="shared" si="53"/>
        <v>0</v>
      </c>
      <c r="P258" s="3">
        <f t="shared" si="49"/>
        <v>0</v>
      </c>
      <c r="Q258" s="3"/>
      <c r="R258" s="3">
        <f t="shared" si="50"/>
        <v>0</v>
      </c>
      <c r="S258" s="3"/>
      <c r="T258" s="3">
        <f t="shared" si="54"/>
        <v>0</v>
      </c>
      <c r="W258" s="3">
        <v>0</v>
      </c>
      <c r="X258" s="3"/>
      <c r="Y258" s="3">
        <f t="shared" si="51"/>
        <v>0</v>
      </c>
      <c r="Z258" s="3"/>
      <c r="AA258" s="3">
        <v>0</v>
      </c>
      <c r="AB258" s="5"/>
      <c r="AC258" s="3">
        <f t="shared" si="52"/>
        <v>0</v>
      </c>
      <c r="AE258" s="9"/>
      <c r="AF258" s="9"/>
      <c r="AH258" s="8"/>
      <c r="AO258" s="3">
        <v>0</v>
      </c>
    </row>
    <row r="259" spans="1:50" s="2" customFormat="1" x14ac:dyDescent="0.3">
      <c r="A259" s="1"/>
      <c r="B259" s="1">
        <f t="shared" ca="1" si="48"/>
        <v>234</v>
      </c>
      <c r="C259" s="1"/>
      <c r="D259" s="1" t="s">
        <v>346</v>
      </c>
      <c r="E259" s="1"/>
      <c r="F259" s="1" t="str">
        <f>+INDEX('Exh. BGM-3 (2)'!$10:$10,1,MATCH($D259,'Exh. BGM-3 (2)'!$4:$4,0))</f>
        <v>ACQUISITION ADJUSTMENT</v>
      </c>
      <c r="I259" s="3">
        <v>0</v>
      </c>
      <c r="J259" s="3"/>
      <c r="K259" s="3">
        <v>-5761.4931600000191</v>
      </c>
      <c r="L259" s="3"/>
      <c r="M259" s="3">
        <f t="shared" si="53"/>
        <v>-551.37203516956947</v>
      </c>
      <c r="O259" s="1"/>
      <c r="P259" s="3">
        <f t="shared" si="49"/>
        <v>0</v>
      </c>
      <c r="Q259" s="3"/>
      <c r="R259" s="3">
        <f t="shared" si="50"/>
        <v>-5761.4931600000191</v>
      </c>
      <c r="S259" s="3"/>
      <c r="T259" s="3">
        <f t="shared" si="54"/>
        <v>-551.37203516956947</v>
      </c>
      <c r="U259" s="1"/>
      <c r="V259" s="1"/>
      <c r="W259" s="3">
        <v>0</v>
      </c>
      <c r="X259" s="3"/>
      <c r="Y259" s="3">
        <f t="shared" si="51"/>
        <v>0</v>
      </c>
      <c r="Z259" s="3"/>
      <c r="AA259" s="3">
        <v>0</v>
      </c>
      <c r="AB259" s="5"/>
      <c r="AC259" s="3">
        <f t="shared" si="52"/>
        <v>0</v>
      </c>
      <c r="AE259" s="9"/>
      <c r="AF259" s="9"/>
      <c r="AH259" s="8"/>
      <c r="AJ259" s="1"/>
      <c r="AK259" s="1"/>
      <c r="AL259" s="1"/>
      <c r="AM259" s="1"/>
      <c r="AN259" s="1"/>
      <c r="AO259" s="3">
        <v>-569.75110300855499</v>
      </c>
      <c r="AP259" s="1"/>
      <c r="AQ259" s="1"/>
      <c r="AR259" s="1"/>
      <c r="AS259" s="1"/>
      <c r="AT259" s="1"/>
      <c r="AU259" s="1"/>
      <c r="AV259" s="1"/>
      <c r="AW259" s="1"/>
      <c r="AX259" s="1"/>
    </row>
    <row r="260" spans="1:50" s="2" customFormat="1" x14ac:dyDescent="0.3">
      <c r="A260" s="1"/>
      <c r="B260" s="222">
        <f t="shared" ca="1" si="48"/>
        <v>235</v>
      </c>
      <c r="C260" s="222"/>
      <c r="D260" s="222" t="s">
        <v>1018</v>
      </c>
      <c r="E260" s="222"/>
      <c r="F260" s="222" t="str">
        <f>+INDEX('Exh. BGM-3 (2)'!$10:$10,1,MATCH($D260,'Exh. BGM-3 (2)'!$4:$4,0))</f>
        <v>CAPITAL PRIORITIZATION</v>
      </c>
      <c r="G260" s="225"/>
      <c r="H260" s="225"/>
      <c r="I260" s="226">
        <v>0</v>
      </c>
      <c r="J260" s="226"/>
      <c r="K260" s="226">
        <v>0</v>
      </c>
      <c r="L260" s="226"/>
      <c r="M260" s="226">
        <f t="shared" ref="M260:M261" si="57">+($K260*$AL$16-$I260)/$AJ$4</f>
        <v>0</v>
      </c>
      <c r="N260" s="225"/>
      <c r="O260" s="222"/>
      <c r="P260" s="226">
        <f t="shared" si="49"/>
        <v>4844.4547052281296</v>
      </c>
      <c r="Q260" s="226"/>
      <c r="R260" s="226">
        <f t="shared" si="50"/>
        <v>-158860.22757196863</v>
      </c>
      <c r="S260" s="226"/>
      <c r="T260" s="226">
        <f t="shared" ref="T260:T261" si="58">+($R260*$AL$16-$P260)/$AJ$4</f>
        <v>-21641.8992236509</v>
      </c>
      <c r="U260" s="222"/>
      <c r="V260" s="222"/>
      <c r="W260" s="226">
        <f>-'Exh. BGM-3 (2)'!IC35/1000</f>
        <v>6132.2211458583915</v>
      </c>
      <c r="X260" s="226"/>
      <c r="Y260" s="226">
        <f t="shared" si="51"/>
        <v>4844.4547052281296</v>
      </c>
      <c r="Z260" s="226"/>
      <c r="AA260" s="226">
        <f>+'Exh. BGM-3 (2)'!IC57/1000</f>
        <v>-158860.22757196863</v>
      </c>
      <c r="AB260" s="227"/>
      <c r="AC260" s="226">
        <f t="shared" si="52"/>
        <v>-21641.8992236509</v>
      </c>
      <c r="AE260" s="253" t="s">
        <v>1026</v>
      </c>
      <c r="AH260" s="8"/>
      <c r="AJ260" s="1"/>
      <c r="AK260" s="1"/>
      <c r="AL260" s="1"/>
      <c r="AM260" s="1"/>
      <c r="AN260" s="1"/>
      <c r="AO260" s="4"/>
      <c r="AP260" s="1"/>
      <c r="AQ260" s="1"/>
      <c r="AR260" s="1"/>
      <c r="AS260" s="1"/>
      <c r="AT260" s="1"/>
      <c r="AU260" s="1"/>
      <c r="AV260" s="1"/>
      <c r="AW260" s="1"/>
      <c r="AX260" s="1"/>
    </row>
    <row r="261" spans="1:50" s="2" customFormat="1" x14ac:dyDescent="0.3">
      <c r="A261" s="1"/>
      <c r="B261" s="222">
        <f t="shared" ca="1" si="48"/>
        <v>236</v>
      </c>
      <c r="C261" s="222"/>
      <c r="D261" s="222" t="s">
        <v>1047</v>
      </c>
      <c r="E261" s="222"/>
      <c r="F261" s="222" t="str">
        <f>+INDEX('Exh. BGM-3 (2)'!$10:$10,1,MATCH($D261,'Exh. BGM-3 (2)'!$4:$4,0))</f>
        <v>DIRECTORS' FEES</v>
      </c>
      <c r="G261" s="225"/>
      <c r="H261" s="225"/>
      <c r="I261" s="226">
        <v>0</v>
      </c>
      <c r="J261" s="226"/>
      <c r="K261" s="226">
        <v>0</v>
      </c>
      <c r="L261" s="226"/>
      <c r="M261" s="226">
        <f t="shared" si="57"/>
        <v>0</v>
      </c>
      <c r="N261" s="225"/>
      <c r="O261" s="222"/>
      <c r="P261" s="226">
        <f t="shared" ref="P261" si="59">+I261+Y261</f>
        <v>0.38394</v>
      </c>
      <c r="Q261" s="226"/>
      <c r="R261" s="226">
        <f t="shared" ref="R261" si="60">+K261+AA261</f>
        <v>0</v>
      </c>
      <c r="S261" s="226"/>
      <c r="T261" s="226">
        <f t="shared" si="58"/>
        <v>-0.51031760272743587</v>
      </c>
      <c r="U261" s="222"/>
      <c r="V261" s="222"/>
      <c r="W261" s="226">
        <f>-'A2 (Dir. Fees)'!Y11/1000</f>
        <v>0.48599999999999999</v>
      </c>
      <c r="X261" s="226"/>
      <c r="Y261" s="226">
        <f t="shared" ref="Y261" si="61">+W261*(1-$AJ$5)</f>
        <v>0.38394</v>
      </c>
      <c r="Z261" s="226"/>
      <c r="AA261" s="226">
        <f>+'Exh. BGM-3 (2)'!IC58/1000</f>
        <v>0</v>
      </c>
      <c r="AB261" s="227"/>
      <c r="AC261" s="226">
        <f t="shared" ref="AC261" si="62">+T261-M261</f>
        <v>-0.51031760272743587</v>
      </c>
      <c r="AE261" s="253" t="s">
        <v>1026</v>
      </c>
      <c r="AH261" s="8"/>
      <c r="AJ261" s="1"/>
      <c r="AK261" s="1"/>
      <c r="AL261" s="1"/>
      <c r="AM261" s="1"/>
      <c r="AN261" s="1"/>
      <c r="AO261" s="4"/>
      <c r="AP261" s="1"/>
      <c r="AQ261" s="1"/>
      <c r="AR261" s="1"/>
      <c r="AS261" s="1"/>
      <c r="AT261" s="1"/>
      <c r="AU261" s="1"/>
      <c r="AV261" s="1"/>
      <c r="AW261" s="1"/>
      <c r="AX261" s="1"/>
    </row>
    <row r="262" spans="1:50" s="2" customFormat="1" x14ac:dyDescent="0.3">
      <c r="A262" s="1"/>
      <c r="B262" s="1"/>
      <c r="C262" s="1"/>
      <c r="D262" s="1"/>
      <c r="E262" s="1"/>
      <c r="F262" s="1"/>
      <c r="I262" s="1"/>
      <c r="J262" s="1"/>
      <c r="K262" s="1"/>
      <c r="L262" s="1"/>
      <c r="M262" s="4"/>
      <c r="O262" s="1"/>
      <c r="P262" s="1"/>
      <c r="Q262" s="1"/>
      <c r="R262" s="1"/>
      <c r="S262" s="1"/>
      <c r="T262" s="1"/>
      <c r="U262" s="1"/>
      <c r="V262" s="1"/>
      <c r="AH262" s="8"/>
      <c r="AJ262" s="1"/>
      <c r="AK262" s="1"/>
      <c r="AL262" s="1"/>
      <c r="AM262" s="1"/>
      <c r="AN262" s="1"/>
      <c r="AO262" s="4"/>
      <c r="AP262" s="1"/>
      <c r="AQ262" s="1"/>
      <c r="AR262" s="1"/>
      <c r="AS262" s="1"/>
      <c r="AT262" s="1"/>
      <c r="AU262" s="1"/>
      <c r="AV262" s="1"/>
      <c r="AW262" s="1"/>
      <c r="AX262" s="1"/>
    </row>
    <row r="263" spans="1:50" x14ac:dyDescent="0.3">
      <c r="C263" s="7"/>
      <c r="D263" s="11"/>
      <c r="E263" s="7"/>
      <c r="I263" s="14"/>
      <c r="J263" s="6"/>
      <c r="K263" s="14"/>
      <c r="L263" s="6"/>
      <c r="M263" s="14"/>
      <c r="O263" s="7"/>
      <c r="P263" s="14"/>
      <c r="Q263" s="6"/>
      <c r="R263" s="14"/>
      <c r="S263" s="6"/>
      <c r="T263" s="14"/>
      <c r="W263" s="14"/>
      <c r="X263" s="1"/>
      <c r="Y263" s="14"/>
      <c r="Z263" s="6"/>
      <c r="AA263" s="14"/>
      <c r="AB263" s="6"/>
      <c r="AC263" s="13"/>
      <c r="AE263" s="9"/>
      <c r="AF263" s="9"/>
      <c r="AH263" s="8"/>
      <c r="AO263" s="14"/>
    </row>
    <row r="264" spans="1:50" ht="13.5" thickBot="1" x14ac:dyDescent="0.35">
      <c r="B264" s="1">
        <f ca="1">+MAX(OFFSET($B$7,0,0,ROW($B264)-ROW($B$7),1))+1</f>
        <v>237</v>
      </c>
      <c r="D264" s="11"/>
      <c r="F264" s="7" t="s">
        <v>395</v>
      </c>
      <c r="I264" s="12">
        <f>+SUM(I210:I263)</f>
        <v>153070.84041360384</v>
      </c>
      <c r="J264" s="3"/>
      <c r="K264" s="12">
        <f>+SUM(K210:K263)</f>
        <v>6028296.6401346512</v>
      </c>
      <c r="L264" s="3"/>
      <c r="M264" s="12">
        <f t="shared" ref="M264" si="63">+($K264*$AL$31-$I264)/$AJ$4</f>
        <v>373449.39247574756</v>
      </c>
      <c r="P264" s="12">
        <f>+SUM(P210:P263)</f>
        <v>222894.14984659621</v>
      </c>
      <c r="Q264" s="3"/>
      <c r="R264" s="12">
        <f>+SUM(R210:R263)</f>
        <v>5699959.4834792092</v>
      </c>
      <c r="S264" s="3"/>
      <c r="T264" s="12">
        <f t="shared" ref="T264" si="64">+($R264*$AL$31-$P264)/$AJ$4</f>
        <v>249221.35556207766</v>
      </c>
      <c r="W264" s="12">
        <f>+SUM(W210:W263)</f>
        <v>90530.532726204445</v>
      </c>
      <c r="X264" s="5"/>
      <c r="Y264" s="12">
        <f>+SUM(Y210:Y263)</f>
        <v>69823.309432992362</v>
      </c>
      <c r="Z264" s="3"/>
      <c r="AA264" s="12">
        <f>+SUM(AA210:AA263)</f>
        <v>-328337.15665543987</v>
      </c>
      <c r="AB264" s="3"/>
      <c r="AC264" s="12">
        <f>+SUM(AC210:AC263)</f>
        <v>-124228.0369136698</v>
      </c>
      <c r="AE264" s="9"/>
      <c r="AF264" s="9"/>
      <c r="AH264" s="8"/>
      <c r="AL264" s="3"/>
      <c r="AO264" s="12">
        <v>392679.55900128826</v>
      </c>
      <c r="AP264" s="3">
        <f>+M264-AO264</f>
        <v>-19230.166525540699</v>
      </c>
    </row>
    <row r="265" spans="1:50" ht="13.5" thickTop="1" x14ac:dyDescent="0.3">
      <c r="D265" s="11"/>
      <c r="F265" s="7"/>
      <c r="I265" s="134"/>
      <c r="J265" s="3"/>
      <c r="K265" s="134"/>
      <c r="L265" s="3"/>
      <c r="M265" s="134"/>
      <c r="P265" s="134"/>
      <c r="Q265" s="3"/>
      <c r="R265" s="201"/>
      <c r="S265" s="202" t="s">
        <v>671</v>
      </c>
      <c r="T265" s="201">
        <f>+T264-'Exh. BGM-3 (2)'!IH70/1000</f>
        <v>6.1118043959140778E-10</v>
      </c>
      <c r="W265" s="134"/>
      <c r="X265" s="5"/>
      <c r="Y265" s="134"/>
      <c r="Z265" s="3"/>
      <c r="AA265" s="134"/>
      <c r="AB265" s="3"/>
      <c r="AC265" s="134"/>
      <c r="AE265" s="9"/>
      <c r="AF265" s="9"/>
      <c r="AH265" s="8"/>
      <c r="AL265" s="3"/>
      <c r="AO265" s="134"/>
    </row>
    <row r="266" spans="1:50" s="2" customFormat="1" x14ac:dyDescent="0.3">
      <c r="A266" s="1"/>
      <c r="B266" s="15" t="s">
        <v>406</v>
      </c>
      <c r="C266" s="1"/>
      <c r="D266" s="1"/>
      <c r="E266" s="1"/>
      <c r="F266" s="1"/>
      <c r="I266" s="1"/>
      <c r="J266" s="1"/>
      <c r="K266" s="1"/>
      <c r="L266" s="1"/>
      <c r="M266" s="3"/>
      <c r="O266" s="1"/>
      <c r="P266" s="1"/>
      <c r="Q266" s="1"/>
      <c r="R266" s="1"/>
      <c r="S266" s="1"/>
      <c r="T266" s="1"/>
      <c r="U266" s="1"/>
      <c r="V266" s="1"/>
      <c r="AH266" s="8"/>
      <c r="AJ266" s="1"/>
      <c r="AK266" s="1"/>
      <c r="AL266" s="1"/>
      <c r="AM266" s="1"/>
      <c r="AN266" s="1"/>
      <c r="AO266" s="3"/>
      <c r="AP266" s="1"/>
      <c r="AQ266" s="1"/>
      <c r="AR266" s="1"/>
      <c r="AS266" s="1"/>
      <c r="AT266" s="1"/>
      <c r="AU266" s="1"/>
      <c r="AV266" s="1"/>
      <c r="AW266" s="1"/>
      <c r="AX266" s="1"/>
    </row>
    <row r="267" spans="1:50" s="2" customFormat="1" x14ac:dyDescent="0.3">
      <c r="A267" s="1"/>
      <c r="B267" s="1">
        <f t="shared" ref="B267:B316" ca="1" si="65">+MAX(OFFSET($B$7,0,0,ROW($B267)-ROW($B$7),1))+1</f>
        <v>238</v>
      </c>
      <c r="C267" s="1"/>
      <c r="D267" s="1" t="s">
        <v>347</v>
      </c>
      <c r="E267" s="1"/>
      <c r="F267" s="1" t="str">
        <f>+INDEX('Exh. BGM-3 (2)'!$10:$10,1,MATCH($D267,'Exh. BGM-3 (2)'!$4:$4,0))</f>
        <v>REVENUES AND EXPENSES</v>
      </c>
      <c r="I267" s="3">
        <v>4769.4090190590605</v>
      </c>
      <c r="J267" s="3"/>
      <c r="K267" s="3">
        <v>0</v>
      </c>
      <c r="L267" s="3"/>
      <c r="M267" s="3">
        <f>+($K267*$AL$46-$I267)/$AJ$4</f>
        <v>-6339.3066026796669</v>
      </c>
      <c r="O267" s="1"/>
      <c r="P267" s="3">
        <f t="shared" ref="P267" si="66">+I267+Y267</f>
        <v>4769.4090190590605</v>
      </c>
      <c r="Q267" s="3"/>
      <c r="R267" s="3">
        <f t="shared" ref="R267" si="67">+K267+AA267</f>
        <v>0</v>
      </c>
      <c r="S267" s="3"/>
      <c r="T267" s="3">
        <f>+($R267*$AL$46-$P267)/$AJ$4</f>
        <v>-6339.3066026796669</v>
      </c>
      <c r="U267" s="1"/>
      <c r="V267" s="1"/>
      <c r="W267" s="3">
        <v>0</v>
      </c>
      <c r="X267" s="3"/>
      <c r="Y267" s="3">
        <f t="shared" ref="Y267:Y316" si="68">+W267*(1-$AJ$5)</f>
        <v>0</v>
      </c>
      <c r="Z267" s="3"/>
      <c r="AA267" s="3">
        <v>0</v>
      </c>
      <c r="AB267" s="5"/>
      <c r="AC267" s="3">
        <f t="shared" ref="AC267:AC316" si="69">+T267-M267</f>
        <v>0</v>
      </c>
      <c r="AE267" s="9"/>
      <c r="AF267" s="9"/>
      <c r="AH267" s="8"/>
      <c r="AJ267" s="1"/>
      <c r="AK267" s="1"/>
      <c r="AL267" s="1"/>
      <c r="AM267" s="1"/>
      <c r="AN267" s="1"/>
      <c r="AO267" s="3">
        <v>-6339.3066026796669</v>
      </c>
      <c r="AP267" s="1"/>
      <c r="AQ267" s="1"/>
      <c r="AR267" s="1"/>
      <c r="AS267" s="1"/>
      <c r="AT267" s="1"/>
      <c r="AU267" s="1"/>
      <c r="AV267" s="1"/>
      <c r="AW267" s="1"/>
      <c r="AX267" s="1"/>
    </row>
    <row r="268" spans="1:50" s="2" customFormat="1" x14ac:dyDescent="0.3">
      <c r="A268" s="1"/>
      <c r="B268" s="1">
        <f t="shared" ca="1" si="65"/>
        <v>239</v>
      </c>
      <c r="C268" s="1"/>
      <c r="D268" s="1" t="s">
        <v>348</v>
      </c>
      <c r="E268" s="1"/>
      <c r="F268" s="1" t="str">
        <f>+INDEX('Exh. BGM-3 (2)'!$10:$10,1,MATCH($D268,'Exh. BGM-3 (2)'!$4:$4,0))</f>
        <v>PASS-THROUGH REVENUE &amp; EXPENSE</v>
      </c>
      <c r="I268" s="3">
        <v>0</v>
      </c>
      <c r="J268" s="3"/>
      <c r="K268" s="3">
        <v>0</v>
      </c>
      <c r="L268" s="3"/>
      <c r="M268" s="3">
        <f t="shared" ref="M268:M314" si="70">+($K268*$AL$46-$I268)/$AJ$4</f>
        <v>0</v>
      </c>
      <c r="O268" s="1"/>
      <c r="P268" s="3">
        <f t="shared" ref="P268:P316" si="71">+I268+Y268</f>
        <v>0</v>
      </c>
      <c r="Q268" s="3"/>
      <c r="R268" s="3">
        <f t="shared" ref="R268:R316" si="72">+K268+AA268</f>
        <v>0</v>
      </c>
      <c r="S268" s="3"/>
      <c r="T268" s="3">
        <f t="shared" ref="T268:T314" si="73">+($R268*$AL$46-$P268)/$AJ$4</f>
        <v>0</v>
      </c>
      <c r="U268" s="1"/>
      <c r="V268" s="1"/>
      <c r="W268" s="3">
        <v>0</v>
      </c>
      <c r="X268" s="3"/>
      <c r="Y268" s="3">
        <f t="shared" si="68"/>
        <v>0</v>
      </c>
      <c r="Z268" s="3"/>
      <c r="AA268" s="3">
        <v>0</v>
      </c>
      <c r="AB268" s="5"/>
      <c r="AC268" s="3">
        <f t="shared" si="69"/>
        <v>0</v>
      </c>
      <c r="AE268" s="9"/>
      <c r="AF268" s="9"/>
      <c r="AH268" s="8"/>
      <c r="AJ268" s="1"/>
      <c r="AK268" s="1"/>
      <c r="AL268" s="1"/>
      <c r="AM268" s="1"/>
      <c r="AN268" s="1"/>
      <c r="AO268" s="3">
        <v>0</v>
      </c>
      <c r="AP268" s="1"/>
      <c r="AQ268" s="1"/>
      <c r="AR268" s="1"/>
      <c r="AS268" s="1"/>
      <c r="AT268" s="1"/>
      <c r="AU268" s="1"/>
      <c r="AV268" s="1"/>
      <c r="AW268" s="1"/>
      <c r="AX268" s="1"/>
    </row>
    <row r="269" spans="1:50" x14ac:dyDescent="0.3">
      <c r="B269" s="1">
        <f t="shared" ca="1" si="65"/>
        <v>240</v>
      </c>
      <c r="D269" s="1" t="s">
        <v>349</v>
      </c>
      <c r="F269" s="1" t="str">
        <f>+INDEX('Exh. BGM-3 (2)'!$10:$10,1,MATCH($D269,'Exh. BGM-3 (2)'!$4:$4,0))</f>
        <v>TEMPERATURE NORMALIZATION</v>
      </c>
      <c r="I269" s="3">
        <v>0</v>
      </c>
      <c r="J269" s="3"/>
      <c r="K269" s="3">
        <v>0</v>
      </c>
      <c r="L269" s="3"/>
      <c r="M269" s="3">
        <f t="shared" si="70"/>
        <v>0</v>
      </c>
      <c r="P269" s="3">
        <f t="shared" si="71"/>
        <v>0</v>
      </c>
      <c r="Q269" s="3"/>
      <c r="R269" s="3">
        <f t="shared" si="72"/>
        <v>0</v>
      </c>
      <c r="S269" s="3"/>
      <c r="T269" s="3">
        <f t="shared" si="73"/>
        <v>0</v>
      </c>
      <c r="W269" s="3">
        <v>0</v>
      </c>
      <c r="X269" s="3"/>
      <c r="Y269" s="3">
        <f t="shared" si="68"/>
        <v>0</v>
      </c>
      <c r="Z269" s="3"/>
      <c r="AA269" s="3">
        <v>0</v>
      </c>
      <c r="AB269" s="5"/>
      <c r="AC269" s="3">
        <f t="shared" si="69"/>
        <v>0</v>
      </c>
      <c r="AE269" s="9"/>
      <c r="AF269" s="9"/>
      <c r="AH269" s="8"/>
      <c r="AO269" s="3">
        <v>0</v>
      </c>
    </row>
    <row r="270" spans="1:50" x14ac:dyDescent="0.3">
      <c r="B270" s="1">
        <f t="shared" ca="1" si="65"/>
        <v>241</v>
      </c>
      <c r="D270" s="1" t="s">
        <v>350</v>
      </c>
      <c r="F270" s="1" t="str">
        <f>+INDEX('Exh. BGM-3 (2)'!$10:$10,1,MATCH($D270,'Exh. BGM-3 (2)'!$4:$4,0))</f>
        <v>FEDERAL INCOME TAX</v>
      </c>
      <c r="I270" s="3">
        <v>553.81845254800305</v>
      </c>
      <c r="J270" s="3"/>
      <c r="K270" s="3">
        <v>20837.437957287817</v>
      </c>
      <c r="L270" s="3"/>
      <c r="M270" s="3">
        <f t="shared" si="70"/>
        <v>1258.0192600258122</v>
      </c>
      <c r="P270" s="3">
        <f t="shared" si="71"/>
        <v>553.81845254800305</v>
      </c>
      <c r="Q270" s="3"/>
      <c r="R270" s="3">
        <f t="shared" si="72"/>
        <v>20837.437957287817</v>
      </c>
      <c r="S270" s="3"/>
      <c r="T270" s="3">
        <f t="shared" si="73"/>
        <v>1258.0192600258122</v>
      </c>
      <c r="W270" s="3">
        <v>0</v>
      </c>
      <c r="X270" s="3"/>
      <c r="Y270" s="3">
        <f t="shared" si="68"/>
        <v>0</v>
      </c>
      <c r="Z270" s="3"/>
      <c r="AA270" s="3">
        <v>0</v>
      </c>
      <c r="AB270" s="5"/>
      <c r="AC270" s="3">
        <f t="shared" si="69"/>
        <v>0</v>
      </c>
      <c r="AE270" s="9"/>
      <c r="AF270" s="9"/>
      <c r="AH270" s="8"/>
      <c r="AO270" s="3">
        <v>1338.3384844293644</v>
      </c>
    </row>
    <row r="271" spans="1:50" x14ac:dyDescent="0.3">
      <c r="B271" s="222">
        <f t="shared" ca="1" si="65"/>
        <v>242</v>
      </c>
      <c r="C271" s="222"/>
      <c r="D271" s="222" t="s">
        <v>351</v>
      </c>
      <c r="E271" s="222"/>
      <c r="F271" s="222" t="str">
        <f>+INDEX('Exh. BGM-3 (2)'!$10:$10,1,MATCH($D271,'Exh. BGM-3 (2)'!$4:$4,0))</f>
        <v>TAX BENEFIT OF INTEREST</v>
      </c>
      <c r="G271" s="225"/>
      <c r="H271" s="225"/>
      <c r="I271" s="226">
        <v>2201.7216329558119</v>
      </c>
      <c r="J271" s="226"/>
      <c r="K271" s="226">
        <v>0</v>
      </c>
      <c r="L271" s="226"/>
      <c r="M271" s="226">
        <f t="shared" si="70"/>
        <v>-2926.4398228971854</v>
      </c>
      <c r="N271" s="225"/>
      <c r="O271" s="222"/>
      <c r="P271" s="226">
        <f t="shared" si="71"/>
        <v>350.61369089476898</v>
      </c>
      <c r="Q271" s="226"/>
      <c r="R271" s="226">
        <f t="shared" si="72"/>
        <v>0</v>
      </c>
      <c r="S271" s="226"/>
      <c r="T271" s="226">
        <f t="shared" si="73"/>
        <v>-466.02161332717799</v>
      </c>
      <c r="U271" s="222"/>
      <c r="V271" s="222"/>
      <c r="W271" s="226">
        <v>0</v>
      </c>
      <c r="X271" s="226"/>
      <c r="Y271" s="226">
        <f>+SUM(AA272:AA316)*$AL$14*$AJ$5</f>
        <v>-1851.1079420610429</v>
      </c>
      <c r="Z271" s="226"/>
      <c r="AA271" s="226">
        <v>0</v>
      </c>
      <c r="AB271" s="227"/>
      <c r="AC271" s="226">
        <f t="shared" si="69"/>
        <v>2460.4182095700075</v>
      </c>
      <c r="AD271" s="225"/>
      <c r="AE271" s="232" t="s">
        <v>1065</v>
      </c>
      <c r="AF271" s="9"/>
      <c r="AH271" s="8"/>
      <c r="AO271" s="3">
        <v>-2926.4398228971854</v>
      </c>
    </row>
    <row r="272" spans="1:50" x14ac:dyDescent="0.3">
      <c r="B272" s="1">
        <f t="shared" ca="1" si="65"/>
        <v>243</v>
      </c>
      <c r="D272" s="1" t="s">
        <v>352</v>
      </c>
      <c r="F272" s="1" t="str">
        <f>+INDEX('Exh. BGM-3 (2)'!$10:$10,1,MATCH($D272,'Exh. BGM-3 (2)'!$4:$4,0))</f>
        <v>BAD DEBT EXPENSE</v>
      </c>
      <c r="I272" s="3">
        <v>0</v>
      </c>
      <c r="J272" s="3"/>
      <c r="K272" s="3">
        <v>0</v>
      </c>
      <c r="L272" s="3"/>
      <c r="M272" s="3">
        <f t="shared" si="70"/>
        <v>0</v>
      </c>
      <c r="P272" s="3">
        <f t="shared" si="71"/>
        <v>0</v>
      </c>
      <c r="Q272" s="3"/>
      <c r="R272" s="3">
        <f t="shared" si="72"/>
        <v>0</v>
      </c>
      <c r="S272" s="3"/>
      <c r="T272" s="3">
        <f t="shared" si="73"/>
        <v>0</v>
      </c>
      <c r="W272" s="3">
        <v>0</v>
      </c>
      <c r="X272" s="3"/>
      <c r="Y272" s="3">
        <f t="shared" si="68"/>
        <v>0</v>
      </c>
      <c r="Z272" s="3"/>
      <c r="AA272" s="3">
        <v>0</v>
      </c>
      <c r="AB272" s="5"/>
      <c r="AC272" s="3">
        <f t="shared" si="69"/>
        <v>0</v>
      </c>
      <c r="AE272" s="9"/>
      <c r="AF272" s="9"/>
      <c r="AH272" s="8"/>
      <c r="AO272" s="3">
        <v>0</v>
      </c>
    </row>
    <row r="273" spans="2:41" x14ac:dyDescent="0.3">
      <c r="B273" s="1">
        <f t="shared" ca="1" si="65"/>
        <v>244</v>
      </c>
      <c r="D273" s="1" t="s">
        <v>353</v>
      </c>
      <c r="F273" s="1" t="str">
        <f>+INDEX('Exh. BGM-3 (2)'!$10:$10,1,MATCH($D273,'Exh. BGM-3 (2)'!$4:$4,0))</f>
        <v>RATE CASE EXPENSE</v>
      </c>
      <c r="I273" s="3">
        <v>0</v>
      </c>
      <c r="J273" s="3"/>
      <c r="K273" s="3">
        <v>0</v>
      </c>
      <c r="L273" s="3"/>
      <c r="M273" s="3">
        <f t="shared" si="70"/>
        <v>0</v>
      </c>
      <c r="P273" s="3">
        <f t="shared" si="71"/>
        <v>0</v>
      </c>
      <c r="Q273" s="3"/>
      <c r="R273" s="3">
        <f t="shared" si="72"/>
        <v>0</v>
      </c>
      <c r="S273" s="3"/>
      <c r="T273" s="3">
        <f t="shared" si="73"/>
        <v>0</v>
      </c>
      <c r="W273" s="3">
        <v>0</v>
      </c>
      <c r="X273" s="3"/>
      <c r="Y273" s="3">
        <f t="shared" si="68"/>
        <v>0</v>
      </c>
      <c r="Z273" s="3"/>
      <c r="AA273" s="3">
        <v>0</v>
      </c>
      <c r="AB273" s="5"/>
      <c r="AC273" s="3">
        <f t="shared" si="69"/>
        <v>0</v>
      </c>
      <c r="AE273" s="9"/>
      <c r="AF273" s="9"/>
      <c r="AH273" s="8"/>
      <c r="AO273" s="3">
        <v>0</v>
      </c>
    </row>
    <row r="274" spans="2:41" x14ac:dyDescent="0.3">
      <c r="B274" s="1">
        <f t="shared" ca="1" si="65"/>
        <v>245</v>
      </c>
      <c r="D274" s="1" t="s">
        <v>354</v>
      </c>
      <c r="F274" s="1" t="str">
        <f>+INDEX('Exh. BGM-3 (2)'!$10:$10,1,MATCH($D274,'Exh. BGM-3 (2)'!$4:$4,0))</f>
        <v xml:space="preserve">EXCISE TAX </v>
      </c>
      <c r="I274" s="3">
        <v>0</v>
      </c>
      <c r="J274" s="3"/>
      <c r="K274" s="3">
        <v>0</v>
      </c>
      <c r="L274" s="3"/>
      <c r="M274" s="3">
        <f t="shared" si="70"/>
        <v>0</v>
      </c>
      <c r="P274" s="3">
        <f t="shared" si="71"/>
        <v>0</v>
      </c>
      <c r="Q274" s="3"/>
      <c r="R274" s="3">
        <f t="shared" si="72"/>
        <v>0</v>
      </c>
      <c r="S274" s="3"/>
      <c r="T274" s="3">
        <f t="shared" si="73"/>
        <v>0</v>
      </c>
      <c r="W274" s="3">
        <v>0</v>
      </c>
      <c r="X274" s="3"/>
      <c r="Y274" s="3">
        <f t="shared" si="68"/>
        <v>0</v>
      </c>
      <c r="Z274" s="3"/>
      <c r="AA274" s="3">
        <v>0</v>
      </c>
      <c r="AB274" s="5"/>
      <c r="AC274" s="3">
        <f t="shared" si="69"/>
        <v>0</v>
      </c>
      <c r="AE274" s="9"/>
      <c r="AF274" s="9"/>
      <c r="AH274" s="8"/>
      <c r="AO274" s="3">
        <v>0</v>
      </c>
    </row>
    <row r="275" spans="2:41" x14ac:dyDescent="0.3">
      <c r="B275" s="1">
        <f t="shared" ca="1" si="65"/>
        <v>246</v>
      </c>
      <c r="D275" s="1" t="s">
        <v>355</v>
      </c>
      <c r="F275" s="1" t="str">
        <f>+INDEX('Exh. BGM-3 (2)'!$10:$10,1,MATCH($D275,'Exh. BGM-3 (2)'!$4:$4,0))</f>
        <v>EMPLOYEE INSURANCE</v>
      </c>
      <c r="I275" s="3">
        <v>0</v>
      </c>
      <c r="J275" s="3"/>
      <c r="K275" s="3">
        <v>0</v>
      </c>
      <c r="L275" s="3"/>
      <c r="M275" s="3">
        <f t="shared" si="70"/>
        <v>0</v>
      </c>
      <c r="P275" s="3">
        <f t="shared" si="71"/>
        <v>0</v>
      </c>
      <c r="Q275" s="3"/>
      <c r="R275" s="3">
        <f t="shared" si="72"/>
        <v>0</v>
      </c>
      <c r="S275" s="3"/>
      <c r="T275" s="3">
        <f t="shared" si="73"/>
        <v>0</v>
      </c>
      <c r="W275" s="3">
        <v>0</v>
      </c>
      <c r="X275" s="3"/>
      <c r="Y275" s="3">
        <f t="shared" si="68"/>
        <v>0</v>
      </c>
      <c r="Z275" s="3"/>
      <c r="AA275" s="3">
        <v>0</v>
      </c>
      <c r="AB275" s="5"/>
      <c r="AC275" s="3">
        <f t="shared" si="69"/>
        <v>0</v>
      </c>
      <c r="AE275" s="9"/>
      <c r="AF275" s="9"/>
      <c r="AH275" s="8"/>
      <c r="AO275" s="3">
        <v>0</v>
      </c>
    </row>
    <row r="276" spans="2:41" x14ac:dyDescent="0.3">
      <c r="B276" s="1">
        <f t="shared" ca="1" si="65"/>
        <v>247</v>
      </c>
      <c r="D276" s="1" t="s">
        <v>356</v>
      </c>
      <c r="F276" s="1" t="str">
        <f>+INDEX('Exh. BGM-3 (2)'!$10:$10,1,MATCH($D276,'Exh. BGM-3 (2)'!$4:$4,0))</f>
        <v>INJURIES &amp; DAMAGES</v>
      </c>
      <c r="I276" s="3">
        <v>0</v>
      </c>
      <c r="J276" s="3"/>
      <c r="K276" s="3">
        <v>0</v>
      </c>
      <c r="L276" s="3"/>
      <c r="M276" s="3">
        <f t="shared" si="70"/>
        <v>0</v>
      </c>
      <c r="P276" s="3">
        <f t="shared" si="71"/>
        <v>0</v>
      </c>
      <c r="Q276" s="3"/>
      <c r="R276" s="3">
        <f t="shared" si="72"/>
        <v>0</v>
      </c>
      <c r="S276" s="3"/>
      <c r="T276" s="3">
        <f t="shared" si="73"/>
        <v>0</v>
      </c>
      <c r="W276" s="3">
        <v>0</v>
      </c>
      <c r="X276" s="3"/>
      <c r="Y276" s="3">
        <f t="shared" si="68"/>
        <v>0</v>
      </c>
      <c r="Z276" s="3"/>
      <c r="AA276" s="3">
        <v>0</v>
      </c>
      <c r="AB276" s="5"/>
      <c r="AC276" s="3">
        <f t="shared" si="69"/>
        <v>0</v>
      </c>
      <c r="AE276" s="9"/>
      <c r="AF276" s="9"/>
      <c r="AH276" s="8"/>
      <c r="AO276" s="3">
        <v>0</v>
      </c>
    </row>
    <row r="277" spans="2:41" x14ac:dyDescent="0.3">
      <c r="B277" s="1">
        <f t="shared" ca="1" si="65"/>
        <v>248</v>
      </c>
      <c r="D277" s="1" t="s">
        <v>357</v>
      </c>
      <c r="F277" s="1" t="str">
        <f>+INDEX('Exh. BGM-3 (2)'!$10:$10,1,MATCH($D277,'Exh. BGM-3 (2)'!$4:$4,0))</f>
        <v>INCENTIVE PAY</v>
      </c>
      <c r="I277" s="3">
        <v>-1982.5334266663087</v>
      </c>
      <c r="J277" s="3"/>
      <c r="K277" s="3">
        <v>0</v>
      </c>
      <c r="L277" s="3"/>
      <c r="M277" s="3">
        <f t="shared" si="70"/>
        <v>2635.1036766769794</v>
      </c>
      <c r="P277" s="3">
        <f t="shared" si="71"/>
        <v>-1982.5334266663087</v>
      </c>
      <c r="Q277" s="3"/>
      <c r="R277" s="3">
        <f t="shared" si="72"/>
        <v>0</v>
      </c>
      <c r="S277" s="3"/>
      <c r="T277" s="3">
        <f t="shared" si="73"/>
        <v>2635.1036766769794</v>
      </c>
      <c r="W277" s="3">
        <v>0</v>
      </c>
      <c r="X277" s="3"/>
      <c r="Y277" s="3">
        <f t="shared" si="68"/>
        <v>0</v>
      </c>
      <c r="Z277" s="3"/>
      <c r="AA277" s="3">
        <v>0</v>
      </c>
      <c r="AB277" s="5"/>
      <c r="AC277" s="3">
        <f t="shared" si="69"/>
        <v>0</v>
      </c>
      <c r="AE277" s="9"/>
      <c r="AF277" s="9"/>
      <c r="AH277" s="8"/>
      <c r="AO277" s="3">
        <v>2635.1036766769794</v>
      </c>
    </row>
    <row r="278" spans="2:41" x14ac:dyDescent="0.3">
      <c r="B278" s="1">
        <f t="shared" ca="1" si="65"/>
        <v>249</v>
      </c>
      <c r="D278" s="1" t="s">
        <v>358</v>
      </c>
      <c r="F278" s="1" t="str">
        <f>+INDEX('Exh. BGM-3 (2)'!$10:$10,1,MATCH($D278,'Exh. BGM-3 (2)'!$4:$4,0))</f>
        <v>INVESTMENT PLAN</v>
      </c>
      <c r="I278" s="3">
        <v>0</v>
      </c>
      <c r="J278" s="3"/>
      <c r="K278" s="3">
        <v>0</v>
      </c>
      <c r="L278" s="3"/>
      <c r="M278" s="3">
        <f t="shared" si="70"/>
        <v>0</v>
      </c>
      <c r="P278" s="3">
        <f t="shared" si="71"/>
        <v>0</v>
      </c>
      <c r="Q278" s="3"/>
      <c r="R278" s="3">
        <f t="shared" si="72"/>
        <v>0</v>
      </c>
      <c r="S278" s="3"/>
      <c r="T278" s="3">
        <f t="shared" si="73"/>
        <v>0</v>
      </c>
      <c r="W278" s="3">
        <v>0</v>
      </c>
      <c r="X278" s="3"/>
      <c r="Y278" s="3">
        <f t="shared" si="68"/>
        <v>0</v>
      </c>
      <c r="Z278" s="3"/>
      <c r="AA278" s="3">
        <v>0</v>
      </c>
      <c r="AB278" s="5"/>
      <c r="AC278" s="3">
        <f t="shared" si="69"/>
        <v>0</v>
      </c>
      <c r="AE278" s="9"/>
      <c r="AF278" s="9"/>
      <c r="AH278" s="8"/>
      <c r="AO278" s="3">
        <v>0</v>
      </c>
    </row>
    <row r="279" spans="2:41" x14ac:dyDescent="0.3">
      <c r="B279" s="1">
        <f t="shared" ca="1" si="65"/>
        <v>250</v>
      </c>
      <c r="D279" s="1" t="s">
        <v>359</v>
      </c>
      <c r="F279" s="1" t="str">
        <f>+INDEX('Exh. BGM-3 (2)'!$10:$10,1,MATCH($D279,'Exh. BGM-3 (2)'!$4:$4,0))</f>
        <v>INTEREST ON  CUSTOMER DEPOSITS</v>
      </c>
      <c r="I279" s="3">
        <v>0</v>
      </c>
      <c r="J279" s="3"/>
      <c r="K279" s="3">
        <v>0</v>
      </c>
      <c r="L279" s="3"/>
      <c r="M279" s="3">
        <f t="shared" si="70"/>
        <v>0</v>
      </c>
      <c r="P279" s="3">
        <f t="shared" si="71"/>
        <v>0</v>
      </c>
      <c r="Q279" s="3"/>
      <c r="R279" s="3">
        <f t="shared" si="72"/>
        <v>0</v>
      </c>
      <c r="S279" s="3"/>
      <c r="T279" s="3">
        <f t="shared" si="73"/>
        <v>0</v>
      </c>
      <c r="W279" s="3">
        <v>0</v>
      </c>
      <c r="X279" s="3"/>
      <c r="Y279" s="3">
        <f t="shared" si="68"/>
        <v>0</v>
      </c>
      <c r="Z279" s="3"/>
      <c r="AA279" s="3">
        <v>0</v>
      </c>
      <c r="AB279" s="5"/>
      <c r="AC279" s="3">
        <f t="shared" si="69"/>
        <v>0</v>
      </c>
      <c r="AE279" s="9"/>
      <c r="AF279" s="9"/>
      <c r="AH279" s="8"/>
      <c r="AO279" s="3">
        <v>0</v>
      </c>
    </row>
    <row r="280" spans="2:41" x14ac:dyDescent="0.3">
      <c r="B280" s="1">
        <f t="shared" ca="1" si="65"/>
        <v>251</v>
      </c>
      <c r="D280" s="1" t="s">
        <v>360</v>
      </c>
      <c r="F280" s="1" t="str">
        <f>+INDEX('Exh. BGM-3 (2)'!$10:$10,1,MATCH($D280,'Exh. BGM-3 (2)'!$4:$4,0))</f>
        <v>PROPERTY AND LIAB INSURANCE</v>
      </c>
      <c r="I280" s="3">
        <v>0</v>
      </c>
      <c r="J280" s="3"/>
      <c r="K280" s="3">
        <v>0</v>
      </c>
      <c r="L280" s="3"/>
      <c r="M280" s="3">
        <f t="shared" si="70"/>
        <v>0</v>
      </c>
      <c r="P280" s="3">
        <f t="shared" si="71"/>
        <v>0</v>
      </c>
      <c r="Q280" s="3"/>
      <c r="R280" s="3">
        <f t="shared" si="72"/>
        <v>0</v>
      </c>
      <c r="S280" s="3"/>
      <c r="T280" s="3">
        <f t="shared" si="73"/>
        <v>0</v>
      </c>
      <c r="W280" s="3">
        <v>0</v>
      </c>
      <c r="X280" s="3"/>
      <c r="Y280" s="3">
        <f t="shared" si="68"/>
        <v>0</v>
      </c>
      <c r="Z280" s="3"/>
      <c r="AA280" s="3">
        <v>0</v>
      </c>
      <c r="AB280" s="5"/>
      <c r="AC280" s="3">
        <f t="shared" si="69"/>
        <v>0</v>
      </c>
      <c r="AE280" s="9"/>
      <c r="AF280" s="9"/>
      <c r="AH280" s="8"/>
      <c r="AO280" s="3">
        <v>0</v>
      </c>
    </row>
    <row r="281" spans="2:41" x14ac:dyDescent="0.3">
      <c r="B281" s="1">
        <f t="shared" ca="1" si="65"/>
        <v>252</v>
      </c>
      <c r="D281" s="1" t="s">
        <v>361</v>
      </c>
      <c r="F281" s="1" t="str">
        <f>+INDEX('Exh. BGM-3 (2)'!$10:$10,1,MATCH($D281,'Exh. BGM-3 (2)'!$4:$4,0))</f>
        <v>DEFERRED GAINS AND LOSSES ON PROPERTY SALES</v>
      </c>
      <c r="I281" s="3">
        <v>0</v>
      </c>
      <c r="J281" s="3"/>
      <c r="K281" s="3">
        <v>0</v>
      </c>
      <c r="L281" s="3"/>
      <c r="M281" s="3">
        <f t="shared" si="70"/>
        <v>0</v>
      </c>
      <c r="P281" s="3">
        <f t="shared" si="71"/>
        <v>0</v>
      </c>
      <c r="Q281" s="3"/>
      <c r="R281" s="3">
        <f t="shared" si="72"/>
        <v>0</v>
      </c>
      <c r="S281" s="3"/>
      <c r="T281" s="3">
        <f t="shared" si="73"/>
        <v>0</v>
      </c>
      <c r="W281" s="3">
        <v>0</v>
      </c>
      <c r="X281" s="3"/>
      <c r="Y281" s="3">
        <f t="shared" si="68"/>
        <v>0</v>
      </c>
      <c r="Z281" s="3"/>
      <c r="AA281" s="3">
        <v>0</v>
      </c>
      <c r="AB281" s="5"/>
      <c r="AC281" s="3">
        <f t="shared" si="69"/>
        <v>0</v>
      </c>
      <c r="AE281" s="9"/>
      <c r="AF281" s="9"/>
      <c r="AH281" s="8"/>
      <c r="AO281" s="3">
        <v>0</v>
      </c>
    </row>
    <row r="282" spans="2:41" x14ac:dyDescent="0.3">
      <c r="B282" s="1">
        <f t="shared" ca="1" si="65"/>
        <v>253</v>
      </c>
      <c r="D282" s="1" t="s">
        <v>362</v>
      </c>
      <c r="F282" s="1" t="str">
        <f>+INDEX('Exh. BGM-3 (2)'!$10:$10,1,MATCH($D282,'Exh. BGM-3 (2)'!$4:$4,0))</f>
        <v>D&amp;O INSURANCE</v>
      </c>
      <c r="I282" s="3">
        <v>0</v>
      </c>
      <c r="J282" s="3"/>
      <c r="K282" s="3">
        <v>0</v>
      </c>
      <c r="L282" s="3"/>
      <c r="M282" s="3">
        <f t="shared" si="70"/>
        <v>0</v>
      </c>
      <c r="P282" s="3">
        <f t="shared" si="71"/>
        <v>0</v>
      </c>
      <c r="Q282" s="3"/>
      <c r="R282" s="3">
        <f t="shared" si="72"/>
        <v>0</v>
      </c>
      <c r="S282" s="3"/>
      <c r="T282" s="3">
        <f t="shared" si="73"/>
        <v>0</v>
      </c>
      <c r="W282" s="3">
        <v>0</v>
      </c>
      <c r="X282" s="3"/>
      <c r="Y282" s="3">
        <f t="shared" si="68"/>
        <v>0</v>
      </c>
      <c r="Z282" s="3"/>
      <c r="AA282" s="3">
        <v>0</v>
      </c>
      <c r="AB282" s="5"/>
      <c r="AC282" s="3">
        <f t="shared" si="69"/>
        <v>0</v>
      </c>
      <c r="AE282" s="9"/>
      <c r="AF282" s="9"/>
      <c r="AH282" s="8"/>
      <c r="AO282" s="3">
        <v>0</v>
      </c>
    </row>
    <row r="283" spans="2:41" x14ac:dyDescent="0.3">
      <c r="B283" s="1">
        <f t="shared" ca="1" si="65"/>
        <v>254</v>
      </c>
      <c r="D283" s="1" t="s">
        <v>363</v>
      </c>
      <c r="F283" s="1" t="str">
        <f>+INDEX('Exh. BGM-3 (2)'!$10:$10,1,MATCH($D283,'Exh. BGM-3 (2)'!$4:$4,0))</f>
        <v>PENSION PLAN</v>
      </c>
      <c r="I283" s="3">
        <v>0</v>
      </c>
      <c r="J283" s="3"/>
      <c r="K283" s="3">
        <v>0</v>
      </c>
      <c r="L283" s="3"/>
      <c r="M283" s="3">
        <f t="shared" si="70"/>
        <v>0</v>
      </c>
      <c r="P283" s="3">
        <f t="shared" si="71"/>
        <v>0</v>
      </c>
      <c r="Q283" s="3"/>
      <c r="R283" s="3">
        <f t="shared" si="72"/>
        <v>0</v>
      </c>
      <c r="S283" s="3"/>
      <c r="T283" s="3">
        <f t="shared" si="73"/>
        <v>0</v>
      </c>
      <c r="W283" s="3">
        <v>0</v>
      </c>
      <c r="X283" s="3"/>
      <c r="Y283" s="3">
        <f t="shared" si="68"/>
        <v>0</v>
      </c>
      <c r="Z283" s="3"/>
      <c r="AA283" s="3">
        <v>0</v>
      </c>
      <c r="AB283" s="5"/>
      <c r="AC283" s="3">
        <f t="shared" si="69"/>
        <v>0</v>
      </c>
      <c r="AE283" s="9"/>
      <c r="AF283" s="9"/>
      <c r="AH283" s="8"/>
      <c r="AO283" s="3">
        <v>0</v>
      </c>
    </row>
    <row r="284" spans="2:41" x14ac:dyDescent="0.3">
      <c r="B284" s="1">
        <f t="shared" ca="1" si="65"/>
        <v>255</v>
      </c>
      <c r="D284" s="1" t="s">
        <v>364</v>
      </c>
      <c r="F284" s="1" t="str">
        <f>+INDEX('Exh. BGM-3 (2)'!$10:$10,1,MATCH($D284,'Exh. BGM-3 (2)'!$4:$4,0))</f>
        <v>WAGE INCREASE</v>
      </c>
      <c r="I284" s="3">
        <v>0</v>
      </c>
      <c r="J284" s="3"/>
      <c r="K284" s="3">
        <v>0</v>
      </c>
      <c r="L284" s="3"/>
      <c r="M284" s="3">
        <f t="shared" si="70"/>
        <v>0</v>
      </c>
      <c r="P284" s="3">
        <f t="shared" si="71"/>
        <v>0</v>
      </c>
      <c r="Q284" s="3"/>
      <c r="R284" s="3">
        <f t="shared" si="72"/>
        <v>0</v>
      </c>
      <c r="S284" s="3"/>
      <c r="T284" s="3">
        <f t="shared" si="73"/>
        <v>0</v>
      </c>
      <c r="W284" s="3">
        <v>0</v>
      </c>
      <c r="X284" s="3"/>
      <c r="Y284" s="3">
        <f t="shared" si="68"/>
        <v>0</v>
      </c>
      <c r="Z284" s="3"/>
      <c r="AA284" s="3">
        <v>0</v>
      </c>
      <c r="AB284" s="5"/>
      <c r="AC284" s="3">
        <f t="shared" si="69"/>
        <v>0</v>
      </c>
      <c r="AE284" s="9"/>
      <c r="AF284" s="9"/>
      <c r="AH284" s="8"/>
      <c r="AO284" s="3">
        <v>0</v>
      </c>
    </row>
    <row r="285" spans="2:41" x14ac:dyDescent="0.3">
      <c r="B285" s="1">
        <f t="shared" ca="1" si="65"/>
        <v>256</v>
      </c>
      <c r="D285" s="1" t="s">
        <v>365</v>
      </c>
      <c r="F285" s="1" t="str">
        <f>+INDEX('Exh. BGM-3 (2)'!$10:$10,1,MATCH($D285,'Exh. BGM-3 (2)'!$4:$4,0))</f>
        <v>AMA TO EOP RATE BASE</v>
      </c>
      <c r="I285" s="3">
        <v>0</v>
      </c>
      <c r="J285" s="3"/>
      <c r="K285" s="3">
        <v>0</v>
      </c>
      <c r="L285" s="3"/>
      <c r="M285" s="3">
        <f t="shared" si="70"/>
        <v>0</v>
      </c>
      <c r="P285" s="3">
        <f t="shared" si="71"/>
        <v>0</v>
      </c>
      <c r="Q285" s="3"/>
      <c r="R285" s="3">
        <f t="shared" si="72"/>
        <v>0</v>
      </c>
      <c r="S285" s="3"/>
      <c r="T285" s="3">
        <f t="shared" si="73"/>
        <v>0</v>
      </c>
      <c r="W285" s="3">
        <v>0</v>
      </c>
      <c r="X285" s="3"/>
      <c r="Y285" s="3">
        <f t="shared" si="68"/>
        <v>0</v>
      </c>
      <c r="Z285" s="3"/>
      <c r="AA285" s="3">
        <v>0</v>
      </c>
      <c r="AB285" s="5"/>
      <c r="AC285" s="3">
        <f t="shared" si="69"/>
        <v>0</v>
      </c>
      <c r="AE285" s="9"/>
      <c r="AF285" s="9"/>
      <c r="AH285" s="8"/>
      <c r="AO285" s="3">
        <v>0</v>
      </c>
    </row>
    <row r="286" spans="2:41" x14ac:dyDescent="0.3">
      <c r="B286" s="1">
        <f t="shared" ca="1" si="65"/>
        <v>257</v>
      </c>
      <c r="D286" s="1" t="s">
        <v>366</v>
      </c>
      <c r="F286" s="1" t="str">
        <f>+INDEX('Exh. BGM-3 (2)'!$10:$10,1,MATCH($D286,'Exh. BGM-3 (2)'!$4:$4,0))</f>
        <v>AMA TO EOP DEPRECIATION</v>
      </c>
      <c r="I286" s="3">
        <v>0</v>
      </c>
      <c r="J286" s="3"/>
      <c r="K286" s="3">
        <v>0</v>
      </c>
      <c r="L286" s="3"/>
      <c r="M286" s="3">
        <f t="shared" si="70"/>
        <v>0</v>
      </c>
      <c r="P286" s="3">
        <f t="shared" si="71"/>
        <v>0</v>
      </c>
      <c r="Q286" s="3"/>
      <c r="R286" s="3">
        <f t="shared" si="72"/>
        <v>0</v>
      </c>
      <c r="S286" s="3"/>
      <c r="T286" s="3">
        <f t="shared" si="73"/>
        <v>0</v>
      </c>
      <c r="W286" s="3">
        <v>0</v>
      </c>
      <c r="X286" s="3"/>
      <c r="Y286" s="3">
        <f t="shared" si="68"/>
        <v>0</v>
      </c>
      <c r="Z286" s="3"/>
      <c r="AA286" s="3">
        <v>0</v>
      </c>
      <c r="AB286" s="5"/>
      <c r="AC286" s="3">
        <f t="shared" si="69"/>
        <v>0</v>
      </c>
      <c r="AE286" s="9"/>
      <c r="AF286" s="9"/>
      <c r="AH286" s="8"/>
      <c r="AO286" s="3">
        <v>0</v>
      </c>
    </row>
    <row r="287" spans="2:41" x14ac:dyDescent="0.3">
      <c r="B287" s="1">
        <f t="shared" ca="1" si="65"/>
        <v>258</v>
      </c>
      <c r="D287" s="1" t="s">
        <v>367</v>
      </c>
      <c r="F287" s="1" t="str">
        <f>+INDEX('Exh. BGM-3 (2)'!$10:$10,1,MATCH($D287,'Exh. BGM-3 (2)'!$4:$4,0))</f>
        <v>WUTC FILING FEE</v>
      </c>
      <c r="I287" s="3">
        <v>0</v>
      </c>
      <c r="J287" s="3"/>
      <c r="K287" s="3">
        <v>0</v>
      </c>
      <c r="L287" s="3"/>
      <c r="M287" s="3">
        <f t="shared" si="70"/>
        <v>0</v>
      </c>
      <c r="P287" s="3">
        <f t="shared" si="71"/>
        <v>0</v>
      </c>
      <c r="Q287" s="3"/>
      <c r="R287" s="3">
        <f t="shared" si="72"/>
        <v>0</v>
      </c>
      <c r="S287" s="3"/>
      <c r="T287" s="3">
        <f t="shared" si="73"/>
        <v>0</v>
      </c>
      <c r="W287" s="3">
        <v>0</v>
      </c>
      <c r="X287" s="3"/>
      <c r="Y287" s="3">
        <f t="shared" si="68"/>
        <v>0</v>
      </c>
      <c r="Z287" s="3"/>
      <c r="AA287" s="3">
        <v>0</v>
      </c>
      <c r="AB287" s="5"/>
      <c r="AC287" s="3">
        <f t="shared" si="69"/>
        <v>0</v>
      </c>
      <c r="AE287" s="9"/>
      <c r="AF287" s="9"/>
      <c r="AH287" s="8"/>
      <c r="AO287" s="3">
        <v>0</v>
      </c>
    </row>
    <row r="288" spans="2:41" x14ac:dyDescent="0.3">
      <c r="B288" s="222">
        <f t="shared" ca="1" si="65"/>
        <v>259</v>
      </c>
      <c r="C288" s="222"/>
      <c r="D288" s="222" t="s">
        <v>368</v>
      </c>
      <c r="E288" s="222"/>
      <c r="F288" s="222" t="str">
        <f>+INDEX('Exh. BGM-3 (2)'!$10:$10,1,MATCH($D288,'Exh. BGM-3 (2)'!$4:$4,0))</f>
        <v>PRO FORMA O&amp;M</v>
      </c>
      <c r="G288" s="225"/>
      <c r="H288" s="225"/>
      <c r="I288" s="226">
        <v>-11252.064464582483</v>
      </c>
      <c r="J288" s="226"/>
      <c r="K288" s="226">
        <v>0</v>
      </c>
      <c r="L288" s="226"/>
      <c r="M288" s="226">
        <f t="shared" si="70"/>
        <v>14955.791434339486</v>
      </c>
      <c r="N288" s="225"/>
      <c r="O288" s="222"/>
      <c r="P288" s="226">
        <f t="shared" si="71"/>
        <v>-8971.0635343158301</v>
      </c>
      <c r="Q288" s="226"/>
      <c r="R288" s="226">
        <f t="shared" si="72"/>
        <v>0</v>
      </c>
      <c r="S288" s="226"/>
      <c r="T288" s="226">
        <f t="shared" si="73"/>
        <v>11923.976758732022</v>
      </c>
      <c r="U288" s="222"/>
      <c r="V288" s="222"/>
      <c r="W288" s="226">
        <f>-'[22]BGM-7'!$Y$83</f>
        <v>2887.3429497046245</v>
      </c>
      <c r="X288" s="226"/>
      <c r="Y288" s="226">
        <f t="shared" si="68"/>
        <v>2281.0009302666535</v>
      </c>
      <c r="Z288" s="226"/>
      <c r="AA288" s="226">
        <v>0</v>
      </c>
      <c r="AB288" s="227"/>
      <c r="AC288" s="226">
        <f t="shared" si="69"/>
        <v>-3031.8146756074639</v>
      </c>
      <c r="AD288" s="225"/>
      <c r="AE288" s="232" t="s">
        <v>1026</v>
      </c>
      <c r="AF288" s="9"/>
      <c r="AH288" s="8"/>
      <c r="AO288" s="3">
        <v>14955.791434339486</v>
      </c>
    </row>
    <row r="289" spans="2:41" x14ac:dyDescent="0.3">
      <c r="B289" s="1">
        <f t="shared" ca="1" si="65"/>
        <v>260</v>
      </c>
      <c r="D289" s="1" t="s">
        <v>369</v>
      </c>
      <c r="F289" s="1" t="str">
        <f>+INDEX('Exh. BGM-3 (2)'!$10:$10,1,MATCH($D289,'Exh. BGM-3 (2)'!$4:$4,0))</f>
        <v>AMR REGULATORY ASSET</v>
      </c>
      <c r="I289" s="3">
        <v>0</v>
      </c>
      <c r="J289" s="3"/>
      <c r="K289" s="3">
        <v>-2946.0617596826805</v>
      </c>
      <c r="L289" s="3"/>
      <c r="M289" s="3">
        <f t="shared" si="70"/>
        <v>-281.93664785527181</v>
      </c>
      <c r="P289" s="3">
        <f t="shared" si="71"/>
        <v>0</v>
      </c>
      <c r="Q289" s="3"/>
      <c r="R289" s="3">
        <f t="shared" si="72"/>
        <v>-2946.0617596826805</v>
      </c>
      <c r="S289" s="3"/>
      <c r="T289" s="3">
        <f t="shared" si="73"/>
        <v>-281.93664785527181</v>
      </c>
      <c r="W289" s="3">
        <v>0</v>
      </c>
      <c r="X289" s="3"/>
      <c r="Y289" s="3">
        <f t="shared" si="68"/>
        <v>0</v>
      </c>
      <c r="Z289" s="3"/>
      <c r="AA289" s="3">
        <v>0</v>
      </c>
      <c r="AB289" s="5"/>
      <c r="AC289" s="3">
        <f t="shared" si="69"/>
        <v>0</v>
      </c>
      <c r="AE289" s="9"/>
      <c r="AF289" s="9"/>
      <c r="AH289" s="8"/>
      <c r="AO289" s="3">
        <v>-293.29242950499798</v>
      </c>
    </row>
    <row r="290" spans="2:41" x14ac:dyDescent="0.3">
      <c r="B290" s="1">
        <f t="shared" ca="1" si="65"/>
        <v>261</v>
      </c>
      <c r="D290" s="1" t="s">
        <v>370</v>
      </c>
      <c r="F290" s="1" t="str">
        <f>+INDEX('Exh. BGM-3 (2)'!$10:$10,1,MATCH($D290,'Exh. BGM-3 (2)'!$4:$4,0))</f>
        <v>AMI PLANT AND DEFERRAL</v>
      </c>
      <c r="I290" s="3">
        <v>0</v>
      </c>
      <c r="J290" s="3"/>
      <c r="K290" s="3">
        <v>0</v>
      </c>
      <c r="L290" s="3"/>
      <c r="M290" s="3">
        <f t="shared" si="70"/>
        <v>0</v>
      </c>
      <c r="P290" s="3">
        <f t="shared" si="71"/>
        <v>0</v>
      </c>
      <c r="Q290" s="3"/>
      <c r="R290" s="3">
        <f t="shared" si="72"/>
        <v>0</v>
      </c>
      <c r="S290" s="3"/>
      <c r="T290" s="3">
        <f t="shared" si="73"/>
        <v>0</v>
      </c>
      <c r="W290" s="3">
        <v>0</v>
      </c>
      <c r="X290" s="3"/>
      <c r="Y290" s="3">
        <f t="shared" si="68"/>
        <v>0</v>
      </c>
      <c r="Z290" s="3"/>
      <c r="AA290" s="3">
        <v>0</v>
      </c>
      <c r="AB290" s="5"/>
      <c r="AC290" s="3">
        <f t="shared" si="69"/>
        <v>0</v>
      </c>
      <c r="AE290" s="9"/>
      <c r="AF290" s="9"/>
      <c r="AH290" s="8"/>
      <c r="AO290" s="3">
        <v>0</v>
      </c>
    </row>
    <row r="291" spans="2:41" x14ac:dyDescent="0.3">
      <c r="B291" s="1">
        <f t="shared" ca="1" si="65"/>
        <v>262</v>
      </c>
      <c r="D291" s="1" t="s">
        <v>371</v>
      </c>
      <c r="F291" s="1" t="str">
        <f>+INDEX('Exh. BGM-3 (2)'!$10:$10,1,MATCH($D291,'Exh. BGM-3 (2)'!$4:$4,0))</f>
        <v>GTZ DEFERRAL</v>
      </c>
      <c r="I291" s="3">
        <v>0</v>
      </c>
      <c r="J291" s="3"/>
      <c r="K291" s="3">
        <v>-5294.3161638720885</v>
      </c>
      <c r="L291" s="3"/>
      <c r="M291" s="3">
        <f t="shared" si="70"/>
        <v>-506.6634285660233</v>
      </c>
      <c r="P291" s="3">
        <f t="shared" si="71"/>
        <v>0</v>
      </c>
      <c r="Q291" s="3"/>
      <c r="R291" s="3">
        <f t="shared" si="72"/>
        <v>-5294.3161638720885</v>
      </c>
      <c r="S291" s="3"/>
      <c r="T291" s="3">
        <f t="shared" si="73"/>
        <v>-506.6634285660233</v>
      </c>
      <c r="W291" s="3">
        <v>0</v>
      </c>
      <c r="X291" s="3"/>
      <c r="Y291" s="3">
        <f t="shared" si="68"/>
        <v>0</v>
      </c>
      <c r="Z291" s="3"/>
      <c r="AA291" s="3">
        <v>0</v>
      </c>
      <c r="AB291" s="5"/>
      <c r="AC291" s="3">
        <f t="shared" si="69"/>
        <v>0</v>
      </c>
      <c r="AE291" s="9"/>
      <c r="AF291" s="9"/>
      <c r="AH291" s="8"/>
      <c r="AO291" s="3">
        <v>-527.07070554993243</v>
      </c>
    </row>
    <row r="292" spans="2:41" x14ac:dyDescent="0.3">
      <c r="B292" s="1">
        <f t="shared" ca="1" si="65"/>
        <v>263</v>
      </c>
      <c r="D292" s="1" t="s">
        <v>372</v>
      </c>
      <c r="F292" s="1" t="str">
        <f>+INDEX('Exh. BGM-3 (2)'!$10:$10,1,MATCH($D292,'Exh. BGM-3 (2)'!$4:$4,0))</f>
        <v>ENVIRONMENTAL REMEDIATION</v>
      </c>
      <c r="I292" s="3">
        <v>239.30478550000007</v>
      </c>
      <c r="J292" s="3"/>
      <c r="K292" s="3">
        <v>0</v>
      </c>
      <c r="L292" s="3"/>
      <c r="M292" s="3">
        <f t="shared" si="70"/>
        <v>-318.07429405001636</v>
      </c>
      <c r="P292" s="3">
        <f t="shared" si="71"/>
        <v>239.30478550000007</v>
      </c>
      <c r="Q292" s="3"/>
      <c r="R292" s="3">
        <f t="shared" si="72"/>
        <v>0</v>
      </c>
      <c r="S292" s="3"/>
      <c r="T292" s="3">
        <f t="shared" si="73"/>
        <v>-318.07429405001636</v>
      </c>
      <c r="W292" s="3">
        <v>0</v>
      </c>
      <c r="X292" s="3"/>
      <c r="Y292" s="3">
        <f t="shared" si="68"/>
        <v>0</v>
      </c>
      <c r="Z292" s="3"/>
      <c r="AA292" s="3">
        <v>0</v>
      </c>
      <c r="AB292" s="5"/>
      <c r="AC292" s="3">
        <f t="shared" si="69"/>
        <v>0</v>
      </c>
      <c r="AE292" s="9"/>
      <c r="AF292" s="9"/>
      <c r="AH292" s="8"/>
      <c r="AO292" s="3">
        <v>-318.07429405001636</v>
      </c>
    </row>
    <row r="293" spans="2:41" x14ac:dyDescent="0.3">
      <c r="B293" s="222">
        <f t="shared" ca="1" si="65"/>
        <v>264</v>
      </c>
      <c r="C293" s="222"/>
      <c r="D293" s="222" t="s">
        <v>373</v>
      </c>
      <c r="E293" s="222"/>
      <c r="F293" s="222" t="str">
        <f>+INDEX('Exh. BGM-3 (2)'!$10:$10,1,MATCH($D293,'Exh. BGM-3 (2)'!$4:$4,0))</f>
        <v>COVID DEFERRAL</v>
      </c>
      <c r="G293" s="225"/>
      <c r="H293" s="225"/>
      <c r="I293" s="226">
        <v>803.1151094240571</v>
      </c>
      <c r="J293" s="226"/>
      <c r="K293" s="226">
        <v>-401.55755471203179</v>
      </c>
      <c r="L293" s="226"/>
      <c r="M293" s="226">
        <f t="shared" si="70"/>
        <v>-1105.897154087264</v>
      </c>
      <c r="N293" s="225"/>
      <c r="O293" s="222"/>
      <c r="P293" s="226">
        <f t="shared" si="71"/>
        <v>-637.37539979791643</v>
      </c>
      <c r="Q293" s="226"/>
      <c r="R293" s="226">
        <f t="shared" si="72"/>
        <v>318.68769989895782</v>
      </c>
      <c r="S293" s="226"/>
      <c r="T293" s="226">
        <f t="shared" si="73"/>
        <v>877.67199552158399</v>
      </c>
      <c r="U293" s="222"/>
      <c r="V293" s="222"/>
      <c r="W293" s="226">
        <f>+'[21]Lead E'!$O$29/1000</f>
        <v>-1823.4057078759158</v>
      </c>
      <c r="X293" s="226"/>
      <c r="Y293" s="226">
        <f t="shared" si="68"/>
        <v>-1440.4905092219735</v>
      </c>
      <c r="Z293" s="226"/>
      <c r="AA293" s="226">
        <f>+'[21]Lead E'!$O$21/1000</f>
        <v>720.2452546109896</v>
      </c>
      <c r="AB293" s="227"/>
      <c r="AC293" s="226">
        <f t="shared" si="69"/>
        <v>1983.569149608848</v>
      </c>
      <c r="AD293" s="225"/>
      <c r="AE293" s="232" t="s">
        <v>1026</v>
      </c>
      <c r="AF293" s="9"/>
      <c r="AH293" s="8"/>
      <c r="AO293" s="3">
        <v>-1107.4449831156678</v>
      </c>
    </row>
    <row r="294" spans="2:41" x14ac:dyDescent="0.3">
      <c r="B294" s="1">
        <f t="shared" ca="1" si="65"/>
        <v>265</v>
      </c>
      <c r="D294" s="1" t="s">
        <v>374</v>
      </c>
      <c r="F294" s="1" t="str">
        <f>+INDEX('Exh. BGM-3 (2)'!$10:$10,1,MATCH($D294,'Exh. BGM-3 (2)'!$4:$4,0))</f>
        <v>ESTIMATED PLANT RETIREMENTS RATE BASE</v>
      </c>
      <c r="I294" s="3">
        <v>0</v>
      </c>
      <c r="J294" s="3"/>
      <c r="K294" s="3">
        <v>0</v>
      </c>
      <c r="L294" s="3"/>
      <c r="M294" s="3">
        <f t="shared" si="70"/>
        <v>0</v>
      </c>
      <c r="P294" s="3">
        <f t="shared" si="71"/>
        <v>0</v>
      </c>
      <c r="Q294" s="3"/>
      <c r="R294" s="3">
        <f t="shared" si="72"/>
        <v>0</v>
      </c>
      <c r="S294" s="3"/>
      <c r="T294" s="3">
        <f t="shared" si="73"/>
        <v>0</v>
      </c>
      <c r="W294" s="3">
        <v>0</v>
      </c>
      <c r="X294" s="3"/>
      <c r="Y294" s="3">
        <f t="shared" si="68"/>
        <v>0</v>
      </c>
      <c r="Z294" s="3"/>
      <c r="AA294" s="3">
        <v>0</v>
      </c>
      <c r="AB294" s="5"/>
      <c r="AC294" s="3">
        <f t="shared" si="69"/>
        <v>0</v>
      </c>
      <c r="AE294" s="9"/>
      <c r="AF294" s="9"/>
      <c r="AH294" s="8"/>
      <c r="AO294" s="3">
        <v>0</v>
      </c>
    </row>
    <row r="295" spans="2:41" x14ac:dyDescent="0.3">
      <c r="B295" s="1">
        <f t="shared" ca="1" si="65"/>
        <v>266</v>
      </c>
      <c r="D295" s="1" t="s">
        <v>375</v>
      </c>
      <c r="F295" s="1" t="str">
        <f>+INDEX('Exh. BGM-3 (2)'!$10:$10,1,MATCH($D295,'Exh. BGM-3 (2)'!$4:$4,0))</f>
        <v>TEST YEAR PLANT ROLL FORWARD</v>
      </c>
      <c r="I295" s="3">
        <v>6588.6685078014152</v>
      </c>
      <c r="J295" s="3"/>
      <c r="K295" s="3">
        <v>-353567.88862914097</v>
      </c>
      <c r="L295" s="3"/>
      <c r="M295" s="3">
        <f t="shared" si="70"/>
        <v>-42593.664545460015</v>
      </c>
      <c r="P295" s="3">
        <f t="shared" si="71"/>
        <v>6588.6685078014152</v>
      </c>
      <c r="Q295" s="3"/>
      <c r="R295" s="3">
        <f t="shared" si="72"/>
        <v>-353567.88862914097</v>
      </c>
      <c r="S295" s="3"/>
      <c r="T295" s="3">
        <f t="shared" si="73"/>
        <v>-42593.664545460015</v>
      </c>
      <c r="W295" s="3">
        <v>0</v>
      </c>
      <c r="X295" s="3"/>
      <c r="Y295" s="3">
        <f t="shared" si="68"/>
        <v>0</v>
      </c>
      <c r="Z295" s="3"/>
      <c r="AA295" s="3">
        <v>0</v>
      </c>
      <c r="AB295" s="5"/>
      <c r="AC295" s="3">
        <f t="shared" si="69"/>
        <v>0</v>
      </c>
      <c r="AE295" s="9"/>
      <c r="AF295" s="9"/>
      <c r="AH295" s="8"/>
      <c r="AO295" s="3">
        <v>-43956.514366388299</v>
      </c>
    </row>
    <row r="296" spans="2:41" x14ac:dyDescent="0.3">
      <c r="B296" s="1">
        <f t="shared" ca="1" si="65"/>
        <v>267</v>
      </c>
      <c r="D296" s="1" t="s">
        <v>376</v>
      </c>
      <c r="F296" s="1" t="str">
        <f>+INDEX('Exh. BGM-3 (2)'!$10:$10,1,MATCH($D296,'Exh. BGM-3 (2)'!$4:$4,0))</f>
        <v>PROVISIONAL PROFORMA RETIREMENTS DEPRECIATION</v>
      </c>
      <c r="I296" s="3">
        <v>2437.3962775514397</v>
      </c>
      <c r="J296" s="3"/>
      <c r="K296" s="3">
        <v>18862.632939278003</v>
      </c>
      <c r="L296" s="3"/>
      <c r="M296" s="3">
        <f t="shared" si="70"/>
        <v>-1434.5444715904373</v>
      </c>
      <c r="P296" s="3">
        <f t="shared" si="71"/>
        <v>2437.3962775514397</v>
      </c>
      <c r="Q296" s="3"/>
      <c r="R296" s="3">
        <f t="shared" si="72"/>
        <v>18862.632939278003</v>
      </c>
      <c r="S296" s="3"/>
      <c r="T296" s="3">
        <f t="shared" si="73"/>
        <v>-1434.5444715904373</v>
      </c>
      <c r="W296" s="3">
        <v>0</v>
      </c>
      <c r="X296" s="3"/>
      <c r="Y296" s="3">
        <f t="shared" si="68"/>
        <v>0</v>
      </c>
      <c r="Z296" s="3"/>
      <c r="AA296" s="3">
        <v>0</v>
      </c>
      <c r="AB296" s="5"/>
      <c r="AC296" s="3">
        <f t="shared" si="69"/>
        <v>0</v>
      </c>
      <c r="AE296" s="9"/>
      <c r="AF296" s="9"/>
      <c r="AH296" s="8"/>
      <c r="AO296" s="3">
        <v>-1361.8372582085817</v>
      </c>
    </row>
    <row r="297" spans="2:41" x14ac:dyDescent="0.3">
      <c r="B297" s="1">
        <f t="shared" ca="1" si="65"/>
        <v>268</v>
      </c>
      <c r="D297" s="1" t="s">
        <v>377</v>
      </c>
      <c r="F297" s="1" t="str">
        <f>+INDEX('Exh. BGM-3 (2)'!$10:$10,1,MATCH($D297,'Exh. BGM-3 (2)'!$4:$4,0))</f>
        <v>PROGRAMMATIC PROVISIONAL PROFORMA</v>
      </c>
      <c r="I297" s="3">
        <v>-19728.63731574393</v>
      </c>
      <c r="J297" s="3"/>
      <c r="K297" s="3">
        <v>434225.94139003212</v>
      </c>
      <c r="L297" s="3"/>
      <c r="M297" s="3">
        <f t="shared" si="70"/>
        <v>67777.718092956449</v>
      </c>
      <c r="P297" s="3">
        <f t="shared" si="71"/>
        <v>-19728.63731574393</v>
      </c>
      <c r="Q297" s="3"/>
      <c r="R297" s="3">
        <f t="shared" si="72"/>
        <v>434225.94139003212</v>
      </c>
      <c r="S297" s="3"/>
      <c r="T297" s="3">
        <f t="shared" si="73"/>
        <v>67777.718092956449</v>
      </c>
      <c r="W297" s="3">
        <v>0</v>
      </c>
      <c r="X297" s="3"/>
      <c r="Y297" s="3">
        <f t="shared" si="68"/>
        <v>0</v>
      </c>
      <c r="Z297" s="3"/>
      <c r="AA297" s="3">
        <v>0</v>
      </c>
      <c r="AB297" s="5"/>
      <c r="AC297" s="3">
        <f t="shared" si="69"/>
        <v>0</v>
      </c>
      <c r="AE297" s="9"/>
      <c r="AF297" s="9"/>
      <c r="AH297" s="8"/>
      <c r="AO297" s="3">
        <v>69451.469486954069</v>
      </c>
    </row>
    <row r="298" spans="2:41" x14ac:dyDescent="0.3">
      <c r="B298" s="1">
        <f t="shared" ca="1" si="65"/>
        <v>269</v>
      </c>
      <c r="D298" s="1" t="s">
        <v>378</v>
      </c>
      <c r="F298" s="1" t="str">
        <f>+INDEX('Exh. BGM-3 (2)'!$10:$10,1,MATCH($D298,'Exh. BGM-3 (2)'!$4:$4,0))</f>
        <v>CUSTOMER DRIVEN PROGRAMMATIC PROVISIONAL PROFORMA</v>
      </c>
      <c r="I298" s="3">
        <v>-322.2323336999973</v>
      </c>
      <c r="J298" s="3"/>
      <c r="K298" s="3">
        <v>9396.3764400000055</v>
      </c>
      <c r="L298" s="3"/>
      <c r="M298" s="3">
        <f t="shared" si="70"/>
        <v>1327.5268156388909</v>
      </c>
      <c r="P298" s="3">
        <f t="shared" si="71"/>
        <v>-322.2323336999973</v>
      </c>
      <c r="Q298" s="3"/>
      <c r="R298" s="3">
        <f t="shared" si="72"/>
        <v>9396.3764400000055</v>
      </c>
      <c r="S298" s="3"/>
      <c r="T298" s="3">
        <f t="shared" si="73"/>
        <v>1327.5268156388909</v>
      </c>
      <c r="W298" s="3">
        <v>0</v>
      </c>
      <c r="X298" s="3"/>
      <c r="Y298" s="3">
        <f t="shared" si="68"/>
        <v>0</v>
      </c>
      <c r="Z298" s="3"/>
      <c r="AA298" s="3">
        <v>0</v>
      </c>
      <c r="AB298" s="5"/>
      <c r="AC298" s="3">
        <f t="shared" si="69"/>
        <v>0</v>
      </c>
      <c r="AE298" s="9"/>
      <c r="AF298" s="9"/>
      <c r="AH298" s="8"/>
      <c r="AO298" s="3">
        <v>1363.7457437725511</v>
      </c>
    </row>
    <row r="299" spans="2:41" x14ac:dyDescent="0.3">
      <c r="B299" s="266">
        <f t="shared" ca="1" si="65"/>
        <v>270</v>
      </c>
      <c r="C299" s="267"/>
      <c r="D299" s="267" t="s">
        <v>379</v>
      </c>
      <c r="E299" s="267"/>
      <c r="F299" s="267" t="str">
        <f>+INDEX('Exh. BGM-3 (2)'!$10:$10,1,MATCH($D299,'Exh. BGM-3 (2)'!$4:$4,0))</f>
        <v>SPECIFIC PROVISIONAL PROFORMA</v>
      </c>
      <c r="G299" s="269"/>
      <c r="H299" s="269"/>
      <c r="I299" s="270">
        <v>-6460.1475837604003</v>
      </c>
      <c r="J299" s="270"/>
      <c r="K299" s="270">
        <v>232425.13898714393</v>
      </c>
      <c r="L299" s="270"/>
      <c r="M299" s="270">
        <f t="shared" si="70"/>
        <v>30829.538702919188</v>
      </c>
      <c r="N299" s="269"/>
      <c r="O299" s="267"/>
      <c r="P299" s="270">
        <f t="shared" si="71"/>
        <v>-6460.1475837604003</v>
      </c>
      <c r="Q299" s="270"/>
      <c r="R299" s="270">
        <f t="shared" si="72"/>
        <v>232425.13898714393</v>
      </c>
      <c r="S299" s="270"/>
      <c r="T299" s="270">
        <f t="shared" si="73"/>
        <v>30829.538702919188</v>
      </c>
      <c r="U299" s="267"/>
      <c r="V299" s="267"/>
      <c r="W299" s="270">
        <v>0</v>
      </c>
      <c r="X299" s="270"/>
      <c r="Y299" s="270">
        <f t="shared" si="68"/>
        <v>0</v>
      </c>
      <c r="Z299" s="270"/>
      <c r="AA299" s="270">
        <v>0</v>
      </c>
      <c r="AB299" s="271"/>
      <c r="AC299" s="270">
        <f t="shared" si="69"/>
        <v>0</v>
      </c>
      <c r="AD299" s="269"/>
      <c r="AE299" s="272" t="s">
        <v>1026</v>
      </c>
      <c r="AF299" s="9"/>
      <c r="AH299" s="8"/>
      <c r="AO299" s="3">
        <v>31725.436122438849</v>
      </c>
    </row>
    <row r="300" spans="2:41" x14ac:dyDescent="0.3">
      <c r="B300" s="258">
        <f t="shared" ca="1" si="65"/>
        <v>271</v>
      </c>
      <c r="C300" s="254"/>
      <c r="D300" s="254" t="str">
        <f>+D299</f>
        <v>6.33 RY3</v>
      </c>
      <c r="E300" s="254"/>
      <c r="F300" s="254" t="s">
        <v>1055</v>
      </c>
      <c r="G300" s="255"/>
      <c r="H300" s="255"/>
      <c r="I300" s="256">
        <v>0</v>
      </c>
      <c r="J300" s="256"/>
      <c r="K300" s="256">
        <v>0</v>
      </c>
      <c r="L300" s="256"/>
      <c r="M300" s="256">
        <f t="shared" si="70"/>
        <v>0</v>
      </c>
      <c r="N300" s="255"/>
      <c r="O300" s="254"/>
      <c r="P300" s="256">
        <f t="shared" ref="P300" si="74">+I300+Y300</f>
        <v>3295.8854589000002</v>
      </c>
      <c r="Q300" s="256"/>
      <c r="R300" s="256">
        <f t="shared" ref="R300" si="75">+K300+AA300</f>
        <v>-168125.19515767967</v>
      </c>
      <c r="S300" s="256"/>
      <c r="T300" s="256">
        <f t="shared" si="73"/>
        <v>-20470.256076257803</v>
      </c>
      <c r="U300" s="254"/>
      <c r="V300" s="254"/>
      <c r="W300" s="256">
        <f>-'6.33 (EESD)'!H31</f>
        <v>4172.0069100000001</v>
      </c>
      <c r="X300" s="256"/>
      <c r="Y300" s="256">
        <f t="shared" ref="Y300" si="76">+W300*(1-$AJ$5)</f>
        <v>3295.8854589000002</v>
      </c>
      <c r="Z300" s="256"/>
      <c r="AA300" s="256">
        <f>+'6.33 (EESD)'!H24+'6.33 (EESD)'!H39+'6.33 (EESD)'!H60</f>
        <v>-168125.19515767967</v>
      </c>
      <c r="AB300" s="257"/>
      <c r="AC300" s="256">
        <f t="shared" ref="AC300" si="77">+T300-M300</f>
        <v>-20470.256076257803</v>
      </c>
      <c r="AD300" s="255"/>
      <c r="AE300" s="259" t="s">
        <v>1026</v>
      </c>
      <c r="AF300" s="9"/>
      <c r="AH300" s="8"/>
      <c r="AO300" s="3"/>
    </row>
    <row r="301" spans="2:41" x14ac:dyDescent="0.3">
      <c r="B301" s="260">
        <f t="shared" ca="1" si="65"/>
        <v>272</v>
      </c>
      <c r="C301" s="261"/>
      <c r="D301" s="261" t="str">
        <f>+D300</f>
        <v>6.33 RY3</v>
      </c>
      <c r="E301" s="261"/>
      <c r="F301" s="261" t="s">
        <v>1034</v>
      </c>
      <c r="G301" s="262"/>
      <c r="H301" s="262"/>
      <c r="I301" s="263">
        <v>0</v>
      </c>
      <c r="J301" s="263"/>
      <c r="K301" s="263">
        <v>0</v>
      </c>
      <c r="L301" s="263"/>
      <c r="M301" s="263">
        <f t="shared" si="70"/>
        <v>0</v>
      </c>
      <c r="N301" s="262"/>
      <c r="O301" s="261"/>
      <c r="P301" s="263">
        <f t="shared" ref="P301" si="78">+I301+Y301</f>
        <v>235.61565140000002</v>
      </c>
      <c r="Q301" s="263"/>
      <c r="R301" s="263">
        <f t="shared" ref="R301" si="79">+K301+AA301</f>
        <v>-15524.67823173475</v>
      </c>
      <c r="S301" s="263"/>
      <c r="T301" s="263">
        <f t="shared" si="73"/>
        <v>-1798.8748450995899</v>
      </c>
      <c r="U301" s="261"/>
      <c r="V301" s="261"/>
      <c r="W301" s="263">
        <f>-'6.33 (LWR BKR)'!H31</f>
        <v>298.24766</v>
      </c>
      <c r="X301" s="263"/>
      <c r="Y301" s="263">
        <f t="shared" ref="Y301" si="80">+W301*(1-$AJ$5)</f>
        <v>235.61565140000002</v>
      </c>
      <c r="Z301" s="263"/>
      <c r="AA301" s="263">
        <f>+'6.33 (LWR BKR)'!H24+'6.33 (LWR BKR)'!H39+'6.33 (LWR BKR)'!H60</f>
        <v>-15524.67823173475</v>
      </c>
      <c r="AB301" s="264"/>
      <c r="AC301" s="263">
        <f t="shared" ref="AC301" si="81">+T301-M301</f>
        <v>-1798.8748450995899</v>
      </c>
      <c r="AD301" s="262"/>
      <c r="AE301" s="265" t="s">
        <v>1026</v>
      </c>
      <c r="AF301" s="9"/>
      <c r="AH301" s="8"/>
      <c r="AO301" s="3"/>
    </row>
    <row r="302" spans="2:41" x14ac:dyDescent="0.3">
      <c r="B302" s="1">
        <f t="shared" ca="1" si="65"/>
        <v>273</v>
      </c>
      <c r="D302" s="1" t="s">
        <v>380</v>
      </c>
      <c r="F302" s="1" t="str">
        <f>+INDEX('Exh. BGM-3 (2)'!$10:$10,1,MATCH($D302,'Exh. BGM-3 (2)'!$4:$4,0))</f>
        <v>PROJECTED PROVISIONAL PROFORMA</v>
      </c>
      <c r="I302" s="3">
        <v>-7115.1821580814594</v>
      </c>
      <c r="J302" s="3"/>
      <c r="K302" s="3">
        <v>69149.599774446091</v>
      </c>
      <c r="L302" s="3"/>
      <c r="M302" s="3">
        <f t="shared" si="70"/>
        <v>16074.796262192154</v>
      </c>
      <c r="P302" s="3">
        <f t="shared" si="71"/>
        <v>-7115.1821580814594</v>
      </c>
      <c r="Q302" s="3"/>
      <c r="R302" s="3">
        <f t="shared" si="72"/>
        <v>69149.599774446091</v>
      </c>
      <c r="S302" s="3"/>
      <c r="T302" s="3">
        <f t="shared" si="73"/>
        <v>16074.796262192154</v>
      </c>
      <c r="W302" s="3">
        <v>0</v>
      </c>
      <c r="X302" s="3"/>
      <c r="Y302" s="3">
        <f t="shared" si="68"/>
        <v>0</v>
      </c>
      <c r="Z302" s="3"/>
      <c r="AA302" s="3">
        <v>0</v>
      </c>
      <c r="AB302" s="5"/>
      <c r="AC302" s="3">
        <f t="shared" si="69"/>
        <v>0</v>
      </c>
      <c r="AE302" s="9"/>
      <c r="AF302" s="9"/>
      <c r="AH302" s="8"/>
      <c r="AO302" s="3">
        <v>16341.33777430531</v>
      </c>
    </row>
    <row r="303" spans="2:41" x14ac:dyDescent="0.3">
      <c r="B303" s="1">
        <f t="shared" ca="1" si="65"/>
        <v>274</v>
      </c>
      <c r="D303" s="1" t="s">
        <v>381</v>
      </c>
      <c r="F303" s="1" t="str">
        <f>+INDEX('Exh. BGM-3 (2)'!$10:$10,1,MATCH($D303,'Exh. BGM-3 (2)'!$4:$4,0))</f>
        <v>POWER COSTS</v>
      </c>
      <c r="I303" s="3">
        <v>44494.077295159812</v>
      </c>
      <c r="J303" s="3"/>
      <c r="K303" s="3">
        <v>0</v>
      </c>
      <c r="L303" s="3"/>
      <c r="M303" s="3">
        <f t="shared" si="70"/>
        <v>-59139.737617427694</v>
      </c>
      <c r="P303" s="3">
        <f t="shared" si="71"/>
        <v>44494.077295159812</v>
      </c>
      <c r="Q303" s="3"/>
      <c r="R303" s="3">
        <f t="shared" si="72"/>
        <v>0</v>
      </c>
      <c r="S303" s="3"/>
      <c r="T303" s="3">
        <f t="shared" si="73"/>
        <v>-59139.737617427694</v>
      </c>
      <c r="W303" s="3">
        <v>0</v>
      </c>
      <c r="X303" s="3"/>
      <c r="Y303" s="3">
        <f t="shared" si="68"/>
        <v>0</v>
      </c>
      <c r="Z303" s="3"/>
      <c r="AA303" s="3">
        <v>0</v>
      </c>
      <c r="AB303" s="5"/>
      <c r="AC303" s="3">
        <f t="shared" si="69"/>
        <v>0</v>
      </c>
      <c r="AE303" s="9"/>
      <c r="AF303" s="9"/>
      <c r="AH303" s="8"/>
      <c r="AO303" s="3">
        <v>-59139.737617427694</v>
      </c>
    </row>
    <row r="304" spans="2:41" x14ac:dyDescent="0.3">
      <c r="B304" s="1">
        <f t="shared" ca="1" si="65"/>
        <v>275</v>
      </c>
      <c r="D304" s="1" t="s">
        <v>382</v>
      </c>
      <c r="F304" s="1" t="str">
        <f>+INDEX('Exh. BGM-3 (2)'!$10:$10,1,MATCH($D304,'Exh. BGM-3 (2)'!$4:$4,0))</f>
        <v>MONTANA TAX</v>
      </c>
      <c r="I304" s="3">
        <v>4.5123792750000442</v>
      </c>
      <c r="J304" s="3"/>
      <c r="K304" s="3">
        <v>0</v>
      </c>
      <c r="L304" s="3"/>
      <c r="M304" s="3">
        <f t="shared" si="70"/>
        <v>-5.997673006758836</v>
      </c>
      <c r="P304" s="3">
        <f t="shared" si="71"/>
        <v>4.5123792750000442</v>
      </c>
      <c r="Q304" s="3"/>
      <c r="R304" s="3">
        <f t="shared" si="72"/>
        <v>0</v>
      </c>
      <c r="S304" s="3"/>
      <c r="T304" s="3">
        <f t="shared" si="73"/>
        <v>-5.997673006758836</v>
      </c>
      <c r="W304" s="3">
        <v>0</v>
      </c>
      <c r="X304" s="3"/>
      <c r="Y304" s="3">
        <f t="shared" si="68"/>
        <v>0</v>
      </c>
      <c r="Z304" s="3"/>
      <c r="AA304" s="3">
        <v>0</v>
      </c>
      <c r="AB304" s="5"/>
      <c r="AC304" s="3">
        <f t="shared" si="69"/>
        <v>0</v>
      </c>
      <c r="AE304" s="9"/>
      <c r="AF304" s="9"/>
      <c r="AH304" s="8"/>
      <c r="AO304" s="3">
        <v>-5.997673006758836</v>
      </c>
    </row>
    <row r="305" spans="2:42" x14ac:dyDescent="0.3">
      <c r="B305" s="1">
        <f t="shared" ca="1" si="65"/>
        <v>276</v>
      </c>
      <c r="D305" s="1" t="s">
        <v>383</v>
      </c>
      <c r="F305" s="1" t="str">
        <f>+INDEX('Exh. BGM-3 (2)'!$10:$10,1,MATCH($D305,'Exh. BGM-3 (2)'!$4:$4,0))</f>
        <v>WILD HORSE SOLAR</v>
      </c>
      <c r="I305" s="3">
        <v>0</v>
      </c>
      <c r="J305" s="3"/>
      <c r="K305" s="3">
        <v>158.14065079999807</v>
      </c>
      <c r="L305" s="3"/>
      <c r="M305" s="3">
        <f t="shared" si="70"/>
        <v>15.133981774029364</v>
      </c>
      <c r="P305" s="3">
        <f t="shared" si="71"/>
        <v>0</v>
      </c>
      <c r="Q305" s="3"/>
      <c r="R305" s="3">
        <f t="shared" si="72"/>
        <v>158.14065079999807</v>
      </c>
      <c r="S305" s="3"/>
      <c r="T305" s="3">
        <f t="shared" si="73"/>
        <v>15.133981774029364</v>
      </c>
      <c r="W305" s="3">
        <v>0</v>
      </c>
      <c r="X305" s="3"/>
      <c r="Y305" s="3">
        <f t="shared" si="68"/>
        <v>0</v>
      </c>
      <c r="Z305" s="3"/>
      <c r="AA305" s="3">
        <v>0</v>
      </c>
      <c r="AB305" s="5"/>
      <c r="AC305" s="3">
        <f t="shared" si="69"/>
        <v>0</v>
      </c>
      <c r="AE305" s="9"/>
      <c r="AF305" s="9"/>
      <c r="AH305" s="8"/>
      <c r="AO305" s="3">
        <v>15.743544928816656</v>
      </c>
    </row>
    <row r="306" spans="2:42" x14ac:dyDescent="0.3">
      <c r="B306" s="1">
        <f t="shared" ca="1" si="65"/>
        <v>277</v>
      </c>
      <c r="D306" s="1" t="s">
        <v>384</v>
      </c>
      <c r="F306" s="1" t="str">
        <f>+INDEX('Exh. BGM-3 (2)'!$10:$10,1,MATCH($D306,'Exh. BGM-3 (2)'!$4:$4,0))</f>
        <v>STORM EXPENSE NORMALIZATION</v>
      </c>
      <c r="I306" s="3">
        <v>0</v>
      </c>
      <c r="J306" s="3"/>
      <c r="K306" s="3">
        <v>0</v>
      </c>
      <c r="L306" s="3"/>
      <c r="M306" s="3">
        <f t="shared" si="70"/>
        <v>0</v>
      </c>
      <c r="P306" s="3">
        <f t="shared" si="71"/>
        <v>0</v>
      </c>
      <c r="Q306" s="3"/>
      <c r="R306" s="3">
        <f t="shared" si="72"/>
        <v>0</v>
      </c>
      <c r="S306" s="3"/>
      <c r="T306" s="3">
        <f t="shared" si="73"/>
        <v>0</v>
      </c>
      <c r="W306" s="3">
        <v>0</v>
      </c>
      <c r="X306" s="3"/>
      <c r="Y306" s="3">
        <f t="shared" si="68"/>
        <v>0</v>
      </c>
      <c r="Z306" s="3"/>
      <c r="AA306" s="3">
        <v>0</v>
      </c>
      <c r="AB306" s="5"/>
      <c r="AC306" s="3">
        <f t="shared" si="69"/>
        <v>0</v>
      </c>
      <c r="AE306" s="9"/>
      <c r="AF306" s="9"/>
      <c r="AH306" s="8"/>
      <c r="AO306" s="3">
        <v>0</v>
      </c>
    </row>
    <row r="307" spans="2:42" x14ac:dyDescent="0.3">
      <c r="B307" s="1">
        <f t="shared" ca="1" si="65"/>
        <v>278</v>
      </c>
      <c r="D307" s="1" t="s">
        <v>385</v>
      </c>
      <c r="F307" s="1" t="str">
        <f>+INDEX('Exh. BGM-3 (2)'!$10:$10,1,MATCH($D307,'Exh. BGM-3 (2)'!$4:$4,0))</f>
        <v>REGULATORY  ASSETS &amp; LIAB</v>
      </c>
      <c r="I307" s="3">
        <v>1840.7226137323776</v>
      </c>
      <c r="J307" s="3"/>
      <c r="K307" s="3">
        <v>-14219.006308582448</v>
      </c>
      <c r="L307" s="3"/>
      <c r="M307" s="3">
        <f t="shared" si="70"/>
        <v>-3807.3662937713098</v>
      </c>
      <c r="P307" s="3">
        <f t="shared" si="71"/>
        <v>1840.7226137323776</v>
      </c>
      <c r="Q307" s="3"/>
      <c r="R307" s="3">
        <f t="shared" si="72"/>
        <v>-14219.006308582448</v>
      </c>
      <c r="S307" s="3"/>
      <c r="T307" s="3">
        <f t="shared" si="73"/>
        <v>-3807.3662937713098</v>
      </c>
      <c r="W307" s="3">
        <v>0</v>
      </c>
      <c r="X307" s="3"/>
      <c r="Y307" s="3">
        <f t="shared" si="68"/>
        <v>0</v>
      </c>
      <c r="Z307" s="3"/>
      <c r="AA307" s="3">
        <v>0</v>
      </c>
      <c r="AB307" s="5"/>
      <c r="AC307" s="3">
        <f t="shared" si="69"/>
        <v>0</v>
      </c>
      <c r="AE307" s="9"/>
      <c r="AF307" s="9"/>
      <c r="AH307" s="8"/>
      <c r="AO307" s="3">
        <v>-3862.1743541881197</v>
      </c>
    </row>
    <row r="308" spans="2:42" x14ac:dyDescent="0.3">
      <c r="B308" s="1">
        <f t="shared" ca="1" si="65"/>
        <v>279</v>
      </c>
      <c r="D308" s="1" t="s">
        <v>386</v>
      </c>
      <c r="F308" s="1" t="str">
        <f>+INDEX('Exh. BGM-3 (2)'!$10:$10,1,MATCH($D308,'Exh. BGM-3 (2)'!$4:$4,0))</f>
        <v>GREEN DIRECT</v>
      </c>
      <c r="I308" s="3">
        <v>0</v>
      </c>
      <c r="J308" s="3"/>
      <c r="K308" s="3">
        <v>0</v>
      </c>
      <c r="L308" s="3"/>
      <c r="M308" s="3">
        <f t="shared" si="70"/>
        <v>0</v>
      </c>
      <c r="P308" s="3">
        <f t="shared" si="71"/>
        <v>0</v>
      </c>
      <c r="Q308" s="3"/>
      <c r="R308" s="3">
        <f t="shared" si="72"/>
        <v>0</v>
      </c>
      <c r="S308" s="3"/>
      <c r="T308" s="3">
        <f t="shared" si="73"/>
        <v>0</v>
      </c>
      <c r="W308" s="3">
        <v>0</v>
      </c>
      <c r="X308" s="3"/>
      <c r="Y308" s="3">
        <f t="shared" si="68"/>
        <v>0</v>
      </c>
      <c r="Z308" s="3"/>
      <c r="AA308" s="3">
        <v>0</v>
      </c>
      <c r="AB308" s="5"/>
      <c r="AC308" s="3">
        <f t="shared" si="69"/>
        <v>0</v>
      </c>
      <c r="AE308" s="9"/>
      <c r="AF308" s="9"/>
      <c r="AH308" s="8"/>
      <c r="AO308" s="3">
        <v>0</v>
      </c>
    </row>
    <row r="309" spans="2:42" x14ac:dyDescent="0.3">
      <c r="B309" s="222">
        <f t="shared" ca="1" si="65"/>
        <v>280</v>
      </c>
      <c r="C309" s="222"/>
      <c r="D309" s="222" t="s">
        <v>387</v>
      </c>
      <c r="E309" s="222"/>
      <c r="F309" s="222" t="str">
        <f>+INDEX('Exh. BGM-3 (2)'!$10:$10,1,MATCH($D309,'Exh. BGM-3 (2)'!$4:$4,0))</f>
        <v>STORM DEFERRAL AMORTIZATION</v>
      </c>
      <c r="G309" s="225"/>
      <c r="H309" s="225"/>
      <c r="I309" s="226">
        <v>3934.5553969220368</v>
      </c>
      <c r="J309" s="226"/>
      <c r="K309" s="226">
        <v>0</v>
      </c>
      <c r="L309" s="226"/>
      <c r="M309" s="226">
        <f t="shared" si="70"/>
        <v>-5229.6527529185514</v>
      </c>
      <c r="N309" s="225"/>
      <c r="O309" s="222"/>
      <c r="P309" s="226">
        <f t="shared" si="71"/>
        <v>0</v>
      </c>
      <c r="Q309" s="226"/>
      <c r="R309" s="226">
        <f t="shared" si="72"/>
        <v>-17580.428375167601</v>
      </c>
      <c r="S309" s="226"/>
      <c r="T309" s="226">
        <f t="shared" si="73"/>
        <v>-1682.4382678550251</v>
      </c>
      <c r="U309" s="222"/>
      <c r="V309" s="222"/>
      <c r="W309" s="226">
        <f>-I309/(1-0.21)</f>
        <v>-4980.4498695215652</v>
      </c>
      <c r="X309" s="226"/>
      <c r="Y309" s="226">
        <f t="shared" si="68"/>
        <v>-3934.5553969220368</v>
      </c>
      <c r="Z309" s="226"/>
      <c r="AA309" s="226">
        <f>+[23]Adjustment!$H$44+[23]Adjustment!$H$53</f>
        <v>-17580.428375167601</v>
      </c>
      <c r="AB309" s="227"/>
      <c r="AC309" s="226">
        <f t="shared" si="69"/>
        <v>3547.2144850635264</v>
      </c>
      <c r="AE309" s="232" t="s">
        <v>1026</v>
      </c>
      <c r="AF309" s="9"/>
      <c r="AH309" s="8"/>
      <c r="AO309" s="3">
        <v>-5229.6527529185514</v>
      </c>
    </row>
    <row r="310" spans="2:42" x14ac:dyDescent="0.3">
      <c r="B310" s="1">
        <f t="shared" ca="1" si="65"/>
        <v>281</v>
      </c>
      <c r="D310" s="1" t="s">
        <v>388</v>
      </c>
      <c r="F310" s="1" t="str">
        <f>+INDEX('Exh. BGM-3 (2)'!$10:$10,1,MATCH($D310,'Exh. BGM-3 (2)'!$4:$4,0))</f>
        <v>ELECTRIC VEHICLES</v>
      </c>
      <c r="I310" s="3">
        <v>-244.61548069299542</v>
      </c>
      <c r="J310" s="3"/>
      <c r="K310" s="3">
        <v>-1543.575000732634</v>
      </c>
      <c r="L310" s="3"/>
      <c r="M310" s="3">
        <f t="shared" si="70"/>
        <v>177.41369518411622</v>
      </c>
      <c r="P310" s="3">
        <f t="shared" si="71"/>
        <v>-244.61548069299542</v>
      </c>
      <c r="Q310" s="3"/>
      <c r="R310" s="3">
        <f t="shared" si="72"/>
        <v>-1543.575000732634</v>
      </c>
      <c r="S310" s="3"/>
      <c r="T310" s="3">
        <f t="shared" si="73"/>
        <v>177.41369518411622</v>
      </c>
      <c r="W310" s="3">
        <v>0</v>
      </c>
      <c r="X310" s="3"/>
      <c r="Y310" s="3">
        <f t="shared" si="68"/>
        <v>0</v>
      </c>
      <c r="Z310" s="3"/>
      <c r="AA310" s="3">
        <v>0</v>
      </c>
      <c r="AB310" s="5"/>
      <c r="AC310" s="3">
        <f t="shared" si="69"/>
        <v>0</v>
      </c>
      <c r="AE310" s="9"/>
      <c r="AF310" s="9"/>
      <c r="AH310" s="8"/>
      <c r="AO310" s="3">
        <v>171.46388757716923</v>
      </c>
    </row>
    <row r="311" spans="2:42" x14ac:dyDescent="0.3">
      <c r="B311" s="1">
        <f t="shared" ca="1" si="65"/>
        <v>282</v>
      </c>
      <c r="D311" s="1" t="s">
        <v>389</v>
      </c>
      <c r="F311" s="1" t="str">
        <f>+INDEX('Exh. BGM-3 (2)'!$10:$10,1,MATCH($D311,'Exh. BGM-3 (2)'!$4:$4,0))</f>
        <v>COLSTRIP D&amp;R TRACKER</v>
      </c>
      <c r="I311" s="3">
        <v>5505.5305195749925</v>
      </c>
      <c r="J311" s="3"/>
      <c r="K311" s="3">
        <v>11449.84021572788</v>
      </c>
      <c r="L311" s="3"/>
      <c r="M311" s="3">
        <f t="shared" si="70"/>
        <v>-6221.985663739305</v>
      </c>
      <c r="P311" s="3">
        <f t="shared" si="71"/>
        <v>5505.5305195749925</v>
      </c>
      <c r="Q311" s="3"/>
      <c r="R311" s="3">
        <f t="shared" si="72"/>
        <v>11449.84021572788</v>
      </c>
      <c r="S311" s="3"/>
      <c r="T311" s="3">
        <f t="shared" si="73"/>
        <v>-6221.985663739305</v>
      </c>
      <c r="W311" s="3">
        <v>0</v>
      </c>
      <c r="X311" s="3"/>
      <c r="Y311" s="3">
        <f t="shared" si="68"/>
        <v>0</v>
      </c>
      <c r="Z311" s="3"/>
      <c r="AA311" s="3">
        <v>0</v>
      </c>
      <c r="AB311" s="5"/>
      <c r="AC311" s="3">
        <f t="shared" si="69"/>
        <v>0</v>
      </c>
      <c r="AE311" s="9"/>
      <c r="AF311" s="9"/>
      <c r="AH311" s="8"/>
      <c r="AO311" s="3">
        <v>-6177.8515294202525</v>
      </c>
    </row>
    <row r="312" spans="2:42" x14ac:dyDescent="0.3">
      <c r="B312" s="1">
        <f t="shared" ca="1" si="65"/>
        <v>283</v>
      </c>
      <c r="D312" s="1" t="s">
        <v>390</v>
      </c>
      <c r="F312" s="1" t="str">
        <f>+INDEX('Exh. BGM-3 (2)'!$10:$10,1,MATCH($D312,'Exh. BGM-3 (2)'!$4:$4,0))</f>
        <v>OPEN 3</v>
      </c>
      <c r="I312" s="3">
        <v>0</v>
      </c>
      <c r="J312" s="3"/>
      <c r="K312" s="3">
        <v>0</v>
      </c>
      <c r="L312" s="3"/>
      <c r="M312" s="3">
        <f t="shared" si="70"/>
        <v>0</v>
      </c>
      <c r="P312" s="3">
        <f t="shared" si="71"/>
        <v>0</v>
      </c>
      <c r="Q312" s="3"/>
      <c r="R312" s="3">
        <f t="shared" si="72"/>
        <v>0</v>
      </c>
      <c r="S312" s="3"/>
      <c r="T312" s="3">
        <f t="shared" si="73"/>
        <v>0</v>
      </c>
      <c r="W312" s="3">
        <v>0</v>
      </c>
      <c r="X312" s="3"/>
      <c r="Y312" s="3">
        <f t="shared" si="68"/>
        <v>0</v>
      </c>
      <c r="Z312" s="3"/>
      <c r="AA312" s="3">
        <v>0</v>
      </c>
      <c r="AB312" s="5"/>
      <c r="AC312" s="3">
        <f t="shared" si="69"/>
        <v>0</v>
      </c>
      <c r="AE312" s="9"/>
      <c r="AF312" s="9"/>
      <c r="AH312" s="8"/>
      <c r="AO312" s="3">
        <v>0</v>
      </c>
    </row>
    <row r="313" spans="2:42" x14ac:dyDescent="0.3">
      <c r="B313" s="1">
        <f t="shared" ca="1" si="65"/>
        <v>284</v>
      </c>
      <c r="D313" s="1" t="s">
        <v>391</v>
      </c>
      <c r="F313" s="1" t="str">
        <f>+INDEX('Exh. BGM-3 (2)'!$10:$10,1,MATCH($D313,'Exh. BGM-3 (2)'!$4:$4,0))</f>
        <v>MONETIZE PTCS FOR COLSTRIP</v>
      </c>
      <c r="I313" s="3">
        <v>0</v>
      </c>
      <c r="J313" s="3"/>
      <c r="K313" s="3">
        <v>0</v>
      </c>
      <c r="L313" s="3"/>
      <c r="M313" s="3">
        <f t="shared" si="70"/>
        <v>0</v>
      </c>
      <c r="P313" s="3">
        <f t="shared" si="71"/>
        <v>0</v>
      </c>
      <c r="Q313" s="3"/>
      <c r="R313" s="3">
        <f t="shared" si="72"/>
        <v>0</v>
      </c>
      <c r="S313" s="3"/>
      <c r="T313" s="3">
        <f t="shared" si="73"/>
        <v>0</v>
      </c>
      <c r="W313" s="3">
        <v>0</v>
      </c>
      <c r="X313" s="3"/>
      <c r="Y313" s="3">
        <f t="shared" si="68"/>
        <v>0</v>
      </c>
      <c r="Z313" s="3"/>
      <c r="AA313" s="3">
        <v>0</v>
      </c>
      <c r="AB313" s="5"/>
      <c r="AC313" s="3">
        <f t="shared" si="69"/>
        <v>0</v>
      </c>
      <c r="AE313" s="9"/>
      <c r="AF313" s="9"/>
      <c r="AH313" s="8"/>
      <c r="AO313" s="3">
        <v>0</v>
      </c>
    </row>
    <row r="314" spans="2:42" x14ac:dyDescent="0.3">
      <c r="B314" s="1">
        <f t="shared" ca="1" si="65"/>
        <v>285</v>
      </c>
      <c r="D314" s="1" t="s">
        <v>392</v>
      </c>
      <c r="F314" s="1" t="str">
        <f>+INDEX('Exh. BGM-3 (2)'!$10:$10,1,MATCH($D314,'Exh. BGM-3 (2)'!$4:$4,0))</f>
        <v>ACQUISITION ADJUSTMENT</v>
      </c>
      <c r="I314" s="3">
        <v>0</v>
      </c>
      <c r="J314" s="3"/>
      <c r="K314" s="3">
        <v>-5761.4931600000155</v>
      </c>
      <c r="L314" s="3"/>
      <c r="M314" s="3">
        <f t="shared" si="70"/>
        <v>-551.37203516956913</v>
      </c>
      <c r="P314" s="3">
        <f t="shared" si="71"/>
        <v>0</v>
      </c>
      <c r="Q314" s="3"/>
      <c r="R314" s="3">
        <f t="shared" si="72"/>
        <v>-5761.4931600000155</v>
      </c>
      <c r="S314" s="3"/>
      <c r="T314" s="3">
        <f t="shared" si="73"/>
        <v>-551.37203516956913</v>
      </c>
      <c r="W314" s="3">
        <v>0</v>
      </c>
      <c r="X314" s="3"/>
      <c r="Y314" s="3">
        <f t="shared" si="68"/>
        <v>0</v>
      </c>
      <c r="Z314" s="3"/>
      <c r="AA314" s="3">
        <v>0</v>
      </c>
      <c r="AB314" s="5"/>
      <c r="AC314" s="3">
        <f t="shared" si="69"/>
        <v>0</v>
      </c>
      <c r="AE314" s="9"/>
      <c r="AF314" s="9"/>
      <c r="AH314" s="8"/>
      <c r="AO314" s="3">
        <v>-573.58007547500995</v>
      </c>
    </row>
    <row r="315" spans="2:42" x14ac:dyDescent="0.3">
      <c r="B315" s="222">
        <f t="shared" ca="1" si="65"/>
        <v>286</v>
      </c>
      <c r="C315" s="222"/>
      <c r="D315" s="222" t="s">
        <v>1019</v>
      </c>
      <c r="E315" s="222"/>
      <c r="F315" s="222" t="str">
        <f>+INDEX('Exh. BGM-3 (2)'!$10:$10,1,MATCH($D315,'Exh. BGM-3 (2)'!$4:$4,0))</f>
        <v>CAPITAL PRIORITIZATION</v>
      </c>
      <c r="G315" s="225"/>
      <c r="H315" s="225"/>
      <c r="I315" s="226">
        <v>0</v>
      </c>
      <c r="J315" s="226"/>
      <c r="K315" s="226">
        <v>0</v>
      </c>
      <c r="L315" s="226"/>
      <c r="M315" s="226">
        <f t="shared" ref="M315:M316" si="82">+($K315*$AL$16-$I315)/$AJ$4</f>
        <v>0</v>
      </c>
      <c r="N315" s="225"/>
      <c r="O315" s="222"/>
      <c r="P315" s="226">
        <f t="shared" si="71"/>
        <v>4681.7894104666129</v>
      </c>
      <c r="Q315" s="226"/>
      <c r="R315" s="226">
        <f t="shared" si="72"/>
        <v>-146529.30270657243</v>
      </c>
      <c r="S315" s="226"/>
      <c r="T315" s="226">
        <f t="shared" ref="T315:T316" si="83">+($R315*$AL$16-$P315)/$AJ$4</f>
        <v>-20245.627669570655</v>
      </c>
      <c r="U315" s="222"/>
      <c r="V315" s="222"/>
      <c r="W315" s="226">
        <f>-'Exh. BGM-3 (2)'!KA35/1000</f>
        <v>5926.3157094514081</v>
      </c>
      <c r="X315" s="226"/>
      <c r="Y315" s="226">
        <f t="shared" si="68"/>
        <v>4681.7894104666129</v>
      </c>
      <c r="Z315" s="226"/>
      <c r="AA315" s="226">
        <f>+'Exh. BGM-3 (2)'!KA57/1000</f>
        <v>-146529.30270657243</v>
      </c>
      <c r="AB315" s="227"/>
      <c r="AC315" s="226">
        <f t="shared" si="69"/>
        <v>-20245.627669570655</v>
      </c>
      <c r="AE315" s="232" t="s">
        <v>1026</v>
      </c>
      <c r="AF315" s="9"/>
      <c r="AH315" s="8"/>
      <c r="AO315" s="3"/>
    </row>
    <row r="316" spans="2:42" x14ac:dyDescent="0.3">
      <c r="B316" s="222">
        <f t="shared" ca="1" si="65"/>
        <v>287</v>
      </c>
      <c r="C316" s="222"/>
      <c r="D316" s="222" t="s">
        <v>1047</v>
      </c>
      <c r="E316" s="222"/>
      <c r="F316" s="222" t="str">
        <f>+INDEX('Exh. BGM-3 (2)'!$10:$10,1,MATCH($D316,'Exh. BGM-3 (2)'!$4:$4,0))</f>
        <v>DIRECTORS' FEES</v>
      </c>
      <c r="G316" s="225"/>
      <c r="H316" s="225"/>
      <c r="I316" s="226">
        <v>0</v>
      </c>
      <c r="J316" s="226"/>
      <c r="K316" s="226">
        <v>0</v>
      </c>
      <c r="L316" s="226"/>
      <c r="M316" s="226">
        <f t="shared" si="82"/>
        <v>0</v>
      </c>
      <c r="N316" s="225"/>
      <c r="O316" s="222"/>
      <c r="P316" s="226">
        <f t="shared" si="71"/>
        <v>0.39184000000000002</v>
      </c>
      <c r="Q316" s="226"/>
      <c r="R316" s="226">
        <f t="shared" si="72"/>
        <v>0</v>
      </c>
      <c r="S316" s="226"/>
      <c r="T316" s="226">
        <f t="shared" si="83"/>
        <v>-0.52081796492347365</v>
      </c>
      <c r="U316" s="222"/>
      <c r="V316" s="222"/>
      <c r="W316" s="226">
        <f>-'A2 (Dir. Fees)'!Z11/1000</f>
        <v>0.496</v>
      </c>
      <c r="X316" s="226"/>
      <c r="Y316" s="226">
        <f t="shared" si="68"/>
        <v>0.39184000000000002</v>
      </c>
      <c r="Z316" s="226"/>
      <c r="AA316" s="226">
        <f>+'Exh. BGM-3 (2)'!IC114/1000</f>
        <v>0</v>
      </c>
      <c r="AB316" s="227"/>
      <c r="AC316" s="226">
        <f t="shared" si="69"/>
        <v>-0.52081796492347365</v>
      </c>
      <c r="AE316" s="232" t="s">
        <v>1026</v>
      </c>
      <c r="AH316" s="8"/>
    </row>
    <row r="317" spans="2:42" x14ac:dyDescent="0.3">
      <c r="AH317" s="8"/>
    </row>
    <row r="318" spans="2:42" x14ac:dyDescent="0.3">
      <c r="C318" s="7"/>
      <c r="D318" s="11"/>
      <c r="E318" s="7"/>
      <c r="I318" s="14"/>
      <c r="J318" s="6"/>
      <c r="K318" s="14"/>
      <c r="L318" s="6"/>
      <c r="M318" s="14"/>
      <c r="O318" s="7"/>
      <c r="P318" s="14"/>
      <c r="Q318" s="6"/>
      <c r="R318" s="14"/>
      <c r="S318" s="6"/>
      <c r="T318" s="14"/>
      <c r="W318" s="14"/>
      <c r="X318" s="1"/>
      <c r="Y318" s="14"/>
      <c r="Z318" s="6"/>
      <c r="AA318" s="14"/>
      <c r="AB318" s="6"/>
      <c r="AC318" s="13"/>
      <c r="AE318" s="9"/>
      <c r="AF318" s="9"/>
      <c r="AH318" s="8"/>
      <c r="AO318" s="14"/>
    </row>
    <row r="319" spans="2:42" ht="13.5" thickBot="1" x14ac:dyDescent="0.35">
      <c r="B319" s="1">
        <f ca="1">+MAX(OFFSET($B$7,0,0,ROW($B319)-ROW($B$7),1))+1</f>
        <v>288</v>
      </c>
      <c r="D319" s="11"/>
      <c r="F319" s="7" t="s">
        <v>394</v>
      </c>
      <c r="I319" s="12">
        <f>+SUM(I264:I318)</f>
        <v>179338.2596398803</v>
      </c>
      <c r="J319" s="3"/>
      <c r="K319" s="12">
        <f>+SUM(K264:K318)</f>
        <v>6441067.8499126444</v>
      </c>
      <c r="L319" s="3"/>
      <c r="M319" s="12">
        <f t="shared" ref="M319" si="84">+($K319*$AL$46-$I319)/$AJ$4</f>
        <v>378037.7953942357</v>
      </c>
      <c r="P319" s="12">
        <f>+SUM(P264:P318)</f>
        <v>252430.09851570087</v>
      </c>
      <c r="Q319" s="3"/>
      <c r="R319" s="12">
        <f>+SUM(R264:R318)</f>
        <v>5765691.3340406585</v>
      </c>
      <c r="S319" s="3"/>
      <c r="T319" s="12">
        <f t="shared" ref="T319" si="85">+($R319*$AL$46-$P319)/$AJ$4</f>
        <v>216253.86624030757</v>
      </c>
      <c r="W319" s="12">
        <f>+SUM(W264:W318)</f>
        <v>97011.086377962987</v>
      </c>
      <c r="X319" s="5"/>
      <c r="Y319" s="12">
        <f>+SUM(Y264:Y318)</f>
        <v>73091.838875820584</v>
      </c>
      <c r="Z319" s="3"/>
      <c r="AA319" s="12">
        <f>+SUM(AA264:AA318)</f>
        <v>-675376.51587198337</v>
      </c>
      <c r="AB319" s="3"/>
      <c r="AC319" s="12">
        <f>+SUM(AC264:AC318)</f>
        <v>-161783.92915392781</v>
      </c>
      <c r="AE319" s="9"/>
      <c r="AF319" s="9"/>
      <c r="AH319" s="8"/>
      <c r="AL319" s="3"/>
      <c r="AO319" s="12">
        <v>402865.29938470107</v>
      </c>
      <c r="AP319" s="3">
        <f>+M319-AO319</f>
        <v>-24827.503990465368</v>
      </c>
    </row>
    <row r="320" spans="2:42" ht="13.5" thickTop="1" x14ac:dyDescent="0.3">
      <c r="D320" s="11"/>
      <c r="F320" s="7"/>
      <c r="I320" s="134"/>
      <c r="J320" s="3"/>
      <c r="K320" s="134"/>
      <c r="L320" s="3"/>
      <c r="M320" s="134"/>
      <c r="P320" s="134"/>
      <c r="Q320" s="3"/>
      <c r="R320" s="201"/>
      <c r="S320" s="202" t="s">
        <v>671</v>
      </c>
      <c r="T320" s="201">
        <f>+T319-'Exh. BGM-3 (2)'!KF70/1000</f>
        <v>-5.2386894822120667E-10</v>
      </c>
      <c r="W320" s="134"/>
      <c r="X320" s="5"/>
      <c r="Y320" s="134"/>
      <c r="Z320" s="3"/>
      <c r="AA320" s="134"/>
      <c r="AB320" s="3"/>
      <c r="AC320" s="134"/>
      <c r="AE320" s="9"/>
      <c r="AF320" s="9"/>
      <c r="AH320" s="8"/>
      <c r="AL320" s="3"/>
      <c r="AO320" s="134"/>
    </row>
  </sheetData>
  <pageMargins left="0.25" right="0.25" top="1.5" bottom="0.75" header="0.8" footer="0.3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062BE-E732-4598-A79D-8EA13D76D3EB}">
  <sheetPr>
    <tabColor rgb="FF57AAB5"/>
    <pageSetUpPr fitToPage="1"/>
  </sheetPr>
  <dimension ref="A1:KG105"/>
  <sheetViews>
    <sheetView zoomScale="85" zoomScaleNormal="85" workbookViewId="0">
      <pane xSplit="2" ySplit="10" topLeftCell="C11" activePane="bottomRight" state="frozen"/>
      <selection pane="topRight"/>
      <selection pane="bottomLeft"/>
      <selection pane="bottomRight"/>
    </sheetView>
  </sheetViews>
  <sheetFormatPr defaultColWidth="9.26953125" defaultRowHeight="13" outlineLevelCol="1" x14ac:dyDescent="0.3"/>
  <cols>
    <col min="1" max="1" width="7" style="47" customWidth="1"/>
    <col min="2" max="2" width="41.7265625" style="47" customWidth="1"/>
    <col min="3" max="3" width="17.26953125" style="47" customWidth="1"/>
    <col min="4" max="4" width="15.26953125" style="47" customWidth="1" outlineLevel="1"/>
    <col min="5" max="5" width="16.7265625" style="47" customWidth="1" outlineLevel="1"/>
    <col min="6" max="6" width="18.1796875" style="47" customWidth="1" outlineLevel="1"/>
    <col min="7" max="7" width="14.26953125" style="47" customWidth="1" outlineLevel="1"/>
    <col min="8" max="8" width="17.54296875" style="47" customWidth="1" outlineLevel="1"/>
    <col min="9" max="21" width="15.26953125" style="47" customWidth="1" outlineLevel="1"/>
    <col min="22" max="22" width="16" style="47" customWidth="1" outlineLevel="1"/>
    <col min="23" max="23" width="15.26953125" style="47" customWidth="1" outlineLevel="1"/>
    <col min="24" max="24" width="16.7265625" style="47" customWidth="1" outlineLevel="1"/>
    <col min="25" max="28" width="15.26953125" style="47" customWidth="1" outlineLevel="1"/>
    <col min="29" max="29" width="17.81640625" style="47" customWidth="1" outlineLevel="1"/>
    <col min="30" max="33" width="16.7265625" style="47" customWidth="1" outlineLevel="1"/>
    <col min="34" max="34" width="18" style="47" customWidth="1" outlineLevel="1"/>
    <col min="35" max="41" width="16.7265625" style="47" customWidth="1" outlineLevel="1"/>
    <col min="42" max="42" width="15.26953125" style="47" customWidth="1" outlineLevel="1"/>
    <col min="43" max="43" width="16.7265625" style="47" customWidth="1" outlineLevel="1"/>
    <col min="44" max="44" width="15.26953125" style="47" customWidth="1"/>
    <col min="45" max="45" width="17.26953125" style="47" customWidth="1"/>
    <col min="46" max="46" width="15.26953125" style="47" customWidth="1" outlineLevel="1"/>
    <col min="47" max="47" width="14.7265625" style="47" customWidth="1" outlineLevel="1"/>
    <col min="48" max="48" width="17.81640625" style="47" customWidth="1" outlineLevel="1"/>
    <col min="49" max="56" width="15.26953125" style="47" customWidth="1" outlineLevel="1"/>
    <col min="57" max="57" width="16" style="47" customWidth="1" outlineLevel="1"/>
    <col min="58" max="58" width="15.26953125" style="47" customWidth="1" outlineLevel="1"/>
    <col min="59" max="59" width="16" style="47" customWidth="1" outlineLevel="1"/>
    <col min="60" max="62" width="15.26953125" style="47" customWidth="1" outlineLevel="1"/>
    <col min="63" max="63" width="18.26953125" style="47" customWidth="1" outlineLevel="1"/>
    <col min="64" max="64" width="15.26953125" style="47" customWidth="1" outlineLevel="1"/>
    <col min="65" max="65" width="16" style="47" customWidth="1" outlineLevel="1"/>
    <col min="66" max="70" width="15.26953125" style="47" customWidth="1" outlineLevel="1"/>
    <col min="71" max="71" width="16.26953125" style="47" customWidth="1" outlineLevel="1"/>
    <col min="72" max="75" width="15.26953125" style="47" customWidth="1" outlineLevel="1"/>
    <col min="76" max="76" width="17.54296875" style="47" customWidth="1" outlineLevel="1"/>
    <col min="77" max="77" width="17.1796875" style="47" customWidth="1" outlineLevel="1"/>
    <col min="78" max="91" width="15.26953125" style="47" customWidth="1" outlineLevel="1"/>
    <col min="92" max="92" width="16.26953125" style="47" bestFit="1" customWidth="1"/>
    <col min="93" max="93" width="17.26953125" style="47" bestFit="1" customWidth="1"/>
    <col min="94" max="123" width="17.26953125" style="47" customWidth="1" outlineLevel="1"/>
    <col min="124" max="124" width="17.7265625" style="47" customWidth="1" outlineLevel="1"/>
    <col min="125" max="133" width="17.26953125" style="47" customWidth="1" outlineLevel="1"/>
    <col min="134" max="134" width="16.453125" style="47" customWidth="1" outlineLevel="1"/>
    <col min="135" max="140" width="15.26953125" style="47" customWidth="1" outlineLevel="1"/>
    <col min="141" max="141" width="16.26953125" style="47" bestFit="1" customWidth="1"/>
    <col min="142" max="142" width="17.26953125" style="47" bestFit="1" customWidth="1"/>
    <col min="143" max="183" width="17.26953125" style="47" customWidth="1" outlineLevel="1"/>
    <col min="184" max="190" width="15.26953125" style="47" customWidth="1" outlineLevel="1"/>
    <col min="191" max="191" width="16.26953125" style="47" bestFit="1" customWidth="1"/>
    <col min="192" max="192" width="17.26953125" style="47" bestFit="1" customWidth="1"/>
    <col min="193" max="232" width="17.26953125" style="47" customWidth="1" outlineLevel="1"/>
    <col min="233" max="233" width="16" style="47" customWidth="1" outlineLevel="1"/>
    <col min="234" max="240" width="15.26953125" style="47" customWidth="1" outlineLevel="1"/>
    <col min="241" max="241" width="16.26953125" style="47" bestFit="1" customWidth="1"/>
    <col min="242" max="242" width="17.26953125" style="47" bestFit="1" customWidth="1"/>
    <col min="243" max="282" width="17.26953125" style="47" customWidth="1" outlineLevel="1"/>
    <col min="283" max="290" width="15.26953125" style="47" customWidth="1" outlineLevel="1"/>
    <col min="291" max="291" width="16.26953125" style="47" bestFit="1" customWidth="1"/>
    <col min="292" max="292" width="17.26953125" style="47" bestFit="1" customWidth="1"/>
    <col min="293" max="293" width="2.26953125" style="47" customWidth="1"/>
    <col min="294" max="16384" width="9.26953125" style="47"/>
  </cols>
  <sheetData>
    <row r="1" spans="1:293" s="43" customFormat="1" ht="14.5" x14ac:dyDescent="0.35">
      <c r="A1" s="48" t="s">
        <v>1069</v>
      </c>
      <c r="C1" s="44"/>
      <c r="D1" s="45">
        <v>0</v>
      </c>
      <c r="E1" s="45">
        <v>0</v>
      </c>
      <c r="F1" s="45">
        <v>0</v>
      </c>
      <c r="G1" s="45">
        <v>0</v>
      </c>
      <c r="H1" s="45">
        <v>0</v>
      </c>
      <c r="I1" s="45">
        <v>0</v>
      </c>
      <c r="J1" s="45">
        <v>0</v>
      </c>
      <c r="K1" s="45">
        <v>0</v>
      </c>
      <c r="L1" s="45">
        <v>0</v>
      </c>
      <c r="M1" s="45">
        <v>0</v>
      </c>
      <c r="N1" s="45">
        <v>0</v>
      </c>
      <c r="O1" s="45">
        <v>0</v>
      </c>
      <c r="P1" s="45">
        <v>0</v>
      </c>
      <c r="Q1" s="45">
        <v>0</v>
      </c>
      <c r="R1" s="45">
        <v>0</v>
      </c>
      <c r="S1" s="45">
        <v>0</v>
      </c>
      <c r="T1" s="45">
        <v>0</v>
      </c>
      <c r="U1" s="45">
        <v>0</v>
      </c>
      <c r="V1" s="45">
        <v>0</v>
      </c>
      <c r="W1" s="45">
        <v>0</v>
      </c>
      <c r="X1" s="45">
        <v>0</v>
      </c>
      <c r="Y1" s="45">
        <v>0</v>
      </c>
      <c r="Z1" s="45">
        <v>0</v>
      </c>
      <c r="AA1" s="45">
        <v>0</v>
      </c>
      <c r="AB1" s="45">
        <v>0</v>
      </c>
      <c r="AC1" s="45">
        <v>0</v>
      </c>
      <c r="AD1" s="45">
        <v>0</v>
      </c>
      <c r="AE1" s="45">
        <v>0</v>
      </c>
      <c r="AF1" s="45">
        <v>0</v>
      </c>
      <c r="AG1" s="45">
        <v>0</v>
      </c>
      <c r="AH1" s="45">
        <v>0</v>
      </c>
      <c r="AI1" s="45">
        <v>0</v>
      </c>
      <c r="AJ1" s="45">
        <v>0</v>
      </c>
      <c r="AK1" s="45">
        <v>0</v>
      </c>
      <c r="AL1" s="45">
        <v>0</v>
      </c>
      <c r="AM1" s="45">
        <v>0</v>
      </c>
      <c r="AN1" s="45">
        <v>0</v>
      </c>
      <c r="AO1" s="45">
        <v>0</v>
      </c>
      <c r="AP1" s="45"/>
      <c r="AQ1" s="45">
        <v>0</v>
      </c>
      <c r="AR1" s="45"/>
      <c r="AS1" s="45"/>
      <c r="AT1" s="45">
        <v>0</v>
      </c>
      <c r="AU1" s="45">
        <v>0</v>
      </c>
      <c r="AV1" s="45">
        <v>0</v>
      </c>
      <c r="AW1" s="45">
        <v>0</v>
      </c>
      <c r="AX1" s="45">
        <v>0</v>
      </c>
      <c r="AY1" s="45">
        <v>0</v>
      </c>
      <c r="AZ1" s="45">
        <v>0</v>
      </c>
      <c r="BA1" s="45">
        <v>0</v>
      </c>
      <c r="BB1" s="45">
        <v>0</v>
      </c>
      <c r="BC1" s="45">
        <v>0</v>
      </c>
      <c r="BD1" s="45">
        <v>0</v>
      </c>
      <c r="BE1" s="45">
        <v>0</v>
      </c>
      <c r="BF1" s="45">
        <v>0</v>
      </c>
      <c r="BG1" s="45">
        <v>0</v>
      </c>
      <c r="BH1" s="45">
        <v>0</v>
      </c>
      <c r="BI1" s="45">
        <v>0</v>
      </c>
      <c r="BJ1" s="45">
        <v>0</v>
      </c>
      <c r="BK1" s="45">
        <v>0</v>
      </c>
      <c r="BL1" s="45">
        <v>0</v>
      </c>
      <c r="BM1" s="45">
        <v>0</v>
      </c>
      <c r="BN1" s="45">
        <v>0</v>
      </c>
      <c r="BO1" s="45">
        <v>0</v>
      </c>
      <c r="BP1" s="45">
        <v>0</v>
      </c>
      <c r="BQ1" s="45">
        <v>0</v>
      </c>
      <c r="BR1" s="45">
        <v>0</v>
      </c>
      <c r="BS1" s="45">
        <v>0</v>
      </c>
      <c r="BT1" s="45">
        <v>0</v>
      </c>
      <c r="BU1" s="45">
        <v>0</v>
      </c>
      <c r="BV1" s="45">
        <v>0</v>
      </c>
      <c r="BW1" s="45">
        <v>0</v>
      </c>
      <c r="BX1" s="45">
        <v>0</v>
      </c>
      <c r="BY1" s="45">
        <v>0</v>
      </c>
      <c r="BZ1" s="45">
        <v>0</v>
      </c>
      <c r="CA1" s="45">
        <v>0</v>
      </c>
      <c r="CB1" s="45">
        <v>0</v>
      </c>
      <c r="CC1" s="45">
        <v>0</v>
      </c>
      <c r="CD1" s="45">
        <v>0</v>
      </c>
      <c r="CE1" s="45">
        <v>0</v>
      </c>
      <c r="CF1" s="45">
        <v>0</v>
      </c>
      <c r="CG1" s="45">
        <v>0</v>
      </c>
      <c r="CH1" s="45">
        <v>0</v>
      </c>
      <c r="CI1" s="45">
        <v>0</v>
      </c>
      <c r="CJ1" s="45">
        <v>0</v>
      </c>
      <c r="CK1" s="45">
        <v>0</v>
      </c>
      <c r="CL1" s="45">
        <v>0</v>
      </c>
      <c r="CM1" s="45">
        <v>0</v>
      </c>
      <c r="CN1" s="45"/>
      <c r="CO1" s="45">
        <v>0</v>
      </c>
      <c r="CP1" s="45">
        <v>0</v>
      </c>
      <c r="CQ1" s="45">
        <v>0</v>
      </c>
      <c r="CR1" s="45">
        <v>0</v>
      </c>
      <c r="CS1" s="45">
        <v>0</v>
      </c>
      <c r="CT1" s="45">
        <v>0</v>
      </c>
      <c r="CU1" s="45">
        <v>0</v>
      </c>
      <c r="CV1" s="45">
        <v>0</v>
      </c>
      <c r="CW1" s="45">
        <v>0</v>
      </c>
      <c r="CX1" s="45">
        <v>0</v>
      </c>
      <c r="CY1" s="45">
        <v>0</v>
      </c>
      <c r="CZ1" s="45">
        <v>0</v>
      </c>
      <c r="DA1" s="45">
        <v>0</v>
      </c>
      <c r="DB1" s="45">
        <v>0</v>
      </c>
      <c r="DC1" s="45">
        <v>0</v>
      </c>
      <c r="DD1" s="45">
        <v>0</v>
      </c>
      <c r="DE1" s="45">
        <v>0</v>
      </c>
      <c r="DF1" s="45">
        <v>0</v>
      </c>
      <c r="DG1" s="45">
        <v>0</v>
      </c>
      <c r="DH1" s="45">
        <v>0</v>
      </c>
      <c r="DI1" s="45">
        <v>0</v>
      </c>
      <c r="DJ1" s="45">
        <v>0</v>
      </c>
      <c r="DK1" s="45">
        <v>0</v>
      </c>
      <c r="DL1" s="45">
        <v>0</v>
      </c>
      <c r="DM1" s="45">
        <v>0</v>
      </c>
      <c r="DN1" s="45">
        <v>0</v>
      </c>
      <c r="DO1" s="45">
        <v>0</v>
      </c>
      <c r="DP1" s="45">
        <v>0</v>
      </c>
      <c r="DQ1" s="45">
        <v>0</v>
      </c>
      <c r="DR1" s="45">
        <v>0</v>
      </c>
      <c r="DS1" s="45">
        <v>0</v>
      </c>
      <c r="DT1" s="45">
        <v>0</v>
      </c>
      <c r="DU1" s="45">
        <v>0</v>
      </c>
      <c r="DV1" s="45">
        <v>0</v>
      </c>
      <c r="DW1" s="45">
        <v>0</v>
      </c>
      <c r="DX1" s="45">
        <v>0</v>
      </c>
      <c r="DY1" s="45">
        <v>0</v>
      </c>
      <c r="DZ1" s="45">
        <v>0</v>
      </c>
      <c r="EA1" s="45">
        <v>0</v>
      </c>
      <c r="EB1" s="45">
        <v>0</v>
      </c>
      <c r="EC1" s="45">
        <v>0</v>
      </c>
      <c r="ED1" s="45">
        <v>0</v>
      </c>
      <c r="EE1" s="45">
        <v>0</v>
      </c>
      <c r="EF1" s="45">
        <v>0</v>
      </c>
      <c r="EG1" s="45">
        <v>0</v>
      </c>
      <c r="EH1" s="45">
        <v>0</v>
      </c>
      <c r="EI1" s="45">
        <v>0</v>
      </c>
      <c r="EJ1" s="45">
        <v>0</v>
      </c>
      <c r="EK1" s="45"/>
      <c r="EL1" s="45">
        <v>0</v>
      </c>
      <c r="EM1" s="45">
        <v>0</v>
      </c>
      <c r="EN1" s="45">
        <v>0</v>
      </c>
      <c r="EO1" s="45">
        <v>0</v>
      </c>
      <c r="EP1" s="45">
        <v>0</v>
      </c>
      <c r="EQ1" s="45">
        <v>0</v>
      </c>
      <c r="ER1" s="45">
        <v>0</v>
      </c>
      <c r="ES1" s="45">
        <v>0</v>
      </c>
      <c r="ET1" s="45">
        <v>0</v>
      </c>
      <c r="EU1" s="45">
        <v>0</v>
      </c>
      <c r="EV1" s="45">
        <v>0</v>
      </c>
      <c r="EW1" s="45">
        <v>0</v>
      </c>
      <c r="EX1" s="45">
        <v>0</v>
      </c>
      <c r="EY1" s="45">
        <v>0</v>
      </c>
      <c r="EZ1" s="45">
        <v>0</v>
      </c>
      <c r="FA1" s="45">
        <v>0</v>
      </c>
      <c r="FB1" s="45">
        <v>0</v>
      </c>
      <c r="FC1" s="45">
        <v>0</v>
      </c>
      <c r="FD1" s="45">
        <v>0</v>
      </c>
      <c r="FE1" s="45">
        <v>0</v>
      </c>
      <c r="FF1" s="45">
        <v>0</v>
      </c>
      <c r="FG1" s="45">
        <v>0</v>
      </c>
      <c r="FH1" s="45">
        <v>0</v>
      </c>
      <c r="FI1" s="45">
        <v>0</v>
      </c>
      <c r="FJ1" s="45">
        <v>0</v>
      </c>
      <c r="FK1" s="45">
        <v>0</v>
      </c>
      <c r="FL1" s="45">
        <v>0</v>
      </c>
      <c r="FM1" s="45">
        <v>0</v>
      </c>
      <c r="FN1" s="45">
        <v>0</v>
      </c>
      <c r="FO1" s="45">
        <v>0</v>
      </c>
      <c r="FP1" s="45">
        <v>0</v>
      </c>
      <c r="FQ1" s="45">
        <v>0</v>
      </c>
      <c r="FR1" s="45">
        <v>0</v>
      </c>
      <c r="FS1" s="45">
        <v>0</v>
      </c>
      <c r="FT1" s="45">
        <v>0</v>
      </c>
      <c r="FU1" s="45">
        <v>0</v>
      </c>
      <c r="FV1" s="45">
        <v>0</v>
      </c>
      <c r="FW1" s="45">
        <v>0</v>
      </c>
      <c r="FX1" s="45">
        <v>0</v>
      </c>
      <c r="FY1" s="45">
        <v>0</v>
      </c>
      <c r="FZ1" s="45">
        <v>0</v>
      </c>
      <c r="GA1" s="45">
        <v>0</v>
      </c>
      <c r="GB1" s="45">
        <v>0</v>
      </c>
      <c r="GC1" s="45">
        <v>0</v>
      </c>
      <c r="GD1" s="45">
        <v>0</v>
      </c>
      <c r="GE1" s="45"/>
      <c r="GF1" s="45"/>
      <c r="GG1" s="45">
        <v>0</v>
      </c>
      <c r="GH1" s="45">
        <v>0</v>
      </c>
      <c r="GI1" s="45"/>
      <c r="GJ1" s="45">
        <v>0</v>
      </c>
      <c r="GK1" s="45">
        <v>0</v>
      </c>
      <c r="GL1" s="45">
        <v>0</v>
      </c>
      <c r="GM1" s="45">
        <v>0</v>
      </c>
      <c r="GN1" s="45">
        <v>0</v>
      </c>
      <c r="GO1" s="45">
        <v>0</v>
      </c>
      <c r="GP1" s="45">
        <v>0</v>
      </c>
      <c r="GQ1" s="45">
        <v>0</v>
      </c>
      <c r="GR1" s="45">
        <v>0</v>
      </c>
      <c r="GS1" s="45">
        <v>0</v>
      </c>
      <c r="GT1" s="45">
        <v>0</v>
      </c>
      <c r="GU1" s="45">
        <v>0</v>
      </c>
      <c r="GV1" s="45">
        <v>0</v>
      </c>
      <c r="GW1" s="45">
        <v>0</v>
      </c>
      <c r="GX1" s="45">
        <v>0</v>
      </c>
      <c r="GY1" s="45">
        <v>0</v>
      </c>
      <c r="GZ1" s="45">
        <v>0</v>
      </c>
      <c r="HA1" s="45">
        <v>0</v>
      </c>
      <c r="HB1" s="45">
        <v>0</v>
      </c>
      <c r="HC1" s="45">
        <v>0</v>
      </c>
      <c r="HD1" s="45">
        <v>0</v>
      </c>
      <c r="HE1" s="45">
        <v>0</v>
      </c>
      <c r="HF1" s="45">
        <v>0</v>
      </c>
      <c r="HG1" s="45">
        <v>0</v>
      </c>
      <c r="HH1" s="45">
        <v>0</v>
      </c>
      <c r="HI1" s="45">
        <v>0</v>
      </c>
      <c r="HJ1" s="45">
        <v>0</v>
      </c>
      <c r="HK1" s="45">
        <v>0</v>
      </c>
      <c r="HL1" s="45">
        <v>0</v>
      </c>
      <c r="HM1" s="45">
        <v>0</v>
      </c>
      <c r="HN1" s="45">
        <v>0</v>
      </c>
      <c r="HO1" s="45">
        <v>0</v>
      </c>
      <c r="HP1" s="45">
        <v>0</v>
      </c>
      <c r="HQ1" s="45">
        <v>0</v>
      </c>
      <c r="HR1" s="45">
        <v>0</v>
      </c>
      <c r="HS1" s="45">
        <v>0</v>
      </c>
      <c r="HT1" s="45">
        <v>0</v>
      </c>
      <c r="HU1" s="45">
        <v>0</v>
      </c>
      <c r="HV1" s="45">
        <v>0</v>
      </c>
      <c r="HW1" s="45">
        <v>0</v>
      </c>
      <c r="HX1" s="45">
        <v>0</v>
      </c>
      <c r="HY1" s="45">
        <v>0</v>
      </c>
      <c r="HZ1" s="45">
        <v>0</v>
      </c>
      <c r="IA1" s="45">
        <v>0</v>
      </c>
      <c r="IB1" s="45">
        <v>0</v>
      </c>
      <c r="IC1" s="45"/>
      <c r="ID1" s="45"/>
      <c r="IE1" s="45">
        <v>0</v>
      </c>
      <c r="IF1" s="45">
        <v>0</v>
      </c>
      <c r="IG1" s="45"/>
      <c r="IH1" s="45">
        <v>0</v>
      </c>
      <c r="II1" s="45">
        <v>0</v>
      </c>
      <c r="IJ1" s="45">
        <v>0</v>
      </c>
      <c r="IK1" s="45">
        <v>0</v>
      </c>
      <c r="IL1" s="45">
        <v>0</v>
      </c>
      <c r="IM1" s="45">
        <v>0</v>
      </c>
      <c r="IN1" s="45">
        <v>0</v>
      </c>
      <c r="IO1" s="45">
        <v>0</v>
      </c>
      <c r="IP1" s="45">
        <v>0</v>
      </c>
      <c r="IQ1" s="45">
        <v>0</v>
      </c>
      <c r="IR1" s="45">
        <v>0</v>
      </c>
      <c r="IS1" s="45">
        <v>0</v>
      </c>
      <c r="IT1" s="45">
        <v>0</v>
      </c>
      <c r="IU1" s="45">
        <v>0</v>
      </c>
      <c r="IV1" s="45">
        <v>0</v>
      </c>
      <c r="IW1" s="45">
        <v>0</v>
      </c>
      <c r="IX1" s="45">
        <v>0</v>
      </c>
      <c r="IY1" s="45">
        <v>0</v>
      </c>
      <c r="IZ1" s="45">
        <v>0</v>
      </c>
      <c r="JA1" s="45">
        <v>0</v>
      </c>
      <c r="JB1" s="45">
        <v>0</v>
      </c>
      <c r="JC1" s="45">
        <v>0</v>
      </c>
      <c r="JD1" s="45">
        <v>0</v>
      </c>
      <c r="JE1" s="45">
        <v>0</v>
      </c>
      <c r="JF1" s="45">
        <v>0</v>
      </c>
      <c r="JG1" s="45">
        <v>0</v>
      </c>
      <c r="JH1" s="45">
        <v>0</v>
      </c>
      <c r="JI1" s="45">
        <v>0</v>
      </c>
      <c r="JJ1" s="45">
        <v>0</v>
      </c>
      <c r="JK1" s="45">
        <v>0</v>
      </c>
      <c r="JL1" s="45">
        <v>0</v>
      </c>
      <c r="JM1" s="45">
        <v>0</v>
      </c>
      <c r="JN1" s="45">
        <v>0</v>
      </c>
      <c r="JO1" s="45">
        <v>0</v>
      </c>
      <c r="JP1" s="45">
        <v>0</v>
      </c>
      <c r="JQ1" s="45">
        <v>0</v>
      </c>
      <c r="JR1" s="45">
        <v>0</v>
      </c>
      <c r="JS1" s="45">
        <v>0</v>
      </c>
      <c r="JT1" s="45">
        <v>0</v>
      </c>
      <c r="JU1" s="45">
        <v>0</v>
      </c>
      <c r="JV1" s="45">
        <v>0</v>
      </c>
      <c r="JW1" s="45">
        <v>0</v>
      </c>
      <c r="JX1" s="45">
        <v>0</v>
      </c>
      <c r="JY1" s="45">
        <v>0</v>
      </c>
      <c r="JZ1" s="45">
        <v>0</v>
      </c>
      <c r="KA1" s="45"/>
      <c r="KB1" s="45"/>
      <c r="KC1" s="45">
        <v>0</v>
      </c>
      <c r="KD1" s="45">
        <v>0</v>
      </c>
      <c r="KE1" s="45"/>
      <c r="KF1" s="45">
        <v>0</v>
      </c>
      <c r="KG1" s="43" t="s">
        <v>34</v>
      </c>
    </row>
    <row r="2" spans="1:293" ht="14" x14ac:dyDescent="0.3">
      <c r="A2" s="46" t="s">
        <v>35</v>
      </c>
      <c r="C2" s="48"/>
      <c r="D2" s="48"/>
      <c r="E2" s="48"/>
      <c r="F2" s="48"/>
      <c r="G2" s="48"/>
      <c r="H2" s="48"/>
      <c r="I2" s="48"/>
      <c r="J2" s="48"/>
      <c r="K2" s="48"/>
      <c r="L2" s="217"/>
      <c r="M2" s="217"/>
      <c r="N2" s="218"/>
      <c r="O2" s="218"/>
      <c r="P2" s="218"/>
      <c r="Q2" s="218"/>
      <c r="R2" s="218"/>
      <c r="S2" s="218"/>
      <c r="T2" s="218"/>
      <c r="U2" s="218"/>
      <c r="V2" s="218"/>
      <c r="W2" s="217"/>
      <c r="X2" s="218"/>
      <c r="Y2" s="218"/>
      <c r="Z2" s="218"/>
      <c r="AA2" s="218"/>
      <c r="AB2" s="218"/>
      <c r="AC2" s="218"/>
      <c r="AD2" s="218"/>
      <c r="AE2" s="218"/>
      <c r="AF2" s="218"/>
      <c r="AG2" s="218"/>
      <c r="AH2" s="218"/>
      <c r="AI2" s="218"/>
      <c r="AJ2" s="218"/>
      <c r="AK2" s="218"/>
      <c r="AL2" s="219"/>
      <c r="AM2" s="218"/>
      <c r="AN2" s="218"/>
      <c r="AO2" s="218"/>
      <c r="AP2" s="218"/>
      <c r="AQ2" s="218"/>
      <c r="AR2" s="218"/>
      <c r="AS2" s="217"/>
      <c r="AT2" s="217"/>
      <c r="AU2" s="218"/>
      <c r="AV2" s="218"/>
      <c r="AW2" s="218"/>
      <c r="AX2" s="218"/>
      <c r="AY2" s="218"/>
      <c r="AZ2" s="218"/>
      <c r="BA2" s="218"/>
      <c r="BB2" s="218"/>
      <c r="BC2" s="218"/>
      <c r="BD2" s="217"/>
      <c r="BE2" s="217"/>
      <c r="BF2" s="218"/>
      <c r="BG2" s="218"/>
      <c r="BH2" s="218"/>
      <c r="BI2" s="218"/>
      <c r="BJ2" s="218"/>
      <c r="BK2" s="218"/>
      <c r="BL2" s="218"/>
      <c r="BM2" s="218"/>
      <c r="BN2" s="218"/>
      <c r="BO2" s="217"/>
      <c r="BP2" s="217"/>
      <c r="BQ2" s="218"/>
      <c r="BR2" s="218"/>
      <c r="BS2" s="218"/>
      <c r="BT2" s="218"/>
      <c r="BU2" s="218"/>
      <c r="BV2" s="218"/>
      <c r="BW2" s="218"/>
      <c r="BX2" s="218"/>
      <c r="BY2" s="218"/>
      <c r="BZ2" s="218"/>
      <c r="CA2" s="218"/>
      <c r="CB2" s="218"/>
      <c r="CC2" s="218"/>
      <c r="CD2" s="218"/>
      <c r="CE2" s="218"/>
      <c r="CF2" s="218"/>
      <c r="CG2" s="218"/>
      <c r="CH2" s="218"/>
      <c r="CI2" s="218"/>
      <c r="CJ2" s="220"/>
      <c r="CK2" s="218"/>
      <c r="CL2" s="218"/>
      <c r="CM2" s="218"/>
      <c r="CN2" s="218"/>
      <c r="CO2" s="218"/>
      <c r="CP2" s="218"/>
      <c r="CQ2" s="218"/>
      <c r="CR2" s="218"/>
      <c r="CS2" s="218"/>
      <c r="CT2" s="218"/>
      <c r="CU2" s="218"/>
      <c r="CV2" s="218"/>
      <c r="CW2" s="218"/>
      <c r="CX2" s="218"/>
      <c r="CY2" s="218"/>
      <c r="CZ2" s="218"/>
      <c r="DA2" s="218"/>
      <c r="DB2" s="218"/>
      <c r="DC2" s="218"/>
      <c r="DD2" s="218"/>
      <c r="DE2" s="218"/>
      <c r="DF2" s="218"/>
      <c r="DG2" s="218"/>
      <c r="DH2" s="218"/>
      <c r="DI2" s="218"/>
      <c r="DJ2" s="218"/>
      <c r="DK2" s="218"/>
      <c r="DL2" s="218"/>
      <c r="DM2" s="218"/>
      <c r="DN2" s="218"/>
      <c r="DO2" s="218"/>
      <c r="DP2" s="218"/>
      <c r="DQ2" s="218"/>
      <c r="DR2" s="218"/>
      <c r="DS2" s="218"/>
      <c r="DT2" s="218"/>
      <c r="DU2" s="218"/>
      <c r="DV2" s="218"/>
      <c r="DW2" s="218"/>
      <c r="DX2" s="218"/>
      <c r="DY2" s="218"/>
      <c r="DZ2" s="218"/>
      <c r="EA2" s="218"/>
      <c r="EB2" s="218"/>
      <c r="EC2" s="218"/>
      <c r="ED2" s="218"/>
      <c r="EE2" s="218"/>
      <c r="EF2" s="218"/>
      <c r="EG2" s="218"/>
      <c r="EH2" s="218"/>
      <c r="EI2" s="218"/>
      <c r="EJ2" s="217"/>
      <c r="EK2" s="217"/>
      <c r="EL2" s="218"/>
      <c r="EM2" s="218"/>
      <c r="EN2" s="218"/>
      <c r="EO2" s="218"/>
      <c r="EP2" s="218"/>
      <c r="EQ2" s="218"/>
      <c r="ER2" s="218"/>
      <c r="ES2" s="218"/>
      <c r="ET2" s="218"/>
      <c r="EU2" s="218"/>
      <c r="EV2" s="218"/>
      <c r="EW2" s="218"/>
      <c r="EX2" s="218"/>
      <c r="EY2" s="218"/>
      <c r="EZ2" s="218"/>
      <c r="FA2" s="218"/>
      <c r="FB2" s="218"/>
      <c r="FC2" s="218"/>
      <c r="FD2" s="218"/>
      <c r="FE2" s="218"/>
      <c r="FF2" s="218"/>
      <c r="FG2" s="218"/>
      <c r="FH2" s="218"/>
      <c r="FI2" s="218"/>
      <c r="FJ2" s="218"/>
      <c r="FK2" s="218"/>
      <c r="FL2" s="218"/>
      <c r="FM2" s="218"/>
      <c r="FN2" s="218"/>
      <c r="FO2" s="218"/>
      <c r="FP2" s="218"/>
      <c r="FQ2" s="218"/>
      <c r="FR2" s="218"/>
      <c r="FS2" s="218"/>
      <c r="FT2" s="218"/>
      <c r="FU2" s="218"/>
      <c r="FV2" s="218"/>
      <c r="FW2" s="218"/>
      <c r="FX2" s="218"/>
      <c r="FY2" s="218"/>
      <c r="FZ2" s="218"/>
      <c r="GA2" s="218"/>
      <c r="GB2" s="218"/>
      <c r="GC2" s="218"/>
      <c r="GD2" s="218"/>
      <c r="GE2" s="218"/>
      <c r="GF2" s="218"/>
      <c r="GG2" s="218"/>
      <c r="GH2" s="217"/>
      <c r="GI2" s="218"/>
      <c r="GJ2" s="218"/>
      <c r="GK2" s="218"/>
      <c r="GL2" s="218"/>
      <c r="GM2" s="218"/>
      <c r="GN2" s="218"/>
      <c r="GO2" s="218"/>
      <c r="GP2" s="218"/>
      <c r="GQ2" s="218"/>
      <c r="GR2" s="218"/>
      <c r="GS2" s="218"/>
      <c r="GT2" s="218"/>
      <c r="GU2" s="218"/>
      <c r="GV2" s="218"/>
      <c r="GW2" s="218"/>
      <c r="GX2" s="218"/>
      <c r="GY2" s="218"/>
      <c r="GZ2" s="218"/>
      <c r="HA2" s="218"/>
      <c r="HB2" s="218"/>
      <c r="HC2" s="218"/>
      <c r="HD2" s="218"/>
      <c r="HE2" s="218"/>
      <c r="HF2" s="218"/>
      <c r="HG2" s="218"/>
      <c r="HH2" s="218"/>
      <c r="HI2" s="218"/>
      <c r="HJ2" s="218"/>
      <c r="HK2" s="218"/>
      <c r="HL2" s="218"/>
      <c r="HM2" s="218"/>
      <c r="HN2" s="218"/>
      <c r="HO2" s="218"/>
      <c r="HP2" s="218"/>
      <c r="HQ2" s="218"/>
      <c r="HR2" s="218"/>
      <c r="HS2" s="218"/>
      <c r="HT2" s="218"/>
      <c r="HU2" s="218"/>
      <c r="HV2" s="218"/>
      <c r="HW2" s="218"/>
      <c r="HX2" s="218"/>
      <c r="HY2" s="218"/>
      <c r="HZ2" s="218"/>
      <c r="IA2" s="218"/>
      <c r="IB2" s="218"/>
      <c r="IC2" s="218"/>
      <c r="ID2" s="218"/>
      <c r="IE2" s="218"/>
      <c r="IF2" s="217"/>
      <c r="IG2" s="218"/>
      <c r="IH2" s="218"/>
      <c r="II2" s="218"/>
      <c r="IJ2" s="218"/>
      <c r="IK2" s="218"/>
      <c r="IL2" s="218"/>
      <c r="IM2" s="218"/>
      <c r="IN2" s="218"/>
      <c r="IO2" s="218"/>
      <c r="IP2" s="218"/>
      <c r="IQ2" s="218"/>
      <c r="IR2" s="218"/>
      <c r="IS2" s="218"/>
      <c r="IT2" s="218"/>
      <c r="IU2" s="218"/>
      <c r="IV2" s="218"/>
      <c r="IW2" s="218"/>
      <c r="IX2" s="218"/>
      <c r="IY2" s="218"/>
      <c r="IZ2" s="218"/>
      <c r="JA2" s="218"/>
      <c r="JB2" s="218"/>
      <c r="JC2" s="218"/>
      <c r="JD2" s="218"/>
      <c r="JE2" s="218"/>
      <c r="JF2" s="218"/>
      <c r="JG2" s="218"/>
      <c r="JH2" s="218"/>
      <c r="JI2" s="218"/>
      <c r="JJ2" s="218"/>
      <c r="JK2" s="218"/>
      <c r="JL2" s="218"/>
      <c r="JM2" s="218"/>
      <c r="JN2" s="218"/>
      <c r="JO2" s="218"/>
      <c r="JP2" s="218"/>
      <c r="JQ2" s="218"/>
      <c r="JR2" s="218"/>
      <c r="JS2" s="218"/>
      <c r="JT2" s="218"/>
      <c r="JU2" s="218"/>
      <c r="JV2" s="218"/>
      <c r="JW2" s="218"/>
      <c r="JX2" s="218"/>
      <c r="JY2" s="218"/>
      <c r="JZ2" s="218"/>
      <c r="KA2" s="218"/>
      <c r="KB2" s="218"/>
      <c r="KC2" s="218"/>
      <c r="KD2" s="217"/>
      <c r="KE2" s="217"/>
      <c r="KF2" s="217"/>
      <c r="KG2" s="43" t="s">
        <v>34</v>
      </c>
    </row>
    <row r="3" spans="1:293" s="49" customFormat="1" ht="18.75" customHeight="1" x14ac:dyDescent="0.3">
      <c r="A3" s="46" t="s">
        <v>36</v>
      </c>
      <c r="C3" s="46"/>
      <c r="D3" s="50" t="str">
        <f t="shared" ref="D3:AO3" si="0">IF(ISBLANK(D1),"CHECK NEEDED","")</f>
        <v/>
      </c>
      <c r="E3" s="50" t="str">
        <f t="shared" si="0"/>
        <v/>
      </c>
      <c r="F3" s="50" t="str">
        <f t="shared" si="0"/>
        <v/>
      </c>
      <c r="G3" s="50" t="str">
        <f t="shared" si="0"/>
        <v/>
      </c>
      <c r="H3" s="50" t="str">
        <f t="shared" si="0"/>
        <v/>
      </c>
      <c r="I3" s="50" t="str">
        <f t="shared" si="0"/>
        <v/>
      </c>
      <c r="J3" s="50" t="str">
        <f t="shared" si="0"/>
        <v/>
      </c>
      <c r="K3" s="50" t="str">
        <f t="shared" si="0"/>
        <v/>
      </c>
      <c r="L3" s="50" t="str">
        <f t="shared" si="0"/>
        <v/>
      </c>
      <c r="M3" s="50" t="str">
        <f t="shared" si="0"/>
        <v/>
      </c>
      <c r="N3" s="50" t="str">
        <f t="shared" si="0"/>
        <v/>
      </c>
      <c r="O3" s="50" t="str">
        <f t="shared" si="0"/>
        <v/>
      </c>
      <c r="P3" s="50" t="str">
        <f t="shared" si="0"/>
        <v/>
      </c>
      <c r="Q3" s="50" t="str">
        <f t="shared" si="0"/>
        <v/>
      </c>
      <c r="R3" s="50" t="str">
        <f t="shared" si="0"/>
        <v/>
      </c>
      <c r="S3" s="50" t="str">
        <f t="shared" si="0"/>
        <v/>
      </c>
      <c r="T3" s="50" t="str">
        <f t="shared" si="0"/>
        <v/>
      </c>
      <c r="U3" s="50" t="str">
        <f t="shared" si="0"/>
        <v/>
      </c>
      <c r="V3" s="50" t="str">
        <f t="shared" si="0"/>
        <v/>
      </c>
      <c r="W3" s="50" t="str">
        <f t="shared" si="0"/>
        <v/>
      </c>
      <c r="X3" s="50" t="str">
        <f t="shared" si="0"/>
        <v/>
      </c>
      <c r="Y3" s="50" t="str">
        <f t="shared" si="0"/>
        <v/>
      </c>
      <c r="Z3" s="50" t="str">
        <f t="shared" si="0"/>
        <v/>
      </c>
      <c r="AA3" s="50" t="str">
        <f t="shared" si="0"/>
        <v/>
      </c>
      <c r="AB3" s="50" t="str">
        <f t="shared" si="0"/>
        <v/>
      </c>
      <c r="AC3" s="50" t="str">
        <f t="shared" si="0"/>
        <v/>
      </c>
      <c r="AD3" s="50" t="str">
        <f t="shared" si="0"/>
        <v/>
      </c>
      <c r="AE3" s="50" t="str">
        <f t="shared" si="0"/>
        <v/>
      </c>
      <c r="AF3" s="50" t="str">
        <f t="shared" si="0"/>
        <v/>
      </c>
      <c r="AG3" s="50" t="str">
        <f t="shared" si="0"/>
        <v/>
      </c>
      <c r="AH3" s="50" t="str">
        <f t="shared" si="0"/>
        <v/>
      </c>
      <c r="AI3" s="50" t="str">
        <f t="shared" si="0"/>
        <v/>
      </c>
      <c r="AJ3" s="50" t="str">
        <f t="shared" si="0"/>
        <v/>
      </c>
      <c r="AK3" s="50" t="str">
        <f t="shared" si="0"/>
        <v/>
      </c>
      <c r="AL3" s="50" t="str">
        <f t="shared" si="0"/>
        <v/>
      </c>
      <c r="AM3" s="50" t="str">
        <f t="shared" si="0"/>
        <v/>
      </c>
      <c r="AN3" s="50" t="str">
        <f t="shared" si="0"/>
        <v/>
      </c>
      <c r="AO3" s="50" t="str">
        <f t="shared" si="0"/>
        <v/>
      </c>
      <c r="AP3" s="230" t="s">
        <v>1021</v>
      </c>
      <c r="AQ3" s="50" t="str">
        <f>IF(ISBLANK(AQ1),"CHECK NEEDED","")</f>
        <v/>
      </c>
      <c r="AR3" s="50"/>
      <c r="AS3" s="50"/>
      <c r="AT3" s="50" t="str">
        <f>IF(ISBLANK(AT1),"CHECK NEEDED","")</f>
        <v/>
      </c>
      <c r="AU3" s="50" t="str">
        <f>IF(ISBLANK(AU1),"CHECK NEEDED","")</f>
        <v/>
      </c>
      <c r="AV3" s="50" t="str">
        <f>IF(ISBLANK(AV1),"CHECK NEEDED","")</f>
        <v/>
      </c>
      <c r="AW3" s="50" t="str">
        <f>IF(ISBLANK(AW1),"CHECK NEEDED","")</f>
        <v/>
      </c>
      <c r="AX3" s="230" t="s">
        <v>1059</v>
      </c>
      <c r="AY3" s="50" t="str">
        <f t="shared" ref="AY3:BS3" si="1">IF(ISBLANK(AY1),"CHECK NEEDED","")</f>
        <v/>
      </c>
      <c r="AZ3" s="50" t="str">
        <f t="shared" si="1"/>
        <v/>
      </c>
      <c r="BA3" s="50" t="str">
        <f t="shared" si="1"/>
        <v/>
      </c>
      <c r="BB3" s="50" t="str">
        <f t="shared" si="1"/>
        <v/>
      </c>
      <c r="BC3" s="50" t="str">
        <f t="shared" si="1"/>
        <v/>
      </c>
      <c r="BD3" s="50" t="str">
        <f t="shared" si="1"/>
        <v/>
      </c>
      <c r="BE3" s="50" t="str">
        <f t="shared" si="1"/>
        <v/>
      </c>
      <c r="BF3" s="50" t="str">
        <f t="shared" si="1"/>
        <v/>
      </c>
      <c r="BG3" s="50" t="str">
        <f t="shared" si="1"/>
        <v/>
      </c>
      <c r="BH3" s="50" t="str">
        <f t="shared" si="1"/>
        <v/>
      </c>
      <c r="BI3" s="50" t="str">
        <f t="shared" si="1"/>
        <v/>
      </c>
      <c r="BJ3" s="50" t="str">
        <f t="shared" si="1"/>
        <v/>
      </c>
      <c r="BK3" s="50" t="str">
        <f t="shared" si="1"/>
        <v/>
      </c>
      <c r="BL3" s="50" t="str">
        <f t="shared" si="1"/>
        <v/>
      </c>
      <c r="BM3" s="50" t="str">
        <f t="shared" si="1"/>
        <v/>
      </c>
      <c r="BN3" s="50" t="str">
        <f t="shared" si="1"/>
        <v/>
      </c>
      <c r="BO3" s="50" t="str">
        <f t="shared" si="1"/>
        <v/>
      </c>
      <c r="BP3" s="50" t="str">
        <f t="shared" si="1"/>
        <v/>
      </c>
      <c r="BQ3" s="50" t="str">
        <f t="shared" si="1"/>
        <v/>
      </c>
      <c r="BR3" s="50" t="str">
        <f t="shared" si="1"/>
        <v/>
      </c>
      <c r="BS3" s="50" t="str">
        <f t="shared" si="1"/>
        <v/>
      </c>
      <c r="BT3" s="248" t="s">
        <v>1024</v>
      </c>
      <c r="BU3" s="50" t="str">
        <f t="shared" ref="BU3:CM3" si="2">IF(ISBLANK(BU1),"CHECK NEEDED","")</f>
        <v/>
      </c>
      <c r="BV3" s="50" t="str">
        <f t="shared" si="2"/>
        <v/>
      </c>
      <c r="BW3" s="50" t="str">
        <f t="shared" si="2"/>
        <v/>
      </c>
      <c r="BX3" s="50" t="str">
        <f t="shared" si="2"/>
        <v/>
      </c>
      <c r="BY3" s="50" t="str">
        <f t="shared" si="2"/>
        <v/>
      </c>
      <c r="BZ3" s="50" t="str">
        <f t="shared" si="2"/>
        <v/>
      </c>
      <c r="CA3" s="50" t="str">
        <f t="shared" si="2"/>
        <v/>
      </c>
      <c r="CB3" s="50" t="str">
        <f t="shared" si="2"/>
        <v/>
      </c>
      <c r="CC3" s="50" t="str">
        <f t="shared" si="2"/>
        <v/>
      </c>
      <c r="CD3" s="50" t="str">
        <f t="shared" si="2"/>
        <v/>
      </c>
      <c r="CE3" s="50" t="str">
        <f t="shared" si="2"/>
        <v/>
      </c>
      <c r="CF3" s="50" t="str">
        <f t="shared" si="2"/>
        <v/>
      </c>
      <c r="CG3" s="50" t="str">
        <f t="shared" si="2"/>
        <v/>
      </c>
      <c r="CH3" s="50" t="str">
        <f t="shared" si="2"/>
        <v/>
      </c>
      <c r="CI3" s="50" t="str">
        <f t="shared" si="2"/>
        <v/>
      </c>
      <c r="CJ3" s="50" t="str">
        <f t="shared" si="2"/>
        <v/>
      </c>
      <c r="CK3" s="50" t="str">
        <f t="shared" si="2"/>
        <v/>
      </c>
      <c r="CL3" s="50" t="str">
        <f t="shared" si="2"/>
        <v/>
      </c>
      <c r="CM3" s="50" t="str">
        <f t="shared" si="2"/>
        <v/>
      </c>
      <c r="CN3" s="50"/>
      <c r="CO3" s="50"/>
      <c r="CP3" s="50" t="str">
        <f>IF(ISBLANK(CP1),"CHECK NEEDED","")</f>
        <v/>
      </c>
      <c r="CQ3" s="50" t="str">
        <f>IF(ISBLANK(CQ1),"CHECK NEEDED","")</f>
        <v/>
      </c>
      <c r="CR3" s="50" t="str">
        <f>IF(ISBLANK(CR1),"CHECK NEEDED","")</f>
        <v/>
      </c>
      <c r="CS3" s="50" t="str">
        <f>IF(ISBLANK(CS1),"CHECK NEEDED","")</f>
        <v/>
      </c>
      <c r="CT3" s="230" t="s">
        <v>1059</v>
      </c>
      <c r="CU3" s="50" t="str">
        <f t="shared" ref="CU3:DO3" si="3">IF(ISBLANK(CU1),"CHECK NEEDED","")</f>
        <v/>
      </c>
      <c r="CV3" s="50" t="str">
        <f t="shared" si="3"/>
        <v/>
      </c>
      <c r="CW3" s="50" t="str">
        <f t="shared" si="3"/>
        <v/>
      </c>
      <c r="CX3" s="50" t="str">
        <f t="shared" si="3"/>
        <v/>
      </c>
      <c r="CY3" s="50" t="str">
        <f t="shared" si="3"/>
        <v/>
      </c>
      <c r="CZ3" s="50" t="str">
        <f t="shared" si="3"/>
        <v/>
      </c>
      <c r="DA3" s="50" t="str">
        <f t="shared" si="3"/>
        <v/>
      </c>
      <c r="DB3" s="50" t="str">
        <f t="shared" si="3"/>
        <v/>
      </c>
      <c r="DC3" s="50" t="str">
        <f t="shared" si="3"/>
        <v/>
      </c>
      <c r="DD3" s="50" t="str">
        <f t="shared" si="3"/>
        <v/>
      </c>
      <c r="DE3" s="50" t="str">
        <f t="shared" si="3"/>
        <v/>
      </c>
      <c r="DF3" s="50" t="str">
        <f t="shared" si="3"/>
        <v/>
      </c>
      <c r="DG3" s="50" t="str">
        <f t="shared" si="3"/>
        <v/>
      </c>
      <c r="DH3" s="50" t="str">
        <f t="shared" si="3"/>
        <v/>
      </c>
      <c r="DI3" s="50" t="str">
        <f t="shared" si="3"/>
        <v/>
      </c>
      <c r="DJ3" s="50" t="str">
        <f t="shared" si="3"/>
        <v/>
      </c>
      <c r="DK3" s="50" t="str">
        <f t="shared" si="3"/>
        <v/>
      </c>
      <c r="DL3" s="50" t="str">
        <f t="shared" si="3"/>
        <v/>
      </c>
      <c r="DM3" s="50" t="str">
        <f t="shared" si="3"/>
        <v/>
      </c>
      <c r="DN3" s="50" t="str">
        <f t="shared" si="3"/>
        <v/>
      </c>
      <c r="DO3" s="50" t="str">
        <f t="shared" si="3"/>
        <v/>
      </c>
      <c r="DP3" s="248" t="s">
        <v>1024</v>
      </c>
      <c r="DQ3" s="50" t="str">
        <f>IF(ISBLANK(DQ1),"CHECK NEEDED","")</f>
        <v/>
      </c>
      <c r="DR3" s="50" t="str">
        <f>IF(ISBLANK(DR1),"CHECK NEEDED","")</f>
        <v/>
      </c>
      <c r="DS3" s="50" t="str">
        <f>IF(ISBLANK(DS1),"CHECK NEEDED","")</f>
        <v/>
      </c>
      <c r="DT3" s="50" t="str">
        <f>IF(ISBLANK(DT1),"CHECK NEEDED","")</f>
        <v/>
      </c>
      <c r="DU3" s="50" t="str">
        <f>IF(ISBLANK(DU1),"CHECK NEEDED","")</f>
        <v/>
      </c>
      <c r="DV3" s="230" t="s">
        <v>1024</v>
      </c>
      <c r="DW3" s="50" t="str">
        <f t="shared" ref="DW3:EG3" si="4">IF(ISBLANK(DW1),"CHECK NEEDED","")</f>
        <v/>
      </c>
      <c r="DX3" s="50" t="str">
        <f t="shared" si="4"/>
        <v/>
      </c>
      <c r="DY3" s="50" t="str">
        <f t="shared" si="4"/>
        <v/>
      </c>
      <c r="DZ3" s="50" t="str">
        <f t="shared" si="4"/>
        <v/>
      </c>
      <c r="EA3" s="50" t="str">
        <f t="shared" si="4"/>
        <v/>
      </c>
      <c r="EB3" s="50" t="str">
        <f t="shared" si="4"/>
        <v/>
      </c>
      <c r="EC3" s="50" t="str">
        <f t="shared" si="4"/>
        <v/>
      </c>
      <c r="ED3" s="50" t="str">
        <f t="shared" si="4"/>
        <v/>
      </c>
      <c r="EE3" s="50" t="str">
        <f t="shared" si="4"/>
        <v/>
      </c>
      <c r="EF3" s="50" t="str">
        <f t="shared" si="4"/>
        <v/>
      </c>
      <c r="EG3" s="50" t="str">
        <f t="shared" si="4"/>
        <v/>
      </c>
      <c r="EH3" s="230" t="s">
        <v>1021</v>
      </c>
      <c r="EI3" s="50" t="str">
        <f>IF(ISBLANK(EI1),"CHECK NEEDED","")</f>
        <v/>
      </c>
      <c r="EJ3" s="50" t="str">
        <f>IF(ISBLANK(EJ1),"CHECK NEEDED","")</f>
        <v/>
      </c>
      <c r="EK3" s="50"/>
      <c r="EL3" s="50"/>
      <c r="EM3" s="50" t="str">
        <f>IF(ISBLANK(EM1),"CHECK NEEDED","")</f>
        <v/>
      </c>
      <c r="EN3" s="50" t="str">
        <f>IF(ISBLANK(EN1),"CHECK NEEDED","")</f>
        <v/>
      </c>
      <c r="EO3" s="50" t="str">
        <f>IF(ISBLANK(EO1),"CHECK NEEDED","")</f>
        <v/>
      </c>
      <c r="EQ3" s="230" t="s">
        <v>1059</v>
      </c>
      <c r="ER3" s="50" t="str">
        <f t="shared" ref="ER3:FG3" si="5">IF(ISBLANK(ER1),"CHECK NEEDED","")</f>
        <v/>
      </c>
      <c r="ES3" s="50" t="str">
        <f t="shared" si="5"/>
        <v/>
      </c>
      <c r="ET3" s="50" t="str">
        <f t="shared" si="5"/>
        <v/>
      </c>
      <c r="EU3" s="50" t="str">
        <f t="shared" si="5"/>
        <v/>
      </c>
      <c r="EV3" s="50" t="str">
        <f t="shared" si="5"/>
        <v/>
      </c>
      <c r="EW3" s="50" t="str">
        <f t="shared" si="5"/>
        <v/>
      </c>
      <c r="EX3" s="50" t="str">
        <f t="shared" si="5"/>
        <v/>
      </c>
      <c r="EY3" s="50" t="str">
        <f t="shared" si="5"/>
        <v/>
      </c>
      <c r="EZ3" s="50" t="str">
        <f t="shared" si="5"/>
        <v/>
      </c>
      <c r="FA3" s="50" t="str">
        <f t="shared" si="5"/>
        <v/>
      </c>
      <c r="FB3" s="50" t="str">
        <f t="shared" si="5"/>
        <v/>
      </c>
      <c r="FC3" s="50" t="str">
        <f t="shared" si="5"/>
        <v/>
      </c>
      <c r="FD3" s="50" t="str">
        <f t="shared" si="5"/>
        <v/>
      </c>
      <c r="FE3" s="50" t="str">
        <f t="shared" si="5"/>
        <v/>
      </c>
      <c r="FF3" s="50" t="str">
        <f t="shared" si="5"/>
        <v/>
      </c>
      <c r="FG3" s="50" t="str">
        <f t="shared" si="5"/>
        <v/>
      </c>
      <c r="FH3" s="230" t="s">
        <v>1024</v>
      </c>
      <c r="FI3" s="50" t="str">
        <f>IF(ISBLANK(FI1),"CHECK NEEDED","")</f>
        <v/>
      </c>
      <c r="FJ3" s="50" t="str">
        <f>IF(ISBLANK(FJ1),"CHECK NEEDED","")</f>
        <v/>
      </c>
      <c r="FK3" s="50" t="str">
        <f>IF(ISBLANK(FK1),"CHECK NEEDED","")</f>
        <v/>
      </c>
      <c r="FM3" s="230" t="s">
        <v>1024</v>
      </c>
      <c r="FN3" s="50" t="str">
        <f>IF(ISBLANK(FN1),"CHECK NEEDED","")</f>
        <v/>
      </c>
      <c r="FO3" s="50" t="str">
        <f>IF(ISBLANK(FO1),"CHECK NEEDED","")</f>
        <v/>
      </c>
      <c r="FP3" s="50" t="str">
        <f>IF(ISBLANK(FP1),"CHECK NEEDED","")</f>
        <v/>
      </c>
      <c r="FQ3" s="50" t="str">
        <f>IF(ISBLANK(FQ1),"CHECK NEEDED","")</f>
        <v/>
      </c>
      <c r="FR3" s="50" t="str">
        <f>IF(ISBLANK(FR1),"CHECK NEEDED","")</f>
        <v/>
      </c>
      <c r="FS3" s="230" t="s">
        <v>1024</v>
      </c>
      <c r="FT3" s="50" t="str">
        <f>IF(ISBLANK(FT1),"CHECK NEEDED","")</f>
        <v/>
      </c>
      <c r="FU3" s="230" t="s">
        <v>1024</v>
      </c>
      <c r="FV3" s="50" t="str">
        <f>IF(ISBLANK(FV1),"CHECK NEEDED","")</f>
        <v/>
      </c>
      <c r="FW3" s="50" t="str">
        <f>IF(ISBLANK(FW1),"CHECK NEEDED","")</f>
        <v/>
      </c>
      <c r="FX3" s="50" t="str">
        <f>IF(ISBLANK(FX1),"CHECK NEEDED","")</f>
        <v/>
      </c>
      <c r="FY3" s="50" t="str">
        <f>IF(ISBLANK(FY1),"CHECK NEEDED","")</f>
        <v/>
      </c>
      <c r="FZ3" s="50" t="str">
        <f>IF(ISBLANK(FZ1),"CHECK NEEDED","")</f>
        <v/>
      </c>
      <c r="GA3" s="230" t="s">
        <v>1024</v>
      </c>
      <c r="GB3" s="50" t="str">
        <f>IF(ISBLANK(GB1),"CHECK NEEDED","")</f>
        <v/>
      </c>
      <c r="GC3" s="50" t="str">
        <f>IF(ISBLANK(GC1),"CHECK NEEDED","")</f>
        <v/>
      </c>
      <c r="GD3" s="50" t="str">
        <f>IF(ISBLANK(GD1),"CHECK NEEDED","")</f>
        <v/>
      </c>
      <c r="GE3" s="230" t="s">
        <v>1021</v>
      </c>
      <c r="GF3" s="230" t="s">
        <v>1021</v>
      </c>
      <c r="GG3" s="50" t="str">
        <f>IF(ISBLANK(GG1),"CHECK NEEDED","")</f>
        <v/>
      </c>
      <c r="GH3" s="50" t="str">
        <f>IF(ISBLANK(GH1),"CHECK NEEDED","")</f>
        <v/>
      </c>
      <c r="GI3" s="50"/>
      <c r="GJ3" s="50"/>
      <c r="GK3" s="50" t="str">
        <f>IF(ISBLANK(GK1),"CHECK NEEDED","")</f>
        <v/>
      </c>
      <c r="GL3" s="50" t="str">
        <f>IF(ISBLANK(GL1),"CHECK NEEDED","")</f>
        <v/>
      </c>
      <c r="GM3" s="50" t="str">
        <f>IF(ISBLANK(GM1),"CHECK NEEDED","")</f>
        <v/>
      </c>
      <c r="GN3" s="50" t="str">
        <f>IF(ISBLANK(GN1),"CHECK NEEDED","")</f>
        <v/>
      </c>
      <c r="GO3" s="248" t="s">
        <v>1059</v>
      </c>
      <c r="GP3" s="50" t="str">
        <f t="shared" ref="GP3:HE3" si="6">IF(ISBLANK(GP1),"CHECK NEEDED","")</f>
        <v/>
      </c>
      <c r="GQ3" s="50" t="str">
        <f t="shared" si="6"/>
        <v/>
      </c>
      <c r="GR3" s="50" t="str">
        <f t="shared" si="6"/>
        <v/>
      </c>
      <c r="GS3" s="50" t="str">
        <f t="shared" si="6"/>
        <v/>
      </c>
      <c r="GT3" s="50" t="str">
        <f t="shared" si="6"/>
        <v/>
      </c>
      <c r="GU3" s="50" t="str">
        <f t="shared" si="6"/>
        <v/>
      </c>
      <c r="GV3" s="50" t="str">
        <f t="shared" si="6"/>
        <v/>
      </c>
      <c r="GW3" s="50" t="str">
        <f t="shared" si="6"/>
        <v/>
      </c>
      <c r="GX3" s="50" t="str">
        <f t="shared" si="6"/>
        <v/>
      </c>
      <c r="GY3" s="50" t="str">
        <f t="shared" si="6"/>
        <v/>
      </c>
      <c r="GZ3" s="50" t="str">
        <f t="shared" si="6"/>
        <v/>
      </c>
      <c r="HA3" s="50" t="str">
        <f t="shared" si="6"/>
        <v/>
      </c>
      <c r="HB3" s="50" t="str">
        <f t="shared" si="6"/>
        <v/>
      </c>
      <c r="HC3" s="50" t="str">
        <f t="shared" si="6"/>
        <v/>
      </c>
      <c r="HD3" s="50" t="str">
        <f t="shared" si="6"/>
        <v/>
      </c>
      <c r="HE3" s="50" t="str">
        <f t="shared" si="6"/>
        <v/>
      </c>
      <c r="HF3" s="230" t="s">
        <v>1024</v>
      </c>
      <c r="HG3" s="50" t="str">
        <f>IF(ISBLANK(HG1),"CHECK NEEDED","")</f>
        <v/>
      </c>
      <c r="HH3" s="50" t="str">
        <f>IF(ISBLANK(HH1),"CHECK NEEDED","")</f>
        <v/>
      </c>
      <c r="HI3" s="50" t="str">
        <f>IF(ISBLANK(HI1),"CHECK NEEDED","")</f>
        <v/>
      </c>
      <c r="HJ3" s="50" t="str">
        <f>IF(ISBLANK(HJ1),"CHECK NEEDED","")</f>
        <v/>
      </c>
      <c r="HK3" s="230" t="s">
        <v>1024</v>
      </c>
      <c r="HL3" s="50" t="str">
        <f>IF(ISBLANK(HL1),"CHECK NEEDED","")</f>
        <v/>
      </c>
      <c r="HM3" s="50" t="str">
        <f>IF(ISBLANK(HM1),"CHECK NEEDED","")</f>
        <v/>
      </c>
      <c r="HN3" s="50" t="str">
        <f>IF(ISBLANK(HN1),"CHECK NEEDED","")</f>
        <v/>
      </c>
      <c r="HO3" s="50" t="str">
        <f>IF(ISBLANK(HO1),"CHECK NEEDED","")</f>
        <v/>
      </c>
      <c r="HP3" s="50" t="str">
        <f>IF(ISBLANK(HP1),"CHECK NEEDED","")</f>
        <v/>
      </c>
      <c r="HQ3" s="230" t="s">
        <v>1024</v>
      </c>
      <c r="HR3" s="50" t="str">
        <f>IF(ISBLANK(HR1),"CHECK NEEDED","")</f>
        <v/>
      </c>
      <c r="HS3" s="230" t="s">
        <v>1024</v>
      </c>
      <c r="HT3" s="50" t="str">
        <f>IF(ISBLANK(HT1),"CHECK NEEDED","")</f>
        <v/>
      </c>
      <c r="HU3" s="50" t="str">
        <f>IF(ISBLANK(HU1),"CHECK NEEDED","")</f>
        <v/>
      </c>
      <c r="HV3" s="50" t="str">
        <f>IF(ISBLANK(HV1),"CHECK NEEDED","")</f>
        <v/>
      </c>
      <c r="HW3" s="50" t="str">
        <f>IF(ISBLANK(HW1),"CHECK NEEDED","")</f>
        <v/>
      </c>
      <c r="HX3" s="50" t="str">
        <f>IF(ISBLANK(HX1),"CHECK NEEDED","")</f>
        <v/>
      </c>
      <c r="HY3" s="230" t="s">
        <v>1024</v>
      </c>
      <c r="HZ3" s="50" t="str">
        <f>IF(ISBLANK(HZ1),"CHECK NEEDED","")</f>
        <v/>
      </c>
      <c r="IA3" s="50" t="str">
        <f>IF(ISBLANK(IA1),"CHECK NEEDED","")</f>
        <v/>
      </c>
      <c r="IB3" s="50" t="str">
        <f>IF(ISBLANK(IB1),"CHECK NEEDED","")</f>
        <v/>
      </c>
      <c r="IC3" s="230" t="s">
        <v>1021</v>
      </c>
      <c r="ID3" s="230" t="s">
        <v>1021</v>
      </c>
      <c r="IE3" s="50" t="str">
        <f>IF(ISBLANK(IE1),"CHECK NEEDED","")</f>
        <v/>
      </c>
      <c r="IF3" s="50" t="str">
        <f>IF(ISBLANK(IF1),"CHECK NEEDED","")</f>
        <v/>
      </c>
      <c r="IG3" s="50"/>
      <c r="IH3" s="50"/>
      <c r="II3" s="50" t="str">
        <f>IF(ISBLANK(II1),"CHECK NEEDED","")</f>
        <v/>
      </c>
      <c r="IJ3" s="50" t="str">
        <f>IF(ISBLANK(IJ1),"CHECK NEEDED","")</f>
        <v/>
      </c>
      <c r="IK3" s="50" t="str">
        <f>IF(ISBLANK(IK1),"CHECK NEEDED","")</f>
        <v/>
      </c>
      <c r="IL3" s="50" t="str">
        <f>IF(ISBLANK(IL1),"CHECK NEEDED","")</f>
        <v/>
      </c>
      <c r="IM3" s="230" t="s">
        <v>1059</v>
      </c>
      <c r="IN3" s="50" t="str">
        <f t="shared" ref="IN3:JC3" si="7">IF(ISBLANK(IN1),"CHECK NEEDED","")</f>
        <v/>
      </c>
      <c r="IO3" s="50" t="str">
        <f t="shared" si="7"/>
        <v/>
      </c>
      <c r="IP3" s="50" t="str">
        <f t="shared" si="7"/>
        <v/>
      </c>
      <c r="IQ3" s="50" t="str">
        <f t="shared" si="7"/>
        <v/>
      </c>
      <c r="IR3" s="50" t="str">
        <f t="shared" si="7"/>
        <v/>
      </c>
      <c r="IS3" s="50" t="str">
        <f t="shared" si="7"/>
        <v/>
      </c>
      <c r="IT3" s="50" t="str">
        <f t="shared" si="7"/>
        <v/>
      </c>
      <c r="IU3" s="50" t="str">
        <f t="shared" si="7"/>
        <v/>
      </c>
      <c r="IV3" s="50" t="str">
        <f t="shared" si="7"/>
        <v/>
      </c>
      <c r="IW3" s="50" t="str">
        <f t="shared" si="7"/>
        <v/>
      </c>
      <c r="IX3" s="50" t="str">
        <f t="shared" si="7"/>
        <v/>
      </c>
      <c r="IY3" s="50" t="str">
        <f t="shared" si="7"/>
        <v/>
      </c>
      <c r="IZ3" s="50" t="str">
        <f t="shared" si="7"/>
        <v/>
      </c>
      <c r="JA3" s="50" t="str">
        <f t="shared" si="7"/>
        <v/>
      </c>
      <c r="JB3" s="50" t="str">
        <f t="shared" si="7"/>
        <v/>
      </c>
      <c r="JC3" s="50" t="str">
        <f t="shared" si="7"/>
        <v/>
      </c>
      <c r="JD3" s="230" t="s">
        <v>1024</v>
      </c>
      <c r="JE3" s="50" t="str">
        <f>IF(ISBLANK(JE1),"CHECK NEEDED","")</f>
        <v/>
      </c>
      <c r="JF3" s="50" t="str">
        <f>IF(ISBLANK(JF1),"CHECK NEEDED","")</f>
        <v/>
      </c>
      <c r="JG3" s="50" t="str">
        <f>IF(ISBLANK(JG1),"CHECK NEEDED","")</f>
        <v/>
      </c>
      <c r="JH3" s="50" t="str">
        <f>IF(ISBLANK(JH1),"CHECK NEEDED","")</f>
        <v/>
      </c>
      <c r="JI3" s="230" t="s">
        <v>1024</v>
      </c>
      <c r="JJ3" s="50" t="str">
        <f t="shared" ref="JJ3:JO3" si="8">IF(ISBLANK(JJ1),"CHECK NEEDED","")</f>
        <v/>
      </c>
      <c r="JK3" s="50" t="str">
        <f t="shared" si="8"/>
        <v/>
      </c>
      <c r="JL3" s="50" t="str">
        <f t="shared" si="8"/>
        <v/>
      </c>
      <c r="JM3" s="50" t="str">
        <f t="shared" si="8"/>
        <v/>
      </c>
      <c r="JN3" s="50" t="str">
        <f t="shared" si="8"/>
        <v/>
      </c>
      <c r="JO3" s="50" t="str">
        <f t="shared" si="8"/>
        <v/>
      </c>
      <c r="JP3" s="230" t="s">
        <v>1024</v>
      </c>
      <c r="JQ3" s="50" t="str">
        <f t="shared" ref="JQ3:JV3" si="9">IF(ISBLANK(JQ1),"CHECK NEEDED","")</f>
        <v/>
      </c>
      <c r="JR3" s="50" t="str">
        <f t="shared" si="9"/>
        <v/>
      </c>
      <c r="JS3" s="50" t="str">
        <f t="shared" si="9"/>
        <v/>
      </c>
      <c r="JT3" s="50" t="str">
        <f t="shared" si="9"/>
        <v/>
      </c>
      <c r="JU3" s="50" t="str">
        <f t="shared" si="9"/>
        <v/>
      </c>
      <c r="JV3" s="50" t="str">
        <f t="shared" si="9"/>
        <v/>
      </c>
      <c r="JW3" s="230" t="s">
        <v>1024</v>
      </c>
      <c r="JX3" s="50" t="str">
        <f>IF(ISBLANK(JX1),"CHECK NEEDED","")</f>
        <v/>
      </c>
      <c r="JY3" s="50" t="str">
        <f>IF(ISBLANK(JY1),"CHECK NEEDED","")</f>
        <v/>
      </c>
      <c r="JZ3" s="50" t="str">
        <f>IF(ISBLANK(JZ1),"CHECK NEEDED","")</f>
        <v/>
      </c>
      <c r="KA3" s="230" t="s">
        <v>1021</v>
      </c>
      <c r="KB3" s="230" t="s">
        <v>1021</v>
      </c>
      <c r="KC3" s="50" t="str">
        <f>IF(ISBLANK(KC1),"CHECK NEEDED","")</f>
        <v/>
      </c>
      <c r="KD3" s="50" t="str">
        <f>IF(ISBLANK(KD1),"CHECK NEEDED","")</f>
        <v/>
      </c>
      <c r="KE3" s="46"/>
      <c r="KG3" s="43" t="s">
        <v>34</v>
      </c>
    </row>
    <row r="4" spans="1:293" x14ac:dyDescent="0.3">
      <c r="A4" s="48" t="s">
        <v>37</v>
      </c>
      <c r="C4" s="48"/>
      <c r="D4" s="337" t="s">
        <v>123</v>
      </c>
      <c r="E4" s="58" t="s">
        <v>124</v>
      </c>
      <c r="F4" s="58" t="s">
        <v>125</v>
      </c>
      <c r="G4" s="58" t="s">
        <v>126</v>
      </c>
      <c r="H4" s="58" t="s">
        <v>127</v>
      </c>
      <c r="I4" s="58" t="s">
        <v>128</v>
      </c>
      <c r="J4" s="58" t="s">
        <v>129</v>
      </c>
      <c r="K4" s="58" t="s">
        <v>130</v>
      </c>
      <c r="L4" s="58" t="s">
        <v>131</v>
      </c>
      <c r="M4" s="58" t="s">
        <v>132</v>
      </c>
      <c r="N4" s="58" t="s">
        <v>133</v>
      </c>
      <c r="O4" s="58" t="s">
        <v>134</v>
      </c>
      <c r="P4" s="58" t="s">
        <v>135</v>
      </c>
      <c r="Q4" s="58" t="s">
        <v>136</v>
      </c>
      <c r="R4" s="58" t="s">
        <v>137</v>
      </c>
      <c r="S4" s="58" t="s">
        <v>138</v>
      </c>
      <c r="T4" s="58" t="s">
        <v>139</v>
      </c>
      <c r="U4" s="58" t="s">
        <v>140</v>
      </c>
      <c r="V4" s="58" t="s">
        <v>141</v>
      </c>
      <c r="W4" s="58" t="s">
        <v>142</v>
      </c>
      <c r="X4" s="58" t="s">
        <v>143</v>
      </c>
      <c r="Y4" s="58" t="s">
        <v>144</v>
      </c>
      <c r="Z4" s="58" t="s">
        <v>145</v>
      </c>
      <c r="AA4" s="58" t="s">
        <v>146</v>
      </c>
      <c r="AB4" s="58" t="s">
        <v>147</v>
      </c>
      <c r="AC4" s="58" t="s">
        <v>148</v>
      </c>
      <c r="AD4" s="58" t="s">
        <v>149</v>
      </c>
      <c r="AE4" s="58" t="s">
        <v>150</v>
      </c>
      <c r="AF4" s="58" t="s">
        <v>151</v>
      </c>
      <c r="AG4" s="58" t="s">
        <v>152</v>
      </c>
      <c r="AH4" s="58" t="s">
        <v>153</v>
      </c>
      <c r="AI4" s="58" t="s">
        <v>154</v>
      </c>
      <c r="AJ4" s="58" t="s">
        <v>155</v>
      </c>
      <c r="AK4" s="58" t="s">
        <v>156</v>
      </c>
      <c r="AL4" s="58" t="s">
        <v>157</v>
      </c>
      <c r="AM4" s="58" t="s">
        <v>158</v>
      </c>
      <c r="AN4" s="58" t="s">
        <v>159</v>
      </c>
      <c r="AO4" s="58" t="s">
        <v>160</v>
      </c>
      <c r="AP4" s="60" t="s">
        <v>1051</v>
      </c>
      <c r="AQ4" s="58" t="s">
        <v>161</v>
      </c>
      <c r="AR4" s="58"/>
      <c r="AS4" s="58"/>
      <c r="AT4" s="58" t="s">
        <v>162</v>
      </c>
      <c r="AU4" s="58" t="s">
        <v>163</v>
      </c>
      <c r="AV4" s="58" t="s">
        <v>164</v>
      </c>
      <c r="AW4" s="58" t="s">
        <v>165</v>
      </c>
      <c r="AX4" s="58" t="s">
        <v>166</v>
      </c>
      <c r="AY4" s="58" t="s">
        <v>167</v>
      </c>
      <c r="AZ4" s="58" t="s">
        <v>168</v>
      </c>
      <c r="BA4" s="58" t="s">
        <v>169</v>
      </c>
      <c r="BB4" s="58" t="s">
        <v>170</v>
      </c>
      <c r="BC4" s="58" t="s">
        <v>171</v>
      </c>
      <c r="BD4" s="58" t="s">
        <v>172</v>
      </c>
      <c r="BE4" s="58" t="s">
        <v>173</v>
      </c>
      <c r="BF4" s="58" t="s">
        <v>174</v>
      </c>
      <c r="BG4" s="58" t="s">
        <v>175</v>
      </c>
      <c r="BH4" s="58" t="s">
        <v>176</v>
      </c>
      <c r="BI4" s="58" t="s">
        <v>177</v>
      </c>
      <c r="BJ4" s="58" t="s">
        <v>178</v>
      </c>
      <c r="BK4" s="58" t="s">
        <v>179</v>
      </c>
      <c r="BL4" s="58" t="s">
        <v>180</v>
      </c>
      <c r="BM4" s="58" t="s">
        <v>181</v>
      </c>
      <c r="BN4" s="58" t="s">
        <v>182</v>
      </c>
      <c r="BO4" s="58" t="s">
        <v>183</v>
      </c>
      <c r="BP4" s="58" t="s">
        <v>184</v>
      </c>
      <c r="BQ4" s="58" t="s">
        <v>185</v>
      </c>
      <c r="BR4" s="58" t="s">
        <v>186</v>
      </c>
      <c r="BS4" s="58" t="s">
        <v>187</v>
      </c>
      <c r="BT4" s="58" t="s">
        <v>188</v>
      </c>
      <c r="BU4" s="58" t="s">
        <v>189</v>
      </c>
      <c r="BV4" s="58" t="s">
        <v>190</v>
      </c>
      <c r="BW4" s="58" t="s">
        <v>191</v>
      </c>
      <c r="BX4" s="58" t="s">
        <v>192</v>
      </c>
      <c r="BY4" s="58" t="s">
        <v>193</v>
      </c>
      <c r="BZ4" s="58" t="s">
        <v>194</v>
      </c>
      <c r="CA4" s="58" t="s">
        <v>195</v>
      </c>
      <c r="CB4" s="58" t="s">
        <v>196</v>
      </c>
      <c r="CC4" s="58" t="s">
        <v>197</v>
      </c>
      <c r="CD4" s="58" t="s">
        <v>198</v>
      </c>
      <c r="CE4" s="58" t="s">
        <v>199</v>
      </c>
      <c r="CF4" s="58" t="s">
        <v>200</v>
      </c>
      <c r="CG4" s="58" t="s">
        <v>201</v>
      </c>
      <c r="CH4" s="58" t="s">
        <v>202</v>
      </c>
      <c r="CI4" s="58" t="s">
        <v>203</v>
      </c>
      <c r="CJ4" s="58" t="s">
        <v>204</v>
      </c>
      <c r="CK4" s="58" t="s">
        <v>205</v>
      </c>
      <c r="CL4" s="58" t="s">
        <v>206</v>
      </c>
      <c r="CM4" s="58" t="s">
        <v>207</v>
      </c>
      <c r="CN4" s="58"/>
      <c r="CO4" s="58"/>
      <c r="CP4" s="58" t="s">
        <v>208</v>
      </c>
      <c r="CQ4" s="58" t="s">
        <v>209</v>
      </c>
      <c r="CR4" s="58" t="s">
        <v>210</v>
      </c>
      <c r="CS4" s="58" t="s">
        <v>211</v>
      </c>
      <c r="CT4" s="58" t="s">
        <v>212</v>
      </c>
      <c r="CU4" s="58" t="s">
        <v>213</v>
      </c>
      <c r="CV4" s="58" t="s">
        <v>214</v>
      </c>
      <c r="CW4" s="58" t="s">
        <v>215</v>
      </c>
      <c r="CX4" s="58" t="s">
        <v>216</v>
      </c>
      <c r="CY4" s="58" t="s">
        <v>217</v>
      </c>
      <c r="CZ4" s="58" t="s">
        <v>218</v>
      </c>
      <c r="DA4" s="58" t="s">
        <v>219</v>
      </c>
      <c r="DB4" s="58" t="s">
        <v>220</v>
      </c>
      <c r="DC4" s="58" t="s">
        <v>221</v>
      </c>
      <c r="DD4" s="58" t="s">
        <v>222</v>
      </c>
      <c r="DE4" s="58" t="s">
        <v>223</v>
      </c>
      <c r="DF4" s="58" t="s">
        <v>224</v>
      </c>
      <c r="DG4" s="58" t="s">
        <v>225</v>
      </c>
      <c r="DH4" s="58" t="s">
        <v>226</v>
      </c>
      <c r="DI4" s="58" t="s">
        <v>227</v>
      </c>
      <c r="DJ4" s="58" t="s">
        <v>228</v>
      </c>
      <c r="DK4" s="58" t="s">
        <v>229</v>
      </c>
      <c r="DL4" s="58" t="s">
        <v>230</v>
      </c>
      <c r="DM4" s="58" t="s">
        <v>231</v>
      </c>
      <c r="DN4" s="58" t="s">
        <v>232</v>
      </c>
      <c r="DO4" s="58" t="s">
        <v>233</v>
      </c>
      <c r="DP4" s="58" t="s">
        <v>234</v>
      </c>
      <c r="DQ4" s="58" t="s">
        <v>235</v>
      </c>
      <c r="DR4" s="58" t="s">
        <v>236</v>
      </c>
      <c r="DS4" s="58" t="s">
        <v>237</v>
      </c>
      <c r="DT4" s="58" t="s">
        <v>238</v>
      </c>
      <c r="DU4" s="58" t="s">
        <v>239</v>
      </c>
      <c r="DV4" s="58" t="s">
        <v>240</v>
      </c>
      <c r="DW4" s="58" t="s">
        <v>241</v>
      </c>
      <c r="DX4" s="58" t="s">
        <v>242</v>
      </c>
      <c r="DY4" s="58" t="s">
        <v>243</v>
      </c>
      <c r="DZ4" s="58" t="s">
        <v>244</v>
      </c>
      <c r="EA4" s="58" t="s">
        <v>245</v>
      </c>
      <c r="EB4" s="58" t="s">
        <v>246</v>
      </c>
      <c r="EC4" s="58" t="s">
        <v>247</v>
      </c>
      <c r="ED4" s="58" t="s">
        <v>248</v>
      </c>
      <c r="EE4" s="58" t="s">
        <v>249</v>
      </c>
      <c r="EF4" s="58" t="s">
        <v>250</v>
      </c>
      <c r="EG4" s="58" t="s">
        <v>251</v>
      </c>
      <c r="EH4" s="65" t="s">
        <v>1017</v>
      </c>
      <c r="EI4" s="58" t="s">
        <v>252</v>
      </c>
      <c r="EJ4" s="58" t="s">
        <v>253</v>
      </c>
      <c r="EK4" s="58"/>
      <c r="EL4" s="58"/>
      <c r="EM4" s="58" t="s">
        <v>255</v>
      </c>
      <c r="EN4" s="58" t="s">
        <v>256</v>
      </c>
      <c r="EO4" s="58" t="s">
        <v>257</v>
      </c>
      <c r="EP4" s="58" t="s">
        <v>258</v>
      </c>
      <c r="EQ4" s="58" t="s">
        <v>259</v>
      </c>
      <c r="ER4" s="58" t="s">
        <v>260</v>
      </c>
      <c r="ES4" s="58" t="s">
        <v>261</v>
      </c>
      <c r="ET4" s="58" t="s">
        <v>262</v>
      </c>
      <c r="EU4" s="58" t="s">
        <v>263</v>
      </c>
      <c r="EV4" s="58" t="s">
        <v>264</v>
      </c>
      <c r="EW4" s="58" t="s">
        <v>265</v>
      </c>
      <c r="EX4" s="58" t="s">
        <v>266</v>
      </c>
      <c r="EY4" s="58" t="s">
        <v>267</v>
      </c>
      <c r="EZ4" s="58" t="s">
        <v>268</v>
      </c>
      <c r="FA4" s="58" t="s">
        <v>269</v>
      </c>
      <c r="FB4" s="58" t="s">
        <v>270</v>
      </c>
      <c r="FC4" s="58" t="s">
        <v>271</v>
      </c>
      <c r="FD4" s="58" t="s">
        <v>272</v>
      </c>
      <c r="FE4" s="58" t="s">
        <v>273</v>
      </c>
      <c r="FF4" s="58" t="s">
        <v>274</v>
      </c>
      <c r="FG4" s="58" t="s">
        <v>275</v>
      </c>
      <c r="FH4" s="58" t="s">
        <v>276</v>
      </c>
      <c r="FI4" s="58" t="s">
        <v>277</v>
      </c>
      <c r="FJ4" s="58" t="s">
        <v>278</v>
      </c>
      <c r="FK4" s="58" t="s">
        <v>279</v>
      </c>
      <c r="FL4" s="58" t="s">
        <v>280</v>
      </c>
      <c r="FM4" s="58" t="s">
        <v>281</v>
      </c>
      <c r="FN4" s="58" t="s">
        <v>282</v>
      </c>
      <c r="FO4" s="58" t="s">
        <v>283</v>
      </c>
      <c r="FP4" s="58" t="s">
        <v>284</v>
      </c>
      <c r="FQ4" s="58" t="s">
        <v>285</v>
      </c>
      <c r="FR4" s="58" t="s">
        <v>286</v>
      </c>
      <c r="FS4" s="58" t="s">
        <v>287</v>
      </c>
      <c r="FT4" s="58" t="s">
        <v>288</v>
      </c>
      <c r="FU4" s="58" t="s">
        <v>289</v>
      </c>
      <c r="FV4" s="58" t="s">
        <v>290</v>
      </c>
      <c r="FW4" s="58" t="s">
        <v>291</v>
      </c>
      <c r="FX4" s="58" t="s">
        <v>292</v>
      </c>
      <c r="FY4" s="58" t="s">
        <v>293</v>
      </c>
      <c r="FZ4" s="58" t="s">
        <v>294</v>
      </c>
      <c r="GA4" s="58" t="s">
        <v>295</v>
      </c>
      <c r="GB4" s="58" t="s">
        <v>296</v>
      </c>
      <c r="GC4" s="58" t="s">
        <v>297</v>
      </c>
      <c r="GD4" s="58" t="s">
        <v>298</v>
      </c>
      <c r="GE4" s="65" t="s">
        <v>1023</v>
      </c>
      <c r="GF4" s="60" t="s">
        <v>1048</v>
      </c>
      <c r="GG4" s="58" t="s">
        <v>299</v>
      </c>
      <c r="GH4" s="58" t="s">
        <v>300</v>
      </c>
      <c r="GI4" s="58"/>
      <c r="GJ4" s="58"/>
      <c r="GK4" s="58" t="s">
        <v>301</v>
      </c>
      <c r="GL4" s="58" t="s">
        <v>302</v>
      </c>
      <c r="GM4" s="58" t="s">
        <v>303</v>
      </c>
      <c r="GN4" s="58" t="s">
        <v>304</v>
      </c>
      <c r="GO4" s="58" t="s">
        <v>305</v>
      </c>
      <c r="GP4" s="58" t="s">
        <v>306</v>
      </c>
      <c r="GQ4" s="58" t="s">
        <v>307</v>
      </c>
      <c r="GR4" s="58" t="s">
        <v>308</v>
      </c>
      <c r="GS4" s="58" t="s">
        <v>309</v>
      </c>
      <c r="GT4" s="58" t="s">
        <v>310</v>
      </c>
      <c r="GU4" s="58" t="s">
        <v>311</v>
      </c>
      <c r="GV4" s="58" t="s">
        <v>312</v>
      </c>
      <c r="GW4" s="58" t="s">
        <v>313</v>
      </c>
      <c r="GX4" s="58" t="s">
        <v>314</v>
      </c>
      <c r="GY4" s="58" t="s">
        <v>315</v>
      </c>
      <c r="GZ4" s="58" t="s">
        <v>316</v>
      </c>
      <c r="HA4" s="58" t="s">
        <v>317</v>
      </c>
      <c r="HB4" s="58" t="s">
        <v>318</v>
      </c>
      <c r="HC4" s="58" t="s">
        <v>319</v>
      </c>
      <c r="HD4" s="58" t="s">
        <v>320</v>
      </c>
      <c r="HE4" s="58" t="s">
        <v>321</v>
      </c>
      <c r="HF4" s="58" t="s">
        <v>322</v>
      </c>
      <c r="HG4" s="58" t="s">
        <v>323</v>
      </c>
      <c r="HH4" s="58" t="s">
        <v>324</v>
      </c>
      <c r="HI4" s="58" t="s">
        <v>325</v>
      </c>
      <c r="HJ4" s="58" t="s">
        <v>326</v>
      </c>
      <c r="HK4" s="58" t="s">
        <v>327</v>
      </c>
      <c r="HL4" s="58" t="s">
        <v>328</v>
      </c>
      <c r="HM4" s="58" t="s">
        <v>329</v>
      </c>
      <c r="HN4" s="58" t="s">
        <v>330</v>
      </c>
      <c r="HO4" s="58" t="s">
        <v>331</v>
      </c>
      <c r="HP4" s="58" t="s">
        <v>332</v>
      </c>
      <c r="HQ4" s="58" t="s">
        <v>333</v>
      </c>
      <c r="HR4" s="58" t="s">
        <v>334</v>
      </c>
      <c r="HS4" s="58" t="s">
        <v>335</v>
      </c>
      <c r="HT4" s="58" t="s">
        <v>336</v>
      </c>
      <c r="HU4" s="58" t="s">
        <v>337</v>
      </c>
      <c r="HV4" s="58" t="s">
        <v>338</v>
      </c>
      <c r="HW4" s="58" t="s">
        <v>339</v>
      </c>
      <c r="HX4" s="58" t="s">
        <v>340</v>
      </c>
      <c r="HY4" s="58" t="s">
        <v>341</v>
      </c>
      <c r="HZ4" s="58" t="s">
        <v>342</v>
      </c>
      <c r="IA4" s="58" t="s">
        <v>343</v>
      </c>
      <c r="IB4" s="58" t="s">
        <v>344</v>
      </c>
      <c r="IC4" s="58" t="s">
        <v>1018</v>
      </c>
      <c r="ID4" s="58" t="s">
        <v>1047</v>
      </c>
      <c r="IE4" s="58" t="s">
        <v>345</v>
      </c>
      <c r="IF4" s="58" t="s">
        <v>346</v>
      </c>
      <c r="IG4" s="58"/>
      <c r="IH4" s="58"/>
      <c r="II4" s="58" t="s">
        <v>347</v>
      </c>
      <c r="IJ4" s="58" t="s">
        <v>348</v>
      </c>
      <c r="IK4" s="58" t="s">
        <v>349</v>
      </c>
      <c r="IL4" s="58" t="s">
        <v>350</v>
      </c>
      <c r="IM4" s="58" t="s">
        <v>351</v>
      </c>
      <c r="IN4" s="58" t="s">
        <v>352</v>
      </c>
      <c r="IO4" s="58" t="s">
        <v>353</v>
      </c>
      <c r="IP4" s="58" t="s">
        <v>354</v>
      </c>
      <c r="IQ4" s="58" t="s">
        <v>355</v>
      </c>
      <c r="IR4" s="58" t="s">
        <v>356</v>
      </c>
      <c r="IS4" s="58" t="s">
        <v>357</v>
      </c>
      <c r="IT4" s="58" t="s">
        <v>358</v>
      </c>
      <c r="IU4" s="58" t="s">
        <v>359</v>
      </c>
      <c r="IV4" s="58" t="s">
        <v>360</v>
      </c>
      <c r="IW4" s="58" t="s">
        <v>361</v>
      </c>
      <c r="IX4" s="58" t="s">
        <v>362</v>
      </c>
      <c r="IY4" s="58" t="s">
        <v>363</v>
      </c>
      <c r="IZ4" s="58" t="s">
        <v>364</v>
      </c>
      <c r="JA4" s="58" t="s">
        <v>365</v>
      </c>
      <c r="JB4" s="58" t="s">
        <v>366</v>
      </c>
      <c r="JC4" s="58" t="s">
        <v>367</v>
      </c>
      <c r="JD4" s="58" t="s">
        <v>368</v>
      </c>
      <c r="JE4" s="58" t="s">
        <v>369</v>
      </c>
      <c r="JF4" s="58" t="s">
        <v>370</v>
      </c>
      <c r="JG4" s="58" t="s">
        <v>371</v>
      </c>
      <c r="JH4" s="58" t="s">
        <v>372</v>
      </c>
      <c r="JI4" s="58" t="s">
        <v>373</v>
      </c>
      <c r="JJ4" s="58" t="s">
        <v>374</v>
      </c>
      <c r="JK4" s="58" t="s">
        <v>375</v>
      </c>
      <c r="JL4" s="58" t="s">
        <v>376</v>
      </c>
      <c r="JM4" s="58" t="s">
        <v>377</v>
      </c>
      <c r="JN4" s="58" t="s">
        <v>378</v>
      </c>
      <c r="JO4" s="58" t="s">
        <v>379</v>
      </c>
      <c r="JP4" s="58" t="s">
        <v>380</v>
      </c>
      <c r="JQ4" s="58" t="s">
        <v>381</v>
      </c>
      <c r="JR4" s="58" t="s">
        <v>382</v>
      </c>
      <c r="JS4" s="58" t="s">
        <v>383</v>
      </c>
      <c r="JT4" s="58" t="s">
        <v>384</v>
      </c>
      <c r="JU4" s="58" t="s">
        <v>385</v>
      </c>
      <c r="JV4" s="58" t="s">
        <v>386</v>
      </c>
      <c r="JW4" s="58" t="s">
        <v>387</v>
      </c>
      <c r="JX4" s="58" t="s">
        <v>388</v>
      </c>
      <c r="JY4" s="58" t="s">
        <v>389</v>
      </c>
      <c r="JZ4" s="58" t="s">
        <v>390</v>
      </c>
      <c r="KA4" s="58" t="s">
        <v>1019</v>
      </c>
      <c r="KB4" s="58" t="s">
        <v>1046</v>
      </c>
      <c r="KC4" s="58" t="s">
        <v>391</v>
      </c>
      <c r="KD4" s="58" t="s">
        <v>392</v>
      </c>
      <c r="KE4" s="58"/>
      <c r="KF4" s="58"/>
      <c r="KG4" s="43" t="s">
        <v>34</v>
      </c>
    </row>
    <row r="5" spans="1:293" x14ac:dyDescent="0.3">
      <c r="A5" s="48"/>
      <c r="B5" s="52"/>
      <c r="D5" s="53">
        <v>44348</v>
      </c>
      <c r="E5" s="53">
        <v>44348</v>
      </c>
      <c r="F5" s="53">
        <v>44348</v>
      </c>
      <c r="G5" s="53">
        <v>44348</v>
      </c>
      <c r="H5" s="53">
        <v>44348</v>
      </c>
      <c r="I5" s="53">
        <v>44348</v>
      </c>
      <c r="J5" s="53">
        <v>44348</v>
      </c>
      <c r="K5" s="53">
        <v>44348</v>
      </c>
      <c r="L5" s="53">
        <v>44348</v>
      </c>
      <c r="M5" s="53">
        <v>44348</v>
      </c>
      <c r="N5" s="53">
        <v>44348</v>
      </c>
      <c r="O5" s="53">
        <v>44348</v>
      </c>
      <c r="P5" s="53">
        <v>44348</v>
      </c>
      <c r="Q5" s="53">
        <v>44348</v>
      </c>
      <c r="R5" s="53">
        <v>44348</v>
      </c>
      <c r="S5" s="53">
        <v>44348</v>
      </c>
      <c r="T5" s="53">
        <v>44348</v>
      </c>
      <c r="U5" s="53">
        <v>44348</v>
      </c>
      <c r="V5" s="53">
        <v>44348</v>
      </c>
      <c r="W5" s="53">
        <v>44348</v>
      </c>
      <c r="X5" s="53">
        <v>44348</v>
      </c>
      <c r="Y5" s="53">
        <v>44348</v>
      </c>
      <c r="Z5" s="53">
        <v>44348</v>
      </c>
      <c r="AA5" s="53">
        <v>44348</v>
      </c>
      <c r="AB5" s="53">
        <v>44348</v>
      </c>
      <c r="AC5" s="53">
        <v>44348</v>
      </c>
      <c r="AD5" s="53">
        <v>44348</v>
      </c>
      <c r="AE5" s="53">
        <v>44348</v>
      </c>
      <c r="AF5" s="53">
        <v>44348</v>
      </c>
      <c r="AG5" s="53">
        <v>44348</v>
      </c>
      <c r="AH5" s="53">
        <v>44348</v>
      </c>
      <c r="AI5" s="53">
        <v>44348</v>
      </c>
      <c r="AJ5" s="53">
        <v>44348</v>
      </c>
      <c r="AK5" s="53">
        <v>44348</v>
      </c>
      <c r="AL5" s="53">
        <v>44348</v>
      </c>
      <c r="AM5" s="53">
        <v>44348</v>
      </c>
      <c r="AN5" s="53">
        <v>44348</v>
      </c>
      <c r="AO5" s="53">
        <v>44348</v>
      </c>
      <c r="AP5" s="53">
        <v>45992</v>
      </c>
      <c r="AQ5" s="53">
        <v>44348</v>
      </c>
      <c r="AT5" s="53">
        <v>44531</v>
      </c>
      <c r="AU5" s="53">
        <v>44531</v>
      </c>
      <c r="AV5" s="53">
        <v>44531</v>
      </c>
      <c r="AW5" s="53">
        <v>44531</v>
      </c>
      <c r="AX5" s="53">
        <v>44531</v>
      </c>
      <c r="AY5" s="53">
        <v>44531</v>
      </c>
      <c r="AZ5" s="53">
        <v>44531</v>
      </c>
      <c r="BA5" s="53">
        <v>44531</v>
      </c>
      <c r="BB5" s="53">
        <v>44531</v>
      </c>
      <c r="BC5" s="53">
        <v>44531</v>
      </c>
      <c r="BD5" s="53">
        <v>44531</v>
      </c>
      <c r="BE5" s="53">
        <v>44531</v>
      </c>
      <c r="BF5" s="53">
        <v>44531</v>
      </c>
      <c r="BG5" s="53">
        <v>44531</v>
      </c>
      <c r="BH5" s="53">
        <v>44531</v>
      </c>
      <c r="BI5" s="53">
        <v>44531</v>
      </c>
      <c r="BJ5" s="53">
        <v>44531</v>
      </c>
      <c r="BK5" s="53">
        <v>44531</v>
      </c>
      <c r="BL5" s="53">
        <v>44531</v>
      </c>
      <c r="BM5" s="53">
        <v>44531</v>
      </c>
      <c r="BN5" s="53">
        <v>44531</v>
      </c>
      <c r="BO5" s="53">
        <v>44531</v>
      </c>
      <c r="BP5" s="53">
        <v>44531</v>
      </c>
      <c r="BQ5" s="53">
        <v>44531</v>
      </c>
      <c r="BR5" s="53">
        <v>44531</v>
      </c>
      <c r="BS5" s="53">
        <v>44531</v>
      </c>
      <c r="BT5" s="53">
        <v>44531</v>
      </c>
      <c r="BU5" s="53">
        <v>44531</v>
      </c>
      <c r="BV5" s="53">
        <v>44531</v>
      </c>
      <c r="BW5" s="53">
        <v>44531</v>
      </c>
      <c r="BX5" s="53">
        <v>44531</v>
      </c>
      <c r="BY5" s="53">
        <v>44531</v>
      </c>
      <c r="BZ5" s="53">
        <v>44531</v>
      </c>
      <c r="CA5" s="53">
        <v>44531</v>
      </c>
      <c r="CB5" s="53">
        <v>44531</v>
      </c>
      <c r="CC5" s="53">
        <v>44531</v>
      </c>
      <c r="CD5" s="53">
        <v>44531</v>
      </c>
      <c r="CE5" s="53">
        <v>44531</v>
      </c>
      <c r="CF5" s="53">
        <v>44531</v>
      </c>
      <c r="CG5" s="53">
        <v>44531</v>
      </c>
      <c r="CH5" s="53">
        <v>44531</v>
      </c>
      <c r="CI5" s="53">
        <v>44531</v>
      </c>
      <c r="CJ5" s="53">
        <v>44531</v>
      </c>
      <c r="CK5" s="53">
        <v>44531</v>
      </c>
      <c r="CL5" s="53">
        <v>44531</v>
      </c>
      <c r="CM5" s="53">
        <v>44531</v>
      </c>
      <c r="CP5" s="53">
        <v>44896</v>
      </c>
      <c r="CQ5" s="53">
        <v>44896</v>
      </c>
      <c r="CR5" s="53">
        <v>44896</v>
      </c>
      <c r="CS5" s="53">
        <v>44896</v>
      </c>
      <c r="CT5" s="53">
        <v>44896</v>
      </c>
      <c r="CU5" s="53">
        <v>44896</v>
      </c>
      <c r="CV5" s="53">
        <v>44896</v>
      </c>
      <c r="CW5" s="53">
        <v>44896</v>
      </c>
      <c r="CX5" s="53">
        <v>44896</v>
      </c>
      <c r="CY5" s="53">
        <v>44896</v>
      </c>
      <c r="CZ5" s="53">
        <v>44896</v>
      </c>
      <c r="DA5" s="53">
        <v>44896</v>
      </c>
      <c r="DB5" s="53">
        <v>44896</v>
      </c>
      <c r="DC5" s="53">
        <v>44896</v>
      </c>
      <c r="DD5" s="53">
        <v>44896</v>
      </c>
      <c r="DE5" s="53">
        <v>44896</v>
      </c>
      <c r="DF5" s="53">
        <v>44896</v>
      </c>
      <c r="DG5" s="53">
        <v>44896</v>
      </c>
      <c r="DH5" s="53">
        <v>44896</v>
      </c>
      <c r="DI5" s="53">
        <v>44896</v>
      </c>
      <c r="DJ5" s="53">
        <v>44896</v>
      </c>
      <c r="DK5" s="53">
        <v>44896</v>
      </c>
      <c r="DL5" s="53">
        <v>44896</v>
      </c>
      <c r="DM5" s="53">
        <v>44896</v>
      </c>
      <c r="DN5" s="53">
        <v>44896</v>
      </c>
      <c r="DO5" s="53">
        <v>44896</v>
      </c>
      <c r="DP5" s="53">
        <v>44896</v>
      </c>
      <c r="DQ5" s="53">
        <v>44896</v>
      </c>
      <c r="DR5" s="53">
        <v>44896</v>
      </c>
      <c r="DS5" s="53">
        <v>44896</v>
      </c>
      <c r="DT5" s="53">
        <v>44896</v>
      </c>
      <c r="DU5" s="53">
        <v>44896</v>
      </c>
      <c r="DV5" s="53">
        <v>44896</v>
      </c>
      <c r="DW5" s="53">
        <v>44896</v>
      </c>
      <c r="DX5" s="53">
        <v>44896</v>
      </c>
      <c r="DY5" s="53">
        <v>44896</v>
      </c>
      <c r="DZ5" s="53">
        <v>44896</v>
      </c>
      <c r="EA5" s="53">
        <v>44896</v>
      </c>
      <c r="EB5" s="53">
        <v>44896</v>
      </c>
      <c r="EC5" s="53">
        <v>44896</v>
      </c>
      <c r="ED5" s="53">
        <v>44896</v>
      </c>
      <c r="EE5" s="53">
        <v>44896</v>
      </c>
      <c r="EF5" s="53">
        <v>44896</v>
      </c>
      <c r="EG5" s="53">
        <v>44896</v>
      </c>
      <c r="EH5" s="53">
        <v>44896</v>
      </c>
      <c r="EI5" s="53">
        <v>44896</v>
      </c>
      <c r="EJ5" s="53">
        <v>44896</v>
      </c>
      <c r="EM5" s="53">
        <v>45261</v>
      </c>
      <c r="EN5" s="53">
        <v>45261</v>
      </c>
      <c r="EO5" s="53">
        <v>45261</v>
      </c>
      <c r="EP5" s="53">
        <v>45261</v>
      </c>
      <c r="EQ5" s="53">
        <v>45261</v>
      </c>
      <c r="ER5" s="53">
        <v>45261</v>
      </c>
      <c r="ES5" s="53">
        <v>45261</v>
      </c>
      <c r="ET5" s="53">
        <v>45261</v>
      </c>
      <c r="EU5" s="53">
        <v>45261</v>
      </c>
      <c r="EV5" s="53">
        <v>45261</v>
      </c>
      <c r="EW5" s="53">
        <v>45261</v>
      </c>
      <c r="EX5" s="53">
        <v>45261</v>
      </c>
      <c r="EY5" s="53">
        <v>45261</v>
      </c>
      <c r="EZ5" s="53">
        <v>45261</v>
      </c>
      <c r="FA5" s="53">
        <v>45261</v>
      </c>
      <c r="FB5" s="53">
        <v>45261</v>
      </c>
      <c r="FC5" s="53">
        <v>45261</v>
      </c>
      <c r="FD5" s="53">
        <v>45261</v>
      </c>
      <c r="FE5" s="53">
        <v>45261</v>
      </c>
      <c r="FF5" s="53">
        <v>45261</v>
      </c>
      <c r="FG5" s="53">
        <v>45261</v>
      </c>
      <c r="FH5" s="53">
        <v>45261</v>
      </c>
      <c r="FI5" s="53">
        <v>45261</v>
      </c>
      <c r="FJ5" s="53">
        <v>45261</v>
      </c>
      <c r="FK5" s="53">
        <v>45261</v>
      </c>
      <c r="FL5" s="53">
        <v>45261</v>
      </c>
      <c r="FM5" s="53">
        <v>45261</v>
      </c>
      <c r="FN5" s="53">
        <v>45261</v>
      </c>
      <c r="FO5" s="53">
        <v>45261</v>
      </c>
      <c r="FP5" s="53">
        <v>45261</v>
      </c>
      <c r="FQ5" s="53">
        <v>45261</v>
      </c>
      <c r="FR5" s="53">
        <v>45261</v>
      </c>
      <c r="FS5" s="53">
        <v>45261</v>
      </c>
      <c r="FT5" s="53">
        <v>45261</v>
      </c>
      <c r="FU5" s="53">
        <v>45261</v>
      </c>
      <c r="FV5" s="53">
        <v>45261</v>
      </c>
      <c r="FW5" s="53">
        <v>45261</v>
      </c>
      <c r="FX5" s="53">
        <v>45261</v>
      </c>
      <c r="FY5" s="53">
        <v>45261</v>
      </c>
      <c r="FZ5" s="53">
        <v>45261</v>
      </c>
      <c r="GA5" s="53">
        <v>45261</v>
      </c>
      <c r="GB5" s="53">
        <v>45261</v>
      </c>
      <c r="GC5" s="53">
        <v>45261</v>
      </c>
      <c r="GD5" s="53">
        <v>45261</v>
      </c>
      <c r="GE5" s="53">
        <v>45261</v>
      </c>
      <c r="GF5" s="53">
        <v>45992</v>
      </c>
      <c r="GG5" s="53">
        <v>45261</v>
      </c>
      <c r="GH5" s="53">
        <v>45261</v>
      </c>
      <c r="GK5" s="53">
        <v>45627</v>
      </c>
      <c r="GL5" s="53">
        <v>45627</v>
      </c>
      <c r="GM5" s="53">
        <v>45627</v>
      </c>
      <c r="GN5" s="53">
        <v>45627</v>
      </c>
      <c r="GO5" s="53">
        <v>45627</v>
      </c>
      <c r="GP5" s="53">
        <v>45627</v>
      </c>
      <c r="GQ5" s="53">
        <v>45627</v>
      </c>
      <c r="GR5" s="53">
        <v>45627</v>
      </c>
      <c r="GS5" s="53">
        <v>45627</v>
      </c>
      <c r="GT5" s="53">
        <v>45627</v>
      </c>
      <c r="GU5" s="53">
        <v>45627</v>
      </c>
      <c r="GV5" s="53">
        <v>45627</v>
      </c>
      <c r="GW5" s="53">
        <v>45627</v>
      </c>
      <c r="GX5" s="53">
        <v>45627</v>
      </c>
      <c r="GY5" s="53">
        <v>45627</v>
      </c>
      <c r="GZ5" s="53">
        <v>45627</v>
      </c>
      <c r="HA5" s="53">
        <v>45627</v>
      </c>
      <c r="HB5" s="53">
        <v>45627</v>
      </c>
      <c r="HC5" s="53">
        <v>45627</v>
      </c>
      <c r="HD5" s="53">
        <v>45627</v>
      </c>
      <c r="HE5" s="53">
        <v>45627</v>
      </c>
      <c r="HF5" s="53">
        <v>45627</v>
      </c>
      <c r="HG5" s="53">
        <v>45627</v>
      </c>
      <c r="HH5" s="53">
        <v>45627</v>
      </c>
      <c r="HI5" s="53">
        <v>45627</v>
      </c>
      <c r="HJ5" s="53">
        <v>45627</v>
      </c>
      <c r="HK5" s="53">
        <v>45627</v>
      </c>
      <c r="HL5" s="53">
        <v>45627</v>
      </c>
      <c r="HM5" s="53">
        <v>45627</v>
      </c>
      <c r="HN5" s="53">
        <v>45627</v>
      </c>
      <c r="HO5" s="53">
        <v>45627</v>
      </c>
      <c r="HP5" s="53">
        <v>45627</v>
      </c>
      <c r="HQ5" s="53">
        <v>45627</v>
      </c>
      <c r="HR5" s="53">
        <v>45627</v>
      </c>
      <c r="HS5" s="53">
        <v>45627</v>
      </c>
      <c r="HT5" s="53">
        <v>45627</v>
      </c>
      <c r="HU5" s="53">
        <v>45627</v>
      </c>
      <c r="HV5" s="53">
        <v>45627</v>
      </c>
      <c r="HW5" s="53">
        <v>45627</v>
      </c>
      <c r="HX5" s="53">
        <v>45627</v>
      </c>
      <c r="HY5" s="53">
        <v>45627</v>
      </c>
      <c r="HZ5" s="53">
        <v>45627</v>
      </c>
      <c r="IA5" s="53">
        <v>45627</v>
      </c>
      <c r="IB5" s="53">
        <v>45627</v>
      </c>
      <c r="IC5" s="53">
        <v>45627</v>
      </c>
      <c r="ID5" s="53">
        <v>45992</v>
      </c>
      <c r="IE5" s="53">
        <v>45627</v>
      </c>
      <c r="IF5" s="53">
        <v>45627</v>
      </c>
      <c r="II5" s="53">
        <v>45992</v>
      </c>
      <c r="IJ5" s="53">
        <v>45992</v>
      </c>
      <c r="IK5" s="53">
        <v>45992</v>
      </c>
      <c r="IL5" s="53">
        <v>45992</v>
      </c>
      <c r="IM5" s="53">
        <v>45992</v>
      </c>
      <c r="IN5" s="53">
        <v>45992</v>
      </c>
      <c r="IO5" s="53">
        <v>45992</v>
      </c>
      <c r="IP5" s="53">
        <v>45992</v>
      </c>
      <c r="IQ5" s="53">
        <v>45992</v>
      </c>
      <c r="IR5" s="53">
        <v>45992</v>
      </c>
      <c r="IS5" s="53">
        <v>45992</v>
      </c>
      <c r="IT5" s="53">
        <v>45992</v>
      </c>
      <c r="IU5" s="53">
        <v>45992</v>
      </c>
      <c r="IV5" s="53">
        <v>45992</v>
      </c>
      <c r="IW5" s="53">
        <v>45992</v>
      </c>
      <c r="IX5" s="53">
        <v>45992</v>
      </c>
      <c r="IY5" s="53">
        <v>45992</v>
      </c>
      <c r="IZ5" s="53">
        <v>45992</v>
      </c>
      <c r="JA5" s="53">
        <v>45992</v>
      </c>
      <c r="JB5" s="53">
        <v>45992</v>
      </c>
      <c r="JC5" s="53">
        <v>45992</v>
      </c>
      <c r="JD5" s="53">
        <v>45992</v>
      </c>
      <c r="JE5" s="53">
        <v>45992</v>
      </c>
      <c r="JF5" s="53">
        <v>45992</v>
      </c>
      <c r="JG5" s="53">
        <v>45992</v>
      </c>
      <c r="JH5" s="53">
        <v>45992</v>
      </c>
      <c r="JI5" s="53">
        <v>45992</v>
      </c>
      <c r="JJ5" s="53">
        <v>45992</v>
      </c>
      <c r="JK5" s="53">
        <v>45992</v>
      </c>
      <c r="JL5" s="53">
        <v>45992</v>
      </c>
      <c r="JM5" s="53">
        <v>45992</v>
      </c>
      <c r="JN5" s="53">
        <v>45992</v>
      </c>
      <c r="JO5" s="53">
        <v>45992</v>
      </c>
      <c r="JP5" s="53">
        <v>45992</v>
      </c>
      <c r="JQ5" s="53">
        <v>45992</v>
      </c>
      <c r="JR5" s="53">
        <v>45992</v>
      </c>
      <c r="JS5" s="53">
        <v>45992</v>
      </c>
      <c r="JT5" s="53">
        <v>45992</v>
      </c>
      <c r="JU5" s="53">
        <v>45992</v>
      </c>
      <c r="JV5" s="53">
        <v>45992</v>
      </c>
      <c r="JW5" s="53">
        <v>45992</v>
      </c>
      <c r="JX5" s="53">
        <v>45992</v>
      </c>
      <c r="JY5" s="53">
        <v>45992</v>
      </c>
      <c r="JZ5" s="53">
        <v>45992</v>
      </c>
      <c r="KA5" s="53">
        <v>45992</v>
      </c>
      <c r="KB5" s="53">
        <v>45992</v>
      </c>
      <c r="KC5" s="53">
        <v>45992</v>
      </c>
      <c r="KD5" s="53">
        <v>45992</v>
      </c>
      <c r="KG5" s="43" t="s">
        <v>34</v>
      </c>
    </row>
    <row r="6" spans="1:293" x14ac:dyDescent="0.3">
      <c r="B6" s="54"/>
      <c r="D6" s="55" t="s">
        <v>38</v>
      </c>
      <c r="E6" s="55" t="s">
        <v>38</v>
      </c>
      <c r="F6" s="55" t="s">
        <v>38</v>
      </c>
      <c r="G6" s="55" t="s">
        <v>38</v>
      </c>
      <c r="H6" s="55" t="s">
        <v>38</v>
      </c>
      <c r="I6" s="55" t="s">
        <v>38</v>
      </c>
      <c r="J6" s="55" t="s">
        <v>38</v>
      </c>
      <c r="K6" s="55" t="s">
        <v>38</v>
      </c>
      <c r="L6" s="55" t="s">
        <v>38</v>
      </c>
      <c r="M6" s="55" t="s">
        <v>38</v>
      </c>
      <c r="N6" s="55" t="s">
        <v>38</v>
      </c>
      <c r="O6" s="55" t="s">
        <v>38</v>
      </c>
      <c r="P6" s="55" t="s">
        <v>38</v>
      </c>
      <c r="Q6" s="55" t="s">
        <v>38</v>
      </c>
      <c r="R6" s="55" t="s">
        <v>38</v>
      </c>
      <c r="S6" s="55" t="s">
        <v>38</v>
      </c>
      <c r="T6" s="55" t="s">
        <v>38</v>
      </c>
      <c r="U6" s="55" t="s">
        <v>38</v>
      </c>
      <c r="V6" s="55" t="s">
        <v>38</v>
      </c>
      <c r="W6" s="55" t="s">
        <v>38</v>
      </c>
      <c r="X6" s="55" t="s">
        <v>38</v>
      </c>
      <c r="Y6" s="55" t="s">
        <v>38</v>
      </c>
      <c r="Z6" s="55" t="s">
        <v>38</v>
      </c>
      <c r="AA6" s="55" t="s">
        <v>38</v>
      </c>
      <c r="AB6" s="55" t="s">
        <v>38</v>
      </c>
      <c r="AC6" s="55" t="s">
        <v>38</v>
      </c>
      <c r="AD6" s="55" t="s">
        <v>38</v>
      </c>
      <c r="AE6" s="56" t="s">
        <v>39</v>
      </c>
      <c r="AF6" s="56" t="s">
        <v>39</v>
      </c>
      <c r="AG6" s="56" t="s">
        <v>39</v>
      </c>
      <c r="AH6" s="56" t="s">
        <v>39</v>
      </c>
      <c r="AI6" s="56" t="s">
        <v>39</v>
      </c>
      <c r="AJ6" s="56" t="s">
        <v>39</v>
      </c>
      <c r="AK6" s="56" t="s">
        <v>39</v>
      </c>
      <c r="AL6" s="56" t="s">
        <v>39</v>
      </c>
      <c r="AM6" s="56" t="s">
        <v>39</v>
      </c>
      <c r="AN6" s="56" t="s">
        <v>39</v>
      </c>
      <c r="AO6" s="56" t="s">
        <v>39</v>
      </c>
      <c r="AP6" s="56" t="s">
        <v>39</v>
      </c>
      <c r="AQ6" s="56" t="s">
        <v>39</v>
      </c>
      <c r="AT6" s="55" t="s">
        <v>38</v>
      </c>
      <c r="AU6" s="55" t="s">
        <v>38</v>
      </c>
      <c r="AV6" s="55" t="s">
        <v>38</v>
      </c>
      <c r="AW6" s="55" t="s">
        <v>38</v>
      </c>
      <c r="AX6" s="55" t="s">
        <v>38</v>
      </c>
      <c r="AY6" s="55" t="s">
        <v>38</v>
      </c>
      <c r="AZ6" s="55" t="s">
        <v>38</v>
      </c>
      <c r="BA6" s="55" t="s">
        <v>38</v>
      </c>
      <c r="BB6" s="55" t="s">
        <v>38</v>
      </c>
      <c r="BC6" s="55" t="s">
        <v>38</v>
      </c>
      <c r="BD6" s="55" t="s">
        <v>38</v>
      </c>
      <c r="BE6" s="55" t="s">
        <v>38</v>
      </c>
      <c r="BF6" s="55" t="s">
        <v>38</v>
      </c>
      <c r="BG6" s="55" t="s">
        <v>38</v>
      </c>
      <c r="BH6" s="55" t="s">
        <v>38</v>
      </c>
      <c r="BI6" s="55" t="s">
        <v>38</v>
      </c>
      <c r="BJ6" s="55" t="s">
        <v>38</v>
      </c>
      <c r="BK6" s="55" t="s">
        <v>38</v>
      </c>
      <c r="BL6" s="55" t="s">
        <v>38</v>
      </c>
      <c r="BM6" s="55" t="s">
        <v>38</v>
      </c>
      <c r="BN6" s="55" t="s">
        <v>38</v>
      </c>
      <c r="BO6" s="55" t="s">
        <v>38</v>
      </c>
      <c r="BP6" s="55" t="s">
        <v>38</v>
      </c>
      <c r="BQ6" s="55" t="s">
        <v>38</v>
      </c>
      <c r="BR6" s="55" t="s">
        <v>38</v>
      </c>
      <c r="BS6" s="55" t="s">
        <v>38</v>
      </c>
      <c r="BT6" s="55" t="s">
        <v>38</v>
      </c>
      <c r="BU6" s="55" t="s">
        <v>38</v>
      </c>
      <c r="BV6" s="55" t="s">
        <v>38</v>
      </c>
      <c r="BW6" s="55" t="s">
        <v>38</v>
      </c>
      <c r="BX6" s="55" t="s">
        <v>38</v>
      </c>
      <c r="BY6" s="55" t="s">
        <v>38</v>
      </c>
      <c r="BZ6" s="55" t="s">
        <v>38</v>
      </c>
      <c r="CA6" s="55" t="s">
        <v>38</v>
      </c>
      <c r="CB6" s="56" t="s">
        <v>39</v>
      </c>
      <c r="CC6" s="56" t="s">
        <v>39</v>
      </c>
      <c r="CD6" s="56" t="s">
        <v>39</v>
      </c>
      <c r="CE6" s="56" t="s">
        <v>39</v>
      </c>
      <c r="CF6" s="56" t="s">
        <v>39</v>
      </c>
      <c r="CG6" s="56" t="s">
        <v>39</v>
      </c>
      <c r="CH6" s="56" t="s">
        <v>39</v>
      </c>
      <c r="CI6" s="56" t="s">
        <v>39</v>
      </c>
      <c r="CJ6" s="56" t="s">
        <v>39</v>
      </c>
      <c r="CK6" s="56" t="s">
        <v>39</v>
      </c>
      <c r="CL6" s="56" t="s">
        <v>39</v>
      </c>
      <c r="CM6" s="56" t="s">
        <v>39</v>
      </c>
      <c r="CN6" s="56"/>
      <c r="CP6" s="55" t="s">
        <v>38</v>
      </c>
      <c r="CQ6" s="55" t="s">
        <v>38</v>
      </c>
      <c r="CR6" s="55" t="s">
        <v>38</v>
      </c>
      <c r="CS6" s="55" t="s">
        <v>38</v>
      </c>
      <c r="CT6" s="55" t="s">
        <v>38</v>
      </c>
      <c r="CU6" s="55" t="s">
        <v>38</v>
      </c>
      <c r="CV6" s="55" t="s">
        <v>38</v>
      </c>
      <c r="CW6" s="55" t="s">
        <v>38</v>
      </c>
      <c r="CX6" s="55" t="s">
        <v>38</v>
      </c>
      <c r="CY6" s="55" t="s">
        <v>38</v>
      </c>
      <c r="CZ6" s="55" t="s">
        <v>38</v>
      </c>
      <c r="DA6" s="55" t="s">
        <v>38</v>
      </c>
      <c r="DB6" s="55" t="s">
        <v>38</v>
      </c>
      <c r="DC6" s="55" t="s">
        <v>38</v>
      </c>
      <c r="DD6" s="55" t="s">
        <v>38</v>
      </c>
      <c r="DE6" s="55" t="s">
        <v>38</v>
      </c>
      <c r="DF6" s="55" t="s">
        <v>38</v>
      </c>
      <c r="DG6" s="55" t="s">
        <v>38</v>
      </c>
      <c r="DH6" s="55" t="s">
        <v>38</v>
      </c>
      <c r="DI6" s="55" t="s">
        <v>38</v>
      </c>
      <c r="DJ6" s="55" t="s">
        <v>38</v>
      </c>
      <c r="DK6" s="55" t="s">
        <v>38</v>
      </c>
      <c r="DL6" s="55" t="s">
        <v>38</v>
      </c>
      <c r="DM6" s="55" t="s">
        <v>38</v>
      </c>
      <c r="DN6" s="55" t="s">
        <v>38</v>
      </c>
      <c r="DO6" s="55" t="s">
        <v>38</v>
      </c>
      <c r="DP6" s="55" t="s">
        <v>38</v>
      </c>
      <c r="DQ6" s="55" t="s">
        <v>38</v>
      </c>
      <c r="DR6" s="55" t="s">
        <v>38</v>
      </c>
      <c r="DS6" s="55" t="s">
        <v>38</v>
      </c>
      <c r="DT6" s="55" t="s">
        <v>38</v>
      </c>
      <c r="DU6" s="55" t="s">
        <v>38</v>
      </c>
      <c r="DV6" s="55" t="s">
        <v>38</v>
      </c>
      <c r="DW6" s="55" t="s">
        <v>38</v>
      </c>
      <c r="DX6" s="56" t="s">
        <v>39</v>
      </c>
      <c r="DY6" s="56" t="s">
        <v>39</v>
      </c>
      <c r="DZ6" s="56" t="s">
        <v>39</v>
      </c>
      <c r="EA6" s="56" t="s">
        <v>39</v>
      </c>
      <c r="EB6" s="56" t="s">
        <v>39</v>
      </c>
      <c r="EC6" s="56" t="s">
        <v>39</v>
      </c>
      <c r="ED6" s="56" t="s">
        <v>39</v>
      </c>
      <c r="EE6" s="56" t="s">
        <v>39</v>
      </c>
      <c r="EF6" s="56" t="s">
        <v>39</v>
      </c>
      <c r="EG6" s="56" t="s">
        <v>39</v>
      </c>
      <c r="EH6" s="56" t="s">
        <v>39</v>
      </c>
      <c r="EI6" s="56" t="s">
        <v>39</v>
      </c>
      <c r="EJ6" s="56" t="s">
        <v>39</v>
      </c>
      <c r="EM6" s="55" t="s">
        <v>38</v>
      </c>
      <c r="EN6" s="55" t="s">
        <v>38</v>
      </c>
      <c r="EO6" s="55" t="s">
        <v>38</v>
      </c>
      <c r="EP6" s="55" t="s">
        <v>38</v>
      </c>
      <c r="EQ6" s="55" t="s">
        <v>38</v>
      </c>
      <c r="ER6" s="55" t="s">
        <v>38</v>
      </c>
      <c r="ES6" s="55" t="s">
        <v>38</v>
      </c>
      <c r="ET6" s="55" t="s">
        <v>38</v>
      </c>
      <c r="EU6" s="55" t="s">
        <v>38</v>
      </c>
      <c r="EV6" s="55" t="s">
        <v>38</v>
      </c>
      <c r="EW6" s="55" t="s">
        <v>38</v>
      </c>
      <c r="EX6" s="55" t="s">
        <v>38</v>
      </c>
      <c r="EY6" s="55" t="s">
        <v>38</v>
      </c>
      <c r="EZ6" s="55" t="s">
        <v>38</v>
      </c>
      <c r="FA6" s="55" t="s">
        <v>38</v>
      </c>
      <c r="FB6" s="55" t="s">
        <v>38</v>
      </c>
      <c r="FC6" s="55" t="s">
        <v>38</v>
      </c>
      <c r="FD6" s="55" t="s">
        <v>38</v>
      </c>
      <c r="FE6" s="55" t="s">
        <v>38</v>
      </c>
      <c r="FF6" s="55" t="s">
        <v>38</v>
      </c>
      <c r="FG6" s="55" t="s">
        <v>38</v>
      </c>
      <c r="FH6" s="55" t="s">
        <v>38</v>
      </c>
      <c r="FI6" s="55" t="s">
        <v>38</v>
      </c>
      <c r="FJ6" s="55" t="s">
        <v>38</v>
      </c>
      <c r="FK6" s="55" t="s">
        <v>38</v>
      </c>
      <c r="FL6" s="55" t="s">
        <v>38</v>
      </c>
      <c r="FM6" s="55" t="s">
        <v>38</v>
      </c>
      <c r="FN6" s="55" t="s">
        <v>38</v>
      </c>
      <c r="FO6" s="55" t="s">
        <v>38</v>
      </c>
      <c r="FP6" s="55" t="s">
        <v>38</v>
      </c>
      <c r="FQ6" s="55" t="s">
        <v>38</v>
      </c>
      <c r="FR6" s="55" t="s">
        <v>38</v>
      </c>
      <c r="FS6" s="55" t="s">
        <v>38</v>
      </c>
      <c r="FT6" s="55" t="s">
        <v>38</v>
      </c>
      <c r="FU6" s="56" t="s">
        <v>39</v>
      </c>
      <c r="FV6" s="56" t="s">
        <v>39</v>
      </c>
      <c r="FW6" s="56" t="s">
        <v>39</v>
      </c>
      <c r="FX6" s="56" t="s">
        <v>39</v>
      </c>
      <c r="FY6" s="56" t="s">
        <v>39</v>
      </c>
      <c r="FZ6" s="56" t="s">
        <v>39</v>
      </c>
      <c r="GA6" s="56" t="s">
        <v>39</v>
      </c>
      <c r="GB6" s="56" t="s">
        <v>39</v>
      </c>
      <c r="GC6" s="56" t="s">
        <v>39</v>
      </c>
      <c r="GD6" s="56" t="s">
        <v>39</v>
      </c>
      <c r="GE6" s="56" t="s">
        <v>39</v>
      </c>
      <c r="GF6" s="56" t="s">
        <v>39</v>
      </c>
      <c r="GG6" s="56" t="s">
        <v>39</v>
      </c>
      <c r="GH6" s="56" t="s">
        <v>39</v>
      </c>
      <c r="GK6" s="55" t="s">
        <v>38</v>
      </c>
      <c r="GL6" s="55" t="s">
        <v>38</v>
      </c>
      <c r="GM6" s="55" t="s">
        <v>38</v>
      </c>
      <c r="GN6" s="55" t="s">
        <v>38</v>
      </c>
      <c r="GO6" s="55" t="s">
        <v>38</v>
      </c>
      <c r="GP6" s="55" t="s">
        <v>38</v>
      </c>
      <c r="GQ6" s="55" t="s">
        <v>38</v>
      </c>
      <c r="GR6" s="55" t="s">
        <v>38</v>
      </c>
      <c r="GS6" s="55" t="s">
        <v>38</v>
      </c>
      <c r="GT6" s="55" t="s">
        <v>38</v>
      </c>
      <c r="GU6" s="55" t="s">
        <v>38</v>
      </c>
      <c r="GV6" s="55" t="s">
        <v>38</v>
      </c>
      <c r="GW6" s="55" t="s">
        <v>38</v>
      </c>
      <c r="GX6" s="55" t="s">
        <v>38</v>
      </c>
      <c r="GY6" s="55" t="s">
        <v>38</v>
      </c>
      <c r="GZ6" s="55" t="s">
        <v>38</v>
      </c>
      <c r="HA6" s="55" t="s">
        <v>38</v>
      </c>
      <c r="HB6" s="55" t="s">
        <v>38</v>
      </c>
      <c r="HC6" s="55" t="s">
        <v>38</v>
      </c>
      <c r="HD6" s="55" t="s">
        <v>38</v>
      </c>
      <c r="HE6" s="55" t="s">
        <v>38</v>
      </c>
      <c r="HF6" s="55" t="s">
        <v>38</v>
      </c>
      <c r="HG6" s="55" t="s">
        <v>38</v>
      </c>
      <c r="HH6" s="55" t="s">
        <v>38</v>
      </c>
      <c r="HI6" s="55" t="s">
        <v>38</v>
      </c>
      <c r="HJ6" s="55" t="s">
        <v>38</v>
      </c>
      <c r="HK6" s="55" t="s">
        <v>38</v>
      </c>
      <c r="HL6" s="55" t="s">
        <v>38</v>
      </c>
      <c r="HM6" s="55" t="s">
        <v>38</v>
      </c>
      <c r="HN6" s="55" t="s">
        <v>38</v>
      </c>
      <c r="HO6" s="55" t="s">
        <v>38</v>
      </c>
      <c r="HP6" s="55" t="s">
        <v>38</v>
      </c>
      <c r="HQ6" s="55" t="s">
        <v>38</v>
      </c>
      <c r="HR6" s="55" t="s">
        <v>38</v>
      </c>
      <c r="HS6" s="56" t="s">
        <v>39</v>
      </c>
      <c r="HT6" s="56" t="s">
        <v>39</v>
      </c>
      <c r="HU6" s="56" t="s">
        <v>39</v>
      </c>
      <c r="HV6" s="56" t="s">
        <v>39</v>
      </c>
      <c r="HW6" s="56" t="s">
        <v>39</v>
      </c>
      <c r="HX6" s="56" t="s">
        <v>39</v>
      </c>
      <c r="HY6" s="56" t="s">
        <v>39</v>
      </c>
      <c r="HZ6" s="56" t="s">
        <v>39</v>
      </c>
      <c r="IA6" s="56" t="s">
        <v>39</v>
      </c>
      <c r="IB6" s="56" t="s">
        <v>39</v>
      </c>
      <c r="IC6" s="56" t="s">
        <v>39</v>
      </c>
      <c r="ID6" s="56" t="s">
        <v>39</v>
      </c>
      <c r="IE6" s="56" t="s">
        <v>39</v>
      </c>
      <c r="IF6" s="56" t="s">
        <v>39</v>
      </c>
      <c r="II6" s="55" t="s">
        <v>38</v>
      </c>
      <c r="IJ6" s="55" t="s">
        <v>38</v>
      </c>
      <c r="IK6" s="55" t="s">
        <v>38</v>
      </c>
      <c r="IL6" s="55" t="s">
        <v>38</v>
      </c>
      <c r="IM6" s="55" t="s">
        <v>38</v>
      </c>
      <c r="IN6" s="55" t="s">
        <v>38</v>
      </c>
      <c r="IO6" s="55" t="s">
        <v>38</v>
      </c>
      <c r="IP6" s="55" t="s">
        <v>38</v>
      </c>
      <c r="IQ6" s="55" t="s">
        <v>38</v>
      </c>
      <c r="IR6" s="55" t="s">
        <v>38</v>
      </c>
      <c r="IS6" s="55" t="s">
        <v>38</v>
      </c>
      <c r="IT6" s="55" t="s">
        <v>38</v>
      </c>
      <c r="IU6" s="55" t="s">
        <v>38</v>
      </c>
      <c r="IV6" s="55" t="s">
        <v>38</v>
      </c>
      <c r="IW6" s="55" t="s">
        <v>38</v>
      </c>
      <c r="IX6" s="55" t="s">
        <v>38</v>
      </c>
      <c r="IY6" s="55" t="s">
        <v>38</v>
      </c>
      <c r="IZ6" s="55" t="s">
        <v>38</v>
      </c>
      <c r="JA6" s="55" t="s">
        <v>38</v>
      </c>
      <c r="JB6" s="55" t="s">
        <v>38</v>
      </c>
      <c r="JC6" s="55" t="s">
        <v>38</v>
      </c>
      <c r="JD6" s="55" t="s">
        <v>38</v>
      </c>
      <c r="JE6" s="55" t="s">
        <v>38</v>
      </c>
      <c r="JF6" s="55" t="s">
        <v>38</v>
      </c>
      <c r="JG6" s="55" t="s">
        <v>38</v>
      </c>
      <c r="JH6" s="55" t="s">
        <v>38</v>
      </c>
      <c r="JI6" s="55" t="s">
        <v>38</v>
      </c>
      <c r="JJ6" s="55" t="s">
        <v>38</v>
      </c>
      <c r="JK6" s="55" t="s">
        <v>38</v>
      </c>
      <c r="JL6" s="55" t="s">
        <v>38</v>
      </c>
      <c r="JM6" s="55" t="s">
        <v>38</v>
      </c>
      <c r="JN6" s="55" t="s">
        <v>38</v>
      </c>
      <c r="JO6" s="55" t="s">
        <v>38</v>
      </c>
      <c r="JP6" s="55" t="s">
        <v>38</v>
      </c>
      <c r="JQ6" s="56" t="s">
        <v>39</v>
      </c>
      <c r="JR6" s="56" t="s">
        <v>39</v>
      </c>
      <c r="JS6" s="56" t="s">
        <v>39</v>
      </c>
      <c r="JT6" s="56" t="s">
        <v>39</v>
      </c>
      <c r="JU6" s="56" t="s">
        <v>39</v>
      </c>
      <c r="JV6" s="56" t="s">
        <v>39</v>
      </c>
      <c r="JW6" s="56" t="s">
        <v>39</v>
      </c>
      <c r="JX6" s="56" t="s">
        <v>39</v>
      </c>
      <c r="JY6" s="56" t="s">
        <v>39</v>
      </c>
      <c r="JZ6" s="56" t="s">
        <v>39</v>
      </c>
      <c r="KA6" s="56" t="s">
        <v>39</v>
      </c>
      <c r="KB6" s="56" t="s">
        <v>39</v>
      </c>
      <c r="KC6" s="56" t="s">
        <v>39</v>
      </c>
      <c r="KD6" s="56" t="s">
        <v>39</v>
      </c>
      <c r="KG6" s="43" t="s">
        <v>34</v>
      </c>
    </row>
    <row r="7" spans="1:293" x14ac:dyDescent="0.3">
      <c r="B7" s="57"/>
      <c r="D7" s="58" t="s">
        <v>40</v>
      </c>
      <c r="E7" s="58" t="s">
        <v>40</v>
      </c>
      <c r="F7" s="58" t="s">
        <v>40</v>
      </c>
      <c r="G7" s="58" t="s">
        <v>40</v>
      </c>
      <c r="H7" s="58" t="s">
        <v>40</v>
      </c>
      <c r="I7" s="58" t="s">
        <v>40</v>
      </c>
      <c r="J7" s="58" t="s">
        <v>40</v>
      </c>
      <c r="K7" s="58" t="s">
        <v>40</v>
      </c>
      <c r="L7" s="58" t="s">
        <v>40</v>
      </c>
      <c r="M7" s="58" t="s">
        <v>40</v>
      </c>
      <c r="N7" s="58" t="s">
        <v>40</v>
      </c>
      <c r="O7" s="58" t="s">
        <v>40</v>
      </c>
      <c r="P7" s="58" t="s">
        <v>40</v>
      </c>
      <c r="Q7" s="58" t="s">
        <v>40</v>
      </c>
      <c r="R7" s="58" t="s">
        <v>40</v>
      </c>
      <c r="S7" s="58" t="s">
        <v>40</v>
      </c>
      <c r="T7" s="58" t="s">
        <v>40</v>
      </c>
      <c r="U7" s="58" t="s">
        <v>40</v>
      </c>
      <c r="V7" s="58" t="s">
        <v>40</v>
      </c>
      <c r="W7" s="58" t="s">
        <v>40</v>
      </c>
      <c r="X7" s="58" t="s">
        <v>40</v>
      </c>
      <c r="Y7" s="58" t="s">
        <v>40</v>
      </c>
      <c r="Z7" s="58" t="s">
        <v>40</v>
      </c>
      <c r="AA7" s="58" t="s">
        <v>40</v>
      </c>
      <c r="AB7" s="58" t="s">
        <v>40</v>
      </c>
      <c r="AC7" s="58" t="s">
        <v>40</v>
      </c>
      <c r="AD7" s="58" t="s">
        <v>40</v>
      </c>
      <c r="AE7" s="58" t="s">
        <v>40</v>
      </c>
      <c r="AF7" s="58" t="s">
        <v>40</v>
      </c>
      <c r="AG7" s="58" t="s">
        <v>40</v>
      </c>
      <c r="AH7" s="58" t="s">
        <v>40</v>
      </c>
      <c r="AI7" s="58" t="s">
        <v>40</v>
      </c>
      <c r="AJ7" s="58" t="s">
        <v>40</v>
      </c>
      <c r="AK7" s="58" t="s">
        <v>40</v>
      </c>
      <c r="AL7" s="58" t="s">
        <v>40</v>
      </c>
      <c r="AM7" s="58" t="s">
        <v>40</v>
      </c>
      <c r="AN7" s="58" t="s">
        <v>40</v>
      </c>
      <c r="AO7" s="58" t="s">
        <v>40</v>
      </c>
      <c r="AP7" s="58" t="s">
        <v>45</v>
      </c>
      <c r="AQ7" s="58" t="s">
        <v>40</v>
      </c>
      <c r="AT7" s="58" t="s">
        <v>41</v>
      </c>
      <c r="AU7" s="58" t="s">
        <v>41</v>
      </c>
      <c r="AV7" s="58" t="s">
        <v>41</v>
      </c>
      <c r="AW7" s="58" t="s">
        <v>41</v>
      </c>
      <c r="AX7" s="58" t="s">
        <v>41</v>
      </c>
      <c r="AY7" s="58" t="s">
        <v>41</v>
      </c>
      <c r="AZ7" s="58" t="s">
        <v>41</v>
      </c>
      <c r="BA7" s="58" t="s">
        <v>41</v>
      </c>
      <c r="BB7" s="58" t="s">
        <v>41</v>
      </c>
      <c r="BC7" s="58" t="s">
        <v>41</v>
      </c>
      <c r="BD7" s="58" t="s">
        <v>41</v>
      </c>
      <c r="BE7" s="58" t="s">
        <v>41</v>
      </c>
      <c r="BF7" s="58" t="s">
        <v>41</v>
      </c>
      <c r="BG7" s="58" t="s">
        <v>41</v>
      </c>
      <c r="BH7" s="58" t="s">
        <v>41</v>
      </c>
      <c r="BI7" s="58" t="s">
        <v>41</v>
      </c>
      <c r="BJ7" s="58" t="s">
        <v>41</v>
      </c>
      <c r="BK7" s="58" t="s">
        <v>41</v>
      </c>
      <c r="BL7" s="58" t="s">
        <v>41</v>
      </c>
      <c r="BM7" s="58" t="s">
        <v>41</v>
      </c>
      <c r="BN7" s="58" t="s">
        <v>41</v>
      </c>
      <c r="BO7" s="58" t="s">
        <v>41</v>
      </c>
      <c r="BP7" s="58" t="s">
        <v>41</v>
      </c>
      <c r="BQ7" s="58" t="s">
        <v>41</v>
      </c>
      <c r="BR7" s="58" t="s">
        <v>41</v>
      </c>
      <c r="BS7" s="58" t="s">
        <v>41</v>
      </c>
      <c r="BT7" s="58" t="s">
        <v>41</v>
      </c>
      <c r="BU7" s="58" t="s">
        <v>41</v>
      </c>
      <c r="BV7" s="58" t="s">
        <v>41</v>
      </c>
      <c r="BW7" s="58" t="s">
        <v>41</v>
      </c>
      <c r="BX7" s="58" t="s">
        <v>41</v>
      </c>
      <c r="BY7" s="58" t="s">
        <v>41</v>
      </c>
      <c r="BZ7" s="58" t="s">
        <v>41</v>
      </c>
      <c r="CA7" s="58" t="s">
        <v>41</v>
      </c>
      <c r="CB7" s="58" t="s">
        <v>41</v>
      </c>
      <c r="CC7" s="58" t="s">
        <v>41</v>
      </c>
      <c r="CD7" s="58" t="s">
        <v>41</v>
      </c>
      <c r="CE7" s="58" t="s">
        <v>41</v>
      </c>
      <c r="CF7" s="58" t="s">
        <v>41</v>
      </c>
      <c r="CG7" s="58" t="s">
        <v>41</v>
      </c>
      <c r="CH7" s="58" t="s">
        <v>41</v>
      </c>
      <c r="CI7" s="58" t="s">
        <v>41</v>
      </c>
      <c r="CJ7" s="58" t="s">
        <v>41</v>
      </c>
      <c r="CK7" s="58" t="s">
        <v>41</v>
      </c>
      <c r="CL7" s="58" t="s">
        <v>41</v>
      </c>
      <c r="CM7" s="58" t="s">
        <v>41</v>
      </c>
      <c r="CP7" s="58" t="s">
        <v>42</v>
      </c>
      <c r="CQ7" s="58" t="s">
        <v>42</v>
      </c>
      <c r="CR7" s="58" t="s">
        <v>42</v>
      </c>
      <c r="CS7" s="58" t="s">
        <v>42</v>
      </c>
      <c r="CT7" s="58" t="s">
        <v>42</v>
      </c>
      <c r="CU7" s="58" t="s">
        <v>42</v>
      </c>
      <c r="CV7" s="58" t="s">
        <v>42</v>
      </c>
      <c r="CW7" s="58" t="s">
        <v>42</v>
      </c>
      <c r="CX7" s="58" t="s">
        <v>42</v>
      </c>
      <c r="CY7" s="58" t="s">
        <v>42</v>
      </c>
      <c r="CZ7" s="58" t="s">
        <v>42</v>
      </c>
      <c r="DA7" s="58" t="s">
        <v>42</v>
      </c>
      <c r="DB7" s="58" t="s">
        <v>42</v>
      </c>
      <c r="DC7" s="58" t="s">
        <v>42</v>
      </c>
      <c r="DD7" s="58" t="s">
        <v>42</v>
      </c>
      <c r="DE7" s="58" t="s">
        <v>42</v>
      </c>
      <c r="DF7" s="58" t="s">
        <v>42</v>
      </c>
      <c r="DG7" s="58" t="s">
        <v>42</v>
      </c>
      <c r="DH7" s="58" t="s">
        <v>42</v>
      </c>
      <c r="DI7" s="58" t="s">
        <v>42</v>
      </c>
      <c r="DJ7" s="58" t="s">
        <v>42</v>
      </c>
      <c r="DK7" s="58" t="s">
        <v>42</v>
      </c>
      <c r="DL7" s="58" t="s">
        <v>42</v>
      </c>
      <c r="DM7" s="58" t="s">
        <v>42</v>
      </c>
      <c r="DN7" s="58" t="s">
        <v>42</v>
      </c>
      <c r="DO7" s="58" t="s">
        <v>42</v>
      </c>
      <c r="DP7" s="58" t="s">
        <v>42</v>
      </c>
      <c r="DQ7" s="58" t="s">
        <v>42</v>
      </c>
      <c r="DR7" s="58" t="s">
        <v>42</v>
      </c>
      <c r="DS7" s="58" t="s">
        <v>42</v>
      </c>
      <c r="DT7" s="58" t="s">
        <v>42</v>
      </c>
      <c r="DU7" s="58" t="s">
        <v>42</v>
      </c>
      <c r="DV7" s="58" t="s">
        <v>42</v>
      </c>
      <c r="DW7" s="58" t="s">
        <v>42</v>
      </c>
      <c r="DX7" s="58" t="s">
        <v>42</v>
      </c>
      <c r="DY7" s="58" t="s">
        <v>42</v>
      </c>
      <c r="DZ7" s="58" t="s">
        <v>42</v>
      </c>
      <c r="EA7" s="58" t="s">
        <v>42</v>
      </c>
      <c r="EB7" s="58" t="s">
        <v>42</v>
      </c>
      <c r="EC7" s="58" t="s">
        <v>42</v>
      </c>
      <c r="ED7" s="58" t="s">
        <v>42</v>
      </c>
      <c r="EE7" s="58" t="s">
        <v>42</v>
      </c>
      <c r="EF7" s="58" t="s">
        <v>42</v>
      </c>
      <c r="EG7" s="58" t="s">
        <v>42</v>
      </c>
      <c r="EH7" s="58" t="s">
        <v>42</v>
      </c>
      <c r="EI7" s="58" t="s">
        <v>42</v>
      </c>
      <c r="EJ7" s="58" t="s">
        <v>42</v>
      </c>
      <c r="EM7" s="58" t="s">
        <v>43</v>
      </c>
      <c r="EN7" s="58" t="s">
        <v>43</v>
      </c>
      <c r="EO7" s="58" t="s">
        <v>43</v>
      </c>
      <c r="EP7" s="58" t="s">
        <v>43</v>
      </c>
      <c r="EQ7" s="58" t="s">
        <v>43</v>
      </c>
      <c r="ER7" s="58" t="s">
        <v>43</v>
      </c>
      <c r="ES7" s="58" t="s">
        <v>43</v>
      </c>
      <c r="ET7" s="58" t="s">
        <v>43</v>
      </c>
      <c r="EU7" s="58" t="s">
        <v>43</v>
      </c>
      <c r="EV7" s="58" t="s">
        <v>43</v>
      </c>
      <c r="EW7" s="58" t="s">
        <v>43</v>
      </c>
      <c r="EX7" s="58" t="s">
        <v>43</v>
      </c>
      <c r="EY7" s="58" t="s">
        <v>43</v>
      </c>
      <c r="EZ7" s="58" t="s">
        <v>43</v>
      </c>
      <c r="FA7" s="58" t="s">
        <v>43</v>
      </c>
      <c r="FB7" s="58" t="s">
        <v>43</v>
      </c>
      <c r="FC7" s="58" t="s">
        <v>43</v>
      </c>
      <c r="FD7" s="58" t="s">
        <v>43</v>
      </c>
      <c r="FE7" s="58" t="s">
        <v>43</v>
      </c>
      <c r="FF7" s="58" t="s">
        <v>43</v>
      </c>
      <c r="FG7" s="58" t="s">
        <v>43</v>
      </c>
      <c r="FH7" s="58" t="s">
        <v>43</v>
      </c>
      <c r="FI7" s="58" t="s">
        <v>43</v>
      </c>
      <c r="FJ7" s="58" t="s">
        <v>43</v>
      </c>
      <c r="FK7" s="58" t="s">
        <v>43</v>
      </c>
      <c r="FL7" s="58" t="s">
        <v>43</v>
      </c>
      <c r="FM7" s="58" t="s">
        <v>43</v>
      </c>
      <c r="FN7" s="58" t="s">
        <v>43</v>
      </c>
      <c r="FO7" s="58" t="s">
        <v>43</v>
      </c>
      <c r="FP7" s="58" t="s">
        <v>43</v>
      </c>
      <c r="FQ7" s="58" t="s">
        <v>43</v>
      </c>
      <c r="FR7" s="58" t="s">
        <v>43</v>
      </c>
      <c r="FS7" s="58" t="s">
        <v>43</v>
      </c>
      <c r="FT7" s="58" t="s">
        <v>43</v>
      </c>
      <c r="FU7" s="58" t="s">
        <v>43</v>
      </c>
      <c r="FV7" s="58" t="s">
        <v>43</v>
      </c>
      <c r="FW7" s="58" t="s">
        <v>43</v>
      </c>
      <c r="FX7" s="58" t="s">
        <v>43</v>
      </c>
      <c r="FY7" s="58" t="s">
        <v>43</v>
      </c>
      <c r="FZ7" s="58" t="s">
        <v>43</v>
      </c>
      <c r="GA7" s="58" t="s">
        <v>43</v>
      </c>
      <c r="GB7" s="58" t="s">
        <v>43</v>
      </c>
      <c r="GC7" s="58" t="s">
        <v>43</v>
      </c>
      <c r="GD7" s="58" t="s">
        <v>43</v>
      </c>
      <c r="GE7" s="58" t="s">
        <v>43</v>
      </c>
      <c r="GF7" s="58" t="s">
        <v>45</v>
      </c>
      <c r="GG7" s="58" t="s">
        <v>43</v>
      </c>
      <c r="GH7" s="58" t="s">
        <v>43</v>
      </c>
      <c r="GK7" s="58" t="s">
        <v>44</v>
      </c>
      <c r="GL7" s="58" t="s">
        <v>44</v>
      </c>
      <c r="GM7" s="58" t="s">
        <v>44</v>
      </c>
      <c r="GN7" s="58" t="s">
        <v>44</v>
      </c>
      <c r="GO7" s="58" t="s">
        <v>44</v>
      </c>
      <c r="GP7" s="58" t="s">
        <v>44</v>
      </c>
      <c r="GQ7" s="58" t="s">
        <v>44</v>
      </c>
      <c r="GR7" s="58" t="s">
        <v>44</v>
      </c>
      <c r="GS7" s="58" t="s">
        <v>44</v>
      </c>
      <c r="GT7" s="58" t="s">
        <v>44</v>
      </c>
      <c r="GU7" s="58" t="s">
        <v>44</v>
      </c>
      <c r="GV7" s="58" t="s">
        <v>44</v>
      </c>
      <c r="GW7" s="58" t="s">
        <v>44</v>
      </c>
      <c r="GX7" s="58" t="s">
        <v>44</v>
      </c>
      <c r="GY7" s="58" t="s">
        <v>44</v>
      </c>
      <c r="GZ7" s="58" t="s">
        <v>44</v>
      </c>
      <c r="HA7" s="58" t="s">
        <v>44</v>
      </c>
      <c r="HB7" s="58" t="s">
        <v>44</v>
      </c>
      <c r="HC7" s="58" t="s">
        <v>44</v>
      </c>
      <c r="HD7" s="58" t="s">
        <v>44</v>
      </c>
      <c r="HE7" s="58" t="s">
        <v>44</v>
      </c>
      <c r="HF7" s="58" t="s">
        <v>44</v>
      </c>
      <c r="HG7" s="58" t="s">
        <v>44</v>
      </c>
      <c r="HH7" s="58" t="s">
        <v>44</v>
      </c>
      <c r="HI7" s="58" t="s">
        <v>44</v>
      </c>
      <c r="HJ7" s="58" t="s">
        <v>44</v>
      </c>
      <c r="HK7" s="58" t="s">
        <v>44</v>
      </c>
      <c r="HL7" s="58" t="s">
        <v>44</v>
      </c>
      <c r="HM7" s="58" t="s">
        <v>44</v>
      </c>
      <c r="HN7" s="58" t="s">
        <v>44</v>
      </c>
      <c r="HO7" s="58" t="s">
        <v>44</v>
      </c>
      <c r="HP7" s="58" t="s">
        <v>44</v>
      </c>
      <c r="HQ7" s="58" t="s">
        <v>44</v>
      </c>
      <c r="HR7" s="58" t="s">
        <v>44</v>
      </c>
      <c r="HS7" s="58" t="s">
        <v>44</v>
      </c>
      <c r="HT7" s="58" t="s">
        <v>44</v>
      </c>
      <c r="HU7" s="58" t="s">
        <v>44</v>
      </c>
      <c r="HV7" s="58" t="s">
        <v>44</v>
      </c>
      <c r="HW7" s="58" t="s">
        <v>44</v>
      </c>
      <c r="HX7" s="58" t="s">
        <v>44</v>
      </c>
      <c r="HY7" s="58" t="s">
        <v>44</v>
      </c>
      <c r="HZ7" s="58" t="s">
        <v>44</v>
      </c>
      <c r="IA7" s="58" t="s">
        <v>44</v>
      </c>
      <c r="IB7" s="58" t="s">
        <v>44</v>
      </c>
      <c r="IC7" s="58" t="s">
        <v>44</v>
      </c>
      <c r="ID7" s="58" t="s">
        <v>45</v>
      </c>
      <c r="IE7" s="58" t="s">
        <v>44</v>
      </c>
      <c r="IF7" s="58" t="s">
        <v>44</v>
      </c>
      <c r="II7" s="58" t="s">
        <v>45</v>
      </c>
      <c r="IJ7" s="58" t="s">
        <v>45</v>
      </c>
      <c r="IK7" s="58" t="s">
        <v>45</v>
      </c>
      <c r="IL7" s="58" t="s">
        <v>45</v>
      </c>
      <c r="IM7" s="58" t="s">
        <v>45</v>
      </c>
      <c r="IN7" s="58" t="s">
        <v>45</v>
      </c>
      <c r="IO7" s="58" t="s">
        <v>45</v>
      </c>
      <c r="IP7" s="58" t="s">
        <v>45</v>
      </c>
      <c r="IQ7" s="58" t="s">
        <v>45</v>
      </c>
      <c r="IR7" s="58" t="s">
        <v>45</v>
      </c>
      <c r="IS7" s="58" t="s">
        <v>45</v>
      </c>
      <c r="IT7" s="58" t="s">
        <v>45</v>
      </c>
      <c r="IU7" s="58" t="s">
        <v>45</v>
      </c>
      <c r="IV7" s="58" t="s">
        <v>45</v>
      </c>
      <c r="IW7" s="58" t="s">
        <v>45</v>
      </c>
      <c r="IX7" s="58" t="s">
        <v>45</v>
      </c>
      <c r="IY7" s="58" t="s">
        <v>45</v>
      </c>
      <c r="IZ7" s="58" t="s">
        <v>45</v>
      </c>
      <c r="JA7" s="58" t="s">
        <v>45</v>
      </c>
      <c r="JB7" s="58" t="s">
        <v>45</v>
      </c>
      <c r="JC7" s="58" t="s">
        <v>45</v>
      </c>
      <c r="JD7" s="58" t="s">
        <v>45</v>
      </c>
      <c r="JE7" s="58" t="s">
        <v>45</v>
      </c>
      <c r="JF7" s="58" t="s">
        <v>45</v>
      </c>
      <c r="JG7" s="58" t="s">
        <v>45</v>
      </c>
      <c r="JH7" s="58" t="s">
        <v>45</v>
      </c>
      <c r="JI7" s="58" t="s">
        <v>45</v>
      </c>
      <c r="JJ7" s="58" t="s">
        <v>45</v>
      </c>
      <c r="JK7" s="58" t="s">
        <v>45</v>
      </c>
      <c r="JL7" s="58" t="s">
        <v>45</v>
      </c>
      <c r="JM7" s="58" t="s">
        <v>45</v>
      </c>
      <c r="JN7" s="58" t="s">
        <v>45</v>
      </c>
      <c r="JO7" s="58" t="s">
        <v>45</v>
      </c>
      <c r="JP7" s="58" t="s">
        <v>45</v>
      </c>
      <c r="JQ7" s="58" t="s">
        <v>45</v>
      </c>
      <c r="JR7" s="58" t="s">
        <v>45</v>
      </c>
      <c r="JS7" s="58" t="s">
        <v>45</v>
      </c>
      <c r="JT7" s="58" t="s">
        <v>45</v>
      </c>
      <c r="JU7" s="58" t="s">
        <v>45</v>
      </c>
      <c r="JV7" s="58" t="s">
        <v>45</v>
      </c>
      <c r="JW7" s="58" t="s">
        <v>45</v>
      </c>
      <c r="JX7" s="58" t="s">
        <v>45</v>
      </c>
      <c r="JY7" s="58" t="s">
        <v>45</v>
      </c>
      <c r="JZ7" s="58" t="s">
        <v>45</v>
      </c>
      <c r="KA7" s="58" t="s">
        <v>45</v>
      </c>
      <c r="KB7" s="58" t="s">
        <v>45</v>
      </c>
      <c r="KC7" s="58" t="s">
        <v>45</v>
      </c>
      <c r="KD7" s="58" t="s">
        <v>45</v>
      </c>
      <c r="KG7" s="43" t="s">
        <v>34</v>
      </c>
    </row>
    <row r="8" spans="1:293" x14ac:dyDescent="0.3">
      <c r="B8" s="59"/>
      <c r="U8" s="60"/>
      <c r="AW8" s="58" t="s">
        <v>46</v>
      </c>
      <c r="AX8" s="58" t="s">
        <v>46</v>
      </c>
      <c r="CS8" s="58" t="s">
        <v>46</v>
      </c>
      <c r="CT8" s="58" t="s">
        <v>46</v>
      </c>
      <c r="EP8" s="58" t="s">
        <v>46</v>
      </c>
      <c r="EQ8" s="58" t="s">
        <v>46</v>
      </c>
      <c r="GN8" s="58" t="s">
        <v>46</v>
      </c>
      <c r="GO8" s="58" t="s">
        <v>46</v>
      </c>
      <c r="IL8" s="58" t="s">
        <v>46</v>
      </c>
      <c r="IM8" s="58" t="s">
        <v>46</v>
      </c>
      <c r="KG8" s="43" t="s">
        <v>34</v>
      </c>
    </row>
    <row r="9" spans="1:293" x14ac:dyDescent="0.3">
      <c r="C9" s="61"/>
      <c r="D9" s="62">
        <v>6.01</v>
      </c>
      <c r="E9" s="62">
        <v>6.02</v>
      </c>
      <c r="F9" s="62">
        <v>6.0299999999999994</v>
      </c>
      <c r="G9" s="62">
        <v>6.0399999999999991</v>
      </c>
      <c r="H9" s="62">
        <v>6.0499999999999989</v>
      </c>
      <c r="I9" s="62">
        <v>6.0599999999999987</v>
      </c>
      <c r="J9" s="62">
        <v>6.0699999999999985</v>
      </c>
      <c r="K9" s="62">
        <v>6.0799999999999983</v>
      </c>
      <c r="L9" s="62">
        <v>6.0899999999999981</v>
      </c>
      <c r="M9" s="62">
        <v>6.0999999999999979</v>
      </c>
      <c r="N9" s="62">
        <v>6.1099999999999977</v>
      </c>
      <c r="O9" s="62">
        <v>6.1199999999999974</v>
      </c>
      <c r="P9" s="62">
        <v>6.1299999999999972</v>
      </c>
      <c r="Q9" s="62">
        <v>6.139999999999997</v>
      </c>
      <c r="R9" s="62">
        <v>6.1499999999999968</v>
      </c>
      <c r="S9" s="62">
        <v>6.1599999999999966</v>
      </c>
      <c r="T9" s="62">
        <v>6.1699999999999964</v>
      </c>
      <c r="U9" s="62">
        <v>6.1799999999999962</v>
      </c>
      <c r="V9" s="62">
        <v>6.1899999999999959</v>
      </c>
      <c r="W9" s="62">
        <v>6.1999999999999957</v>
      </c>
      <c r="X9" s="62">
        <v>6.2099999999999955</v>
      </c>
      <c r="Y9" s="62">
        <v>6.2199999999999953</v>
      </c>
      <c r="Z9" s="62">
        <v>6.2299999999999951</v>
      </c>
      <c r="AA9" s="62">
        <v>6.2399999999999949</v>
      </c>
      <c r="AB9" s="62">
        <v>6.2499999999999947</v>
      </c>
      <c r="AC9" s="62">
        <v>6.2599999999999945</v>
      </c>
      <c r="AD9" s="62">
        <v>6.2699999999999942</v>
      </c>
      <c r="AE9" s="62">
        <v>6.45</v>
      </c>
      <c r="AF9" s="62">
        <v>6.46</v>
      </c>
      <c r="AG9" s="62">
        <v>6.47</v>
      </c>
      <c r="AH9" s="62">
        <v>6.4799999999999995</v>
      </c>
      <c r="AI9" s="62">
        <v>6.4899999999999993</v>
      </c>
      <c r="AJ9" s="62">
        <v>6.4999999999999991</v>
      </c>
      <c r="AK9" s="62">
        <v>6.5099999999999989</v>
      </c>
      <c r="AL9" s="62">
        <v>6.5199999999999987</v>
      </c>
      <c r="AM9" s="62">
        <v>6.5299999999999985</v>
      </c>
      <c r="AN9" s="62">
        <v>6.5399999999999983</v>
      </c>
      <c r="AO9" s="62">
        <v>6.549999999999998</v>
      </c>
      <c r="AP9" s="65"/>
      <c r="AQ9" s="62">
        <v>6.5599999999999978</v>
      </c>
      <c r="AR9" s="61"/>
      <c r="AS9" s="61"/>
      <c r="AT9" s="63">
        <v>6.01</v>
      </c>
      <c r="AU9" s="63">
        <v>6.02</v>
      </c>
      <c r="AV9" s="63">
        <v>6.0299999999999994</v>
      </c>
      <c r="AW9" s="63">
        <v>6.0399999999999991</v>
      </c>
      <c r="AX9" s="63">
        <v>6.0499999999999989</v>
      </c>
      <c r="AY9" s="63">
        <v>6.0599999999999987</v>
      </c>
      <c r="AZ9" s="63">
        <v>6.0699999999999985</v>
      </c>
      <c r="BA9" s="63">
        <v>6.0799999999999983</v>
      </c>
      <c r="BB9" s="63">
        <v>6.0899999999999981</v>
      </c>
      <c r="BC9" s="63">
        <v>6.0999999999999979</v>
      </c>
      <c r="BD9" s="63">
        <v>6.1099999999999977</v>
      </c>
      <c r="BE9" s="63">
        <v>6.1199999999999974</v>
      </c>
      <c r="BF9" s="63">
        <v>6.1299999999999972</v>
      </c>
      <c r="BG9" s="63">
        <v>6.139999999999997</v>
      </c>
      <c r="BH9" s="63">
        <v>6.1499999999999968</v>
      </c>
      <c r="BI9" s="63">
        <v>6.1599999999999966</v>
      </c>
      <c r="BJ9" s="63">
        <v>6.1699999999999964</v>
      </c>
      <c r="BK9" s="63">
        <v>6.1799999999999962</v>
      </c>
      <c r="BL9" s="63">
        <v>6.1899999999999959</v>
      </c>
      <c r="BM9" s="63">
        <v>6.1999999999999957</v>
      </c>
      <c r="BN9" s="63">
        <v>6.2099999999999955</v>
      </c>
      <c r="BO9" s="63">
        <v>6.2199999999999953</v>
      </c>
      <c r="BP9" s="63">
        <v>6.2299999999999951</v>
      </c>
      <c r="BQ9" s="63">
        <v>6.2399999999999949</v>
      </c>
      <c r="BR9" s="63">
        <v>6.2499999999999947</v>
      </c>
      <c r="BS9" s="63">
        <v>6.2599999999999945</v>
      </c>
      <c r="BT9" s="63">
        <v>6.2699999999999942</v>
      </c>
      <c r="BU9" s="63">
        <v>6.279999999999994</v>
      </c>
      <c r="BV9" s="63">
        <v>6.2899999999999938</v>
      </c>
      <c r="BW9" s="63">
        <v>6.2999999999999936</v>
      </c>
      <c r="BX9" s="63">
        <v>6.3099999999999934</v>
      </c>
      <c r="BY9" s="63">
        <v>6.3199999999999932</v>
      </c>
      <c r="BZ9" s="63">
        <v>6.329999999999993</v>
      </c>
      <c r="CA9" s="63">
        <v>6.3399999999999928</v>
      </c>
      <c r="CB9" s="63">
        <v>6.45</v>
      </c>
      <c r="CC9" s="63">
        <v>6.46</v>
      </c>
      <c r="CD9" s="63">
        <v>6.47</v>
      </c>
      <c r="CE9" s="63">
        <v>6.4799999999999995</v>
      </c>
      <c r="CF9" s="63">
        <v>6.4899999999999993</v>
      </c>
      <c r="CG9" s="63">
        <v>6.4999999999999991</v>
      </c>
      <c r="CH9" s="63">
        <v>6.5099999999999989</v>
      </c>
      <c r="CI9" s="63">
        <v>6.5199999999999987</v>
      </c>
      <c r="CJ9" s="63">
        <v>6.5299999999999985</v>
      </c>
      <c r="CK9" s="63">
        <v>6.5399999999999983</v>
      </c>
      <c r="CL9" s="63">
        <v>6.549999999999998</v>
      </c>
      <c r="CM9" s="63">
        <v>6.5599999999999978</v>
      </c>
      <c r="CN9" s="61"/>
      <c r="CO9" s="64" t="s">
        <v>47</v>
      </c>
      <c r="CP9" s="65">
        <v>6.01</v>
      </c>
      <c r="CQ9" s="65">
        <v>6.02</v>
      </c>
      <c r="CR9" s="65">
        <v>6.0299999999999994</v>
      </c>
      <c r="CS9" s="65">
        <v>6.0399999999999991</v>
      </c>
      <c r="CT9" s="65">
        <v>6.0499999999999989</v>
      </c>
      <c r="CU9" s="65">
        <v>6.0599999999999987</v>
      </c>
      <c r="CV9" s="65">
        <v>6.0699999999999985</v>
      </c>
      <c r="CW9" s="65">
        <v>6.0799999999999983</v>
      </c>
      <c r="CX9" s="65">
        <v>6.0899999999999981</v>
      </c>
      <c r="CY9" s="65">
        <v>6.0999999999999979</v>
      </c>
      <c r="CZ9" s="65">
        <v>6.1099999999999977</v>
      </c>
      <c r="DA9" s="65">
        <v>6.1199999999999974</v>
      </c>
      <c r="DB9" s="65">
        <v>6.1299999999999972</v>
      </c>
      <c r="DC9" s="65">
        <v>6.139999999999997</v>
      </c>
      <c r="DD9" s="65">
        <v>6.1499999999999968</v>
      </c>
      <c r="DE9" s="65">
        <v>6.1599999999999966</v>
      </c>
      <c r="DF9" s="65">
        <v>6.1699999999999964</v>
      </c>
      <c r="DG9" s="65">
        <v>6.1799999999999962</v>
      </c>
      <c r="DH9" s="65">
        <v>6.1899999999999959</v>
      </c>
      <c r="DI9" s="65">
        <v>6.1999999999999957</v>
      </c>
      <c r="DJ9" s="66">
        <v>6.2099999999999955</v>
      </c>
      <c r="DK9" s="65">
        <v>6.2199999999999953</v>
      </c>
      <c r="DL9" s="65">
        <v>6.2299999999999951</v>
      </c>
      <c r="DM9" s="65">
        <v>6.2399999999999949</v>
      </c>
      <c r="DN9" s="65">
        <v>6.2499999999999947</v>
      </c>
      <c r="DO9" s="65">
        <v>6.2599999999999945</v>
      </c>
      <c r="DP9" s="65">
        <v>6.2699999999999942</v>
      </c>
      <c r="DQ9" s="65">
        <v>6.279999999999994</v>
      </c>
      <c r="DR9" s="65">
        <v>6.2899999999999938</v>
      </c>
      <c r="DS9" s="65">
        <v>6.2999999999999936</v>
      </c>
      <c r="DT9" s="65">
        <v>6.3099999999999934</v>
      </c>
      <c r="DU9" s="65">
        <v>6.3199999999999932</v>
      </c>
      <c r="DV9" s="65">
        <v>6.329999999999993</v>
      </c>
      <c r="DW9" s="65">
        <v>6.3399999999999928</v>
      </c>
      <c r="DX9" s="65">
        <v>6.45</v>
      </c>
      <c r="DY9" s="65">
        <v>6.46</v>
      </c>
      <c r="DZ9" s="65">
        <v>6.47</v>
      </c>
      <c r="EA9" s="65">
        <v>6.4799999999999995</v>
      </c>
      <c r="EB9" s="65">
        <v>6.4899999999999993</v>
      </c>
      <c r="EC9" s="65">
        <v>6.4999999999999991</v>
      </c>
      <c r="ED9" s="65">
        <v>6.5099999999999989</v>
      </c>
      <c r="EE9" s="65">
        <v>6.5199999999999987</v>
      </c>
      <c r="EF9" s="65">
        <v>6.5299999999999985</v>
      </c>
      <c r="EG9" s="65">
        <v>6.5399999999999983</v>
      </c>
      <c r="EH9" s="65" t="s">
        <v>1017</v>
      </c>
      <c r="EI9" s="65">
        <v>6.549999999999998</v>
      </c>
      <c r="EJ9" s="65">
        <v>6.5599999999999978</v>
      </c>
      <c r="EK9" s="61">
        <v>2022</v>
      </c>
      <c r="EL9" s="61">
        <v>2022</v>
      </c>
      <c r="EM9" s="65">
        <v>6.01</v>
      </c>
      <c r="EN9" s="65">
        <v>6.02</v>
      </c>
      <c r="EO9" s="65">
        <v>6.0299999999999994</v>
      </c>
      <c r="EP9" s="65">
        <v>6.0399999999999991</v>
      </c>
      <c r="EQ9" s="65">
        <v>6.0499999999999989</v>
      </c>
      <c r="ER9" s="65">
        <v>6.0599999999999987</v>
      </c>
      <c r="ES9" s="65">
        <v>6.0699999999999985</v>
      </c>
      <c r="ET9" s="65">
        <v>6.0799999999999983</v>
      </c>
      <c r="EU9" s="65">
        <v>6.0899999999999981</v>
      </c>
      <c r="EV9" s="65">
        <v>6.0999999999999979</v>
      </c>
      <c r="EW9" s="65">
        <v>6.1099999999999977</v>
      </c>
      <c r="EX9" s="65">
        <v>6.1199999999999974</v>
      </c>
      <c r="EY9" s="65">
        <v>6.1299999999999972</v>
      </c>
      <c r="EZ9" s="65">
        <v>6.139999999999997</v>
      </c>
      <c r="FA9" s="65">
        <v>6.1499999999999968</v>
      </c>
      <c r="FB9" s="65">
        <v>6.1599999999999966</v>
      </c>
      <c r="FC9" s="65">
        <v>6.1699999999999964</v>
      </c>
      <c r="FD9" s="65">
        <v>6.1799999999999962</v>
      </c>
      <c r="FE9" s="65">
        <v>6.1899999999999959</v>
      </c>
      <c r="FF9" s="65">
        <v>6.1999999999999957</v>
      </c>
      <c r="FG9" s="65">
        <v>6.2099999999999955</v>
      </c>
      <c r="FH9" s="65">
        <v>6.2199999999999953</v>
      </c>
      <c r="FI9" s="65">
        <v>6.2299999999999951</v>
      </c>
      <c r="FJ9" s="65">
        <v>6.2399999999999949</v>
      </c>
      <c r="FK9" s="65">
        <v>6.2499999999999947</v>
      </c>
      <c r="FL9" s="65">
        <v>6.2599999999999945</v>
      </c>
      <c r="FM9" s="65">
        <v>6.2699999999999942</v>
      </c>
      <c r="FN9" s="65">
        <v>6.279999999999994</v>
      </c>
      <c r="FO9" s="65">
        <v>6.2899999999999938</v>
      </c>
      <c r="FP9" s="65">
        <v>6.2999999999999936</v>
      </c>
      <c r="FQ9" s="65">
        <v>6.3099999999999934</v>
      </c>
      <c r="FR9" s="65">
        <v>6.3199999999999932</v>
      </c>
      <c r="FS9" s="65">
        <v>6.329999999999993</v>
      </c>
      <c r="FT9" s="65">
        <v>6.3399999999999928</v>
      </c>
      <c r="FU9" s="65">
        <v>6.45</v>
      </c>
      <c r="FV9" s="65">
        <v>6.46</v>
      </c>
      <c r="FW9" s="65">
        <v>6.47</v>
      </c>
      <c r="FX9" s="65">
        <v>6.4799999999999995</v>
      </c>
      <c r="FY9" s="65">
        <v>6.4899999999999993</v>
      </c>
      <c r="FZ9" s="65">
        <v>6.4999999999999991</v>
      </c>
      <c r="GA9" s="65">
        <v>6.5099999999999989</v>
      </c>
      <c r="GB9" s="65">
        <v>6.5199999999999987</v>
      </c>
      <c r="GC9" s="65">
        <v>6.5299999999999985</v>
      </c>
      <c r="GD9" s="65">
        <v>6.5399999999999983</v>
      </c>
      <c r="GE9" s="65" t="s">
        <v>633</v>
      </c>
      <c r="GF9" s="65"/>
      <c r="GG9" s="65">
        <v>6.549999999999998</v>
      </c>
      <c r="GH9" s="65">
        <v>6.5599999999999978</v>
      </c>
      <c r="GI9" s="61">
        <v>2023</v>
      </c>
      <c r="GJ9" s="61">
        <v>2023</v>
      </c>
      <c r="GK9" s="65">
        <v>6.01</v>
      </c>
      <c r="GL9" s="65">
        <v>6.02</v>
      </c>
      <c r="GM9" s="65">
        <v>6.0299999999999994</v>
      </c>
      <c r="GN9" s="65">
        <v>6.0399999999999991</v>
      </c>
      <c r="GO9" s="65">
        <v>6.0499999999999989</v>
      </c>
      <c r="GP9" s="65">
        <v>6.0599999999999987</v>
      </c>
      <c r="GQ9" s="65">
        <v>6.0699999999999985</v>
      </c>
      <c r="GR9" s="65">
        <v>6.0799999999999983</v>
      </c>
      <c r="GS9" s="65">
        <v>6.0899999999999981</v>
      </c>
      <c r="GT9" s="65">
        <v>6.0999999999999979</v>
      </c>
      <c r="GU9" s="65">
        <v>6.1099999999999977</v>
      </c>
      <c r="GV9" s="65">
        <v>6.1199999999999974</v>
      </c>
      <c r="GW9" s="65">
        <v>6.1299999999999972</v>
      </c>
      <c r="GX9" s="65">
        <v>6.139999999999997</v>
      </c>
      <c r="GY9" s="65">
        <v>6.1499999999999968</v>
      </c>
      <c r="GZ9" s="65">
        <v>6.1599999999999966</v>
      </c>
      <c r="HA9" s="65">
        <v>6.1699999999999964</v>
      </c>
      <c r="HB9" s="65">
        <v>6.1799999999999962</v>
      </c>
      <c r="HC9" s="65">
        <v>6.1899999999999959</v>
      </c>
      <c r="HD9" s="65">
        <v>6.1999999999999957</v>
      </c>
      <c r="HE9" s="65">
        <v>6.2099999999999955</v>
      </c>
      <c r="HF9" s="65">
        <v>6.2199999999999953</v>
      </c>
      <c r="HG9" s="65">
        <v>6.2299999999999951</v>
      </c>
      <c r="HH9" s="65">
        <v>6.2399999999999949</v>
      </c>
      <c r="HI9" s="65">
        <v>6.2499999999999947</v>
      </c>
      <c r="HJ9" s="65">
        <v>6.2599999999999945</v>
      </c>
      <c r="HK9" s="65">
        <v>6.2699999999999942</v>
      </c>
      <c r="HL9" s="65">
        <v>6.279999999999994</v>
      </c>
      <c r="HM9" s="65">
        <v>6.2899999999999938</v>
      </c>
      <c r="HN9" s="65">
        <v>6.2999999999999936</v>
      </c>
      <c r="HO9" s="65">
        <v>6.3099999999999934</v>
      </c>
      <c r="HP9" s="65">
        <v>6.3199999999999932</v>
      </c>
      <c r="HQ9" s="65">
        <v>6.329999999999993</v>
      </c>
      <c r="HR9" s="65">
        <v>6.3399999999999928</v>
      </c>
      <c r="HS9" s="65">
        <v>6.45</v>
      </c>
      <c r="HT9" s="65">
        <v>6.46</v>
      </c>
      <c r="HU9" s="65">
        <v>6.47</v>
      </c>
      <c r="HV9" s="65">
        <v>6.4799999999999995</v>
      </c>
      <c r="HW9" s="65">
        <v>6.4899999999999993</v>
      </c>
      <c r="HX9" s="65">
        <v>6.4999999999999991</v>
      </c>
      <c r="HY9" s="65">
        <v>6.5099999999999989</v>
      </c>
      <c r="HZ9" s="65">
        <v>6.5199999999999987</v>
      </c>
      <c r="IA9" s="65">
        <v>6.5299999999999985</v>
      </c>
      <c r="IB9" s="65">
        <v>6.5399999999999983</v>
      </c>
      <c r="IC9" s="65"/>
      <c r="ID9" s="65"/>
      <c r="IE9" s="65">
        <v>6.549999999999998</v>
      </c>
      <c r="IF9" s="65">
        <v>6.5599999999999978</v>
      </c>
      <c r="IG9" s="61">
        <v>2024</v>
      </c>
      <c r="IH9" s="61">
        <v>2024</v>
      </c>
      <c r="II9" s="65">
        <v>6.01</v>
      </c>
      <c r="IJ9" s="65">
        <v>6.02</v>
      </c>
      <c r="IK9" s="65">
        <v>6.0299999999999994</v>
      </c>
      <c r="IL9" s="65">
        <v>6.0399999999999991</v>
      </c>
      <c r="IM9" s="65">
        <v>6.0499999999999989</v>
      </c>
      <c r="IN9" s="65">
        <v>6.0599999999999987</v>
      </c>
      <c r="IO9" s="65">
        <v>6.0699999999999985</v>
      </c>
      <c r="IP9" s="65">
        <v>6.0799999999999983</v>
      </c>
      <c r="IQ9" s="65">
        <v>6.0899999999999981</v>
      </c>
      <c r="IR9" s="65">
        <v>6.0999999999999979</v>
      </c>
      <c r="IS9" s="65">
        <v>6.1099999999999977</v>
      </c>
      <c r="IT9" s="65">
        <v>6.1199999999999974</v>
      </c>
      <c r="IU9" s="65">
        <v>6.1299999999999972</v>
      </c>
      <c r="IV9" s="65">
        <v>6.139999999999997</v>
      </c>
      <c r="IW9" s="65">
        <v>6.1499999999999968</v>
      </c>
      <c r="IX9" s="65">
        <v>6.1599999999999966</v>
      </c>
      <c r="IY9" s="65">
        <v>6.1699999999999964</v>
      </c>
      <c r="IZ9" s="65">
        <v>6.1799999999999962</v>
      </c>
      <c r="JA9" s="65">
        <v>6.1899999999999959</v>
      </c>
      <c r="JB9" s="65">
        <v>6.1999999999999957</v>
      </c>
      <c r="JC9" s="65">
        <v>6.2099999999999955</v>
      </c>
      <c r="JD9" s="65">
        <v>6.2199999999999953</v>
      </c>
      <c r="JE9" s="65">
        <v>6.2299999999999951</v>
      </c>
      <c r="JF9" s="65">
        <v>6.2399999999999949</v>
      </c>
      <c r="JG9" s="65">
        <v>6.2499999999999947</v>
      </c>
      <c r="JH9" s="65">
        <v>6.2599999999999945</v>
      </c>
      <c r="JI9" s="65">
        <v>6.2699999999999942</v>
      </c>
      <c r="JJ9" s="65">
        <v>6.279999999999994</v>
      </c>
      <c r="JK9" s="65">
        <v>6.2899999999999938</v>
      </c>
      <c r="JL9" s="65">
        <v>6.2999999999999936</v>
      </c>
      <c r="JM9" s="65">
        <v>6.3099999999999934</v>
      </c>
      <c r="JN9" s="65">
        <v>6.3199999999999932</v>
      </c>
      <c r="JO9" s="65">
        <v>6.329999999999993</v>
      </c>
      <c r="JP9" s="65">
        <v>6.3399999999999928</v>
      </c>
      <c r="JQ9" s="65">
        <v>6.45</v>
      </c>
      <c r="JR9" s="65">
        <v>6.46</v>
      </c>
      <c r="JS9" s="65">
        <v>6.47</v>
      </c>
      <c r="JT9" s="65">
        <v>6.4799999999999995</v>
      </c>
      <c r="JU9" s="65">
        <v>6.4899999999999993</v>
      </c>
      <c r="JV9" s="65">
        <v>6.4999999999999991</v>
      </c>
      <c r="JW9" s="65">
        <v>6.5099999999999989</v>
      </c>
      <c r="JX9" s="65">
        <v>6.5199999999999987</v>
      </c>
      <c r="JY9" s="65">
        <v>6.5299999999999985</v>
      </c>
      <c r="JZ9" s="65">
        <v>6.5399999999999983</v>
      </c>
      <c r="KA9" s="65"/>
      <c r="KB9" s="65"/>
      <c r="KC9" s="65">
        <v>6.549999999999998</v>
      </c>
      <c r="KD9" s="65">
        <v>6.5599999999999978</v>
      </c>
      <c r="KE9" s="61">
        <v>2025</v>
      </c>
      <c r="KF9" s="61">
        <v>2025</v>
      </c>
      <c r="KG9" s="43" t="s">
        <v>34</v>
      </c>
    </row>
    <row r="10" spans="1:293" ht="65" x14ac:dyDescent="0.3">
      <c r="A10" s="60" t="s">
        <v>48</v>
      </c>
      <c r="B10" s="60" t="s">
        <v>49</v>
      </c>
      <c r="C10" s="67" t="s">
        <v>50</v>
      </c>
      <c r="D10" s="68" t="s">
        <v>904</v>
      </c>
      <c r="E10" s="68" t="s">
        <v>905</v>
      </c>
      <c r="F10" s="69" t="s">
        <v>906</v>
      </c>
      <c r="G10" s="68" t="s">
        <v>907</v>
      </c>
      <c r="H10" s="68" t="s">
        <v>908</v>
      </c>
      <c r="I10" s="68" t="s">
        <v>909</v>
      </c>
      <c r="J10" s="70" t="s">
        <v>910</v>
      </c>
      <c r="K10" s="68" t="s">
        <v>911</v>
      </c>
      <c r="L10" s="68" t="s">
        <v>912</v>
      </c>
      <c r="M10" s="68" t="s">
        <v>913</v>
      </c>
      <c r="N10" s="68" t="s">
        <v>914</v>
      </c>
      <c r="O10" s="68" t="s">
        <v>915</v>
      </c>
      <c r="P10" s="68" t="s">
        <v>916</v>
      </c>
      <c r="Q10" s="68" t="s">
        <v>917</v>
      </c>
      <c r="R10" s="68" t="s">
        <v>918</v>
      </c>
      <c r="S10" s="68" t="s">
        <v>919</v>
      </c>
      <c r="T10" s="68" t="s">
        <v>920</v>
      </c>
      <c r="U10" s="68" t="s">
        <v>921</v>
      </c>
      <c r="V10" s="68" t="s">
        <v>922</v>
      </c>
      <c r="W10" s="68" t="s">
        <v>923</v>
      </c>
      <c r="X10" s="71" t="s">
        <v>924</v>
      </c>
      <c r="Y10" s="68" t="s">
        <v>925</v>
      </c>
      <c r="Z10" s="68" t="s">
        <v>926</v>
      </c>
      <c r="AA10" s="68" t="s">
        <v>927</v>
      </c>
      <c r="AB10" s="68" t="s">
        <v>928</v>
      </c>
      <c r="AC10" s="68" t="s">
        <v>929</v>
      </c>
      <c r="AD10" s="71" t="s">
        <v>930</v>
      </c>
      <c r="AE10" s="71" t="s">
        <v>1073</v>
      </c>
      <c r="AF10" s="71" t="s">
        <v>1074</v>
      </c>
      <c r="AG10" s="71" t="s">
        <v>1075</v>
      </c>
      <c r="AH10" s="71" t="s">
        <v>1076</v>
      </c>
      <c r="AI10" s="71" t="s">
        <v>1077</v>
      </c>
      <c r="AJ10" s="71" t="s">
        <v>1078</v>
      </c>
      <c r="AK10" s="71" t="s">
        <v>1079</v>
      </c>
      <c r="AL10" s="71" t="s">
        <v>1080</v>
      </c>
      <c r="AM10" s="71" t="s">
        <v>1081</v>
      </c>
      <c r="AN10" s="71" t="s">
        <v>1082</v>
      </c>
      <c r="AO10" s="71" t="s">
        <v>1083</v>
      </c>
      <c r="AP10" s="206" t="s">
        <v>1052</v>
      </c>
      <c r="AQ10" s="71" t="s">
        <v>1084</v>
      </c>
      <c r="AR10" s="67" t="s">
        <v>51</v>
      </c>
      <c r="AS10" s="67" t="s">
        <v>52</v>
      </c>
      <c r="AT10" s="68" t="str">
        <f t="shared" ref="AT10:BM10" si="10">D10</f>
        <v>REVENUES AND EXPENSES</v>
      </c>
      <c r="AU10" s="68" t="str">
        <f t="shared" si="10"/>
        <v>PASS-THROUGH REVENUE &amp; EXPENSE</v>
      </c>
      <c r="AV10" s="68" t="str">
        <f t="shared" si="10"/>
        <v>TEMPERATURE NORMALIZATION</v>
      </c>
      <c r="AW10" s="68" t="str">
        <f t="shared" si="10"/>
        <v>FEDERAL INCOME TAX</v>
      </c>
      <c r="AX10" s="68" t="str">
        <f t="shared" si="10"/>
        <v>TAX BENEFIT OF INTEREST</v>
      </c>
      <c r="AY10" s="68" t="str">
        <f t="shared" si="10"/>
        <v>BAD DEBT EXPENSE</v>
      </c>
      <c r="AZ10" s="68" t="str">
        <f t="shared" si="10"/>
        <v>RATE CASE EXPENSE</v>
      </c>
      <c r="BA10" s="68" t="str">
        <f t="shared" si="10"/>
        <v xml:space="preserve">EXCISE TAX </v>
      </c>
      <c r="BB10" s="68" t="str">
        <f t="shared" si="10"/>
        <v>EMPLOYEE INSURANCE</v>
      </c>
      <c r="BC10" s="68" t="str">
        <f t="shared" si="10"/>
        <v>INJURIES &amp; DAMAGES</v>
      </c>
      <c r="BD10" s="68" t="str">
        <f t="shared" si="10"/>
        <v>INCENTIVE PAY</v>
      </c>
      <c r="BE10" s="68" t="str">
        <f t="shared" si="10"/>
        <v>INVESTMENT PLAN</v>
      </c>
      <c r="BF10" s="68" t="str">
        <f t="shared" si="10"/>
        <v>INTEREST ON  CUSTOMER DEPOSITS</v>
      </c>
      <c r="BG10" s="68" t="str">
        <f t="shared" si="10"/>
        <v>PROPERTY AND LIAB INSURANCE</v>
      </c>
      <c r="BH10" s="68" t="str">
        <f t="shared" si="10"/>
        <v>DEFERRED GAINS AND LOSSES ON PROPERTY SALES</v>
      </c>
      <c r="BI10" s="68" t="str">
        <f t="shared" si="10"/>
        <v>D&amp;O INSURANCE</v>
      </c>
      <c r="BJ10" s="68" t="str">
        <f t="shared" si="10"/>
        <v>PENSION PLAN</v>
      </c>
      <c r="BK10" s="68" t="str">
        <f t="shared" si="10"/>
        <v>WAGE INCREASE</v>
      </c>
      <c r="BL10" s="68" t="str">
        <f t="shared" si="10"/>
        <v>AMA TO EOP RATE BASE</v>
      </c>
      <c r="BM10" s="68" t="str">
        <f t="shared" si="10"/>
        <v>AMA TO EOP DEPRECIATION</v>
      </c>
      <c r="BN10" s="68" t="s">
        <v>924</v>
      </c>
      <c r="BO10" s="68" t="str">
        <f t="shared" ref="BO10:BT10" si="11">Y10</f>
        <v>PRO FORMA O&amp;M</v>
      </c>
      <c r="BP10" s="68" t="str">
        <f t="shared" si="11"/>
        <v>AMR REGULATORY ASSET</v>
      </c>
      <c r="BQ10" s="68" t="str">
        <f t="shared" si="11"/>
        <v>AMI PLANT AND DEFERRAL</v>
      </c>
      <c r="BR10" s="68" t="str">
        <f t="shared" si="11"/>
        <v>GTZ DEFERRAL</v>
      </c>
      <c r="BS10" s="68" t="str">
        <f t="shared" si="11"/>
        <v>ENVIRONMENTAL REMEDIATION</v>
      </c>
      <c r="BT10" s="68" t="str">
        <f t="shared" si="11"/>
        <v>COVID DEFERRAL</v>
      </c>
      <c r="BU10" s="68" t="s">
        <v>935</v>
      </c>
      <c r="BV10" s="68" t="s">
        <v>936</v>
      </c>
      <c r="BW10" s="68" t="s">
        <v>937</v>
      </c>
      <c r="BX10" s="68" t="s">
        <v>938</v>
      </c>
      <c r="BY10" s="68" t="s">
        <v>939</v>
      </c>
      <c r="BZ10" s="68" t="s">
        <v>940</v>
      </c>
      <c r="CA10" s="68" t="s">
        <v>941</v>
      </c>
      <c r="CB10" s="68" t="str">
        <f t="shared" ref="CB10:CL10" si="12">AE10</f>
        <v>POWER COSTS</v>
      </c>
      <c r="CC10" s="68" t="str">
        <f t="shared" si="12"/>
        <v>MONTANA TAX</v>
      </c>
      <c r="CD10" s="68" t="str">
        <f t="shared" si="12"/>
        <v>WILD HORSE SOLAR</v>
      </c>
      <c r="CE10" s="68" t="str">
        <f t="shared" si="12"/>
        <v>STORM EXPENSE NORMALIZATION</v>
      </c>
      <c r="CF10" s="68" t="str">
        <f t="shared" si="12"/>
        <v>REGULATORY  ASSETS &amp; LIAB</v>
      </c>
      <c r="CG10" s="68" t="str">
        <f t="shared" si="12"/>
        <v>GREEN DIRECT</v>
      </c>
      <c r="CH10" s="68" t="str">
        <f t="shared" si="12"/>
        <v>STORM DEFERRAL AMORTIZATION</v>
      </c>
      <c r="CI10" s="68" t="str">
        <f t="shared" si="12"/>
        <v>ELECTRIC VEHICLES</v>
      </c>
      <c r="CJ10" s="68" t="str">
        <f t="shared" si="12"/>
        <v>COLSTRIP D&amp;R TRACKER</v>
      </c>
      <c r="CK10" s="68" t="str">
        <f t="shared" si="12"/>
        <v>OPEN 3</v>
      </c>
      <c r="CL10" s="68" t="str">
        <f t="shared" si="12"/>
        <v>MONETIZE PTCS FOR COLSTRIP</v>
      </c>
      <c r="CM10" s="68" t="str">
        <f>AQ10</f>
        <v>ACQUISITION ADJUSTMENT</v>
      </c>
      <c r="CN10" s="67" t="s">
        <v>53</v>
      </c>
      <c r="CO10" s="67" t="s">
        <v>54</v>
      </c>
      <c r="CP10" s="68" t="str">
        <f t="shared" ref="CP10:EG10" si="13">AT10</f>
        <v>REVENUES AND EXPENSES</v>
      </c>
      <c r="CQ10" s="68" t="str">
        <f t="shared" si="13"/>
        <v>PASS-THROUGH REVENUE &amp; EXPENSE</v>
      </c>
      <c r="CR10" s="68" t="str">
        <f t="shared" si="13"/>
        <v>TEMPERATURE NORMALIZATION</v>
      </c>
      <c r="CS10" s="68" t="str">
        <f t="shared" si="13"/>
        <v>FEDERAL INCOME TAX</v>
      </c>
      <c r="CT10" s="68" t="str">
        <f t="shared" si="13"/>
        <v>TAX BENEFIT OF INTEREST</v>
      </c>
      <c r="CU10" s="68" t="str">
        <f t="shared" si="13"/>
        <v>BAD DEBT EXPENSE</v>
      </c>
      <c r="CV10" s="68" t="str">
        <f t="shared" si="13"/>
        <v>RATE CASE EXPENSE</v>
      </c>
      <c r="CW10" s="68" t="str">
        <f t="shared" si="13"/>
        <v xml:space="preserve">EXCISE TAX </v>
      </c>
      <c r="CX10" s="68" t="str">
        <f t="shared" si="13"/>
        <v>EMPLOYEE INSURANCE</v>
      </c>
      <c r="CY10" s="68" t="str">
        <f t="shared" si="13"/>
        <v>INJURIES &amp; DAMAGES</v>
      </c>
      <c r="CZ10" s="68" t="str">
        <f t="shared" si="13"/>
        <v>INCENTIVE PAY</v>
      </c>
      <c r="DA10" s="68" t="str">
        <f t="shared" si="13"/>
        <v>INVESTMENT PLAN</v>
      </c>
      <c r="DB10" s="68" t="str">
        <f t="shared" si="13"/>
        <v>INTEREST ON  CUSTOMER DEPOSITS</v>
      </c>
      <c r="DC10" s="68" t="str">
        <f t="shared" si="13"/>
        <v>PROPERTY AND LIAB INSURANCE</v>
      </c>
      <c r="DD10" s="68" t="str">
        <f t="shared" si="13"/>
        <v>DEFERRED GAINS AND LOSSES ON PROPERTY SALES</v>
      </c>
      <c r="DE10" s="68" t="str">
        <f t="shared" si="13"/>
        <v>D&amp;O INSURANCE</v>
      </c>
      <c r="DF10" s="68" t="str">
        <f t="shared" si="13"/>
        <v>PENSION PLAN</v>
      </c>
      <c r="DG10" s="68" t="str">
        <f t="shared" si="13"/>
        <v>WAGE INCREASE</v>
      </c>
      <c r="DH10" s="68" t="str">
        <f t="shared" si="13"/>
        <v>AMA TO EOP RATE BASE</v>
      </c>
      <c r="DI10" s="68" t="str">
        <f t="shared" si="13"/>
        <v>AMA TO EOP DEPRECIATION</v>
      </c>
      <c r="DJ10" s="72" t="str">
        <f t="shared" si="13"/>
        <v>WUTC FILING FEE</v>
      </c>
      <c r="DK10" s="68" t="str">
        <f t="shared" si="13"/>
        <v>PRO FORMA O&amp;M</v>
      </c>
      <c r="DL10" s="68" t="str">
        <f t="shared" si="13"/>
        <v>AMR REGULATORY ASSET</v>
      </c>
      <c r="DM10" s="68" t="str">
        <f t="shared" si="13"/>
        <v>AMI PLANT AND DEFERRAL</v>
      </c>
      <c r="DN10" s="68" t="str">
        <f t="shared" si="13"/>
        <v>GTZ DEFERRAL</v>
      </c>
      <c r="DO10" s="68" t="str">
        <f t="shared" si="13"/>
        <v>ENVIRONMENTAL REMEDIATION</v>
      </c>
      <c r="DP10" s="68" t="str">
        <f t="shared" si="13"/>
        <v>COVID DEFERRAL</v>
      </c>
      <c r="DQ10" s="68" t="str">
        <f t="shared" si="13"/>
        <v>ESTIMATED PLANT RETIREMENTS RATE BASE</v>
      </c>
      <c r="DR10" s="68" t="str">
        <f t="shared" si="13"/>
        <v>TEST YEAR PLANT ROLL FORWARD</v>
      </c>
      <c r="DS10" s="68" t="str">
        <f t="shared" si="13"/>
        <v>PROVISIONAL PROFORMA RETIREMENTS DEPRECIATION</v>
      </c>
      <c r="DT10" s="68" t="str">
        <f t="shared" si="13"/>
        <v>PROGRAMMATIC PROVISIONAL PROFORMA</v>
      </c>
      <c r="DU10" s="68" t="str">
        <f t="shared" si="13"/>
        <v>CUSTOMER DRIVEN PROGRAMMATIC PROVISIONAL PROFORMA</v>
      </c>
      <c r="DV10" s="68" t="str">
        <f t="shared" si="13"/>
        <v>SPECIFIC PROVISIONAL PROFORMA</v>
      </c>
      <c r="DW10" s="68" t="str">
        <f t="shared" si="13"/>
        <v>PROJECTED PROVISIONAL PROFORMA</v>
      </c>
      <c r="DX10" s="68" t="str">
        <f t="shared" si="13"/>
        <v>POWER COSTS</v>
      </c>
      <c r="DY10" s="68" t="str">
        <f t="shared" si="13"/>
        <v>MONTANA TAX</v>
      </c>
      <c r="DZ10" s="68" t="str">
        <f t="shared" si="13"/>
        <v>WILD HORSE SOLAR</v>
      </c>
      <c r="EA10" s="68" t="str">
        <f t="shared" si="13"/>
        <v>STORM EXPENSE NORMALIZATION</v>
      </c>
      <c r="EB10" s="68" t="str">
        <f t="shared" si="13"/>
        <v>REGULATORY  ASSETS &amp; LIAB</v>
      </c>
      <c r="EC10" s="68" t="str">
        <f t="shared" si="13"/>
        <v>GREEN DIRECT</v>
      </c>
      <c r="ED10" s="68" t="str">
        <f t="shared" si="13"/>
        <v>STORM DEFERRAL AMORTIZATION</v>
      </c>
      <c r="EE10" s="68" t="str">
        <f t="shared" si="13"/>
        <v>ELECTRIC VEHICLES</v>
      </c>
      <c r="EF10" s="68" t="str">
        <f t="shared" si="13"/>
        <v>COLSTRIP D&amp;R TRACKER</v>
      </c>
      <c r="EG10" s="68" t="str">
        <f t="shared" si="13"/>
        <v>OPEN 3</v>
      </c>
      <c r="EH10" s="206" t="s">
        <v>674</v>
      </c>
      <c r="EI10" s="68" t="str">
        <f>CL10</f>
        <v>MONETIZE PTCS FOR COLSTRIP</v>
      </c>
      <c r="EJ10" s="68" t="str">
        <f>CM10</f>
        <v>ACQUISITION ADJUSTMENT</v>
      </c>
      <c r="EK10" s="67" t="s">
        <v>55</v>
      </c>
      <c r="EL10" s="67" t="s">
        <v>56</v>
      </c>
      <c r="EM10" s="68" t="str">
        <f t="shared" ref="EM10:GD10" si="14">CP10</f>
        <v>REVENUES AND EXPENSES</v>
      </c>
      <c r="EN10" s="68" t="str">
        <f t="shared" si="14"/>
        <v>PASS-THROUGH REVENUE &amp; EXPENSE</v>
      </c>
      <c r="EO10" s="68" t="str">
        <f t="shared" si="14"/>
        <v>TEMPERATURE NORMALIZATION</v>
      </c>
      <c r="EP10" s="68" t="str">
        <f t="shared" si="14"/>
        <v>FEDERAL INCOME TAX</v>
      </c>
      <c r="EQ10" s="68" t="str">
        <f t="shared" si="14"/>
        <v>TAX BENEFIT OF INTEREST</v>
      </c>
      <c r="ER10" s="68" t="str">
        <f t="shared" si="14"/>
        <v>BAD DEBT EXPENSE</v>
      </c>
      <c r="ES10" s="68" t="str">
        <f t="shared" si="14"/>
        <v>RATE CASE EXPENSE</v>
      </c>
      <c r="ET10" s="68" t="str">
        <f t="shared" si="14"/>
        <v xml:space="preserve">EXCISE TAX </v>
      </c>
      <c r="EU10" s="68" t="str">
        <f t="shared" si="14"/>
        <v>EMPLOYEE INSURANCE</v>
      </c>
      <c r="EV10" s="68" t="str">
        <f t="shared" si="14"/>
        <v>INJURIES &amp; DAMAGES</v>
      </c>
      <c r="EW10" s="68" t="str">
        <f t="shared" si="14"/>
        <v>INCENTIVE PAY</v>
      </c>
      <c r="EX10" s="68" t="str">
        <f t="shared" si="14"/>
        <v>INVESTMENT PLAN</v>
      </c>
      <c r="EY10" s="68" t="str">
        <f t="shared" si="14"/>
        <v>INTEREST ON  CUSTOMER DEPOSITS</v>
      </c>
      <c r="EZ10" s="68" t="str">
        <f t="shared" si="14"/>
        <v>PROPERTY AND LIAB INSURANCE</v>
      </c>
      <c r="FA10" s="68" t="str">
        <f t="shared" si="14"/>
        <v>DEFERRED GAINS AND LOSSES ON PROPERTY SALES</v>
      </c>
      <c r="FB10" s="68" t="str">
        <f t="shared" si="14"/>
        <v>D&amp;O INSURANCE</v>
      </c>
      <c r="FC10" s="68" t="str">
        <f t="shared" si="14"/>
        <v>PENSION PLAN</v>
      </c>
      <c r="FD10" s="68" t="str">
        <f t="shared" si="14"/>
        <v>WAGE INCREASE</v>
      </c>
      <c r="FE10" s="68" t="str">
        <f t="shared" si="14"/>
        <v>AMA TO EOP RATE BASE</v>
      </c>
      <c r="FF10" s="68" t="str">
        <f t="shared" si="14"/>
        <v>AMA TO EOP DEPRECIATION</v>
      </c>
      <c r="FG10" s="68" t="str">
        <f t="shared" si="14"/>
        <v>WUTC FILING FEE</v>
      </c>
      <c r="FH10" s="68" t="str">
        <f t="shared" si="14"/>
        <v>PRO FORMA O&amp;M</v>
      </c>
      <c r="FI10" s="68" t="str">
        <f t="shared" si="14"/>
        <v>AMR REGULATORY ASSET</v>
      </c>
      <c r="FJ10" s="68" t="str">
        <f t="shared" si="14"/>
        <v>AMI PLANT AND DEFERRAL</v>
      </c>
      <c r="FK10" s="68" t="str">
        <f t="shared" si="14"/>
        <v>GTZ DEFERRAL</v>
      </c>
      <c r="FL10" s="68" t="str">
        <f t="shared" si="14"/>
        <v>ENVIRONMENTAL REMEDIATION</v>
      </c>
      <c r="FM10" s="68" t="str">
        <f t="shared" si="14"/>
        <v>COVID DEFERRAL</v>
      </c>
      <c r="FN10" s="68" t="str">
        <f t="shared" si="14"/>
        <v>ESTIMATED PLANT RETIREMENTS RATE BASE</v>
      </c>
      <c r="FO10" s="68" t="str">
        <f t="shared" si="14"/>
        <v>TEST YEAR PLANT ROLL FORWARD</v>
      </c>
      <c r="FP10" s="68" t="str">
        <f t="shared" si="14"/>
        <v>PROVISIONAL PROFORMA RETIREMENTS DEPRECIATION</v>
      </c>
      <c r="FQ10" s="68" t="str">
        <f t="shared" si="14"/>
        <v>PROGRAMMATIC PROVISIONAL PROFORMA</v>
      </c>
      <c r="FR10" s="68" t="str">
        <f t="shared" si="14"/>
        <v>CUSTOMER DRIVEN PROGRAMMATIC PROVISIONAL PROFORMA</v>
      </c>
      <c r="FS10" s="68" t="str">
        <f t="shared" si="14"/>
        <v>SPECIFIC PROVISIONAL PROFORMA</v>
      </c>
      <c r="FT10" s="68" t="str">
        <f t="shared" si="14"/>
        <v>PROJECTED PROVISIONAL PROFORMA</v>
      </c>
      <c r="FU10" s="68" t="str">
        <f t="shared" si="14"/>
        <v>POWER COSTS</v>
      </c>
      <c r="FV10" s="68" t="str">
        <f t="shared" si="14"/>
        <v>MONTANA TAX</v>
      </c>
      <c r="FW10" s="68" t="str">
        <f t="shared" si="14"/>
        <v>WILD HORSE SOLAR</v>
      </c>
      <c r="FX10" s="68" t="str">
        <f t="shared" si="14"/>
        <v>STORM EXPENSE NORMALIZATION</v>
      </c>
      <c r="FY10" s="68" t="str">
        <f t="shared" si="14"/>
        <v>REGULATORY  ASSETS &amp; LIAB</v>
      </c>
      <c r="FZ10" s="68" t="str">
        <f t="shared" si="14"/>
        <v>GREEN DIRECT</v>
      </c>
      <c r="GA10" s="68" t="str">
        <f t="shared" si="14"/>
        <v>STORM DEFERRAL AMORTIZATION</v>
      </c>
      <c r="GB10" s="68" t="str">
        <f t="shared" si="14"/>
        <v>ELECTRIC VEHICLES</v>
      </c>
      <c r="GC10" s="68" t="str">
        <f t="shared" si="14"/>
        <v>COLSTRIP D&amp;R TRACKER</v>
      </c>
      <c r="GD10" s="68" t="str">
        <f t="shared" si="14"/>
        <v>OPEN 3</v>
      </c>
      <c r="GE10" s="206" t="s">
        <v>674</v>
      </c>
      <c r="GF10" s="206" t="s">
        <v>1045</v>
      </c>
      <c r="GG10" s="68" t="str">
        <f>EI10</f>
        <v>MONETIZE PTCS FOR COLSTRIP</v>
      </c>
      <c r="GH10" s="68" t="str">
        <f>EJ10</f>
        <v>ACQUISITION ADJUSTMENT</v>
      </c>
      <c r="GI10" s="67" t="s">
        <v>57</v>
      </c>
      <c r="GJ10" s="67" t="s">
        <v>58</v>
      </c>
      <c r="GK10" s="68" t="str">
        <f t="shared" ref="GK10:IB10" si="15">EM10</f>
        <v>REVENUES AND EXPENSES</v>
      </c>
      <c r="GL10" s="68" t="str">
        <f t="shared" si="15"/>
        <v>PASS-THROUGH REVENUE &amp; EXPENSE</v>
      </c>
      <c r="GM10" s="68" t="str">
        <f t="shared" si="15"/>
        <v>TEMPERATURE NORMALIZATION</v>
      </c>
      <c r="GN10" s="68" t="str">
        <f t="shared" si="15"/>
        <v>FEDERAL INCOME TAX</v>
      </c>
      <c r="GO10" s="68" t="str">
        <f t="shared" si="15"/>
        <v>TAX BENEFIT OF INTEREST</v>
      </c>
      <c r="GP10" s="68" t="str">
        <f t="shared" si="15"/>
        <v>BAD DEBT EXPENSE</v>
      </c>
      <c r="GQ10" s="68" t="str">
        <f t="shared" si="15"/>
        <v>RATE CASE EXPENSE</v>
      </c>
      <c r="GR10" s="68" t="str">
        <f t="shared" si="15"/>
        <v xml:space="preserve">EXCISE TAX </v>
      </c>
      <c r="GS10" s="68" t="str">
        <f t="shared" si="15"/>
        <v>EMPLOYEE INSURANCE</v>
      </c>
      <c r="GT10" s="68" t="str">
        <f t="shared" si="15"/>
        <v>INJURIES &amp; DAMAGES</v>
      </c>
      <c r="GU10" s="68" t="str">
        <f t="shared" si="15"/>
        <v>INCENTIVE PAY</v>
      </c>
      <c r="GV10" s="68" t="str">
        <f t="shared" si="15"/>
        <v>INVESTMENT PLAN</v>
      </c>
      <c r="GW10" s="68" t="str">
        <f t="shared" si="15"/>
        <v>INTEREST ON  CUSTOMER DEPOSITS</v>
      </c>
      <c r="GX10" s="68" t="str">
        <f t="shared" si="15"/>
        <v>PROPERTY AND LIAB INSURANCE</v>
      </c>
      <c r="GY10" s="68" t="str">
        <f t="shared" si="15"/>
        <v>DEFERRED GAINS AND LOSSES ON PROPERTY SALES</v>
      </c>
      <c r="GZ10" s="68" t="str">
        <f t="shared" si="15"/>
        <v>D&amp;O INSURANCE</v>
      </c>
      <c r="HA10" s="68" t="str">
        <f t="shared" si="15"/>
        <v>PENSION PLAN</v>
      </c>
      <c r="HB10" s="68" t="str">
        <f t="shared" si="15"/>
        <v>WAGE INCREASE</v>
      </c>
      <c r="HC10" s="68" t="str">
        <f t="shared" si="15"/>
        <v>AMA TO EOP RATE BASE</v>
      </c>
      <c r="HD10" s="68" t="str">
        <f t="shared" si="15"/>
        <v>AMA TO EOP DEPRECIATION</v>
      </c>
      <c r="HE10" s="68" t="str">
        <f t="shared" si="15"/>
        <v>WUTC FILING FEE</v>
      </c>
      <c r="HF10" s="68" t="str">
        <f t="shared" si="15"/>
        <v>PRO FORMA O&amp;M</v>
      </c>
      <c r="HG10" s="68" t="str">
        <f t="shared" si="15"/>
        <v>AMR REGULATORY ASSET</v>
      </c>
      <c r="HH10" s="68" t="str">
        <f t="shared" si="15"/>
        <v>AMI PLANT AND DEFERRAL</v>
      </c>
      <c r="HI10" s="68" t="str">
        <f t="shared" si="15"/>
        <v>GTZ DEFERRAL</v>
      </c>
      <c r="HJ10" s="68" t="str">
        <f t="shared" si="15"/>
        <v>ENVIRONMENTAL REMEDIATION</v>
      </c>
      <c r="HK10" s="68" t="str">
        <f t="shared" si="15"/>
        <v>COVID DEFERRAL</v>
      </c>
      <c r="HL10" s="68" t="str">
        <f t="shared" si="15"/>
        <v>ESTIMATED PLANT RETIREMENTS RATE BASE</v>
      </c>
      <c r="HM10" s="68" t="str">
        <f t="shared" si="15"/>
        <v>TEST YEAR PLANT ROLL FORWARD</v>
      </c>
      <c r="HN10" s="68" t="str">
        <f t="shared" si="15"/>
        <v>PROVISIONAL PROFORMA RETIREMENTS DEPRECIATION</v>
      </c>
      <c r="HO10" s="68" t="str">
        <f t="shared" si="15"/>
        <v>PROGRAMMATIC PROVISIONAL PROFORMA</v>
      </c>
      <c r="HP10" s="68" t="str">
        <f t="shared" si="15"/>
        <v>CUSTOMER DRIVEN PROGRAMMATIC PROVISIONAL PROFORMA</v>
      </c>
      <c r="HQ10" s="68" t="str">
        <f t="shared" si="15"/>
        <v>SPECIFIC PROVISIONAL PROFORMA</v>
      </c>
      <c r="HR10" s="68" t="str">
        <f t="shared" si="15"/>
        <v>PROJECTED PROVISIONAL PROFORMA</v>
      </c>
      <c r="HS10" s="68" t="str">
        <f t="shared" si="15"/>
        <v>POWER COSTS</v>
      </c>
      <c r="HT10" s="68" t="str">
        <f t="shared" si="15"/>
        <v>MONTANA TAX</v>
      </c>
      <c r="HU10" s="68" t="str">
        <f t="shared" si="15"/>
        <v>WILD HORSE SOLAR</v>
      </c>
      <c r="HV10" s="68" t="str">
        <f t="shared" si="15"/>
        <v>STORM EXPENSE NORMALIZATION</v>
      </c>
      <c r="HW10" s="68" t="str">
        <f t="shared" si="15"/>
        <v>REGULATORY  ASSETS &amp; LIAB</v>
      </c>
      <c r="HX10" s="68" t="str">
        <f t="shared" si="15"/>
        <v>GREEN DIRECT</v>
      </c>
      <c r="HY10" s="68" t="str">
        <f t="shared" si="15"/>
        <v>STORM DEFERRAL AMORTIZATION</v>
      </c>
      <c r="HZ10" s="68" t="str">
        <f t="shared" si="15"/>
        <v>ELECTRIC VEHICLES</v>
      </c>
      <c r="IA10" s="68" t="str">
        <f t="shared" si="15"/>
        <v>COLSTRIP D&amp;R TRACKER</v>
      </c>
      <c r="IB10" s="68" t="str">
        <f t="shared" si="15"/>
        <v>OPEN 3</v>
      </c>
      <c r="IC10" s="206" t="s">
        <v>674</v>
      </c>
      <c r="ID10" s="206" t="s">
        <v>1045</v>
      </c>
      <c r="IE10" s="68" t="str">
        <f>GG10</f>
        <v>MONETIZE PTCS FOR COLSTRIP</v>
      </c>
      <c r="IF10" s="68" t="str">
        <f>GH10</f>
        <v>ACQUISITION ADJUSTMENT</v>
      </c>
      <c r="IG10" s="67" t="s">
        <v>59</v>
      </c>
      <c r="IH10" s="67" t="s">
        <v>60</v>
      </c>
      <c r="II10" s="68" t="str">
        <f t="shared" ref="II10:JZ10" si="16">GK10</f>
        <v>REVENUES AND EXPENSES</v>
      </c>
      <c r="IJ10" s="68" t="str">
        <f t="shared" si="16"/>
        <v>PASS-THROUGH REVENUE &amp; EXPENSE</v>
      </c>
      <c r="IK10" s="68" t="str">
        <f t="shared" si="16"/>
        <v>TEMPERATURE NORMALIZATION</v>
      </c>
      <c r="IL10" s="68" t="str">
        <f t="shared" si="16"/>
        <v>FEDERAL INCOME TAX</v>
      </c>
      <c r="IM10" s="68" t="str">
        <f t="shared" si="16"/>
        <v>TAX BENEFIT OF INTEREST</v>
      </c>
      <c r="IN10" s="68" t="str">
        <f t="shared" si="16"/>
        <v>BAD DEBT EXPENSE</v>
      </c>
      <c r="IO10" s="68" t="str">
        <f t="shared" si="16"/>
        <v>RATE CASE EXPENSE</v>
      </c>
      <c r="IP10" s="68" t="str">
        <f t="shared" si="16"/>
        <v xml:space="preserve">EXCISE TAX </v>
      </c>
      <c r="IQ10" s="68" t="str">
        <f t="shared" si="16"/>
        <v>EMPLOYEE INSURANCE</v>
      </c>
      <c r="IR10" s="68" t="str">
        <f t="shared" si="16"/>
        <v>INJURIES &amp; DAMAGES</v>
      </c>
      <c r="IS10" s="68" t="str">
        <f t="shared" si="16"/>
        <v>INCENTIVE PAY</v>
      </c>
      <c r="IT10" s="68" t="str">
        <f t="shared" si="16"/>
        <v>INVESTMENT PLAN</v>
      </c>
      <c r="IU10" s="68" t="str">
        <f t="shared" si="16"/>
        <v>INTEREST ON  CUSTOMER DEPOSITS</v>
      </c>
      <c r="IV10" s="68" t="str">
        <f t="shared" si="16"/>
        <v>PROPERTY AND LIAB INSURANCE</v>
      </c>
      <c r="IW10" s="68" t="str">
        <f t="shared" si="16"/>
        <v>DEFERRED GAINS AND LOSSES ON PROPERTY SALES</v>
      </c>
      <c r="IX10" s="68" t="str">
        <f t="shared" si="16"/>
        <v>D&amp;O INSURANCE</v>
      </c>
      <c r="IY10" s="68" t="str">
        <f t="shared" si="16"/>
        <v>PENSION PLAN</v>
      </c>
      <c r="IZ10" s="68" t="str">
        <f t="shared" si="16"/>
        <v>WAGE INCREASE</v>
      </c>
      <c r="JA10" s="68" t="str">
        <f t="shared" si="16"/>
        <v>AMA TO EOP RATE BASE</v>
      </c>
      <c r="JB10" s="68" t="str">
        <f t="shared" si="16"/>
        <v>AMA TO EOP DEPRECIATION</v>
      </c>
      <c r="JC10" s="68" t="str">
        <f t="shared" si="16"/>
        <v>WUTC FILING FEE</v>
      </c>
      <c r="JD10" s="68" t="str">
        <f t="shared" si="16"/>
        <v>PRO FORMA O&amp;M</v>
      </c>
      <c r="JE10" s="68" t="str">
        <f t="shared" si="16"/>
        <v>AMR REGULATORY ASSET</v>
      </c>
      <c r="JF10" s="68" t="str">
        <f t="shared" si="16"/>
        <v>AMI PLANT AND DEFERRAL</v>
      </c>
      <c r="JG10" s="68" t="str">
        <f t="shared" si="16"/>
        <v>GTZ DEFERRAL</v>
      </c>
      <c r="JH10" s="68" t="str">
        <f t="shared" si="16"/>
        <v>ENVIRONMENTAL REMEDIATION</v>
      </c>
      <c r="JI10" s="68" t="str">
        <f t="shared" si="16"/>
        <v>COVID DEFERRAL</v>
      </c>
      <c r="JJ10" s="68" t="str">
        <f t="shared" si="16"/>
        <v>ESTIMATED PLANT RETIREMENTS RATE BASE</v>
      </c>
      <c r="JK10" s="68" t="str">
        <f t="shared" si="16"/>
        <v>TEST YEAR PLANT ROLL FORWARD</v>
      </c>
      <c r="JL10" s="68" t="str">
        <f t="shared" si="16"/>
        <v>PROVISIONAL PROFORMA RETIREMENTS DEPRECIATION</v>
      </c>
      <c r="JM10" s="68" t="str">
        <f t="shared" si="16"/>
        <v>PROGRAMMATIC PROVISIONAL PROFORMA</v>
      </c>
      <c r="JN10" s="68" t="str">
        <f t="shared" si="16"/>
        <v>CUSTOMER DRIVEN PROGRAMMATIC PROVISIONAL PROFORMA</v>
      </c>
      <c r="JO10" s="68" t="str">
        <f t="shared" si="16"/>
        <v>SPECIFIC PROVISIONAL PROFORMA</v>
      </c>
      <c r="JP10" s="68" t="str">
        <f t="shared" si="16"/>
        <v>PROJECTED PROVISIONAL PROFORMA</v>
      </c>
      <c r="JQ10" s="68" t="str">
        <f t="shared" si="16"/>
        <v>POWER COSTS</v>
      </c>
      <c r="JR10" s="68" t="str">
        <f t="shared" si="16"/>
        <v>MONTANA TAX</v>
      </c>
      <c r="JS10" s="68" t="str">
        <f t="shared" si="16"/>
        <v>WILD HORSE SOLAR</v>
      </c>
      <c r="JT10" s="68" t="str">
        <f t="shared" si="16"/>
        <v>STORM EXPENSE NORMALIZATION</v>
      </c>
      <c r="JU10" s="68" t="str">
        <f t="shared" si="16"/>
        <v>REGULATORY  ASSETS &amp; LIAB</v>
      </c>
      <c r="JV10" s="68" t="str">
        <f t="shared" si="16"/>
        <v>GREEN DIRECT</v>
      </c>
      <c r="JW10" s="68" t="str">
        <f t="shared" si="16"/>
        <v>STORM DEFERRAL AMORTIZATION</v>
      </c>
      <c r="JX10" s="68" t="str">
        <f t="shared" si="16"/>
        <v>ELECTRIC VEHICLES</v>
      </c>
      <c r="JY10" s="68" t="str">
        <f t="shared" si="16"/>
        <v>COLSTRIP D&amp;R TRACKER</v>
      </c>
      <c r="JZ10" s="68" t="str">
        <f t="shared" si="16"/>
        <v>OPEN 3</v>
      </c>
      <c r="KA10" s="206" t="s">
        <v>674</v>
      </c>
      <c r="KB10" s="206" t="s">
        <v>1045</v>
      </c>
      <c r="KC10" s="68" t="str">
        <f>IE10</f>
        <v>MONETIZE PTCS FOR COLSTRIP</v>
      </c>
      <c r="KD10" s="68" t="str">
        <f>IF10</f>
        <v>ACQUISITION ADJUSTMENT</v>
      </c>
      <c r="KE10" s="67" t="s">
        <v>61</v>
      </c>
      <c r="KF10" s="67" t="s">
        <v>62</v>
      </c>
      <c r="KG10" s="43" t="s">
        <v>34</v>
      </c>
    </row>
    <row r="11" spans="1:293" x14ac:dyDescent="0.3">
      <c r="C11" s="73" t="s">
        <v>675</v>
      </c>
      <c r="D11" s="58" t="s">
        <v>676</v>
      </c>
      <c r="E11" s="58" t="s">
        <v>677</v>
      </c>
      <c r="F11" s="58" t="s">
        <v>93</v>
      </c>
      <c r="G11" s="58" t="s">
        <v>678</v>
      </c>
      <c r="H11" s="58" t="s">
        <v>679</v>
      </c>
      <c r="I11" s="58" t="s">
        <v>680</v>
      </c>
      <c r="J11" s="58" t="s">
        <v>681</v>
      </c>
      <c r="K11" s="58" t="s">
        <v>682</v>
      </c>
      <c r="L11" s="58" t="s">
        <v>683</v>
      </c>
      <c r="M11" s="58" t="s">
        <v>684</v>
      </c>
      <c r="N11" s="58" t="s">
        <v>685</v>
      </c>
      <c r="O11" s="58" t="s">
        <v>686</v>
      </c>
      <c r="P11" s="58" t="s">
        <v>687</v>
      </c>
      <c r="Q11" s="58" t="s">
        <v>688</v>
      </c>
      <c r="R11" s="58" t="s">
        <v>689</v>
      </c>
      <c r="S11" s="58" t="s">
        <v>690</v>
      </c>
      <c r="T11" s="58" t="s">
        <v>691</v>
      </c>
      <c r="U11" s="58" t="s">
        <v>692</v>
      </c>
      <c r="V11" s="58" t="s">
        <v>693</v>
      </c>
      <c r="W11" s="58" t="s">
        <v>694</v>
      </c>
      <c r="X11" s="58" t="s">
        <v>695</v>
      </c>
      <c r="Y11" s="58" t="s">
        <v>696</v>
      </c>
      <c r="Z11" s="58" t="s">
        <v>697</v>
      </c>
      <c r="AA11" s="58" t="s">
        <v>698</v>
      </c>
      <c r="AB11" s="58" t="s">
        <v>699</v>
      </c>
      <c r="AC11" s="58" t="s">
        <v>700</v>
      </c>
      <c r="AD11" s="58" t="s">
        <v>701</v>
      </c>
      <c r="AE11" s="58" t="s">
        <v>702</v>
      </c>
      <c r="AF11" s="58" t="s">
        <v>703</v>
      </c>
      <c r="AG11" s="58" t="s">
        <v>704</v>
      </c>
      <c r="AH11" s="58" t="s">
        <v>705</v>
      </c>
      <c r="AI11" s="58" t="s">
        <v>942</v>
      </c>
      <c r="AJ11" s="58" t="s">
        <v>943</v>
      </c>
      <c r="AK11" s="58" t="s">
        <v>708</v>
      </c>
      <c r="AL11" s="58" t="s">
        <v>709</v>
      </c>
      <c r="AM11" s="58" t="s">
        <v>710</v>
      </c>
      <c r="AN11" s="58" t="s">
        <v>711</v>
      </c>
      <c r="AO11" s="58" t="s">
        <v>712</v>
      </c>
      <c r="AP11" s="204" t="s">
        <v>1015</v>
      </c>
      <c r="AQ11" s="58" t="s">
        <v>713</v>
      </c>
      <c r="AR11" s="73" t="s">
        <v>944</v>
      </c>
      <c r="AS11" s="73" t="s">
        <v>945</v>
      </c>
      <c r="AT11" s="58" t="s">
        <v>716</v>
      </c>
      <c r="AU11" s="58" t="s">
        <v>717</v>
      </c>
      <c r="AV11" s="58" t="s">
        <v>718</v>
      </c>
      <c r="AW11" s="58" t="s">
        <v>719</v>
      </c>
      <c r="AX11" s="58" t="s">
        <v>720</v>
      </c>
      <c r="AY11" s="58" t="s">
        <v>721</v>
      </c>
      <c r="AZ11" s="58" t="s">
        <v>722</v>
      </c>
      <c r="BA11" s="58" t="s">
        <v>723</v>
      </c>
      <c r="BB11" s="58" t="s">
        <v>724</v>
      </c>
      <c r="BC11" s="58" t="s">
        <v>725</v>
      </c>
      <c r="BD11" s="58" t="s">
        <v>726</v>
      </c>
      <c r="BE11" s="58" t="s">
        <v>727</v>
      </c>
      <c r="BF11" s="58" t="s">
        <v>728</v>
      </c>
      <c r="BG11" s="58" t="s">
        <v>729</v>
      </c>
      <c r="BH11" s="58" t="s">
        <v>730</v>
      </c>
      <c r="BI11" s="58" t="s">
        <v>731</v>
      </c>
      <c r="BJ11" s="58" t="s">
        <v>732</v>
      </c>
      <c r="BK11" s="58" t="s">
        <v>733</v>
      </c>
      <c r="BL11" s="58" t="s">
        <v>734</v>
      </c>
      <c r="BM11" s="58" t="s">
        <v>735</v>
      </c>
      <c r="BN11" s="58" t="s">
        <v>736</v>
      </c>
      <c r="BO11" s="58" t="s">
        <v>737</v>
      </c>
      <c r="BP11" s="58" t="s">
        <v>738</v>
      </c>
      <c r="BQ11" s="58" t="s">
        <v>739</v>
      </c>
      <c r="BR11" s="58" t="s">
        <v>740</v>
      </c>
      <c r="BS11" s="58" t="s">
        <v>741</v>
      </c>
      <c r="BT11" s="58" t="s">
        <v>742</v>
      </c>
      <c r="BU11" s="58" t="s">
        <v>743</v>
      </c>
      <c r="BV11" s="58" t="s">
        <v>744</v>
      </c>
      <c r="BW11" s="58" t="s">
        <v>745</v>
      </c>
      <c r="BX11" s="58" t="s">
        <v>946</v>
      </c>
      <c r="BY11" s="58" t="s">
        <v>947</v>
      </c>
      <c r="BZ11" s="58" t="s">
        <v>748</v>
      </c>
      <c r="CA11" s="58" t="s">
        <v>749</v>
      </c>
      <c r="CB11" s="58" t="s">
        <v>750</v>
      </c>
      <c r="CC11" s="58" t="s">
        <v>751</v>
      </c>
      <c r="CD11" s="58" t="s">
        <v>752</v>
      </c>
      <c r="CE11" s="58" t="s">
        <v>753</v>
      </c>
      <c r="CF11" s="58" t="s">
        <v>754</v>
      </c>
      <c r="CG11" s="58" t="s">
        <v>755</v>
      </c>
      <c r="CH11" s="58" t="s">
        <v>756</v>
      </c>
      <c r="CI11" s="58" t="s">
        <v>757</v>
      </c>
      <c r="CJ11" s="58" t="s">
        <v>758</v>
      </c>
      <c r="CK11" s="58" t="s">
        <v>759</v>
      </c>
      <c r="CL11" s="58" t="s">
        <v>760</v>
      </c>
      <c r="CM11" s="58" t="s">
        <v>761</v>
      </c>
      <c r="CN11" s="73" t="s">
        <v>948</v>
      </c>
      <c r="CO11" s="73" t="s">
        <v>949</v>
      </c>
      <c r="CP11" s="58" t="s">
        <v>764</v>
      </c>
      <c r="CQ11" s="58" t="s">
        <v>765</v>
      </c>
      <c r="CR11" s="58" t="s">
        <v>766</v>
      </c>
      <c r="CS11" s="58" t="s">
        <v>767</v>
      </c>
      <c r="CT11" s="58" t="s">
        <v>768</v>
      </c>
      <c r="CU11" s="58" t="s">
        <v>769</v>
      </c>
      <c r="CV11" s="58" t="s">
        <v>770</v>
      </c>
      <c r="CW11" s="58" t="s">
        <v>771</v>
      </c>
      <c r="CX11" s="58" t="s">
        <v>772</v>
      </c>
      <c r="CY11" s="58" t="s">
        <v>773</v>
      </c>
      <c r="CZ11" s="58" t="s">
        <v>774</v>
      </c>
      <c r="DA11" s="58" t="s">
        <v>775</v>
      </c>
      <c r="DB11" s="58" t="s">
        <v>776</v>
      </c>
      <c r="DC11" s="58" t="s">
        <v>777</v>
      </c>
      <c r="DD11" s="58" t="s">
        <v>778</v>
      </c>
      <c r="DE11" s="58" t="s">
        <v>779</v>
      </c>
      <c r="DF11" s="58" t="s">
        <v>780</v>
      </c>
      <c r="DG11" s="58" t="s">
        <v>781</v>
      </c>
      <c r="DH11" s="58" t="s">
        <v>782</v>
      </c>
      <c r="DI11" s="58" t="s">
        <v>783</v>
      </c>
      <c r="DJ11" s="58" t="s">
        <v>784</v>
      </c>
      <c r="DK11" s="58" t="s">
        <v>950</v>
      </c>
      <c r="DL11" s="58" t="s">
        <v>951</v>
      </c>
      <c r="DM11" s="58" t="s">
        <v>787</v>
      </c>
      <c r="DN11" s="58" t="s">
        <v>788</v>
      </c>
      <c r="DO11" s="58" t="s">
        <v>789</v>
      </c>
      <c r="DP11" s="58" t="s">
        <v>790</v>
      </c>
      <c r="DQ11" s="58" t="s">
        <v>791</v>
      </c>
      <c r="DR11" s="58" t="s">
        <v>792</v>
      </c>
      <c r="DS11" s="58" t="s">
        <v>793</v>
      </c>
      <c r="DT11" s="58" t="s">
        <v>794</v>
      </c>
      <c r="DU11" s="58" t="s">
        <v>795</v>
      </c>
      <c r="DV11" s="58" t="s">
        <v>796</v>
      </c>
      <c r="DW11" s="58" t="s">
        <v>797</v>
      </c>
      <c r="DX11" s="58" t="s">
        <v>798</v>
      </c>
      <c r="DY11" s="58" t="s">
        <v>799</v>
      </c>
      <c r="DZ11" s="58" t="s">
        <v>800</v>
      </c>
      <c r="EA11" s="58" t="s">
        <v>801</v>
      </c>
      <c r="EB11" s="58" t="s">
        <v>802</v>
      </c>
      <c r="EC11" s="58" t="s">
        <v>803</v>
      </c>
      <c r="ED11" s="58" t="s">
        <v>804</v>
      </c>
      <c r="EE11" s="58" t="s">
        <v>805</v>
      </c>
      <c r="EF11" s="58" t="s">
        <v>806</v>
      </c>
      <c r="EG11" s="58" t="s">
        <v>807</v>
      </c>
      <c r="EH11" s="204" t="s">
        <v>1015</v>
      </c>
      <c r="EI11" s="58" t="s">
        <v>809</v>
      </c>
      <c r="EJ11" s="58" t="s">
        <v>810</v>
      </c>
      <c r="EK11" s="73" t="s">
        <v>952</v>
      </c>
      <c r="EL11" s="73" t="s">
        <v>953</v>
      </c>
      <c r="EM11" s="58" t="s">
        <v>813</v>
      </c>
      <c r="EN11" s="58" t="s">
        <v>814</v>
      </c>
      <c r="EO11" s="58" t="s">
        <v>815</v>
      </c>
      <c r="EP11" s="58" t="s">
        <v>816</v>
      </c>
      <c r="EQ11" s="58" t="s">
        <v>817</v>
      </c>
      <c r="ER11" s="58" t="s">
        <v>818</v>
      </c>
      <c r="ES11" s="58" t="s">
        <v>819</v>
      </c>
      <c r="ET11" s="58" t="s">
        <v>820</v>
      </c>
      <c r="EU11" s="58" t="s">
        <v>821</v>
      </c>
      <c r="EV11" s="58" t="s">
        <v>822</v>
      </c>
      <c r="EW11" s="58" t="s">
        <v>823</v>
      </c>
      <c r="EX11" s="58" t="s">
        <v>954</v>
      </c>
      <c r="EY11" s="58" t="s">
        <v>955</v>
      </c>
      <c r="EZ11" s="58" t="s">
        <v>826</v>
      </c>
      <c r="FA11" s="58" t="s">
        <v>827</v>
      </c>
      <c r="FB11" s="58" t="s">
        <v>828</v>
      </c>
      <c r="FC11" s="58" t="s">
        <v>829</v>
      </c>
      <c r="FD11" s="58" t="s">
        <v>830</v>
      </c>
      <c r="FE11" s="58" t="s">
        <v>831</v>
      </c>
      <c r="FF11" s="58" t="s">
        <v>832</v>
      </c>
      <c r="FG11" s="58" t="s">
        <v>833</v>
      </c>
      <c r="FH11" s="58" t="s">
        <v>834</v>
      </c>
      <c r="FI11" s="58" t="s">
        <v>835</v>
      </c>
      <c r="FJ11" s="58" t="s">
        <v>836</v>
      </c>
      <c r="FK11" s="58" t="s">
        <v>837</v>
      </c>
      <c r="FL11" s="58" t="s">
        <v>838</v>
      </c>
      <c r="FM11" s="58" t="s">
        <v>839</v>
      </c>
      <c r="FN11" s="58" t="s">
        <v>840</v>
      </c>
      <c r="FO11" s="58" t="s">
        <v>841</v>
      </c>
      <c r="FP11" s="58" t="s">
        <v>842</v>
      </c>
      <c r="FQ11" s="58" t="s">
        <v>843</v>
      </c>
      <c r="FR11" s="58" t="s">
        <v>844</v>
      </c>
      <c r="FS11" s="58" t="s">
        <v>845</v>
      </c>
      <c r="FT11" s="58" t="s">
        <v>846</v>
      </c>
      <c r="FU11" s="58" t="s">
        <v>847</v>
      </c>
      <c r="FV11" s="58" t="s">
        <v>848</v>
      </c>
      <c r="FW11" s="58" t="s">
        <v>849</v>
      </c>
      <c r="FX11" s="58" t="s">
        <v>850</v>
      </c>
      <c r="FY11" s="58" t="s">
        <v>851</v>
      </c>
      <c r="FZ11" s="58" t="s">
        <v>852</v>
      </c>
      <c r="GA11" s="58" t="s">
        <v>853</v>
      </c>
      <c r="GB11" s="58" t="s">
        <v>854</v>
      </c>
      <c r="GC11" s="58" t="s">
        <v>855</v>
      </c>
      <c r="GD11" s="58" t="s">
        <v>856</v>
      </c>
      <c r="GE11" s="204" t="s">
        <v>1015</v>
      </c>
      <c r="GF11" s="204" t="s">
        <v>1015</v>
      </c>
      <c r="GG11" s="58" t="s">
        <v>857</v>
      </c>
      <c r="GH11" s="58" t="s">
        <v>858</v>
      </c>
      <c r="GI11" s="73" t="s">
        <v>956</v>
      </c>
      <c r="GJ11" s="73" t="s">
        <v>957</v>
      </c>
      <c r="GK11" s="58" t="s">
        <v>861</v>
      </c>
      <c r="GL11" s="58" t="s">
        <v>862</v>
      </c>
      <c r="GM11" s="58" t="s">
        <v>958</v>
      </c>
      <c r="GN11" s="58" t="s">
        <v>959</v>
      </c>
      <c r="GO11" s="58" t="s">
        <v>865</v>
      </c>
      <c r="GP11" s="58" t="s">
        <v>866</v>
      </c>
      <c r="GQ11" s="58" t="s">
        <v>867</v>
      </c>
      <c r="GR11" s="58" t="s">
        <v>868</v>
      </c>
      <c r="GS11" s="58" t="s">
        <v>869</v>
      </c>
      <c r="GT11" s="58" t="s">
        <v>870</v>
      </c>
      <c r="GU11" s="58" t="s">
        <v>871</v>
      </c>
      <c r="GV11" s="58" t="s">
        <v>872</v>
      </c>
      <c r="GW11" s="58" t="s">
        <v>873</v>
      </c>
      <c r="GX11" s="58" t="s">
        <v>874</v>
      </c>
      <c r="GY11" s="58" t="s">
        <v>875</v>
      </c>
      <c r="GZ11" s="58" t="s">
        <v>876</v>
      </c>
      <c r="HA11" s="58" t="s">
        <v>877</v>
      </c>
      <c r="HB11" s="58" t="s">
        <v>878</v>
      </c>
      <c r="HC11" s="58" t="s">
        <v>879</v>
      </c>
      <c r="HD11" s="58" t="s">
        <v>880</v>
      </c>
      <c r="HE11" s="58" t="s">
        <v>881</v>
      </c>
      <c r="HF11" s="58" t="s">
        <v>882</v>
      </c>
      <c r="HG11" s="58" t="s">
        <v>883</v>
      </c>
      <c r="HH11" s="58" t="s">
        <v>884</v>
      </c>
      <c r="HI11" s="58" t="s">
        <v>885</v>
      </c>
      <c r="HJ11" s="58" t="s">
        <v>886</v>
      </c>
      <c r="HK11" s="58" t="s">
        <v>887</v>
      </c>
      <c r="HL11" s="58" t="s">
        <v>888</v>
      </c>
      <c r="HM11" s="58" t="s">
        <v>889</v>
      </c>
      <c r="HN11" s="58" t="s">
        <v>890</v>
      </c>
      <c r="HO11" s="58" t="s">
        <v>891</v>
      </c>
      <c r="HP11" s="58" t="s">
        <v>892</v>
      </c>
      <c r="HQ11" s="58" t="s">
        <v>893</v>
      </c>
      <c r="HR11" s="58" t="s">
        <v>894</v>
      </c>
      <c r="HS11" s="58" t="s">
        <v>895</v>
      </c>
      <c r="HT11" s="58" t="s">
        <v>896</v>
      </c>
      <c r="HU11" s="58" t="s">
        <v>897</v>
      </c>
      <c r="HV11" s="58" t="s">
        <v>898</v>
      </c>
      <c r="HW11" s="58" t="s">
        <v>899</v>
      </c>
      <c r="HX11" s="58" t="s">
        <v>900</v>
      </c>
      <c r="HY11" s="58" t="s">
        <v>901</v>
      </c>
      <c r="HZ11" s="58" t="s">
        <v>960</v>
      </c>
      <c r="IA11" s="58" t="s">
        <v>961</v>
      </c>
      <c r="IB11" s="58" t="s">
        <v>962</v>
      </c>
      <c r="IC11" s="204" t="s">
        <v>1015</v>
      </c>
      <c r="ID11" s="204" t="s">
        <v>1015</v>
      </c>
      <c r="IE11" s="58" t="s">
        <v>963</v>
      </c>
      <c r="IF11" s="58" t="s">
        <v>964</v>
      </c>
      <c r="IG11" s="73" t="s">
        <v>965</v>
      </c>
      <c r="IH11" s="73" t="s">
        <v>966</v>
      </c>
      <c r="II11" s="58" t="s">
        <v>967</v>
      </c>
      <c r="IJ11" s="58" t="s">
        <v>968</v>
      </c>
      <c r="IK11" s="58" t="s">
        <v>969</v>
      </c>
      <c r="IL11" s="58" t="s">
        <v>970</v>
      </c>
      <c r="IM11" s="58" t="s">
        <v>971</v>
      </c>
      <c r="IN11" s="58" t="s">
        <v>972</v>
      </c>
      <c r="IO11" s="58" t="s">
        <v>973</v>
      </c>
      <c r="IP11" s="58" t="s">
        <v>974</v>
      </c>
      <c r="IQ11" s="58" t="s">
        <v>975</v>
      </c>
      <c r="IR11" s="58" t="s">
        <v>976</v>
      </c>
      <c r="IS11" s="58" t="s">
        <v>977</v>
      </c>
      <c r="IT11" s="58" t="s">
        <v>978</v>
      </c>
      <c r="IU11" s="58" t="s">
        <v>979</v>
      </c>
      <c r="IV11" s="58" t="s">
        <v>980</v>
      </c>
      <c r="IW11" s="58" t="s">
        <v>981</v>
      </c>
      <c r="IX11" s="58" t="s">
        <v>982</v>
      </c>
      <c r="IY11" s="58" t="s">
        <v>983</v>
      </c>
      <c r="IZ11" s="58" t="s">
        <v>984</v>
      </c>
      <c r="JA11" s="58" t="s">
        <v>985</v>
      </c>
      <c r="JB11" s="58" t="s">
        <v>986</v>
      </c>
      <c r="JC11" s="58" t="s">
        <v>987</v>
      </c>
      <c r="JD11" s="58" t="s">
        <v>988</v>
      </c>
      <c r="JE11" s="58" t="s">
        <v>989</v>
      </c>
      <c r="JF11" s="58" t="s">
        <v>990</v>
      </c>
      <c r="JG11" s="58" t="s">
        <v>991</v>
      </c>
      <c r="JH11" s="58" t="s">
        <v>992</v>
      </c>
      <c r="JI11" s="58" t="s">
        <v>993</v>
      </c>
      <c r="JJ11" s="58" t="s">
        <v>994</v>
      </c>
      <c r="JK11" s="58" t="s">
        <v>995</v>
      </c>
      <c r="JL11" s="58" t="s">
        <v>996</v>
      </c>
      <c r="JM11" s="58" t="s">
        <v>997</v>
      </c>
      <c r="JN11" s="58" t="s">
        <v>998</v>
      </c>
      <c r="JO11" s="58" t="s">
        <v>999</v>
      </c>
      <c r="JP11" s="58" t="s">
        <v>1000</v>
      </c>
      <c r="JQ11" s="58" t="s">
        <v>1001</v>
      </c>
      <c r="JR11" s="58" t="s">
        <v>1002</v>
      </c>
      <c r="JS11" s="58" t="s">
        <v>1003</v>
      </c>
      <c r="JT11" s="58" t="s">
        <v>1004</v>
      </c>
      <c r="JU11" s="58" t="s">
        <v>1005</v>
      </c>
      <c r="JV11" s="58" t="s">
        <v>1006</v>
      </c>
      <c r="JW11" s="58" t="s">
        <v>1007</v>
      </c>
      <c r="JX11" s="58" t="s">
        <v>1008</v>
      </c>
      <c r="JY11" s="58" t="s">
        <v>1009</v>
      </c>
      <c r="JZ11" s="58" t="s">
        <v>1010</v>
      </c>
      <c r="KA11" s="204" t="s">
        <v>1015</v>
      </c>
      <c r="KB11" s="204" t="s">
        <v>1015</v>
      </c>
      <c r="KC11" s="58" t="s">
        <v>1011</v>
      </c>
      <c r="KD11" s="58" t="s">
        <v>1012</v>
      </c>
      <c r="KE11" s="73" t="s">
        <v>1013</v>
      </c>
      <c r="KF11" s="73" t="s">
        <v>1014</v>
      </c>
      <c r="KG11" s="43" t="s">
        <v>34</v>
      </c>
    </row>
    <row r="12" spans="1:293" x14ac:dyDescent="0.3">
      <c r="A12" s="58">
        <f>ROW()</f>
        <v>12</v>
      </c>
      <c r="B12" s="74" t="s">
        <v>63</v>
      </c>
      <c r="C12" s="75"/>
      <c r="AP12" s="205"/>
      <c r="AR12" s="75"/>
      <c r="AS12" s="75"/>
      <c r="CN12" s="75"/>
      <c r="CO12" s="75"/>
      <c r="EH12" s="205"/>
      <c r="EK12" s="75"/>
      <c r="EL12" s="75"/>
      <c r="GE12" s="205"/>
      <c r="GF12" s="205"/>
      <c r="GI12" s="75"/>
      <c r="GJ12" s="75"/>
      <c r="IC12" s="205"/>
      <c r="ID12" s="205"/>
      <c r="IG12" s="75"/>
      <c r="IH12" s="75"/>
      <c r="KA12" s="205"/>
      <c r="KB12" s="205"/>
      <c r="KE12" s="75"/>
      <c r="KF12" s="75"/>
      <c r="KG12" s="43" t="s">
        <v>34</v>
      </c>
    </row>
    <row r="13" spans="1:293" x14ac:dyDescent="0.3">
      <c r="A13" s="58">
        <f>ROW()</f>
        <v>13</v>
      </c>
      <c r="B13" s="74" t="s">
        <v>64</v>
      </c>
      <c r="C13" s="76">
        <v>2245635654.9000001</v>
      </c>
      <c r="D13" s="77">
        <v>88860250.750061646</v>
      </c>
      <c r="E13" s="77">
        <v>-224175000.86442834</v>
      </c>
      <c r="F13" s="77">
        <v>1100365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77"/>
      <c r="AO13" s="77"/>
      <c r="AP13" s="207"/>
      <c r="AQ13" s="77"/>
      <c r="AR13" s="76">
        <f>SUM(D13:AQ13)</f>
        <v>-134214385.11436671</v>
      </c>
      <c r="AS13" s="76">
        <f>+AR13+C13</f>
        <v>2111421269.7856333</v>
      </c>
      <c r="AT13" s="77">
        <v>3562400.2800000017</v>
      </c>
      <c r="AU13" s="77"/>
      <c r="AV13" s="77">
        <v>0</v>
      </c>
      <c r="AW13" s="77"/>
      <c r="AX13" s="77"/>
      <c r="AY13" s="77"/>
      <c r="AZ13" s="77"/>
      <c r="BA13" s="77"/>
      <c r="BB13" s="7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Q13" s="77"/>
      <c r="BR13" s="77"/>
      <c r="BS13" s="77"/>
      <c r="BT13" s="77"/>
      <c r="BU13" s="77"/>
      <c r="BV13" s="77"/>
      <c r="BW13" s="77"/>
      <c r="BX13" s="77"/>
      <c r="BY13" s="77"/>
      <c r="BZ13" s="77"/>
      <c r="CA13" s="77"/>
      <c r="CB13" s="77"/>
      <c r="CC13" s="77"/>
      <c r="CD13" s="77"/>
      <c r="CE13" s="77"/>
      <c r="CF13" s="77"/>
      <c r="CG13" s="77"/>
      <c r="CH13" s="77"/>
      <c r="CI13" s="77"/>
      <c r="CJ13" s="77"/>
      <c r="CK13" s="77"/>
      <c r="CL13" s="77"/>
      <c r="CM13" s="77"/>
      <c r="CN13" s="76">
        <f>SUM(AT13:CM13)</f>
        <v>3562400.2800000017</v>
      </c>
      <c r="CO13" s="76">
        <f>+CN13+AS13</f>
        <v>2114983670.0656333</v>
      </c>
      <c r="CP13" s="77">
        <v>-55161788.366633415</v>
      </c>
      <c r="CQ13" s="77"/>
      <c r="CR13" s="77"/>
      <c r="CS13" s="77"/>
      <c r="CT13" s="77"/>
      <c r="CU13" s="77"/>
      <c r="CV13" s="77"/>
      <c r="CW13" s="77"/>
      <c r="CX13" s="77"/>
      <c r="CY13" s="77"/>
      <c r="CZ13" s="77"/>
      <c r="DA13" s="77"/>
      <c r="DB13" s="77"/>
      <c r="DC13" s="77"/>
      <c r="DD13" s="77"/>
      <c r="DE13" s="77"/>
      <c r="DF13" s="77"/>
      <c r="DG13" s="77"/>
      <c r="DH13" s="77"/>
      <c r="DI13" s="77"/>
      <c r="DJ13" s="77"/>
      <c r="DK13" s="77"/>
      <c r="DL13" s="77"/>
      <c r="DM13" s="77"/>
      <c r="DN13" s="77"/>
      <c r="DO13" s="77"/>
      <c r="DP13" s="77"/>
      <c r="DQ13" s="77"/>
      <c r="DR13" s="77"/>
      <c r="DS13" s="77"/>
      <c r="DT13" s="77"/>
      <c r="DU13" s="77"/>
      <c r="DV13" s="77"/>
      <c r="DW13" s="77"/>
      <c r="DX13" s="77"/>
      <c r="DY13" s="77"/>
      <c r="DZ13" s="77"/>
      <c r="EA13" s="77"/>
      <c r="EB13" s="77"/>
      <c r="EC13" s="77"/>
      <c r="ED13" s="77"/>
      <c r="EE13" s="77"/>
      <c r="EF13" s="77"/>
      <c r="EG13" s="77"/>
      <c r="EH13" s="207"/>
      <c r="EI13" s="77"/>
      <c r="EJ13" s="77"/>
      <c r="EK13" s="76">
        <f>SUM(CP13:EJ13)</f>
        <v>-55161788.366633415</v>
      </c>
      <c r="EL13" s="76">
        <f>+EK13+CO13</f>
        <v>2059821881.6989999</v>
      </c>
      <c r="EM13" s="77">
        <v>17327945.326629162</v>
      </c>
      <c r="EN13" s="77"/>
      <c r="EO13" s="77"/>
      <c r="EP13" s="77"/>
      <c r="EQ13" s="77"/>
      <c r="ER13" s="77"/>
      <c r="ES13" s="77"/>
      <c r="ET13" s="77"/>
      <c r="EU13" s="77"/>
      <c r="EV13" s="77"/>
      <c r="EW13" s="77"/>
      <c r="EX13" s="77"/>
      <c r="EY13" s="77"/>
      <c r="EZ13" s="77"/>
      <c r="FA13" s="77"/>
      <c r="FB13" s="77"/>
      <c r="FC13" s="77"/>
      <c r="FD13" s="77"/>
      <c r="FE13" s="77"/>
      <c r="FF13" s="77"/>
      <c r="FG13" s="77"/>
      <c r="FH13" s="77"/>
      <c r="FI13" s="77"/>
      <c r="FJ13" s="77"/>
      <c r="FK13" s="77"/>
      <c r="FL13" s="77"/>
      <c r="FM13" s="77"/>
      <c r="FN13" s="77"/>
      <c r="FO13" s="77"/>
      <c r="FP13" s="77"/>
      <c r="FQ13" s="77"/>
      <c r="FR13" s="77"/>
      <c r="FS13" s="77"/>
      <c r="FT13" s="77"/>
      <c r="FU13" s="77"/>
      <c r="FV13" s="77"/>
      <c r="FW13" s="77"/>
      <c r="FX13" s="77"/>
      <c r="FY13" s="77"/>
      <c r="FZ13" s="77"/>
      <c r="GA13" s="77"/>
      <c r="GB13" s="77"/>
      <c r="GC13" s="77"/>
      <c r="GD13" s="77"/>
      <c r="GE13" s="207"/>
      <c r="GF13" s="207"/>
      <c r="GG13" s="77"/>
      <c r="GH13" s="77"/>
      <c r="GI13" s="76">
        <f>SUM(EM13:GH13)</f>
        <v>17327945.326629162</v>
      </c>
      <c r="GJ13" s="76">
        <f>+GI13+EL13</f>
        <v>2077149827.025629</v>
      </c>
      <c r="GK13" s="77">
        <v>19743262.745587826</v>
      </c>
      <c r="GL13" s="77"/>
      <c r="GM13" s="77"/>
      <c r="GN13" s="77"/>
      <c r="GO13" s="77"/>
      <c r="GP13" s="77"/>
      <c r="GQ13" s="77"/>
      <c r="GR13" s="77"/>
      <c r="GS13" s="77"/>
      <c r="GT13" s="77"/>
      <c r="GU13" s="77"/>
      <c r="GV13" s="77"/>
      <c r="GW13" s="77"/>
      <c r="GX13" s="77"/>
      <c r="GY13" s="77"/>
      <c r="GZ13" s="77"/>
      <c r="HA13" s="77"/>
      <c r="HB13" s="77"/>
      <c r="HC13" s="77"/>
      <c r="HD13" s="77"/>
      <c r="HE13" s="77"/>
      <c r="HF13" s="77"/>
      <c r="HG13" s="77"/>
      <c r="HH13" s="77"/>
      <c r="HI13" s="77"/>
      <c r="HJ13" s="77"/>
      <c r="HK13" s="77"/>
      <c r="HL13" s="77"/>
      <c r="HM13" s="77"/>
      <c r="HN13" s="77"/>
      <c r="HO13" s="77"/>
      <c r="HP13" s="77"/>
      <c r="HQ13" s="77"/>
      <c r="HR13" s="77"/>
      <c r="HS13" s="77"/>
      <c r="HT13" s="77"/>
      <c r="HU13" s="77"/>
      <c r="HV13" s="77"/>
      <c r="HW13" s="77"/>
      <c r="HX13" s="77"/>
      <c r="HY13" s="77"/>
      <c r="HZ13" s="77"/>
      <c r="IA13" s="77"/>
      <c r="IB13" s="77"/>
      <c r="IC13" s="207"/>
      <c r="ID13" s="207"/>
      <c r="IE13" s="77"/>
      <c r="IF13" s="77"/>
      <c r="IG13" s="76">
        <f>SUM(GK13:IF13)</f>
        <v>19743262.745587826</v>
      </c>
      <c r="IH13" s="76">
        <f>+IG13+GJ13</f>
        <v>2096893089.7712169</v>
      </c>
      <c r="II13" s="77">
        <v>4659545.6296653748</v>
      </c>
      <c r="IJ13" s="77"/>
      <c r="IK13" s="77"/>
      <c r="IL13" s="77"/>
      <c r="IM13" s="77"/>
      <c r="IN13" s="77"/>
      <c r="IO13" s="77"/>
      <c r="IP13" s="77"/>
      <c r="IQ13" s="77"/>
      <c r="IR13" s="77"/>
      <c r="IS13" s="77"/>
      <c r="IT13" s="77"/>
      <c r="IU13" s="77"/>
      <c r="IV13" s="77"/>
      <c r="IW13" s="77"/>
      <c r="IX13" s="77"/>
      <c r="IY13" s="77"/>
      <c r="IZ13" s="77"/>
      <c r="JA13" s="77"/>
      <c r="JB13" s="77"/>
      <c r="JC13" s="77"/>
      <c r="JD13" s="77"/>
      <c r="JE13" s="77"/>
      <c r="JF13" s="77"/>
      <c r="JG13" s="77"/>
      <c r="JH13" s="77"/>
      <c r="JI13" s="77"/>
      <c r="JJ13" s="77"/>
      <c r="JK13" s="77"/>
      <c r="JL13" s="77"/>
      <c r="JM13" s="77"/>
      <c r="JN13" s="77"/>
      <c r="JO13" s="77"/>
      <c r="JP13" s="77"/>
      <c r="JQ13" s="77"/>
      <c r="JR13" s="77"/>
      <c r="JS13" s="77"/>
      <c r="JT13" s="77"/>
      <c r="JU13" s="77"/>
      <c r="JV13" s="77"/>
      <c r="JW13" s="77"/>
      <c r="JX13" s="77"/>
      <c r="JY13" s="77"/>
      <c r="JZ13" s="77"/>
      <c r="KA13" s="207"/>
      <c r="KB13" s="207"/>
      <c r="KC13" s="77"/>
      <c r="KD13" s="77"/>
      <c r="KE13" s="76">
        <f>SUM(II13:KD13)</f>
        <v>4659545.6296653748</v>
      </c>
      <c r="KF13" s="76">
        <f>+KE13+IH13</f>
        <v>2101552635.4008822</v>
      </c>
      <c r="KG13" s="43" t="s">
        <v>34</v>
      </c>
    </row>
    <row r="14" spans="1:293" x14ac:dyDescent="0.3">
      <c r="A14" s="58">
        <f>ROW()</f>
        <v>14</v>
      </c>
      <c r="B14" s="74" t="s">
        <v>65</v>
      </c>
      <c r="C14" s="78">
        <v>351600.44</v>
      </c>
      <c r="D14" s="79">
        <v>3</v>
      </c>
      <c r="E14" s="79">
        <v>-8647.380000000001</v>
      </c>
      <c r="F14" s="79">
        <v>2590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208"/>
      <c r="AQ14" s="79"/>
      <c r="AR14" s="78">
        <f>SUM(D14:AQ14)</f>
        <v>-6054.380000000001</v>
      </c>
      <c r="AS14" s="78">
        <f>+AR14+C14</f>
        <v>345546.06</v>
      </c>
      <c r="AT14" s="79">
        <v>0</v>
      </c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8">
        <f>SUM(AT14:CM14)</f>
        <v>0</v>
      </c>
      <c r="CO14" s="78">
        <f>+CN14+AS14</f>
        <v>345546.06</v>
      </c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208"/>
      <c r="EI14" s="79"/>
      <c r="EJ14" s="79"/>
      <c r="EK14" s="78">
        <f>SUM(CP14:EJ14)</f>
        <v>0</v>
      </c>
      <c r="EL14" s="78">
        <f>+EK14+CO14</f>
        <v>345546.06</v>
      </c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208"/>
      <c r="GF14" s="208"/>
      <c r="GG14" s="79"/>
      <c r="GH14" s="79"/>
      <c r="GI14" s="78">
        <f>SUM(EM14:GH14)</f>
        <v>0</v>
      </c>
      <c r="GJ14" s="78">
        <f>+GI14+EL14</f>
        <v>345546.06</v>
      </c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208"/>
      <c r="ID14" s="208"/>
      <c r="IE14" s="79"/>
      <c r="IF14" s="79"/>
      <c r="IG14" s="78">
        <f>SUM(GK14:IF14)</f>
        <v>0</v>
      </c>
      <c r="IH14" s="78">
        <f>+IG14+GJ14</f>
        <v>345546.06</v>
      </c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  <c r="IU14" s="79"/>
      <c r="IV14" s="79"/>
      <c r="IW14" s="79"/>
      <c r="IX14" s="79"/>
      <c r="IY14" s="79"/>
      <c r="IZ14" s="79"/>
      <c r="JA14" s="79"/>
      <c r="JB14" s="79"/>
      <c r="JC14" s="79"/>
      <c r="JD14" s="79"/>
      <c r="JE14" s="79"/>
      <c r="JF14" s="79"/>
      <c r="JG14" s="79"/>
      <c r="JH14" s="79"/>
      <c r="JI14" s="79"/>
      <c r="JJ14" s="79"/>
      <c r="JK14" s="79"/>
      <c r="JL14" s="79"/>
      <c r="JM14" s="79"/>
      <c r="JN14" s="79"/>
      <c r="JO14" s="79"/>
      <c r="JP14" s="79"/>
      <c r="JQ14" s="79"/>
      <c r="JR14" s="79"/>
      <c r="JS14" s="79"/>
      <c r="JT14" s="79"/>
      <c r="JU14" s="79"/>
      <c r="JV14" s="79"/>
      <c r="JW14" s="79"/>
      <c r="JX14" s="79"/>
      <c r="JY14" s="79"/>
      <c r="JZ14" s="79"/>
      <c r="KA14" s="208"/>
      <c r="KB14" s="208"/>
      <c r="KC14" s="79"/>
      <c r="KD14" s="79"/>
      <c r="KE14" s="78">
        <f>SUM(II14:KD14)</f>
        <v>0</v>
      </c>
      <c r="KF14" s="78">
        <f>+KE14+IH14</f>
        <v>345546.06</v>
      </c>
      <c r="KG14" s="43" t="s">
        <v>34</v>
      </c>
    </row>
    <row r="15" spans="1:293" x14ac:dyDescent="0.3">
      <c r="A15" s="58">
        <f>ROW()</f>
        <v>15</v>
      </c>
      <c r="B15" s="74" t="s">
        <v>66</v>
      </c>
      <c r="C15" s="78">
        <v>175259903.59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208"/>
      <c r="AQ15" s="79"/>
      <c r="AR15" s="78">
        <f>SUM(D15:AQ15)</f>
        <v>0</v>
      </c>
      <c r="AS15" s="78">
        <f>+AR15+C15</f>
        <v>175259903.59</v>
      </c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8">
        <f>SUM(AT15:CM15)</f>
        <v>0</v>
      </c>
      <c r="CO15" s="78">
        <f>+CN15+AS15</f>
        <v>175259903.59</v>
      </c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208"/>
      <c r="EI15" s="79"/>
      <c r="EJ15" s="79"/>
      <c r="EK15" s="78">
        <f>SUM(CP15:EJ15)</f>
        <v>0</v>
      </c>
      <c r="EL15" s="78">
        <f>+EK15+CO15</f>
        <v>175259903.59</v>
      </c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>
        <v>-46724701.670000017</v>
      </c>
      <c r="FV15" s="79"/>
      <c r="FW15" s="79"/>
      <c r="FX15" s="79"/>
      <c r="FY15" s="79"/>
      <c r="FZ15" s="79"/>
      <c r="GA15" s="79"/>
      <c r="GB15" s="79"/>
      <c r="GC15" s="79"/>
      <c r="GD15" s="79"/>
      <c r="GE15" s="208"/>
      <c r="GF15" s="208"/>
      <c r="GG15" s="79"/>
      <c r="GH15" s="79"/>
      <c r="GI15" s="78">
        <f>SUM(EM15:GH15)</f>
        <v>-46724701.670000017</v>
      </c>
      <c r="GJ15" s="78">
        <f>+GI15+EL15</f>
        <v>128535201.91999999</v>
      </c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>
        <v>7133168.3280000091</v>
      </c>
      <c r="HT15" s="79"/>
      <c r="HU15" s="79"/>
      <c r="HV15" s="79"/>
      <c r="HW15" s="79"/>
      <c r="HX15" s="79"/>
      <c r="HY15" s="79"/>
      <c r="HZ15" s="79"/>
      <c r="IA15" s="79"/>
      <c r="IB15" s="79"/>
      <c r="IC15" s="208"/>
      <c r="ID15" s="208"/>
      <c r="IE15" s="79"/>
      <c r="IF15" s="79"/>
      <c r="IG15" s="78">
        <f>SUM(GK15:IF15)</f>
        <v>7133168.3280000091</v>
      </c>
      <c r="IH15" s="78">
        <f>+IG15+GJ15</f>
        <v>135668370.248</v>
      </c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  <c r="IU15" s="79"/>
      <c r="IV15" s="79"/>
      <c r="IW15" s="79"/>
      <c r="IX15" s="79"/>
      <c r="IY15" s="79"/>
      <c r="IZ15" s="79"/>
      <c r="JA15" s="79"/>
      <c r="JB15" s="79"/>
      <c r="JC15" s="79"/>
      <c r="JD15" s="79"/>
      <c r="JE15" s="79"/>
      <c r="JF15" s="79"/>
      <c r="JG15" s="79"/>
      <c r="JH15" s="79"/>
      <c r="JI15" s="79"/>
      <c r="JJ15" s="79"/>
      <c r="JK15" s="79"/>
      <c r="JL15" s="79"/>
      <c r="JM15" s="79"/>
      <c r="JN15" s="79"/>
      <c r="JO15" s="79"/>
      <c r="JP15" s="79"/>
      <c r="JQ15" s="79">
        <v>-20344106.5</v>
      </c>
      <c r="JR15" s="79"/>
      <c r="JS15" s="79"/>
      <c r="JT15" s="79"/>
      <c r="JU15" s="79"/>
      <c r="JV15" s="79"/>
      <c r="JW15" s="79"/>
      <c r="JX15" s="79"/>
      <c r="JY15" s="79"/>
      <c r="JZ15" s="79"/>
      <c r="KA15" s="208"/>
      <c r="KB15" s="208"/>
      <c r="KC15" s="79"/>
      <c r="KD15" s="79"/>
      <c r="KE15" s="78">
        <f>SUM(II15:KD15)</f>
        <v>-20344106.5</v>
      </c>
      <c r="KF15" s="78">
        <f>+KE15+IH15</f>
        <v>115324263.748</v>
      </c>
      <c r="KG15" s="43" t="s">
        <v>34</v>
      </c>
    </row>
    <row r="16" spans="1:293" x14ac:dyDescent="0.3">
      <c r="A16" s="58">
        <f>ROW()</f>
        <v>16</v>
      </c>
      <c r="B16" s="74" t="s">
        <v>67</v>
      </c>
      <c r="C16" s="78">
        <v>98941870.86999999</v>
      </c>
      <c r="D16" s="79">
        <v>-24355616.922251314</v>
      </c>
      <c r="E16" s="79">
        <v>18000928.779999997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208"/>
      <c r="AQ16" s="79"/>
      <c r="AR16" s="78">
        <f>SUM(D16:AQ16)</f>
        <v>-6354688.1422513165</v>
      </c>
      <c r="AS16" s="78">
        <f>+AR16+C16</f>
        <v>92587182.727748677</v>
      </c>
      <c r="AT16" s="79">
        <v>-11404908.870000001</v>
      </c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>
        <v>-6268196.7300000004</v>
      </c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>
        <v>-58170.11</v>
      </c>
      <c r="CJ16" s="79"/>
      <c r="CK16" s="79"/>
      <c r="CL16" s="79"/>
      <c r="CM16" s="79"/>
      <c r="CN16" s="78">
        <f>SUM(AT16:CM16)</f>
        <v>-17731275.710000001</v>
      </c>
      <c r="CO16" s="78">
        <f>+CN16+AS16</f>
        <v>74855907.017748684</v>
      </c>
      <c r="CP16" s="79">
        <v>655535</v>
      </c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208"/>
      <c r="EI16" s="79"/>
      <c r="EJ16" s="79"/>
      <c r="EK16" s="78">
        <f>SUM(CP16:EJ16)</f>
        <v>655535</v>
      </c>
      <c r="EL16" s="78">
        <f>+EK16+CO16</f>
        <v>75511442.017748684</v>
      </c>
      <c r="EM16" s="79">
        <v>3818698.993774578</v>
      </c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>
        <v>-8344283.9914029716</v>
      </c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>
        <v>22913419.171165917</v>
      </c>
      <c r="FV16" s="79"/>
      <c r="FW16" s="79"/>
      <c r="FX16" s="79"/>
      <c r="FY16" s="79"/>
      <c r="FZ16" s="79"/>
      <c r="GA16" s="79"/>
      <c r="GB16" s="79"/>
      <c r="GC16" s="79"/>
      <c r="GD16" s="79"/>
      <c r="GE16" s="208"/>
      <c r="GF16" s="208"/>
      <c r="GG16" s="79"/>
      <c r="GH16" s="79"/>
      <c r="GI16" s="78">
        <f>SUM(EM16:GH16)</f>
        <v>18387834.173537523</v>
      </c>
      <c r="GJ16" s="78">
        <f>+GI16+EL16</f>
        <v>93899276.191286206</v>
      </c>
      <c r="GK16" s="79">
        <v>1829931.7402674481</v>
      </c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>
        <v>0</v>
      </c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>
        <v>-13697511.82141586</v>
      </c>
      <c r="HT16" s="79"/>
      <c r="HU16" s="79"/>
      <c r="HV16" s="79"/>
      <c r="HW16" s="79"/>
      <c r="HX16" s="79"/>
      <c r="HY16" s="79"/>
      <c r="HZ16" s="79"/>
      <c r="IA16" s="79"/>
      <c r="IB16" s="79"/>
      <c r="IC16" s="208"/>
      <c r="ID16" s="208"/>
      <c r="IE16" s="79"/>
      <c r="IF16" s="79"/>
      <c r="IG16" s="78">
        <f>SUM(GK16:IF16)</f>
        <v>-11867580.081148412</v>
      </c>
      <c r="IH16" s="78">
        <f>+IG16+GJ16</f>
        <v>82031696.11013779</v>
      </c>
      <c r="II16" s="79">
        <v>1679761.6470904686</v>
      </c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  <c r="IU16" s="79"/>
      <c r="IV16" s="79"/>
      <c r="IW16" s="79"/>
      <c r="IX16" s="79"/>
      <c r="IY16" s="79"/>
      <c r="IZ16" s="79"/>
      <c r="JA16" s="79"/>
      <c r="JB16" s="79"/>
      <c r="JC16" s="79"/>
      <c r="JD16" s="79"/>
      <c r="JE16" s="79"/>
      <c r="JF16" s="79">
        <v>0</v>
      </c>
      <c r="JG16" s="79"/>
      <c r="JH16" s="79"/>
      <c r="JI16" s="79"/>
      <c r="JJ16" s="79"/>
      <c r="JK16" s="79"/>
      <c r="JL16" s="79"/>
      <c r="JM16" s="79"/>
      <c r="JN16" s="79"/>
      <c r="JO16" s="79"/>
      <c r="JP16" s="79"/>
      <c r="JQ16" s="79">
        <v>-5266699.5936331516</v>
      </c>
      <c r="JR16" s="79"/>
      <c r="JS16" s="79"/>
      <c r="JT16" s="79"/>
      <c r="JU16" s="79"/>
      <c r="JV16" s="79"/>
      <c r="JW16" s="79"/>
      <c r="JX16" s="79"/>
      <c r="JY16" s="79"/>
      <c r="JZ16" s="79"/>
      <c r="KA16" s="208"/>
      <c r="KB16" s="208"/>
      <c r="KC16" s="79"/>
      <c r="KD16" s="79"/>
      <c r="KE16" s="78">
        <f>SUM(II16:KD16)</f>
        <v>-3586937.9465426831</v>
      </c>
      <c r="KF16" s="78">
        <f>+KE16+IH16</f>
        <v>78444758.16359511</v>
      </c>
      <c r="KG16" s="43" t="s">
        <v>34</v>
      </c>
    </row>
    <row r="17" spans="1:293" x14ac:dyDescent="0.3">
      <c r="A17" s="58">
        <f>ROW()</f>
        <v>17</v>
      </c>
      <c r="B17" s="74" t="s">
        <v>68</v>
      </c>
      <c r="C17" s="80">
        <f t="shared" ref="C17:BN17" si="17">SUM(C13:C16)</f>
        <v>2520189029.8000002</v>
      </c>
      <c r="D17" s="81">
        <f t="shared" si="17"/>
        <v>64504636.827810332</v>
      </c>
      <c r="E17" s="81">
        <f t="shared" si="17"/>
        <v>-206182719.46442834</v>
      </c>
      <c r="F17" s="81">
        <f t="shared" si="17"/>
        <v>1102955</v>
      </c>
      <c r="G17" s="81">
        <f t="shared" si="17"/>
        <v>0</v>
      </c>
      <c r="H17" s="81">
        <f t="shared" si="17"/>
        <v>0</v>
      </c>
      <c r="I17" s="81">
        <f t="shared" si="17"/>
        <v>0</v>
      </c>
      <c r="J17" s="81">
        <f t="shared" si="17"/>
        <v>0</v>
      </c>
      <c r="K17" s="81">
        <f t="shared" si="17"/>
        <v>0</v>
      </c>
      <c r="L17" s="81">
        <f t="shared" si="17"/>
        <v>0</v>
      </c>
      <c r="M17" s="81">
        <f t="shared" si="17"/>
        <v>0</v>
      </c>
      <c r="N17" s="81">
        <f t="shared" si="17"/>
        <v>0</v>
      </c>
      <c r="O17" s="81">
        <f t="shared" si="17"/>
        <v>0</v>
      </c>
      <c r="P17" s="81">
        <f t="shared" si="17"/>
        <v>0</v>
      </c>
      <c r="Q17" s="81">
        <f t="shared" si="17"/>
        <v>0</v>
      </c>
      <c r="R17" s="81">
        <f t="shared" si="17"/>
        <v>0</v>
      </c>
      <c r="S17" s="81">
        <f t="shared" si="17"/>
        <v>0</v>
      </c>
      <c r="T17" s="81">
        <f t="shared" si="17"/>
        <v>0</v>
      </c>
      <c r="U17" s="81">
        <f t="shared" si="17"/>
        <v>0</v>
      </c>
      <c r="V17" s="81">
        <f t="shared" si="17"/>
        <v>0</v>
      </c>
      <c r="W17" s="81">
        <f t="shared" si="17"/>
        <v>0</v>
      </c>
      <c r="X17" s="81">
        <f t="shared" si="17"/>
        <v>0</v>
      </c>
      <c r="Y17" s="81">
        <f t="shared" si="17"/>
        <v>0</v>
      </c>
      <c r="Z17" s="81">
        <f t="shared" si="17"/>
        <v>0</v>
      </c>
      <c r="AA17" s="81">
        <f t="shared" si="17"/>
        <v>0</v>
      </c>
      <c r="AB17" s="81">
        <f t="shared" si="17"/>
        <v>0</v>
      </c>
      <c r="AC17" s="81">
        <f t="shared" si="17"/>
        <v>0</v>
      </c>
      <c r="AD17" s="81">
        <f t="shared" si="17"/>
        <v>0</v>
      </c>
      <c r="AE17" s="81">
        <f t="shared" si="17"/>
        <v>0</v>
      </c>
      <c r="AF17" s="81">
        <f t="shared" si="17"/>
        <v>0</v>
      </c>
      <c r="AG17" s="81">
        <f t="shared" si="17"/>
        <v>0</v>
      </c>
      <c r="AH17" s="81">
        <f t="shared" si="17"/>
        <v>0</v>
      </c>
      <c r="AI17" s="81">
        <f t="shared" si="17"/>
        <v>0</v>
      </c>
      <c r="AJ17" s="81">
        <f t="shared" si="17"/>
        <v>0</v>
      </c>
      <c r="AK17" s="81">
        <f t="shared" si="17"/>
        <v>0</v>
      </c>
      <c r="AL17" s="81">
        <f t="shared" si="17"/>
        <v>0</v>
      </c>
      <c r="AM17" s="81">
        <f t="shared" si="17"/>
        <v>0</v>
      </c>
      <c r="AN17" s="81">
        <f t="shared" si="17"/>
        <v>0</v>
      </c>
      <c r="AO17" s="81">
        <f t="shared" si="17"/>
        <v>0</v>
      </c>
      <c r="AP17" s="209">
        <f t="shared" si="17"/>
        <v>0</v>
      </c>
      <c r="AQ17" s="81">
        <f t="shared" si="17"/>
        <v>0</v>
      </c>
      <c r="AR17" s="80">
        <f t="shared" si="17"/>
        <v>-140575127.63661802</v>
      </c>
      <c r="AS17" s="80">
        <f t="shared" si="17"/>
        <v>2379613902.1633821</v>
      </c>
      <c r="AT17" s="81">
        <f t="shared" si="17"/>
        <v>-7842508.5899999999</v>
      </c>
      <c r="AU17" s="81">
        <f t="shared" si="17"/>
        <v>0</v>
      </c>
      <c r="AV17" s="81">
        <f t="shared" si="17"/>
        <v>0</v>
      </c>
      <c r="AW17" s="81">
        <f t="shared" si="17"/>
        <v>0</v>
      </c>
      <c r="AX17" s="81">
        <f t="shared" si="17"/>
        <v>0</v>
      </c>
      <c r="AY17" s="81">
        <f t="shared" si="17"/>
        <v>0</v>
      </c>
      <c r="AZ17" s="81">
        <f t="shared" si="17"/>
        <v>0</v>
      </c>
      <c r="BA17" s="81">
        <f t="shared" si="17"/>
        <v>0</v>
      </c>
      <c r="BB17" s="81">
        <f t="shared" si="17"/>
        <v>0</v>
      </c>
      <c r="BC17" s="81">
        <f t="shared" si="17"/>
        <v>0</v>
      </c>
      <c r="BD17" s="81">
        <f t="shared" si="17"/>
        <v>0</v>
      </c>
      <c r="BE17" s="81">
        <f t="shared" si="17"/>
        <v>0</v>
      </c>
      <c r="BF17" s="81">
        <f t="shared" si="17"/>
        <v>0</v>
      </c>
      <c r="BG17" s="81">
        <f t="shared" si="17"/>
        <v>0</v>
      </c>
      <c r="BH17" s="81">
        <f t="shared" si="17"/>
        <v>0</v>
      </c>
      <c r="BI17" s="81">
        <f t="shared" si="17"/>
        <v>0</v>
      </c>
      <c r="BJ17" s="81">
        <f t="shared" si="17"/>
        <v>0</v>
      </c>
      <c r="BK17" s="81">
        <f t="shared" si="17"/>
        <v>0</v>
      </c>
      <c r="BL17" s="81">
        <f t="shared" si="17"/>
        <v>0</v>
      </c>
      <c r="BM17" s="81">
        <f t="shared" si="17"/>
        <v>0</v>
      </c>
      <c r="BN17" s="81">
        <f t="shared" si="17"/>
        <v>0</v>
      </c>
      <c r="BO17" s="81">
        <f t="shared" ref="BO17:DZ17" si="18">SUM(BO13:BO16)</f>
        <v>0</v>
      </c>
      <c r="BP17" s="81">
        <f t="shared" si="18"/>
        <v>0</v>
      </c>
      <c r="BQ17" s="81">
        <f t="shared" si="18"/>
        <v>-6268196.7300000004</v>
      </c>
      <c r="BR17" s="81">
        <f t="shared" si="18"/>
        <v>0</v>
      </c>
      <c r="BS17" s="81">
        <f t="shared" si="18"/>
        <v>0</v>
      </c>
      <c r="BT17" s="81">
        <f t="shared" si="18"/>
        <v>0</v>
      </c>
      <c r="BU17" s="81">
        <f t="shared" si="18"/>
        <v>0</v>
      </c>
      <c r="BV17" s="81">
        <f t="shared" si="18"/>
        <v>0</v>
      </c>
      <c r="BW17" s="81">
        <f t="shared" si="18"/>
        <v>0</v>
      </c>
      <c r="BX17" s="81">
        <f t="shared" si="18"/>
        <v>0</v>
      </c>
      <c r="BY17" s="81">
        <f t="shared" si="18"/>
        <v>0</v>
      </c>
      <c r="BZ17" s="81">
        <f t="shared" si="18"/>
        <v>0</v>
      </c>
      <c r="CA17" s="81">
        <f t="shared" si="18"/>
        <v>0</v>
      </c>
      <c r="CB17" s="81">
        <f t="shared" si="18"/>
        <v>0</v>
      </c>
      <c r="CC17" s="81">
        <f t="shared" si="18"/>
        <v>0</v>
      </c>
      <c r="CD17" s="81">
        <f t="shared" si="18"/>
        <v>0</v>
      </c>
      <c r="CE17" s="81">
        <f t="shared" si="18"/>
        <v>0</v>
      </c>
      <c r="CF17" s="81">
        <f t="shared" si="18"/>
        <v>0</v>
      </c>
      <c r="CG17" s="81">
        <f t="shared" si="18"/>
        <v>0</v>
      </c>
      <c r="CH17" s="81">
        <f t="shared" si="18"/>
        <v>0</v>
      </c>
      <c r="CI17" s="81">
        <f t="shared" si="18"/>
        <v>-58170.11</v>
      </c>
      <c r="CJ17" s="81">
        <f t="shared" si="18"/>
        <v>0</v>
      </c>
      <c r="CK17" s="81">
        <f t="shared" si="18"/>
        <v>0</v>
      </c>
      <c r="CL17" s="81">
        <f t="shared" si="18"/>
        <v>0</v>
      </c>
      <c r="CM17" s="81">
        <f t="shared" si="18"/>
        <v>0</v>
      </c>
      <c r="CN17" s="80">
        <f t="shared" si="18"/>
        <v>-14168875.43</v>
      </c>
      <c r="CO17" s="80">
        <f t="shared" si="18"/>
        <v>2365445026.7333822</v>
      </c>
      <c r="CP17" s="81">
        <f t="shared" si="18"/>
        <v>-54506253.366633415</v>
      </c>
      <c r="CQ17" s="81">
        <f t="shared" si="18"/>
        <v>0</v>
      </c>
      <c r="CR17" s="81">
        <f t="shared" si="18"/>
        <v>0</v>
      </c>
      <c r="CS17" s="81">
        <f t="shared" si="18"/>
        <v>0</v>
      </c>
      <c r="CT17" s="81">
        <f t="shared" si="18"/>
        <v>0</v>
      </c>
      <c r="CU17" s="81">
        <f t="shared" si="18"/>
        <v>0</v>
      </c>
      <c r="CV17" s="81">
        <f t="shared" si="18"/>
        <v>0</v>
      </c>
      <c r="CW17" s="81">
        <f t="shared" si="18"/>
        <v>0</v>
      </c>
      <c r="CX17" s="81">
        <f t="shared" si="18"/>
        <v>0</v>
      </c>
      <c r="CY17" s="81">
        <f t="shared" si="18"/>
        <v>0</v>
      </c>
      <c r="CZ17" s="81">
        <f t="shared" si="18"/>
        <v>0</v>
      </c>
      <c r="DA17" s="81">
        <f t="shared" si="18"/>
        <v>0</v>
      </c>
      <c r="DB17" s="81">
        <f t="shared" si="18"/>
        <v>0</v>
      </c>
      <c r="DC17" s="81">
        <f t="shared" si="18"/>
        <v>0</v>
      </c>
      <c r="DD17" s="81">
        <f t="shared" si="18"/>
        <v>0</v>
      </c>
      <c r="DE17" s="81">
        <f t="shared" si="18"/>
        <v>0</v>
      </c>
      <c r="DF17" s="81">
        <f t="shared" si="18"/>
        <v>0</v>
      </c>
      <c r="DG17" s="81">
        <f t="shared" si="18"/>
        <v>0</v>
      </c>
      <c r="DH17" s="81">
        <f t="shared" si="18"/>
        <v>0</v>
      </c>
      <c r="DI17" s="81">
        <f t="shared" si="18"/>
        <v>0</v>
      </c>
      <c r="DJ17" s="81">
        <f t="shared" si="18"/>
        <v>0</v>
      </c>
      <c r="DK17" s="81">
        <f t="shared" si="18"/>
        <v>0</v>
      </c>
      <c r="DL17" s="81">
        <f t="shared" si="18"/>
        <v>0</v>
      </c>
      <c r="DM17" s="81">
        <f t="shared" si="18"/>
        <v>0</v>
      </c>
      <c r="DN17" s="81">
        <f t="shared" si="18"/>
        <v>0</v>
      </c>
      <c r="DO17" s="81">
        <f t="shared" si="18"/>
        <v>0</v>
      </c>
      <c r="DP17" s="81">
        <f t="shared" si="18"/>
        <v>0</v>
      </c>
      <c r="DQ17" s="81">
        <f t="shared" si="18"/>
        <v>0</v>
      </c>
      <c r="DR17" s="81">
        <f t="shared" si="18"/>
        <v>0</v>
      </c>
      <c r="DS17" s="81">
        <f t="shared" si="18"/>
        <v>0</v>
      </c>
      <c r="DT17" s="81">
        <f t="shared" si="18"/>
        <v>0</v>
      </c>
      <c r="DU17" s="81">
        <f t="shared" si="18"/>
        <v>0</v>
      </c>
      <c r="DV17" s="81">
        <f t="shared" si="18"/>
        <v>0</v>
      </c>
      <c r="DW17" s="81">
        <f t="shared" si="18"/>
        <v>0</v>
      </c>
      <c r="DX17" s="81">
        <f t="shared" si="18"/>
        <v>0</v>
      </c>
      <c r="DY17" s="81">
        <f t="shared" si="18"/>
        <v>0</v>
      </c>
      <c r="DZ17" s="81">
        <f t="shared" si="18"/>
        <v>0</v>
      </c>
      <c r="EA17" s="81">
        <f t="shared" ref="EA17:GL17" si="19">SUM(EA13:EA16)</f>
        <v>0</v>
      </c>
      <c r="EB17" s="81">
        <f t="shared" si="19"/>
        <v>0</v>
      </c>
      <c r="EC17" s="81">
        <f t="shared" si="19"/>
        <v>0</v>
      </c>
      <c r="ED17" s="81">
        <f t="shared" si="19"/>
        <v>0</v>
      </c>
      <c r="EE17" s="81">
        <f t="shared" si="19"/>
        <v>0</v>
      </c>
      <c r="EF17" s="81">
        <f t="shared" si="19"/>
        <v>0</v>
      </c>
      <c r="EG17" s="81">
        <f t="shared" si="19"/>
        <v>0</v>
      </c>
      <c r="EH17" s="209">
        <f t="shared" si="19"/>
        <v>0</v>
      </c>
      <c r="EI17" s="81">
        <f t="shared" si="19"/>
        <v>0</v>
      </c>
      <c r="EJ17" s="81">
        <f t="shared" si="19"/>
        <v>0</v>
      </c>
      <c r="EK17" s="80">
        <f t="shared" si="19"/>
        <v>-54506253.366633415</v>
      </c>
      <c r="EL17" s="80">
        <f t="shared" si="19"/>
        <v>2310938773.3667488</v>
      </c>
      <c r="EM17" s="81">
        <f t="shared" si="19"/>
        <v>21146644.32040374</v>
      </c>
      <c r="EN17" s="81">
        <f t="shared" si="19"/>
        <v>0</v>
      </c>
      <c r="EO17" s="81">
        <f t="shared" si="19"/>
        <v>0</v>
      </c>
      <c r="EP17" s="81">
        <f t="shared" si="19"/>
        <v>0</v>
      </c>
      <c r="EQ17" s="81">
        <f t="shared" si="19"/>
        <v>0</v>
      </c>
      <c r="ER17" s="81">
        <f t="shared" si="19"/>
        <v>0</v>
      </c>
      <c r="ES17" s="81">
        <f t="shared" si="19"/>
        <v>0</v>
      </c>
      <c r="ET17" s="81">
        <f t="shared" si="19"/>
        <v>0</v>
      </c>
      <c r="EU17" s="81">
        <f t="shared" si="19"/>
        <v>0</v>
      </c>
      <c r="EV17" s="81">
        <f t="shared" si="19"/>
        <v>0</v>
      </c>
      <c r="EW17" s="81">
        <f t="shared" si="19"/>
        <v>0</v>
      </c>
      <c r="EX17" s="81">
        <f t="shared" si="19"/>
        <v>0</v>
      </c>
      <c r="EY17" s="81">
        <f t="shared" si="19"/>
        <v>0</v>
      </c>
      <c r="EZ17" s="81">
        <f t="shared" si="19"/>
        <v>0</v>
      </c>
      <c r="FA17" s="81">
        <f t="shared" si="19"/>
        <v>0</v>
      </c>
      <c r="FB17" s="81">
        <f t="shared" si="19"/>
        <v>0</v>
      </c>
      <c r="FC17" s="81">
        <f t="shared" si="19"/>
        <v>0</v>
      </c>
      <c r="FD17" s="81">
        <f t="shared" si="19"/>
        <v>0</v>
      </c>
      <c r="FE17" s="81">
        <f t="shared" si="19"/>
        <v>0</v>
      </c>
      <c r="FF17" s="81">
        <f t="shared" si="19"/>
        <v>0</v>
      </c>
      <c r="FG17" s="81">
        <f t="shared" si="19"/>
        <v>0</v>
      </c>
      <c r="FH17" s="81">
        <f t="shared" si="19"/>
        <v>0</v>
      </c>
      <c r="FI17" s="81">
        <f t="shared" si="19"/>
        <v>0</v>
      </c>
      <c r="FJ17" s="81">
        <f t="shared" si="19"/>
        <v>-8344283.9914029716</v>
      </c>
      <c r="FK17" s="81">
        <f t="shared" si="19"/>
        <v>0</v>
      </c>
      <c r="FL17" s="81">
        <f t="shared" si="19"/>
        <v>0</v>
      </c>
      <c r="FM17" s="81">
        <f t="shared" si="19"/>
        <v>0</v>
      </c>
      <c r="FN17" s="81">
        <f t="shared" si="19"/>
        <v>0</v>
      </c>
      <c r="FO17" s="81">
        <f t="shared" si="19"/>
        <v>0</v>
      </c>
      <c r="FP17" s="81">
        <f t="shared" si="19"/>
        <v>0</v>
      </c>
      <c r="FQ17" s="81">
        <f t="shared" si="19"/>
        <v>0</v>
      </c>
      <c r="FR17" s="81">
        <f t="shared" si="19"/>
        <v>0</v>
      </c>
      <c r="FS17" s="81">
        <f t="shared" si="19"/>
        <v>0</v>
      </c>
      <c r="FT17" s="81">
        <f t="shared" si="19"/>
        <v>0</v>
      </c>
      <c r="FU17" s="81">
        <f t="shared" si="19"/>
        <v>-23811282.4988341</v>
      </c>
      <c r="FV17" s="81">
        <f t="shared" si="19"/>
        <v>0</v>
      </c>
      <c r="FW17" s="81">
        <f t="shared" si="19"/>
        <v>0</v>
      </c>
      <c r="FX17" s="81">
        <f t="shared" si="19"/>
        <v>0</v>
      </c>
      <c r="FY17" s="81">
        <f t="shared" si="19"/>
        <v>0</v>
      </c>
      <c r="FZ17" s="81">
        <f t="shared" si="19"/>
        <v>0</v>
      </c>
      <c r="GA17" s="81">
        <f t="shared" si="19"/>
        <v>0</v>
      </c>
      <c r="GB17" s="81">
        <f t="shared" si="19"/>
        <v>0</v>
      </c>
      <c r="GC17" s="81">
        <f t="shared" si="19"/>
        <v>0</v>
      </c>
      <c r="GD17" s="81">
        <f t="shared" si="19"/>
        <v>0</v>
      </c>
      <c r="GE17" s="209">
        <f t="shared" si="19"/>
        <v>0</v>
      </c>
      <c r="GF17" s="209">
        <f t="shared" si="19"/>
        <v>0</v>
      </c>
      <c r="GG17" s="81">
        <f t="shared" si="19"/>
        <v>0</v>
      </c>
      <c r="GH17" s="81">
        <f t="shared" si="19"/>
        <v>0</v>
      </c>
      <c r="GI17" s="80">
        <f t="shared" si="19"/>
        <v>-11008922.169833332</v>
      </c>
      <c r="GJ17" s="80">
        <f t="shared" si="19"/>
        <v>2299929851.1969151</v>
      </c>
      <c r="GK17" s="81">
        <f t="shared" si="19"/>
        <v>21573194.485855274</v>
      </c>
      <c r="GL17" s="81">
        <f t="shared" si="19"/>
        <v>0</v>
      </c>
      <c r="GM17" s="81">
        <f t="shared" ref="GM17:IX17" si="20">SUM(GM13:GM16)</f>
        <v>0</v>
      </c>
      <c r="GN17" s="81">
        <f t="shared" si="20"/>
        <v>0</v>
      </c>
      <c r="GO17" s="81">
        <f t="shared" si="20"/>
        <v>0</v>
      </c>
      <c r="GP17" s="81">
        <f t="shared" si="20"/>
        <v>0</v>
      </c>
      <c r="GQ17" s="81">
        <f t="shared" si="20"/>
        <v>0</v>
      </c>
      <c r="GR17" s="81">
        <f t="shared" si="20"/>
        <v>0</v>
      </c>
      <c r="GS17" s="81">
        <f t="shared" si="20"/>
        <v>0</v>
      </c>
      <c r="GT17" s="81">
        <f t="shared" si="20"/>
        <v>0</v>
      </c>
      <c r="GU17" s="81">
        <f t="shared" si="20"/>
        <v>0</v>
      </c>
      <c r="GV17" s="81">
        <f t="shared" si="20"/>
        <v>0</v>
      </c>
      <c r="GW17" s="81">
        <f t="shared" si="20"/>
        <v>0</v>
      </c>
      <c r="GX17" s="81">
        <f t="shared" si="20"/>
        <v>0</v>
      </c>
      <c r="GY17" s="81">
        <f t="shared" si="20"/>
        <v>0</v>
      </c>
      <c r="GZ17" s="81">
        <f t="shared" si="20"/>
        <v>0</v>
      </c>
      <c r="HA17" s="81">
        <f t="shared" si="20"/>
        <v>0</v>
      </c>
      <c r="HB17" s="81">
        <f t="shared" si="20"/>
        <v>0</v>
      </c>
      <c r="HC17" s="81">
        <f t="shared" si="20"/>
        <v>0</v>
      </c>
      <c r="HD17" s="81">
        <f t="shared" si="20"/>
        <v>0</v>
      </c>
      <c r="HE17" s="81">
        <f t="shared" si="20"/>
        <v>0</v>
      </c>
      <c r="HF17" s="81">
        <f t="shared" si="20"/>
        <v>0</v>
      </c>
      <c r="HG17" s="81">
        <f t="shared" si="20"/>
        <v>0</v>
      </c>
      <c r="HH17" s="81">
        <f t="shared" si="20"/>
        <v>0</v>
      </c>
      <c r="HI17" s="81">
        <f t="shared" si="20"/>
        <v>0</v>
      </c>
      <c r="HJ17" s="81">
        <f t="shared" si="20"/>
        <v>0</v>
      </c>
      <c r="HK17" s="81">
        <f t="shared" si="20"/>
        <v>0</v>
      </c>
      <c r="HL17" s="81">
        <f t="shared" si="20"/>
        <v>0</v>
      </c>
      <c r="HM17" s="81">
        <f t="shared" si="20"/>
        <v>0</v>
      </c>
      <c r="HN17" s="81">
        <f t="shared" si="20"/>
        <v>0</v>
      </c>
      <c r="HO17" s="81">
        <f t="shared" si="20"/>
        <v>0</v>
      </c>
      <c r="HP17" s="81">
        <f t="shared" si="20"/>
        <v>0</v>
      </c>
      <c r="HQ17" s="81">
        <f t="shared" si="20"/>
        <v>0</v>
      </c>
      <c r="HR17" s="81">
        <f t="shared" si="20"/>
        <v>0</v>
      </c>
      <c r="HS17" s="81">
        <f t="shared" si="20"/>
        <v>-6564343.4934158511</v>
      </c>
      <c r="HT17" s="81">
        <f t="shared" si="20"/>
        <v>0</v>
      </c>
      <c r="HU17" s="81">
        <f t="shared" si="20"/>
        <v>0</v>
      </c>
      <c r="HV17" s="81">
        <f t="shared" si="20"/>
        <v>0</v>
      </c>
      <c r="HW17" s="81">
        <f t="shared" si="20"/>
        <v>0</v>
      </c>
      <c r="HX17" s="81">
        <f t="shared" si="20"/>
        <v>0</v>
      </c>
      <c r="HY17" s="81">
        <f t="shared" si="20"/>
        <v>0</v>
      </c>
      <c r="HZ17" s="81">
        <f t="shared" si="20"/>
        <v>0</v>
      </c>
      <c r="IA17" s="81">
        <f t="shared" si="20"/>
        <v>0</v>
      </c>
      <c r="IB17" s="81">
        <f t="shared" si="20"/>
        <v>0</v>
      </c>
      <c r="IC17" s="209">
        <f t="shared" si="20"/>
        <v>0</v>
      </c>
      <c r="ID17" s="209">
        <f t="shared" si="20"/>
        <v>0</v>
      </c>
      <c r="IE17" s="81">
        <f t="shared" si="20"/>
        <v>0</v>
      </c>
      <c r="IF17" s="81">
        <f t="shared" si="20"/>
        <v>0</v>
      </c>
      <c r="IG17" s="80">
        <f t="shared" si="20"/>
        <v>15008850.992439423</v>
      </c>
      <c r="IH17" s="80">
        <f t="shared" si="20"/>
        <v>2314938702.1893549</v>
      </c>
      <c r="II17" s="81">
        <f t="shared" si="20"/>
        <v>6339307.2767558433</v>
      </c>
      <c r="IJ17" s="81">
        <f t="shared" si="20"/>
        <v>0</v>
      </c>
      <c r="IK17" s="81">
        <f t="shared" si="20"/>
        <v>0</v>
      </c>
      <c r="IL17" s="81">
        <f t="shared" si="20"/>
        <v>0</v>
      </c>
      <c r="IM17" s="81">
        <f t="shared" si="20"/>
        <v>0</v>
      </c>
      <c r="IN17" s="81">
        <f t="shared" si="20"/>
        <v>0</v>
      </c>
      <c r="IO17" s="81">
        <f t="shared" si="20"/>
        <v>0</v>
      </c>
      <c r="IP17" s="81">
        <f t="shared" si="20"/>
        <v>0</v>
      </c>
      <c r="IQ17" s="81">
        <f t="shared" si="20"/>
        <v>0</v>
      </c>
      <c r="IR17" s="81">
        <f t="shared" si="20"/>
        <v>0</v>
      </c>
      <c r="IS17" s="81">
        <f t="shared" si="20"/>
        <v>0</v>
      </c>
      <c r="IT17" s="81">
        <f t="shared" si="20"/>
        <v>0</v>
      </c>
      <c r="IU17" s="81">
        <f t="shared" si="20"/>
        <v>0</v>
      </c>
      <c r="IV17" s="81">
        <f t="shared" si="20"/>
        <v>0</v>
      </c>
      <c r="IW17" s="81">
        <f t="shared" si="20"/>
        <v>0</v>
      </c>
      <c r="IX17" s="81">
        <f t="shared" si="20"/>
        <v>0</v>
      </c>
      <c r="IY17" s="81">
        <f t="shared" ref="IY17:KF17" si="21">SUM(IY13:IY16)</f>
        <v>0</v>
      </c>
      <c r="IZ17" s="81">
        <f t="shared" si="21"/>
        <v>0</v>
      </c>
      <c r="JA17" s="81">
        <f t="shared" si="21"/>
        <v>0</v>
      </c>
      <c r="JB17" s="81">
        <f t="shared" si="21"/>
        <v>0</v>
      </c>
      <c r="JC17" s="81">
        <f t="shared" si="21"/>
        <v>0</v>
      </c>
      <c r="JD17" s="81">
        <f t="shared" si="21"/>
        <v>0</v>
      </c>
      <c r="JE17" s="81">
        <f t="shared" si="21"/>
        <v>0</v>
      </c>
      <c r="JF17" s="81">
        <f t="shared" si="21"/>
        <v>0</v>
      </c>
      <c r="JG17" s="81">
        <f t="shared" si="21"/>
        <v>0</v>
      </c>
      <c r="JH17" s="81">
        <f t="shared" si="21"/>
        <v>0</v>
      </c>
      <c r="JI17" s="81">
        <f t="shared" si="21"/>
        <v>0</v>
      </c>
      <c r="JJ17" s="81">
        <f t="shared" si="21"/>
        <v>0</v>
      </c>
      <c r="JK17" s="81">
        <f t="shared" si="21"/>
        <v>0</v>
      </c>
      <c r="JL17" s="81">
        <f t="shared" si="21"/>
        <v>0</v>
      </c>
      <c r="JM17" s="81">
        <f t="shared" si="21"/>
        <v>0</v>
      </c>
      <c r="JN17" s="81">
        <f t="shared" si="21"/>
        <v>0</v>
      </c>
      <c r="JO17" s="81">
        <f t="shared" si="21"/>
        <v>0</v>
      </c>
      <c r="JP17" s="81">
        <f t="shared" si="21"/>
        <v>0</v>
      </c>
      <c r="JQ17" s="81">
        <f t="shared" si="21"/>
        <v>-25610806.093633153</v>
      </c>
      <c r="JR17" s="81">
        <f t="shared" si="21"/>
        <v>0</v>
      </c>
      <c r="JS17" s="81">
        <f t="shared" si="21"/>
        <v>0</v>
      </c>
      <c r="JT17" s="81">
        <f t="shared" si="21"/>
        <v>0</v>
      </c>
      <c r="JU17" s="81">
        <f t="shared" si="21"/>
        <v>0</v>
      </c>
      <c r="JV17" s="81">
        <f t="shared" si="21"/>
        <v>0</v>
      </c>
      <c r="JW17" s="81">
        <f t="shared" si="21"/>
        <v>0</v>
      </c>
      <c r="JX17" s="81">
        <f t="shared" si="21"/>
        <v>0</v>
      </c>
      <c r="JY17" s="81">
        <f t="shared" si="21"/>
        <v>0</v>
      </c>
      <c r="JZ17" s="81">
        <f t="shared" si="21"/>
        <v>0</v>
      </c>
      <c r="KA17" s="209">
        <f t="shared" si="21"/>
        <v>0</v>
      </c>
      <c r="KB17" s="209">
        <f t="shared" si="21"/>
        <v>0</v>
      </c>
      <c r="KC17" s="81">
        <f t="shared" si="21"/>
        <v>0</v>
      </c>
      <c r="KD17" s="81">
        <f t="shared" si="21"/>
        <v>0</v>
      </c>
      <c r="KE17" s="80">
        <f t="shared" si="21"/>
        <v>-19271498.816877309</v>
      </c>
      <c r="KF17" s="80">
        <f t="shared" si="21"/>
        <v>2295667203.3724775</v>
      </c>
      <c r="KG17" s="43" t="s">
        <v>34</v>
      </c>
    </row>
    <row r="18" spans="1:293" s="82" customFormat="1" x14ac:dyDescent="0.3">
      <c r="A18" s="58">
        <f>ROW()</f>
        <v>18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208"/>
      <c r="AQ18" s="79"/>
      <c r="AR18" s="78"/>
      <c r="AS18" s="78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8"/>
      <c r="CO18" s="78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208"/>
      <c r="EI18" s="79"/>
      <c r="EJ18" s="79"/>
      <c r="EK18" s="78"/>
      <c r="EL18" s="78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208"/>
      <c r="GF18" s="208"/>
      <c r="GG18" s="79"/>
      <c r="GH18" s="79"/>
      <c r="GI18" s="78"/>
      <c r="GJ18" s="78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208"/>
      <c r="ID18" s="208"/>
      <c r="IE18" s="79"/>
      <c r="IF18" s="79"/>
      <c r="IG18" s="78"/>
      <c r="IH18" s="78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  <c r="IU18" s="79"/>
      <c r="IV18" s="79"/>
      <c r="IW18" s="79"/>
      <c r="IX18" s="79"/>
      <c r="IY18" s="79"/>
      <c r="IZ18" s="79"/>
      <c r="JA18" s="79"/>
      <c r="JB18" s="79"/>
      <c r="JC18" s="79"/>
      <c r="JD18" s="79"/>
      <c r="JE18" s="79"/>
      <c r="JF18" s="79"/>
      <c r="JG18" s="79"/>
      <c r="JH18" s="79"/>
      <c r="JI18" s="79"/>
      <c r="JJ18" s="79"/>
      <c r="JK18" s="79"/>
      <c r="JL18" s="79"/>
      <c r="JM18" s="79"/>
      <c r="JN18" s="79"/>
      <c r="JO18" s="79"/>
      <c r="JP18" s="79"/>
      <c r="JQ18" s="79"/>
      <c r="JR18" s="79"/>
      <c r="JS18" s="79"/>
      <c r="JT18" s="79"/>
      <c r="JU18" s="79"/>
      <c r="JV18" s="79"/>
      <c r="JW18" s="79"/>
      <c r="JX18" s="79"/>
      <c r="JY18" s="79"/>
      <c r="JZ18" s="79"/>
      <c r="KA18" s="208"/>
      <c r="KB18" s="208"/>
      <c r="KC18" s="79"/>
      <c r="KD18" s="79"/>
      <c r="KE18" s="78"/>
      <c r="KF18" s="78"/>
      <c r="KG18" s="43" t="s">
        <v>34</v>
      </c>
    </row>
    <row r="19" spans="1:293" x14ac:dyDescent="0.3">
      <c r="A19" s="58">
        <f>ROW()</f>
        <v>19</v>
      </c>
      <c r="B19" s="74" t="s">
        <v>69</v>
      </c>
      <c r="C19" s="75"/>
      <c r="AP19" s="205"/>
      <c r="AR19" s="75"/>
      <c r="AS19" s="75"/>
      <c r="CN19" s="75"/>
      <c r="CO19" s="75"/>
      <c r="EH19" s="205"/>
      <c r="EK19" s="75"/>
      <c r="EL19" s="75"/>
      <c r="GE19" s="205"/>
      <c r="GF19" s="205"/>
      <c r="GI19" s="75"/>
      <c r="GJ19" s="75"/>
      <c r="IC19" s="205"/>
      <c r="ID19" s="205"/>
      <c r="IG19" s="75"/>
      <c r="IH19" s="75"/>
      <c r="KA19" s="205"/>
      <c r="KB19" s="205"/>
      <c r="KE19" s="75"/>
      <c r="KF19" s="75"/>
      <c r="KG19" s="43" t="s">
        <v>34</v>
      </c>
    </row>
    <row r="20" spans="1:293" x14ac:dyDescent="0.3">
      <c r="A20" s="58">
        <f>ROW()</f>
        <v>20</v>
      </c>
      <c r="C20" s="75"/>
      <c r="AP20" s="205"/>
      <c r="AR20" s="75"/>
      <c r="AS20" s="75"/>
      <c r="CN20" s="75"/>
      <c r="CO20" s="75"/>
      <c r="EH20" s="205"/>
      <c r="EK20" s="75"/>
      <c r="EL20" s="75"/>
      <c r="GE20" s="205"/>
      <c r="GF20" s="205"/>
      <c r="GI20" s="75"/>
      <c r="GJ20" s="75"/>
      <c r="IC20" s="205"/>
      <c r="ID20" s="205"/>
      <c r="IG20" s="75"/>
      <c r="IH20" s="75"/>
      <c r="KA20" s="205"/>
      <c r="KB20" s="205"/>
      <c r="KE20" s="75"/>
      <c r="KF20" s="75"/>
      <c r="KG20" s="43" t="s">
        <v>34</v>
      </c>
    </row>
    <row r="21" spans="1:293" x14ac:dyDescent="0.3">
      <c r="A21" s="58">
        <f>ROW()</f>
        <v>21</v>
      </c>
      <c r="B21" s="74" t="s">
        <v>70</v>
      </c>
      <c r="C21" s="75"/>
      <c r="AP21" s="205"/>
      <c r="AR21" s="75"/>
      <c r="AS21" s="75"/>
      <c r="CN21" s="75"/>
      <c r="CO21" s="75"/>
      <c r="EH21" s="205"/>
      <c r="EK21" s="75"/>
      <c r="EL21" s="75"/>
      <c r="GE21" s="205"/>
      <c r="GF21" s="205"/>
      <c r="GI21" s="75"/>
      <c r="GJ21" s="75"/>
      <c r="IC21" s="205"/>
      <c r="ID21" s="205"/>
      <c r="IG21" s="75"/>
      <c r="IH21" s="75"/>
      <c r="KA21" s="205"/>
      <c r="KB21" s="205"/>
      <c r="KE21" s="75"/>
      <c r="KF21" s="75"/>
      <c r="KG21" s="43" t="s">
        <v>34</v>
      </c>
    </row>
    <row r="22" spans="1:293" x14ac:dyDescent="0.3">
      <c r="A22" s="58">
        <f>ROW()</f>
        <v>22</v>
      </c>
      <c r="B22" s="74" t="s">
        <v>71</v>
      </c>
      <c r="C22" s="83">
        <v>219374443.53999999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  <c r="AP22" s="203"/>
      <c r="AQ22" s="51"/>
      <c r="AR22" s="83">
        <f>SUM(D22:AQ22)</f>
        <v>0</v>
      </c>
      <c r="AS22" s="83">
        <f>+AR22+C22</f>
        <v>219374443.53999999</v>
      </c>
      <c r="AT22" s="51"/>
      <c r="AU22" s="51"/>
      <c r="AV22" s="51"/>
      <c r="AW22" s="51"/>
      <c r="AX22" s="51"/>
      <c r="AY22" s="51"/>
      <c r="AZ22" s="51"/>
      <c r="BA22" s="51"/>
      <c r="BB22" s="51"/>
      <c r="BC22" s="51"/>
      <c r="BD22" s="51"/>
      <c r="BE22" s="51"/>
      <c r="BF22" s="51"/>
      <c r="BG22" s="51"/>
      <c r="BH22" s="51"/>
      <c r="BI22" s="51"/>
      <c r="BJ22" s="51"/>
      <c r="BK22" s="51"/>
      <c r="BL22" s="51"/>
      <c r="BM22" s="51"/>
      <c r="BN22" s="51"/>
      <c r="BO22" s="51"/>
      <c r="BP22" s="51"/>
      <c r="BQ22" s="51"/>
      <c r="BR22" s="51"/>
      <c r="BS22" s="51"/>
      <c r="BT22" s="51"/>
      <c r="BU22" s="51"/>
      <c r="BV22" s="51"/>
      <c r="BW22" s="51"/>
      <c r="BX22" s="51"/>
      <c r="BY22" s="51"/>
      <c r="BZ22" s="51"/>
      <c r="CA22" s="51"/>
      <c r="CB22" s="51"/>
      <c r="CC22" s="51"/>
      <c r="CD22" s="51"/>
      <c r="CE22" s="51"/>
      <c r="CF22" s="51"/>
      <c r="CG22" s="51"/>
      <c r="CH22" s="51"/>
      <c r="CI22" s="51"/>
      <c r="CJ22" s="51"/>
      <c r="CK22" s="51"/>
      <c r="CL22" s="51"/>
      <c r="CM22" s="51"/>
      <c r="CN22" s="83">
        <f>SUM(AT22:CM22)</f>
        <v>0</v>
      </c>
      <c r="CO22" s="83">
        <f>+CN22+AS22</f>
        <v>219374443.53999999</v>
      </c>
      <c r="CP22" s="51"/>
      <c r="CQ22" s="51"/>
      <c r="CR22" s="51"/>
      <c r="CS22" s="51"/>
      <c r="CT22" s="51"/>
      <c r="CU22" s="51"/>
      <c r="CV22" s="51"/>
      <c r="CW22" s="51"/>
      <c r="CX22" s="51"/>
      <c r="CY22" s="51"/>
      <c r="CZ22" s="51"/>
      <c r="DA22" s="51"/>
      <c r="DB22" s="51"/>
      <c r="DC22" s="51"/>
      <c r="DD22" s="51"/>
      <c r="DE22" s="51"/>
      <c r="DF22" s="51"/>
      <c r="DG22" s="51"/>
      <c r="DH22" s="51"/>
      <c r="DI22" s="51"/>
      <c r="DJ22" s="51"/>
      <c r="DK22" s="51"/>
      <c r="DL22" s="51"/>
      <c r="DM22" s="51"/>
      <c r="DN22" s="51"/>
      <c r="DO22" s="51"/>
      <c r="DP22" s="51"/>
      <c r="DQ22" s="51"/>
      <c r="DR22" s="51"/>
      <c r="DS22" s="51"/>
      <c r="DT22" s="51"/>
      <c r="DU22" s="51"/>
      <c r="DV22" s="51"/>
      <c r="DW22" s="51"/>
      <c r="DX22" s="51"/>
      <c r="DY22" s="51"/>
      <c r="DZ22" s="51"/>
      <c r="EA22" s="51"/>
      <c r="EB22" s="51"/>
      <c r="EC22" s="51"/>
      <c r="ED22" s="51"/>
      <c r="EE22" s="51"/>
      <c r="EF22" s="51"/>
      <c r="EG22" s="51"/>
      <c r="EH22" s="203"/>
      <c r="EI22" s="51"/>
      <c r="EJ22" s="51"/>
      <c r="EK22" s="83">
        <f>SUM(CP22:EJ22)</f>
        <v>0</v>
      </c>
      <c r="EL22" s="83">
        <f>+EK22+CO22</f>
        <v>219374443.53999999</v>
      </c>
      <c r="EM22" s="51"/>
      <c r="EN22" s="51"/>
      <c r="EO22" s="51"/>
      <c r="EP22" s="51"/>
      <c r="EQ22" s="51"/>
      <c r="ER22" s="51"/>
      <c r="ES22" s="51"/>
      <c r="ET22" s="51"/>
      <c r="EU22" s="51"/>
      <c r="EV22" s="51"/>
      <c r="EW22" s="51"/>
      <c r="EX22" s="51"/>
      <c r="EY22" s="51"/>
      <c r="EZ22" s="51"/>
      <c r="FA22" s="51"/>
      <c r="FB22" s="51"/>
      <c r="FC22" s="51"/>
      <c r="FD22" s="51"/>
      <c r="FE22" s="51"/>
      <c r="FF22" s="51"/>
      <c r="FG22" s="51"/>
      <c r="FH22" s="51"/>
      <c r="FI22" s="51"/>
      <c r="FJ22" s="51"/>
      <c r="FK22" s="51"/>
      <c r="FL22" s="51"/>
      <c r="FM22" s="51"/>
      <c r="FN22" s="51"/>
      <c r="FO22" s="51"/>
      <c r="FP22" s="51"/>
      <c r="FQ22" s="51"/>
      <c r="FR22" s="51"/>
      <c r="FS22" s="51"/>
      <c r="FT22" s="51"/>
      <c r="FU22" s="203">
        <f>39539184.5482111-4353000</f>
        <v>35186184.548211098</v>
      </c>
      <c r="FV22" s="51"/>
      <c r="FW22" s="51"/>
      <c r="FX22" s="51"/>
      <c r="FY22" s="51"/>
      <c r="FZ22" s="51"/>
      <c r="GA22" s="51"/>
      <c r="GB22" s="51"/>
      <c r="GC22" s="51"/>
      <c r="GD22" s="51"/>
      <c r="GE22" s="203"/>
      <c r="GF22" s="203"/>
      <c r="GG22" s="51"/>
      <c r="GH22" s="51"/>
      <c r="GI22" s="83">
        <f>SUM(EM22:GH22)</f>
        <v>35186184.548211098</v>
      </c>
      <c r="GJ22" s="83">
        <f>+GI22+EL22</f>
        <v>254560628.08821109</v>
      </c>
      <c r="GK22" s="51"/>
      <c r="GL22" s="51"/>
      <c r="GM22" s="51"/>
      <c r="GN22" s="51"/>
      <c r="GO22" s="51"/>
      <c r="GP22" s="51"/>
      <c r="GQ22" s="51"/>
      <c r="GR22" s="51"/>
      <c r="GS22" s="51"/>
      <c r="GT22" s="51"/>
      <c r="GU22" s="51"/>
      <c r="GV22" s="51"/>
      <c r="GW22" s="51"/>
      <c r="GX22" s="51"/>
      <c r="GY22" s="51"/>
      <c r="GZ22" s="51"/>
      <c r="HA22" s="51"/>
      <c r="HB22" s="51"/>
      <c r="HC22" s="51"/>
      <c r="HD22" s="51"/>
      <c r="HE22" s="51"/>
      <c r="HF22" s="51"/>
      <c r="HG22" s="51"/>
      <c r="HH22" s="51"/>
      <c r="HI22" s="51"/>
      <c r="HJ22" s="51"/>
      <c r="HK22" s="51"/>
      <c r="HL22" s="51"/>
      <c r="HM22" s="51"/>
      <c r="HN22" s="51"/>
      <c r="HO22" s="51"/>
      <c r="HP22" s="51"/>
      <c r="HQ22" s="51"/>
      <c r="HR22" s="51"/>
      <c r="HS22" s="51">
        <f>-7270288.29062118+4353000</f>
        <v>-2917288.2906211801</v>
      </c>
      <c r="HT22" s="51"/>
      <c r="HU22" s="51"/>
      <c r="HV22" s="51"/>
      <c r="HW22" s="51"/>
      <c r="HX22" s="51"/>
      <c r="HY22" s="51"/>
      <c r="HZ22" s="51"/>
      <c r="IA22" s="51"/>
      <c r="IB22" s="51"/>
      <c r="IC22" s="203"/>
      <c r="ID22" s="203"/>
      <c r="IE22" s="51"/>
      <c r="IF22" s="51"/>
      <c r="IG22" s="83">
        <f>SUM(GK22:IF22)</f>
        <v>-2917288.2906211801</v>
      </c>
      <c r="IH22" s="83">
        <f>+IG22+GJ22</f>
        <v>251643339.7975899</v>
      </c>
      <c r="II22" s="51"/>
      <c r="IJ22" s="51"/>
      <c r="IK22" s="51"/>
      <c r="IL22" s="51"/>
      <c r="IM22" s="51"/>
      <c r="IN22" s="51"/>
      <c r="IO22" s="51"/>
      <c r="IP22" s="51"/>
      <c r="IQ22" s="51"/>
      <c r="IR22" s="51"/>
      <c r="IS22" s="51"/>
      <c r="IT22" s="51"/>
      <c r="IU22" s="51"/>
      <c r="IV22" s="51"/>
      <c r="IW22" s="51"/>
      <c r="IX22" s="51"/>
      <c r="IY22" s="51"/>
      <c r="IZ22" s="51"/>
      <c r="JA22" s="51"/>
      <c r="JB22" s="51"/>
      <c r="JC22" s="51"/>
      <c r="JD22" s="51"/>
      <c r="JE22" s="51"/>
      <c r="JF22" s="51"/>
      <c r="JG22" s="51"/>
      <c r="JH22" s="51"/>
      <c r="JI22" s="51"/>
      <c r="JJ22" s="51"/>
      <c r="JK22" s="51"/>
      <c r="JL22" s="51"/>
      <c r="JM22" s="51"/>
      <c r="JN22" s="51"/>
      <c r="JO22" s="51"/>
      <c r="JP22" s="51"/>
      <c r="JQ22" s="51">
        <v>171482.96669916064</v>
      </c>
      <c r="JR22" s="51"/>
      <c r="JS22" s="51"/>
      <c r="JT22" s="51"/>
      <c r="JU22" s="51"/>
      <c r="JV22" s="51"/>
      <c r="JW22" s="51"/>
      <c r="JX22" s="51"/>
      <c r="JY22" s="51"/>
      <c r="JZ22" s="51"/>
      <c r="KA22" s="203"/>
      <c r="KB22" s="203"/>
      <c r="KC22" s="51"/>
      <c r="KD22" s="51"/>
      <c r="KE22" s="83">
        <f>SUM(II22:KD22)</f>
        <v>171482.96669916064</v>
      </c>
      <c r="KF22" s="83">
        <f>+KE22+IH22</f>
        <v>251814822.76428905</v>
      </c>
      <c r="KG22" s="43" t="s">
        <v>34</v>
      </c>
    </row>
    <row r="23" spans="1:293" x14ac:dyDescent="0.3">
      <c r="A23" s="58">
        <f>ROW()</f>
        <v>23</v>
      </c>
      <c r="B23" s="74" t="s">
        <v>72</v>
      </c>
      <c r="C23" s="78">
        <v>631436038.51999998</v>
      </c>
      <c r="D23" s="79"/>
      <c r="E23" s="79">
        <v>-30327818.969999999</v>
      </c>
      <c r="F23" s="79"/>
      <c r="G23" s="79"/>
      <c r="H23" s="79"/>
      <c r="I23" s="79"/>
      <c r="J23" s="79"/>
      <c r="K23" s="79"/>
      <c r="L23" s="79"/>
      <c r="M23" s="79"/>
      <c r="N23" s="79">
        <v>306051.19046151917</v>
      </c>
      <c r="O23" s="79"/>
      <c r="P23" s="79"/>
      <c r="Q23" s="79"/>
      <c r="R23" s="79"/>
      <c r="S23" s="79"/>
      <c r="T23" s="79"/>
      <c r="U23" s="79">
        <v>153130.542533339</v>
      </c>
      <c r="V23" s="79"/>
      <c r="W23" s="79"/>
      <c r="X23" s="79"/>
      <c r="Y23" s="79"/>
      <c r="Z23" s="79"/>
      <c r="AA23" s="79"/>
      <c r="AB23" s="79"/>
      <c r="AC23" s="79"/>
      <c r="AD23" s="79"/>
      <c r="AE23" s="79">
        <v>10300467.056084067</v>
      </c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208"/>
      <c r="AQ23" s="79"/>
      <c r="AR23" s="78">
        <f>SUM(D23:AQ23)</f>
        <v>-19568170.180921074</v>
      </c>
      <c r="AS23" s="78">
        <f>+AR23+C23</f>
        <v>611867868.3390789</v>
      </c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>
        <v>-108036.24538709794</v>
      </c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8">
        <f>SUM(AT23:CM23)</f>
        <v>-108036.24538709794</v>
      </c>
      <c r="CO23" s="78">
        <f>+CN23+AS23</f>
        <v>611759832.09369183</v>
      </c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>
        <v>21468.193445260811</v>
      </c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208"/>
      <c r="EI23" s="79"/>
      <c r="EJ23" s="79"/>
      <c r="EK23" s="78">
        <f>SUM(CP23:EJ23)</f>
        <v>21468.193445260811</v>
      </c>
      <c r="EL23" s="78">
        <f>+EK23+CO23</f>
        <v>611781300.28713703</v>
      </c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>
        <v>39584.80536601349</v>
      </c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>
        <v>69841096.84006159</v>
      </c>
      <c r="FV23" s="79"/>
      <c r="FW23" s="79"/>
      <c r="FX23" s="79"/>
      <c r="FY23" s="79"/>
      <c r="FZ23" s="79"/>
      <c r="GA23" s="79"/>
      <c r="GB23" s="79"/>
      <c r="GC23" s="79"/>
      <c r="GD23" s="79"/>
      <c r="GE23" s="208"/>
      <c r="GF23" s="208"/>
      <c r="GG23" s="79"/>
      <c r="GH23" s="79"/>
      <c r="GI23" s="78">
        <f>SUM(EM23:GH23)</f>
        <v>69880681.6454276</v>
      </c>
      <c r="GJ23" s="78">
        <f>+GI23+EL23</f>
        <v>681661981.93256462</v>
      </c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>
        <v>92001.293667426624</v>
      </c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>
        <v>6643636.3920106702</v>
      </c>
      <c r="HT23" s="79"/>
      <c r="HU23" s="79"/>
      <c r="HV23" s="79"/>
      <c r="HW23" s="79"/>
      <c r="HX23" s="79"/>
      <c r="HY23" s="79"/>
      <c r="HZ23" s="79"/>
      <c r="IA23" s="79"/>
      <c r="IB23" s="79"/>
      <c r="IC23" s="208"/>
      <c r="ID23" s="208"/>
      <c r="IE23" s="79"/>
      <c r="IF23" s="79"/>
      <c r="IG23" s="78">
        <f>SUM(GK23:IF23)</f>
        <v>6735637.6856780965</v>
      </c>
      <c r="IH23" s="78">
        <f>+IG23+GJ23</f>
        <v>688397619.61824274</v>
      </c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>
        <v>138948.29236535239</v>
      </c>
      <c r="IT23" s="79"/>
      <c r="IU23" s="79"/>
      <c r="IV23" s="79"/>
      <c r="IW23" s="79"/>
      <c r="IX23" s="79"/>
      <c r="IY23" s="79"/>
      <c r="IZ23" s="79"/>
      <c r="JA23" s="79"/>
      <c r="JB23" s="79"/>
      <c r="JC23" s="79"/>
      <c r="JD23" s="79"/>
      <c r="JE23" s="79"/>
      <c r="JF23" s="79"/>
      <c r="JG23" s="79"/>
      <c r="JH23" s="79"/>
      <c r="JI23" s="79"/>
      <c r="JJ23" s="79"/>
      <c r="JK23" s="79"/>
      <c r="JL23" s="79"/>
      <c r="JM23" s="79"/>
      <c r="JN23" s="79"/>
      <c r="JO23" s="79"/>
      <c r="JP23" s="79"/>
      <c r="JQ23" s="79">
        <v>-91215884.068284228</v>
      </c>
      <c r="JR23" s="79"/>
      <c r="JS23" s="79"/>
      <c r="JT23" s="79"/>
      <c r="JU23" s="79"/>
      <c r="JV23" s="79"/>
      <c r="JW23" s="79"/>
      <c r="JX23" s="79"/>
      <c r="JY23" s="79"/>
      <c r="JZ23" s="79"/>
      <c r="KA23" s="208"/>
      <c r="KB23" s="208"/>
      <c r="KC23" s="79"/>
      <c r="KD23" s="79"/>
      <c r="KE23" s="78">
        <f>SUM(II23:KD23)</f>
        <v>-91076935.775918871</v>
      </c>
      <c r="KF23" s="78">
        <f>+KE23+IH23</f>
        <v>597320683.8423239</v>
      </c>
      <c r="KG23" s="43" t="s">
        <v>34</v>
      </c>
    </row>
    <row r="24" spans="1:293" x14ac:dyDescent="0.3">
      <c r="A24" s="58">
        <f>ROW()</f>
        <v>24</v>
      </c>
      <c r="B24" s="74" t="s">
        <v>73</v>
      </c>
      <c r="C24" s="78">
        <v>123773668.73999999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208"/>
      <c r="AQ24" s="79"/>
      <c r="AR24" s="78">
        <f>SUM(D24:AQ24)</f>
        <v>0</v>
      </c>
      <c r="AS24" s="78">
        <f>+AR24+C24</f>
        <v>123773668.73999999</v>
      </c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8">
        <f>SUM(AT24:CM24)</f>
        <v>0</v>
      </c>
      <c r="CO24" s="78">
        <f>+CN24+AS24</f>
        <v>123773668.73999999</v>
      </c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208"/>
      <c r="EI24" s="79"/>
      <c r="EJ24" s="79"/>
      <c r="EK24" s="78">
        <f>SUM(CP24:EJ24)</f>
        <v>0</v>
      </c>
      <c r="EL24" s="78">
        <f>+EK24+CO24</f>
        <v>123773668.73999999</v>
      </c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>
        <v>12088531.512388662</v>
      </c>
      <c r="FV24" s="79"/>
      <c r="FW24" s="79"/>
      <c r="FX24" s="79"/>
      <c r="FY24" s="79"/>
      <c r="FZ24" s="79"/>
      <c r="GA24" s="79"/>
      <c r="GB24" s="79"/>
      <c r="GC24" s="79"/>
      <c r="GD24" s="79"/>
      <c r="GE24" s="208"/>
      <c r="GF24" s="208"/>
      <c r="GG24" s="79"/>
      <c r="GH24" s="79"/>
      <c r="GI24" s="78">
        <f>SUM(EM24:GH24)</f>
        <v>12088531.512388662</v>
      </c>
      <c r="GJ24" s="78">
        <f>+GI24+EL24</f>
        <v>135862200.25238866</v>
      </c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>
        <v>4907659.3330300152</v>
      </c>
      <c r="HT24" s="79"/>
      <c r="HU24" s="79"/>
      <c r="HV24" s="79"/>
      <c r="HW24" s="79"/>
      <c r="HX24" s="79"/>
      <c r="HY24" s="79"/>
      <c r="HZ24" s="79"/>
      <c r="IA24" s="79"/>
      <c r="IB24" s="79"/>
      <c r="IC24" s="208"/>
      <c r="ID24" s="208"/>
      <c r="IE24" s="79"/>
      <c r="IF24" s="79"/>
      <c r="IG24" s="78">
        <f>SUM(GK24:IF24)</f>
        <v>4907659.3330300152</v>
      </c>
      <c r="IH24" s="78">
        <f>+IG24+GJ24</f>
        <v>140769859.58541867</v>
      </c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  <c r="IU24" s="79"/>
      <c r="IV24" s="79"/>
      <c r="IW24" s="79"/>
      <c r="IX24" s="79"/>
      <c r="IY24" s="79"/>
      <c r="IZ24" s="79"/>
      <c r="JA24" s="79"/>
      <c r="JB24" s="79"/>
      <c r="JC24" s="79"/>
      <c r="JD24" s="79"/>
      <c r="JE24" s="79"/>
      <c r="JF24" s="79"/>
      <c r="JG24" s="79"/>
      <c r="JH24" s="79"/>
      <c r="JI24" s="79"/>
      <c r="JJ24" s="79"/>
      <c r="JK24" s="79"/>
      <c r="JL24" s="79"/>
      <c r="JM24" s="79"/>
      <c r="JN24" s="79"/>
      <c r="JO24" s="79"/>
      <c r="JP24" s="79"/>
      <c r="JQ24" s="79">
        <v>1711734.7726309001</v>
      </c>
      <c r="JR24" s="79"/>
      <c r="JS24" s="79"/>
      <c r="JT24" s="79"/>
      <c r="JU24" s="79"/>
      <c r="JV24" s="79"/>
      <c r="JW24" s="79"/>
      <c r="JX24" s="79"/>
      <c r="JY24" s="79"/>
      <c r="JZ24" s="79"/>
      <c r="KA24" s="208"/>
      <c r="KB24" s="208"/>
      <c r="KC24" s="79"/>
      <c r="KD24" s="79"/>
      <c r="KE24" s="78">
        <f>SUM(II24:KD24)</f>
        <v>1711734.7726309001</v>
      </c>
      <c r="KF24" s="78">
        <f>+KE24+IH24</f>
        <v>142481594.35804957</v>
      </c>
      <c r="KG24" s="43" t="s">
        <v>34</v>
      </c>
    </row>
    <row r="25" spans="1:293" x14ac:dyDescent="0.3">
      <c r="A25" s="58">
        <f>ROW()</f>
        <v>25</v>
      </c>
      <c r="B25" s="47" t="s">
        <v>74</v>
      </c>
      <c r="C25" s="78">
        <v>-82886110.760000005</v>
      </c>
      <c r="D25" s="79"/>
      <c r="E25" s="79">
        <v>82886110.760000005</v>
      </c>
      <c r="F25" s="79"/>
      <c r="G25" s="79"/>
      <c r="H25" s="79"/>
      <c r="I25" s="79"/>
      <c r="J25" s="79"/>
      <c r="K25" s="79"/>
      <c r="L25" s="79" t="s">
        <v>75</v>
      </c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208"/>
      <c r="AQ25" s="79"/>
      <c r="AR25" s="78">
        <f>SUM(D25:AQ25)</f>
        <v>82886110.760000005</v>
      </c>
      <c r="AS25" s="78">
        <f>+AR25+C25</f>
        <v>0</v>
      </c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8">
        <f>SUM(AT25:CM25)</f>
        <v>0</v>
      </c>
      <c r="CO25" s="78">
        <f>+CN25+AS25</f>
        <v>0</v>
      </c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208"/>
      <c r="EI25" s="79"/>
      <c r="EJ25" s="79"/>
      <c r="EK25" s="78">
        <f>SUM(CP25:EJ25)</f>
        <v>0</v>
      </c>
      <c r="EL25" s="78">
        <f>+EK25+CO25</f>
        <v>0</v>
      </c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208"/>
      <c r="GF25" s="208"/>
      <c r="GG25" s="79"/>
      <c r="GH25" s="79"/>
      <c r="GI25" s="78">
        <f>SUM(EM25:GH25)</f>
        <v>0</v>
      </c>
      <c r="GJ25" s="78">
        <f>+GI25+EL25</f>
        <v>0</v>
      </c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208"/>
      <c r="ID25" s="208"/>
      <c r="IE25" s="79"/>
      <c r="IF25" s="79"/>
      <c r="IG25" s="78">
        <f>SUM(GK25:IF25)</f>
        <v>0</v>
      </c>
      <c r="IH25" s="78">
        <f>+IG25+GJ25</f>
        <v>0</v>
      </c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  <c r="IU25" s="79"/>
      <c r="IV25" s="79"/>
      <c r="IW25" s="79"/>
      <c r="IX25" s="79"/>
      <c r="IY25" s="79"/>
      <c r="IZ25" s="79"/>
      <c r="JA25" s="79"/>
      <c r="JB25" s="79"/>
      <c r="JC25" s="79"/>
      <c r="JD25" s="79"/>
      <c r="JE25" s="79"/>
      <c r="JF25" s="79"/>
      <c r="JG25" s="79"/>
      <c r="JH25" s="79"/>
      <c r="JI25" s="79"/>
      <c r="JJ25" s="79"/>
      <c r="JK25" s="79"/>
      <c r="JL25" s="79"/>
      <c r="JM25" s="79"/>
      <c r="JN25" s="79"/>
      <c r="JO25" s="79"/>
      <c r="JP25" s="79"/>
      <c r="JQ25" s="79"/>
      <c r="JR25" s="79"/>
      <c r="JS25" s="79"/>
      <c r="JT25" s="79"/>
      <c r="JU25" s="79"/>
      <c r="JV25" s="79"/>
      <c r="JW25" s="79"/>
      <c r="JX25" s="79"/>
      <c r="JY25" s="79"/>
      <c r="JZ25" s="79"/>
      <c r="KA25" s="208"/>
      <c r="KB25" s="208"/>
      <c r="KC25" s="79"/>
      <c r="KD25" s="79"/>
      <c r="KE25" s="78">
        <f>SUM(II25:KD25)</f>
        <v>0</v>
      </c>
      <c r="KF25" s="78">
        <f>+KE25+IH25</f>
        <v>0</v>
      </c>
      <c r="KG25" s="43" t="s">
        <v>34</v>
      </c>
    </row>
    <row r="26" spans="1:293" x14ac:dyDescent="0.3">
      <c r="A26" s="58">
        <f>ROW()</f>
        <v>26</v>
      </c>
      <c r="B26" s="74" t="s">
        <v>76</v>
      </c>
      <c r="C26" s="84">
        <f t="shared" ref="C26:BN26" si="22">SUM(C21:C25)</f>
        <v>891698040.03999996</v>
      </c>
      <c r="D26" s="85">
        <f t="shared" si="22"/>
        <v>0</v>
      </c>
      <c r="E26" s="85">
        <f t="shared" si="22"/>
        <v>52558291.790000007</v>
      </c>
      <c r="F26" s="85">
        <f t="shared" si="22"/>
        <v>0</v>
      </c>
      <c r="G26" s="85">
        <f t="shared" si="22"/>
        <v>0</v>
      </c>
      <c r="H26" s="85">
        <f t="shared" si="22"/>
        <v>0</v>
      </c>
      <c r="I26" s="85">
        <f t="shared" si="22"/>
        <v>0</v>
      </c>
      <c r="J26" s="85">
        <f t="shared" si="22"/>
        <v>0</v>
      </c>
      <c r="K26" s="85">
        <f t="shared" si="22"/>
        <v>0</v>
      </c>
      <c r="L26" s="85">
        <f t="shared" si="22"/>
        <v>0</v>
      </c>
      <c r="M26" s="85">
        <f t="shared" si="22"/>
        <v>0</v>
      </c>
      <c r="N26" s="85">
        <f t="shared" si="22"/>
        <v>306051.19046151917</v>
      </c>
      <c r="O26" s="85">
        <f t="shared" si="22"/>
        <v>0</v>
      </c>
      <c r="P26" s="85">
        <f t="shared" si="22"/>
        <v>0</v>
      </c>
      <c r="Q26" s="85">
        <f t="shared" si="22"/>
        <v>0</v>
      </c>
      <c r="R26" s="85">
        <f t="shared" si="22"/>
        <v>0</v>
      </c>
      <c r="S26" s="85">
        <f t="shared" si="22"/>
        <v>0</v>
      </c>
      <c r="T26" s="85">
        <f t="shared" si="22"/>
        <v>0</v>
      </c>
      <c r="U26" s="85">
        <f t="shared" si="22"/>
        <v>153130.542533339</v>
      </c>
      <c r="V26" s="85">
        <f t="shared" si="22"/>
        <v>0</v>
      </c>
      <c r="W26" s="85">
        <f t="shared" si="22"/>
        <v>0</v>
      </c>
      <c r="X26" s="85">
        <f t="shared" si="22"/>
        <v>0</v>
      </c>
      <c r="Y26" s="85">
        <f t="shared" si="22"/>
        <v>0</v>
      </c>
      <c r="Z26" s="85">
        <f t="shared" si="22"/>
        <v>0</v>
      </c>
      <c r="AA26" s="85">
        <f t="shared" si="22"/>
        <v>0</v>
      </c>
      <c r="AB26" s="85">
        <f t="shared" si="22"/>
        <v>0</v>
      </c>
      <c r="AC26" s="85">
        <f t="shared" si="22"/>
        <v>0</v>
      </c>
      <c r="AD26" s="85">
        <f t="shared" si="22"/>
        <v>0</v>
      </c>
      <c r="AE26" s="85">
        <f t="shared" si="22"/>
        <v>10300467.056084067</v>
      </c>
      <c r="AF26" s="85">
        <f t="shared" si="22"/>
        <v>0</v>
      </c>
      <c r="AG26" s="85">
        <f t="shared" si="22"/>
        <v>0</v>
      </c>
      <c r="AH26" s="85">
        <f t="shared" si="22"/>
        <v>0</v>
      </c>
      <c r="AI26" s="85">
        <f t="shared" si="22"/>
        <v>0</v>
      </c>
      <c r="AJ26" s="85">
        <f t="shared" si="22"/>
        <v>0</v>
      </c>
      <c r="AK26" s="85">
        <f t="shared" si="22"/>
        <v>0</v>
      </c>
      <c r="AL26" s="85">
        <f t="shared" si="22"/>
        <v>0</v>
      </c>
      <c r="AM26" s="85">
        <f t="shared" si="22"/>
        <v>0</v>
      </c>
      <c r="AN26" s="85">
        <f t="shared" si="22"/>
        <v>0</v>
      </c>
      <c r="AO26" s="85">
        <f t="shared" si="22"/>
        <v>0</v>
      </c>
      <c r="AP26" s="210">
        <f t="shared" si="22"/>
        <v>0</v>
      </c>
      <c r="AQ26" s="85">
        <f t="shared" si="22"/>
        <v>0</v>
      </c>
      <c r="AR26" s="84">
        <f t="shared" si="22"/>
        <v>63317940.579078928</v>
      </c>
      <c r="AS26" s="84">
        <f t="shared" si="22"/>
        <v>955015980.61907887</v>
      </c>
      <c r="AT26" s="85">
        <f t="shared" si="22"/>
        <v>0</v>
      </c>
      <c r="AU26" s="85">
        <f t="shared" si="22"/>
        <v>0</v>
      </c>
      <c r="AV26" s="85">
        <f t="shared" si="22"/>
        <v>0</v>
      </c>
      <c r="AW26" s="85">
        <f t="shared" si="22"/>
        <v>0</v>
      </c>
      <c r="AX26" s="85">
        <f t="shared" si="22"/>
        <v>0</v>
      </c>
      <c r="AY26" s="85">
        <f t="shared" si="22"/>
        <v>0</v>
      </c>
      <c r="AZ26" s="85">
        <f t="shared" si="22"/>
        <v>0</v>
      </c>
      <c r="BA26" s="85">
        <f t="shared" si="22"/>
        <v>0</v>
      </c>
      <c r="BB26" s="85">
        <f t="shared" si="22"/>
        <v>0</v>
      </c>
      <c r="BC26" s="85">
        <f t="shared" si="22"/>
        <v>0</v>
      </c>
      <c r="BD26" s="85">
        <f t="shared" si="22"/>
        <v>-108036.24538709794</v>
      </c>
      <c r="BE26" s="85">
        <f t="shared" si="22"/>
        <v>0</v>
      </c>
      <c r="BF26" s="85">
        <f t="shared" si="22"/>
        <v>0</v>
      </c>
      <c r="BG26" s="85">
        <f t="shared" si="22"/>
        <v>0</v>
      </c>
      <c r="BH26" s="85">
        <f t="shared" si="22"/>
        <v>0</v>
      </c>
      <c r="BI26" s="85">
        <f t="shared" si="22"/>
        <v>0</v>
      </c>
      <c r="BJ26" s="85">
        <f t="shared" si="22"/>
        <v>0</v>
      </c>
      <c r="BK26" s="85">
        <f t="shared" si="22"/>
        <v>0</v>
      </c>
      <c r="BL26" s="85">
        <f t="shared" si="22"/>
        <v>0</v>
      </c>
      <c r="BM26" s="85">
        <f t="shared" si="22"/>
        <v>0</v>
      </c>
      <c r="BN26" s="85">
        <f t="shared" si="22"/>
        <v>0</v>
      </c>
      <c r="BO26" s="85">
        <f t="shared" ref="BO26:DZ26" si="23">SUM(BO21:BO25)</f>
        <v>0</v>
      </c>
      <c r="BP26" s="85">
        <f t="shared" si="23"/>
        <v>0</v>
      </c>
      <c r="BQ26" s="85">
        <f t="shared" si="23"/>
        <v>0</v>
      </c>
      <c r="BR26" s="85">
        <f t="shared" si="23"/>
        <v>0</v>
      </c>
      <c r="BS26" s="85">
        <f t="shared" si="23"/>
        <v>0</v>
      </c>
      <c r="BT26" s="85">
        <f t="shared" si="23"/>
        <v>0</v>
      </c>
      <c r="BU26" s="85">
        <f t="shared" si="23"/>
        <v>0</v>
      </c>
      <c r="BV26" s="85">
        <f t="shared" si="23"/>
        <v>0</v>
      </c>
      <c r="BW26" s="85">
        <f t="shared" si="23"/>
        <v>0</v>
      </c>
      <c r="BX26" s="85">
        <f t="shared" si="23"/>
        <v>0</v>
      </c>
      <c r="BY26" s="85">
        <f t="shared" si="23"/>
        <v>0</v>
      </c>
      <c r="BZ26" s="85">
        <f t="shared" si="23"/>
        <v>0</v>
      </c>
      <c r="CA26" s="85">
        <f t="shared" si="23"/>
        <v>0</v>
      </c>
      <c r="CB26" s="85">
        <f t="shared" si="23"/>
        <v>0</v>
      </c>
      <c r="CC26" s="85">
        <f t="shared" si="23"/>
        <v>0</v>
      </c>
      <c r="CD26" s="85">
        <f t="shared" si="23"/>
        <v>0</v>
      </c>
      <c r="CE26" s="85">
        <f t="shared" si="23"/>
        <v>0</v>
      </c>
      <c r="CF26" s="85">
        <f t="shared" si="23"/>
        <v>0</v>
      </c>
      <c r="CG26" s="85">
        <f t="shared" si="23"/>
        <v>0</v>
      </c>
      <c r="CH26" s="85">
        <f t="shared" si="23"/>
        <v>0</v>
      </c>
      <c r="CI26" s="85">
        <f t="shared" si="23"/>
        <v>0</v>
      </c>
      <c r="CJ26" s="85">
        <f t="shared" si="23"/>
        <v>0</v>
      </c>
      <c r="CK26" s="85">
        <f t="shared" si="23"/>
        <v>0</v>
      </c>
      <c r="CL26" s="85">
        <f t="shared" si="23"/>
        <v>0</v>
      </c>
      <c r="CM26" s="85">
        <f t="shared" si="23"/>
        <v>0</v>
      </c>
      <c r="CN26" s="84">
        <f t="shared" si="23"/>
        <v>-108036.24538709794</v>
      </c>
      <c r="CO26" s="84">
        <f t="shared" si="23"/>
        <v>954907944.3736918</v>
      </c>
      <c r="CP26" s="85">
        <f t="shared" si="23"/>
        <v>0</v>
      </c>
      <c r="CQ26" s="85">
        <f t="shared" si="23"/>
        <v>0</v>
      </c>
      <c r="CR26" s="85">
        <f t="shared" si="23"/>
        <v>0</v>
      </c>
      <c r="CS26" s="85">
        <f t="shared" si="23"/>
        <v>0</v>
      </c>
      <c r="CT26" s="85">
        <f t="shared" si="23"/>
        <v>0</v>
      </c>
      <c r="CU26" s="85">
        <f t="shared" si="23"/>
        <v>0</v>
      </c>
      <c r="CV26" s="85">
        <f t="shared" si="23"/>
        <v>0</v>
      </c>
      <c r="CW26" s="85">
        <f t="shared" si="23"/>
        <v>0</v>
      </c>
      <c r="CX26" s="85">
        <f t="shared" si="23"/>
        <v>0</v>
      </c>
      <c r="CY26" s="85">
        <f t="shared" si="23"/>
        <v>0</v>
      </c>
      <c r="CZ26" s="85">
        <f t="shared" si="23"/>
        <v>21468.193445260811</v>
      </c>
      <c r="DA26" s="85">
        <f t="shared" si="23"/>
        <v>0</v>
      </c>
      <c r="DB26" s="85">
        <f t="shared" si="23"/>
        <v>0</v>
      </c>
      <c r="DC26" s="85">
        <f t="shared" si="23"/>
        <v>0</v>
      </c>
      <c r="DD26" s="85">
        <f t="shared" si="23"/>
        <v>0</v>
      </c>
      <c r="DE26" s="85">
        <f t="shared" si="23"/>
        <v>0</v>
      </c>
      <c r="DF26" s="85">
        <f t="shared" si="23"/>
        <v>0</v>
      </c>
      <c r="DG26" s="85">
        <f t="shared" si="23"/>
        <v>0</v>
      </c>
      <c r="DH26" s="85">
        <f t="shared" si="23"/>
        <v>0</v>
      </c>
      <c r="DI26" s="85">
        <f t="shared" si="23"/>
        <v>0</v>
      </c>
      <c r="DJ26" s="85">
        <f t="shared" si="23"/>
        <v>0</v>
      </c>
      <c r="DK26" s="85">
        <f t="shared" si="23"/>
        <v>0</v>
      </c>
      <c r="DL26" s="85">
        <f t="shared" si="23"/>
        <v>0</v>
      </c>
      <c r="DM26" s="85">
        <f t="shared" si="23"/>
        <v>0</v>
      </c>
      <c r="DN26" s="85">
        <f t="shared" si="23"/>
        <v>0</v>
      </c>
      <c r="DO26" s="85">
        <f t="shared" si="23"/>
        <v>0</v>
      </c>
      <c r="DP26" s="85">
        <f t="shared" si="23"/>
        <v>0</v>
      </c>
      <c r="DQ26" s="85">
        <f t="shared" si="23"/>
        <v>0</v>
      </c>
      <c r="DR26" s="85">
        <f t="shared" si="23"/>
        <v>0</v>
      </c>
      <c r="DS26" s="85">
        <f t="shared" si="23"/>
        <v>0</v>
      </c>
      <c r="DT26" s="85">
        <f t="shared" si="23"/>
        <v>0</v>
      </c>
      <c r="DU26" s="85">
        <f t="shared" si="23"/>
        <v>0</v>
      </c>
      <c r="DV26" s="85">
        <f t="shared" si="23"/>
        <v>0</v>
      </c>
      <c r="DW26" s="85">
        <f t="shared" si="23"/>
        <v>0</v>
      </c>
      <c r="DX26" s="85">
        <f t="shared" si="23"/>
        <v>0</v>
      </c>
      <c r="DY26" s="85">
        <f t="shared" si="23"/>
        <v>0</v>
      </c>
      <c r="DZ26" s="85">
        <f t="shared" si="23"/>
        <v>0</v>
      </c>
      <c r="EA26" s="85">
        <f t="shared" ref="EA26:GL26" si="24">SUM(EA21:EA25)</f>
        <v>0</v>
      </c>
      <c r="EB26" s="85">
        <f t="shared" si="24"/>
        <v>0</v>
      </c>
      <c r="EC26" s="85">
        <f t="shared" si="24"/>
        <v>0</v>
      </c>
      <c r="ED26" s="85">
        <f t="shared" si="24"/>
        <v>0</v>
      </c>
      <c r="EE26" s="85">
        <f t="shared" si="24"/>
        <v>0</v>
      </c>
      <c r="EF26" s="85">
        <f t="shared" si="24"/>
        <v>0</v>
      </c>
      <c r="EG26" s="85">
        <f t="shared" si="24"/>
        <v>0</v>
      </c>
      <c r="EH26" s="210">
        <f t="shared" si="24"/>
        <v>0</v>
      </c>
      <c r="EI26" s="85">
        <f t="shared" si="24"/>
        <v>0</v>
      </c>
      <c r="EJ26" s="85">
        <f t="shared" si="24"/>
        <v>0</v>
      </c>
      <c r="EK26" s="84">
        <f t="shared" si="24"/>
        <v>21468.193445260811</v>
      </c>
      <c r="EL26" s="84">
        <f t="shared" si="24"/>
        <v>954929412.567137</v>
      </c>
      <c r="EM26" s="85">
        <f t="shared" si="24"/>
        <v>0</v>
      </c>
      <c r="EN26" s="85">
        <f t="shared" si="24"/>
        <v>0</v>
      </c>
      <c r="EO26" s="85">
        <f t="shared" si="24"/>
        <v>0</v>
      </c>
      <c r="EP26" s="85">
        <f t="shared" si="24"/>
        <v>0</v>
      </c>
      <c r="EQ26" s="85">
        <f t="shared" si="24"/>
        <v>0</v>
      </c>
      <c r="ER26" s="85">
        <f t="shared" si="24"/>
        <v>0</v>
      </c>
      <c r="ES26" s="85">
        <f t="shared" si="24"/>
        <v>0</v>
      </c>
      <c r="ET26" s="85">
        <f t="shared" si="24"/>
        <v>0</v>
      </c>
      <c r="EU26" s="85">
        <f t="shared" si="24"/>
        <v>0</v>
      </c>
      <c r="EV26" s="85">
        <f t="shared" si="24"/>
        <v>0</v>
      </c>
      <c r="EW26" s="85">
        <f t="shared" si="24"/>
        <v>39584.80536601349</v>
      </c>
      <c r="EX26" s="85">
        <f t="shared" si="24"/>
        <v>0</v>
      </c>
      <c r="EY26" s="85">
        <f t="shared" si="24"/>
        <v>0</v>
      </c>
      <c r="EZ26" s="85">
        <f t="shared" si="24"/>
        <v>0</v>
      </c>
      <c r="FA26" s="85">
        <f t="shared" si="24"/>
        <v>0</v>
      </c>
      <c r="FB26" s="85">
        <f t="shared" si="24"/>
        <v>0</v>
      </c>
      <c r="FC26" s="85">
        <f t="shared" si="24"/>
        <v>0</v>
      </c>
      <c r="FD26" s="85">
        <f t="shared" si="24"/>
        <v>0</v>
      </c>
      <c r="FE26" s="85">
        <f t="shared" si="24"/>
        <v>0</v>
      </c>
      <c r="FF26" s="85">
        <f t="shared" si="24"/>
        <v>0</v>
      </c>
      <c r="FG26" s="85">
        <f t="shared" si="24"/>
        <v>0</v>
      </c>
      <c r="FH26" s="85">
        <f t="shared" si="24"/>
        <v>0</v>
      </c>
      <c r="FI26" s="85">
        <f t="shared" si="24"/>
        <v>0</v>
      </c>
      <c r="FJ26" s="85">
        <f t="shared" si="24"/>
        <v>0</v>
      </c>
      <c r="FK26" s="85">
        <f t="shared" si="24"/>
        <v>0</v>
      </c>
      <c r="FL26" s="85">
        <f t="shared" si="24"/>
        <v>0</v>
      </c>
      <c r="FM26" s="85">
        <f t="shared" si="24"/>
        <v>0</v>
      </c>
      <c r="FN26" s="85">
        <f t="shared" si="24"/>
        <v>0</v>
      </c>
      <c r="FO26" s="85">
        <f t="shared" si="24"/>
        <v>0</v>
      </c>
      <c r="FP26" s="85">
        <f t="shared" si="24"/>
        <v>0</v>
      </c>
      <c r="FQ26" s="85">
        <f t="shared" si="24"/>
        <v>0</v>
      </c>
      <c r="FR26" s="85">
        <f t="shared" si="24"/>
        <v>0</v>
      </c>
      <c r="FS26" s="85">
        <f t="shared" si="24"/>
        <v>0</v>
      </c>
      <c r="FT26" s="85">
        <f t="shared" si="24"/>
        <v>0</v>
      </c>
      <c r="FU26" s="85">
        <f t="shared" si="24"/>
        <v>117115812.90066135</v>
      </c>
      <c r="FV26" s="85">
        <f t="shared" si="24"/>
        <v>0</v>
      </c>
      <c r="FW26" s="85">
        <f t="shared" si="24"/>
        <v>0</v>
      </c>
      <c r="FX26" s="85">
        <f t="shared" si="24"/>
        <v>0</v>
      </c>
      <c r="FY26" s="85">
        <f t="shared" si="24"/>
        <v>0</v>
      </c>
      <c r="FZ26" s="85">
        <f t="shared" si="24"/>
        <v>0</v>
      </c>
      <c r="GA26" s="85">
        <f t="shared" si="24"/>
        <v>0</v>
      </c>
      <c r="GB26" s="85">
        <f t="shared" si="24"/>
        <v>0</v>
      </c>
      <c r="GC26" s="85">
        <f t="shared" si="24"/>
        <v>0</v>
      </c>
      <c r="GD26" s="85">
        <f t="shared" si="24"/>
        <v>0</v>
      </c>
      <c r="GE26" s="210">
        <f t="shared" si="24"/>
        <v>0</v>
      </c>
      <c r="GF26" s="210">
        <f t="shared" si="24"/>
        <v>0</v>
      </c>
      <c r="GG26" s="85">
        <f t="shared" si="24"/>
        <v>0</v>
      </c>
      <c r="GH26" s="85">
        <f t="shared" si="24"/>
        <v>0</v>
      </c>
      <c r="GI26" s="84">
        <f t="shared" si="24"/>
        <v>117155397.70602736</v>
      </c>
      <c r="GJ26" s="84">
        <f t="shared" si="24"/>
        <v>1072084810.2731643</v>
      </c>
      <c r="GK26" s="85">
        <f t="shared" si="24"/>
        <v>0</v>
      </c>
      <c r="GL26" s="85">
        <f t="shared" si="24"/>
        <v>0</v>
      </c>
      <c r="GM26" s="85">
        <f t="shared" ref="GM26:IX26" si="25">SUM(GM21:GM25)</f>
        <v>0</v>
      </c>
      <c r="GN26" s="85">
        <f t="shared" si="25"/>
        <v>0</v>
      </c>
      <c r="GO26" s="85">
        <f t="shared" si="25"/>
        <v>0</v>
      </c>
      <c r="GP26" s="85">
        <f t="shared" si="25"/>
        <v>0</v>
      </c>
      <c r="GQ26" s="85">
        <f t="shared" si="25"/>
        <v>0</v>
      </c>
      <c r="GR26" s="85">
        <f t="shared" si="25"/>
        <v>0</v>
      </c>
      <c r="GS26" s="85">
        <f t="shared" si="25"/>
        <v>0</v>
      </c>
      <c r="GT26" s="85">
        <f t="shared" si="25"/>
        <v>0</v>
      </c>
      <c r="GU26" s="85">
        <f t="shared" si="25"/>
        <v>92001.293667426624</v>
      </c>
      <c r="GV26" s="85">
        <f t="shared" si="25"/>
        <v>0</v>
      </c>
      <c r="GW26" s="85">
        <f t="shared" si="25"/>
        <v>0</v>
      </c>
      <c r="GX26" s="85">
        <f t="shared" si="25"/>
        <v>0</v>
      </c>
      <c r="GY26" s="85">
        <f t="shared" si="25"/>
        <v>0</v>
      </c>
      <c r="GZ26" s="85">
        <f t="shared" si="25"/>
        <v>0</v>
      </c>
      <c r="HA26" s="85">
        <f t="shared" si="25"/>
        <v>0</v>
      </c>
      <c r="HB26" s="85">
        <f t="shared" si="25"/>
        <v>0</v>
      </c>
      <c r="HC26" s="85">
        <f t="shared" si="25"/>
        <v>0</v>
      </c>
      <c r="HD26" s="85">
        <f t="shared" si="25"/>
        <v>0</v>
      </c>
      <c r="HE26" s="85">
        <f t="shared" si="25"/>
        <v>0</v>
      </c>
      <c r="HF26" s="85">
        <f t="shared" si="25"/>
        <v>0</v>
      </c>
      <c r="HG26" s="85">
        <f t="shared" si="25"/>
        <v>0</v>
      </c>
      <c r="HH26" s="85">
        <f t="shared" si="25"/>
        <v>0</v>
      </c>
      <c r="HI26" s="85">
        <f t="shared" si="25"/>
        <v>0</v>
      </c>
      <c r="HJ26" s="85">
        <f t="shared" si="25"/>
        <v>0</v>
      </c>
      <c r="HK26" s="85">
        <f t="shared" si="25"/>
        <v>0</v>
      </c>
      <c r="HL26" s="85">
        <f t="shared" si="25"/>
        <v>0</v>
      </c>
      <c r="HM26" s="85">
        <f t="shared" si="25"/>
        <v>0</v>
      </c>
      <c r="HN26" s="85">
        <f t="shared" si="25"/>
        <v>0</v>
      </c>
      <c r="HO26" s="85">
        <f t="shared" si="25"/>
        <v>0</v>
      </c>
      <c r="HP26" s="85">
        <f t="shared" si="25"/>
        <v>0</v>
      </c>
      <c r="HQ26" s="85">
        <f t="shared" si="25"/>
        <v>0</v>
      </c>
      <c r="HR26" s="85">
        <f t="shared" si="25"/>
        <v>0</v>
      </c>
      <c r="HS26" s="85">
        <f t="shared" si="25"/>
        <v>8634007.4344195053</v>
      </c>
      <c r="HT26" s="85">
        <f t="shared" si="25"/>
        <v>0</v>
      </c>
      <c r="HU26" s="85">
        <f t="shared" si="25"/>
        <v>0</v>
      </c>
      <c r="HV26" s="85">
        <f t="shared" si="25"/>
        <v>0</v>
      </c>
      <c r="HW26" s="85">
        <f t="shared" si="25"/>
        <v>0</v>
      </c>
      <c r="HX26" s="85">
        <f t="shared" si="25"/>
        <v>0</v>
      </c>
      <c r="HY26" s="85">
        <f t="shared" si="25"/>
        <v>0</v>
      </c>
      <c r="HZ26" s="85">
        <f t="shared" si="25"/>
        <v>0</v>
      </c>
      <c r="IA26" s="85">
        <f t="shared" si="25"/>
        <v>0</v>
      </c>
      <c r="IB26" s="85">
        <f t="shared" si="25"/>
        <v>0</v>
      </c>
      <c r="IC26" s="210">
        <f t="shared" si="25"/>
        <v>0</v>
      </c>
      <c r="ID26" s="210">
        <f t="shared" si="25"/>
        <v>0</v>
      </c>
      <c r="IE26" s="85">
        <f t="shared" si="25"/>
        <v>0</v>
      </c>
      <c r="IF26" s="85">
        <f t="shared" si="25"/>
        <v>0</v>
      </c>
      <c r="IG26" s="84">
        <f t="shared" si="25"/>
        <v>8726008.7280869316</v>
      </c>
      <c r="IH26" s="84">
        <f t="shared" si="25"/>
        <v>1080810819.0012512</v>
      </c>
      <c r="II26" s="85">
        <f t="shared" si="25"/>
        <v>0</v>
      </c>
      <c r="IJ26" s="85">
        <f t="shared" si="25"/>
        <v>0</v>
      </c>
      <c r="IK26" s="85">
        <f t="shared" si="25"/>
        <v>0</v>
      </c>
      <c r="IL26" s="85">
        <f t="shared" si="25"/>
        <v>0</v>
      </c>
      <c r="IM26" s="85">
        <f t="shared" si="25"/>
        <v>0</v>
      </c>
      <c r="IN26" s="85">
        <f t="shared" si="25"/>
        <v>0</v>
      </c>
      <c r="IO26" s="85">
        <f t="shared" si="25"/>
        <v>0</v>
      </c>
      <c r="IP26" s="85">
        <f t="shared" si="25"/>
        <v>0</v>
      </c>
      <c r="IQ26" s="85">
        <f t="shared" si="25"/>
        <v>0</v>
      </c>
      <c r="IR26" s="85">
        <f t="shared" si="25"/>
        <v>0</v>
      </c>
      <c r="IS26" s="85">
        <f t="shared" si="25"/>
        <v>138948.29236535239</v>
      </c>
      <c r="IT26" s="85">
        <f t="shared" si="25"/>
        <v>0</v>
      </c>
      <c r="IU26" s="85">
        <f t="shared" si="25"/>
        <v>0</v>
      </c>
      <c r="IV26" s="85">
        <f t="shared" si="25"/>
        <v>0</v>
      </c>
      <c r="IW26" s="85">
        <f t="shared" si="25"/>
        <v>0</v>
      </c>
      <c r="IX26" s="85">
        <f t="shared" si="25"/>
        <v>0</v>
      </c>
      <c r="IY26" s="85">
        <f t="shared" ref="IY26:KF26" si="26">SUM(IY21:IY25)</f>
        <v>0</v>
      </c>
      <c r="IZ26" s="85">
        <f t="shared" si="26"/>
        <v>0</v>
      </c>
      <c r="JA26" s="85">
        <f t="shared" si="26"/>
        <v>0</v>
      </c>
      <c r="JB26" s="85">
        <f t="shared" si="26"/>
        <v>0</v>
      </c>
      <c r="JC26" s="85">
        <f t="shared" si="26"/>
        <v>0</v>
      </c>
      <c r="JD26" s="85">
        <f t="shared" si="26"/>
        <v>0</v>
      </c>
      <c r="JE26" s="85">
        <f t="shared" si="26"/>
        <v>0</v>
      </c>
      <c r="JF26" s="85">
        <f t="shared" si="26"/>
        <v>0</v>
      </c>
      <c r="JG26" s="85">
        <f t="shared" si="26"/>
        <v>0</v>
      </c>
      <c r="JH26" s="85">
        <f t="shared" si="26"/>
        <v>0</v>
      </c>
      <c r="JI26" s="85">
        <f t="shared" si="26"/>
        <v>0</v>
      </c>
      <c r="JJ26" s="85">
        <f t="shared" si="26"/>
        <v>0</v>
      </c>
      <c r="JK26" s="85">
        <f t="shared" si="26"/>
        <v>0</v>
      </c>
      <c r="JL26" s="85">
        <f t="shared" si="26"/>
        <v>0</v>
      </c>
      <c r="JM26" s="85">
        <f t="shared" si="26"/>
        <v>0</v>
      </c>
      <c r="JN26" s="85">
        <f t="shared" si="26"/>
        <v>0</v>
      </c>
      <c r="JO26" s="85">
        <f t="shared" si="26"/>
        <v>0</v>
      </c>
      <c r="JP26" s="85">
        <f t="shared" si="26"/>
        <v>0</v>
      </c>
      <c r="JQ26" s="85">
        <f t="shared" si="26"/>
        <v>-89332666.32895416</v>
      </c>
      <c r="JR26" s="85">
        <f t="shared" si="26"/>
        <v>0</v>
      </c>
      <c r="JS26" s="85">
        <f t="shared" si="26"/>
        <v>0</v>
      </c>
      <c r="JT26" s="85">
        <f t="shared" si="26"/>
        <v>0</v>
      </c>
      <c r="JU26" s="85">
        <f t="shared" si="26"/>
        <v>0</v>
      </c>
      <c r="JV26" s="85">
        <f t="shared" si="26"/>
        <v>0</v>
      </c>
      <c r="JW26" s="85">
        <f t="shared" si="26"/>
        <v>0</v>
      </c>
      <c r="JX26" s="85">
        <f t="shared" si="26"/>
        <v>0</v>
      </c>
      <c r="JY26" s="85">
        <f t="shared" si="26"/>
        <v>0</v>
      </c>
      <c r="JZ26" s="85">
        <f t="shared" si="26"/>
        <v>0</v>
      </c>
      <c r="KA26" s="210">
        <f t="shared" si="26"/>
        <v>0</v>
      </c>
      <c r="KB26" s="210">
        <f t="shared" si="26"/>
        <v>0</v>
      </c>
      <c r="KC26" s="85">
        <f t="shared" si="26"/>
        <v>0</v>
      </c>
      <c r="KD26" s="85">
        <f t="shared" si="26"/>
        <v>0</v>
      </c>
      <c r="KE26" s="84">
        <f t="shared" si="26"/>
        <v>-89193718.036588818</v>
      </c>
      <c r="KF26" s="84">
        <f t="shared" si="26"/>
        <v>991617100.96466255</v>
      </c>
      <c r="KG26" s="43" t="s">
        <v>34</v>
      </c>
    </row>
    <row r="27" spans="1:293" x14ac:dyDescent="0.3">
      <c r="A27" s="58">
        <f>ROW()</f>
        <v>27</v>
      </c>
      <c r="B27" s="74"/>
      <c r="C27" s="83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  <c r="AP27" s="203"/>
      <c r="AQ27" s="51"/>
      <c r="AR27" s="83"/>
      <c r="AS27" s="83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1"/>
      <c r="BG27" s="51"/>
      <c r="BH27" s="51"/>
      <c r="BI27" s="51"/>
      <c r="BJ27" s="51"/>
      <c r="BK27" s="51"/>
      <c r="BL27" s="51"/>
      <c r="BM27" s="51"/>
      <c r="BN27" s="51"/>
      <c r="BO27" s="51"/>
      <c r="BP27" s="51"/>
      <c r="BQ27" s="51"/>
      <c r="BR27" s="51"/>
      <c r="BS27" s="51"/>
      <c r="BT27" s="51"/>
      <c r="BU27" s="51"/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83"/>
      <c r="CO27" s="83"/>
      <c r="CP27" s="51"/>
      <c r="CQ27" s="51"/>
      <c r="CR27" s="51"/>
      <c r="CS27" s="51"/>
      <c r="CT27" s="51"/>
      <c r="CU27" s="51"/>
      <c r="CV27" s="51"/>
      <c r="CW27" s="51"/>
      <c r="CX27" s="51"/>
      <c r="CY27" s="51"/>
      <c r="CZ27" s="51"/>
      <c r="DA27" s="51"/>
      <c r="DB27" s="51"/>
      <c r="DC27" s="51"/>
      <c r="DD27" s="51"/>
      <c r="DE27" s="51"/>
      <c r="DF27" s="51"/>
      <c r="DG27" s="51"/>
      <c r="DH27" s="51"/>
      <c r="DI27" s="51"/>
      <c r="DJ27" s="51"/>
      <c r="DK27" s="51"/>
      <c r="DL27" s="51"/>
      <c r="DM27" s="51"/>
      <c r="DN27" s="51"/>
      <c r="DO27" s="51"/>
      <c r="DP27" s="51"/>
      <c r="DQ27" s="51"/>
      <c r="DR27" s="51"/>
      <c r="DS27" s="51"/>
      <c r="DT27" s="51"/>
      <c r="DU27" s="51"/>
      <c r="DV27" s="51"/>
      <c r="DW27" s="51"/>
      <c r="DX27" s="51"/>
      <c r="DY27" s="51"/>
      <c r="DZ27" s="51"/>
      <c r="EA27" s="51"/>
      <c r="EB27" s="51"/>
      <c r="EC27" s="51"/>
      <c r="ED27" s="51"/>
      <c r="EE27" s="51"/>
      <c r="EF27" s="51"/>
      <c r="EG27" s="51"/>
      <c r="EH27" s="203"/>
      <c r="EI27" s="51"/>
      <c r="EJ27" s="51"/>
      <c r="EK27" s="83"/>
      <c r="EL27" s="83"/>
      <c r="EM27" s="51"/>
      <c r="EN27" s="51"/>
      <c r="EO27" s="51"/>
      <c r="EP27" s="51"/>
      <c r="EQ27" s="51"/>
      <c r="ER27" s="51"/>
      <c r="ES27" s="51"/>
      <c r="ET27" s="51"/>
      <c r="EU27" s="51"/>
      <c r="EV27" s="51"/>
      <c r="EW27" s="51"/>
      <c r="EX27" s="51"/>
      <c r="EY27" s="51"/>
      <c r="EZ27" s="51"/>
      <c r="FA27" s="51"/>
      <c r="FB27" s="51"/>
      <c r="FC27" s="51"/>
      <c r="FD27" s="51"/>
      <c r="FE27" s="51"/>
      <c r="FF27" s="51"/>
      <c r="FG27" s="51"/>
      <c r="FH27" s="51"/>
      <c r="FI27" s="51"/>
      <c r="FJ27" s="51"/>
      <c r="FK27" s="51"/>
      <c r="FL27" s="51"/>
      <c r="FM27" s="51"/>
      <c r="FN27" s="51"/>
      <c r="FO27" s="51"/>
      <c r="FP27" s="51"/>
      <c r="FQ27" s="51"/>
      <c r="FR27" s="51"/>
      <c r="FS27" s="51"/>
      <c r="FT27" s="51"/>
      <c r="FU27" s="51"/>
      <c r="FV27" s="51"/>
      <c r="FW27" s="51"/>
      <c r="FX27" s="51"/>
      <c r="FY27" s="51"/>
      <c r="FZ27" s="51"/>
      <c r="GA27" s="51"/>
      <c r="GB27" s="51"/>
      <c r="GC27" s="51"/>
      <c r="GD27" s="51"/>
      <c r="GE27" s="203"/>
      <c r="GF27" s="203"/>
      <c r="GG27" s="51"/>
      <c r="GH27" s="51"/>
      <c r="GI27" s="83"/>
      <c r="GJ27" s="83"/>
      <c r="GK27" s="51"/>
      <c r="GL27" s="51"/>
      <c r="GM27" s="51"/>
      <c r="GN27" s="51"/>
      <c r="GO27" s="51"/>
      <c r="GP27" s="51"/>
      <c r="GQ27" s="51"/>
      <c r="GR27" s="51"/>
      <c r="GS27" s="51"/>
      <c r="GT27" s="51"/>
      <c r="GU27" s="51"/>
      <c r="GV27" s="51"/>
      <c r="GW27" s="51"/>
      <c r="GX27" s="51"/>
      <c r="GY27" s="51"/>
      <c r="GZ27" s="51"/>
      <c r="HA27" s="51"/>
      <c r="HB27" s="51"/>
      <c r="HC27" s="51"/>
      <c r="HD27" s="51"/>
      <c r="HE27" s="51"/>
      <c r="HF27" s="51"/>
      <c r="HG27" s="51"/>
      <c r="HH27" s="51"/>
      <c r="HI27" s="51"/>
      <c r="HJ27" s="51"/>
      <c r="HK27" s="51"/>
      <c r="HL27" s="51"/>
      <c r="HM27" s="51"/>
      <c r="HN27" s="51"/>
      <c r="HO27" s="51"/>
      <c r="HP27" s="51"/>
      <c r="HQ27" s="51"/>
      <c r="HR27" s="51"/>
      <c r="HS27" s="51"/>
      <c r="HT27" s="51"/>
      <c r="HU27" s="51"/>
      <c r="HV27" s="51"/>
      <c r="HW27" s="51"/>
      <c r="HX27" s="51"/>
      <c r="HY27" s="51"/>
      <c r="HZ27" s="51"/>
      <c r="IA27" s="51"/>
      <c r="IB27" s="51"/>
      <c r="IC27" s="203"/>
      <c r="ID27" s="203"/>
      <c r="IE27" s="51"/>
      <c r="IF27" s="51"/>
      <c r="IG27" s="83"/>
      <c r="IH27" s="83"/>
      <c r="II27" s="51"/>
      <c r="IJ27" s="51"/>
      <c r="IK27" s="51"/>
      <c r="IL27" s="51"/>
      <c r="IM27" s="51"/>
      <c r="IN27" s="51"/>
      <c r="IO27" s="51"/>
      <c r="IP27" s="51"/>
      <c r="IQ27" s="51"/>
      <c r="IR27" s="51"/>
      <c r="IS27" s="51"/>
      <c r="IT27" s="51"/>
      <c r="IU27" s="51"/>
      <c r="IV27" s="51"/>
      <c r="IW27" s="51"/>
      <c r="IX27" s="51"/>
      <c r="IY27" s="51"/>
      <c r="IZ27" s="51"/>
      <c r="JA27" s="51"/>
      <c r="JB27" s="51"/>
      <c r="JC27" s="51"/>
      <c r="JD27" s="51"/>
      <c r="JE27" s="51"/>
      <c r="JF27" s="51"/>
      <c r="JG27" s="51"/>
      <c r="JH27" s="51"/>
      <c r="JI27" s="51"/>
      <c r="JJ27" s="51"/>
      <c r="JK27" s="51"/>
      <c r="JL27" s="51"/>
      <c r="JM27" s="51"/>
      <c r="JN27" s="51"/>
      <c r="JO27" s="51"/>
      <c r="JP27" s="51"/>
      <c r="JQ27" s="51"/>
      <c r="JR27" s="51"/>
      <c r="JS27" s="51"/>
      <c r="JT27" s="51"/>
      <c r="JU27" s="51"/>
      <c r="JV27" s="51"/>
      <c r="JW27" s="51"/>
      <c r="JX27" s="51"/>
      <c r="JY27" s="51"/>
      <c r="JZ27" s="51"/>
      <c r="KA27" s="203"/>
      <c r="KB27" s="203"/>
      <c r="KC27" s="51"/>
      <c r="KD27" s="51"/>
      <c r="KE27" s="83"/>
      <c r="KF27" s="83"/>
      <c r="KG27" s="43" t="s">
        <v>34</v>
      </c>
    </row>
    <row r="28" spans="1:293" x14ac:dyDescent="0.3">
      <c r="A28" s="58">
        <f>ROW()</f>
        <v>28</v>
      </c>
      <c r="B28" s="86" t="s">
        <v>77</v>
      </c>
      <c r="C28" s="78">
        <v>108522830.96000001</v>
      </c>
      <c r="D28" s="51"/>
      <c r="E28" s="51"/>
      <c r="F28" s="51"/>
      <c r="G28" s="51"/>
      <c r="H28" s="51"/>
      <c r="I28" s="51"/>
      <c r="J28" s="51"/>
      <c r="K28" s="79"/>
      <c r="L28" s="51"/>
      <c r="M28" s="51"/>
      <c r="N28" s="79">
        <v>920183.6014643705</v>
      </c>
      <c r="O28" s="51"/>
      <c r="P28" s="51"/>
      <c r="Q28" s="51"/>
      <c r="R28" s="79"/>
      <c r="S28" s="51"/>
      <c r="T28" s="51"/>
      <c r="U28" s="79">
        <v>366169.29419989884</v>
      </c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203"/>
      <c r="AQ28" s="51"/>
      <c r="AR28" s="78">
        <f t="shared" ref="AR28:AR41" si="27">SUM(D28:AQ28)</f>
        <v>1286352.8956642693</v>
      </c>
      <c r="AS28" s="83">
        <f t="shared" ref="AS28:AS41" si="28">+AR28+C28</f>
        <v>109809183.85566428</v>
      </c>
      <c r="AT28" s="51"/>
      <c r="AU28" s="51"/>
      <c r="AV28" s="51"/>
      <c r="AW28" s="51"/>
      <c r="AX28" s="51"/>
      <c r="AY28" s="51"/>
      <c r="AZ28" s="79"/>
      <c r="BA28" s="51"/>
      <c r="BB28" s="51"/>
      <c r="BC28" s="51"/>
      <c r="BD28" s="51">
        <v>-325571.85181710473</v>
      </c>
      <c r="BE28" s="51"/>
      <c r="BF28" s="51"/>
      <c r="BG28" s="51"/>
      <c r="BH28" s="51"/>
      <c r="BI28" s="51"/>
      <c r="BJ28" s="51"/>
      <c r="BK28" s="51"/>
      <c r="BL28" s="51"/>
      <c r="BM28" s="51"/>
      <c r="BN28" s="51"/>
      <c r="BO28" s="51"/>
      <c r="BP28" s="51"/>
      <c r="BQ28" s="51"/>
      <c r="BR28" s="51"/>
      <c r="BS28" s="51"/>
      <c r="BT28" s="51"/>
      <c r="BU28" s="51"/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>
        <v>-30545485.439999998</v>
      </c>
      <c r="CK28" s="51"/>
      <c r="CL28" s="51"/>
      <c r="CM28" s="51"/>
      <c r="CN28" s="78">
        <f t="shared" ref="CN28:CN41" si="29">SUM(AT28:CM28)</f>
        <v>-30871057.291817103</v>
      </c>
      <c r="CO28" s="83">
        <f t="shared" ref="CO28:CO41" si="30">+CN28+AS28</f>
        <v>78938126.563847184</v>
      </c>
      <c r="CP28" s="51"/>
      <c r="CQ28" s="51"/>
      <c r="CR28" s="51"/>
      <c r="CS28" s="51"/>
      <c r="CT28" s="51"/>
      <c r="CU28" s="51"/>
      <c r="CV28" s="51"/>
      <c r="CW28" s="51"/>
      <c r="CX28" s="51"/>
      <c r="CY28" s="51"/>
      <c r="CZ28" s="51">
        <v>64695.320261250716</v>
      </c>
      <c r="DA28" s="51"/>
      <c r="DB28" s="51"/>
      <c r="DC28" s="51"/>
      <c r="DD28" s="51"/>
      <c r="DE28" s="51"/>
      <c r="DF28" s="51"/>
      <c r="DG28" s="51"/>
      <c r="DH28" s="51"/>
      <c r="DI28" s="51"/>
      <c r="DJ28" s="51"/>
      <c r="DK28" s="51"/>
      <c r="DL28" s="51"/>
      <c r="DM28" s="51"/>
      <c r="DN28" s="51"/>
      <c r="DO28" s="51"/>
      <c r="DP28" s="51"/>
      <c r="DQ28" s="51"/>
      <c r="DR28" s="51"/>
      <c r="DS28" s="51"/>
      <c r="DT28" s="51"/>
      <c r="DU28" s="51"/>
      <c r="DV28" s="51"/>
      <c r="DW28" s="51"/>
      <c r="DX28" s="51"/>
      <c r="DY28" s="51"/>
      <c r="DZ28" s="51"/>
      <c r="EA28" s="51"/>
      <c r="EB28" s="51"/>
      <c r="EC28" s="51"/>
      <c r="ED28" s="51"/>
      <c r="EE28" s="51"/>
      <c r="EF28" s="51">
        <v>0</v>
      </c>
      <c r="EG28" s="51"/>
      <c r="EH28" s="203"/>
      <c r="EI28" s="51"/>
      <c r="EJ28" s="51"/>
      <c r="EK28" s="78">
        <f t="shared" ref="EK28:EK41" si="31">SUM(CP28:EJ28)</f>
        <v>64695.320261250716</v>
      </c>
      <c r="EL28" s="83">
        <f t="shared" ref="EL28:EL41" si="32">+EK28+CO28</f>
        <v>79002821.884108439</v>
      </c>
      <c r="EM28" s="51"/>
      <c r="EN28" s="51"/>
      <c r="EO28" s="51"/>
      <c r="EP28" s="51"/>
      <c r="EQ28" s="51"/>
      <c r="ER28" s="51"/>
      <c r="ES28" s="51"/>
      <c r="ET28" s="51"/>
      <c r="EU28" s="51"/>
      <c r="EV28" s="51"/>
      <c r="EW28" s="79">
        <v>119290.50607650797</v>
      </c>
      <c r="EX28" s="51"/>
      <c r="EY28" s="51"/>
      <c r="EZ28" s="51"/>
      <c r="FA28" s="51"/>
      <c r="FB28" s="51"/>
      <c r="FC28" s="51"/>
      <c r="FD28" s="51"/>
      <c r="FE28" s="51"/>
      <c r="FF28" s="51"/>
      <c r="FG28" s="51"/>
      <c r="FH28" s="208">
        <f>+'[22]BGM-7'!J46</f>
        <v>3194360.8702093363</v>
      </c>
      <c r="FI28" s="51"/>
      <c r="FJ28" s="51"/>
      <c r="FK28" s="51"/>
      <c r="FL28" s="51"/>
      <c r="FM28" s="51"/>
      <c r="FN28" s="51"/>
      <c r="FO28" s="51"/>
      <c r="FP28" s="51"/>
      <c r="FQ28" s="51"/>
      <c r="FR28" s="51"/>
      <c r="FS28" s="51"/>
      <c r="FT28" s="51"/>
      <c r="FU28" s="51">
        <v>13540601.894337162</v>
      </c>
      <c r="FV28" s="51"/>
      <c r="FW28" s="51"/>
      <c r="FX28" s="51"/>
      <c r="FY28" s="51"/>
      <c r="FZ28" s="51"/>
      <c r="GA28" s="51"/>
      <c r="GB28" s="51"/>
      <c r="GC28" s="51">
        <v>3843656.4166666642</v>
      </c>
      <c r="GD28" s="51">
        <v>0</v>
      </c>
      <c r="GE28" s="203"/>
      <c r="GF28" s="203"/>
      <c r="GG28" s="51"/>
      <c r="GH28" s="51"/>
      <c r="GI28" s="78">
        <f t="shared" ref="GI28:GI41" si="33">SUM(EM28:GH28)</f>
        <v>20697909.68728967</v>
      </c>
      <c r="GJ28" s="83">
        <f t="shared" ref="GJ28:GJ41" si="34">+GI28+EL28</f>
        <v>99700731.571398109</v>
      </c>
      <c r="GK28" s="51"/>
      <c r="GL28" s="51"/>
      <c r="GM28" s="51"/>
      <c r="GN28" s="51"/>
      <c r="GO28" s="51"/>
      <c r="GP28" s="51"/>
      <c r="GQ28" s="51"/>
      <c r="GR28" s="51"/>
      <c r="GS28" s="51"/>
      <c r="GT28" s="51"/>
      <c r="GU28" s="79">
        <v>277249.83815894858</v>
      </c>
      <c r="GV28" s="51"/>
      <c r="GW28" s="51"/>
      <c r="GX28" s="51"/>
      <c r="GY28" s="51"/>
      <c r="GZ28" s="51"/>
      <c r="HA28" s="51"/>
      <c r="HB28" s="51"/>
      <c r="HC28" s="51"/>
      <c r="HD28" s="51"/>
      <c r="HE28" s="51"/>
      <c r="HF28" s="208">
        <f>+'[22]BGM-7'!K46</f>
        <v>2552338.7282277942</v>
      </c>
      <c r="HG28" s="51"/>
      <c r="HH28" s="51"/>
      <c r="HI28" s="51"/>
      <c r="HJ28" s="51"/>
      <c r="HK28" s="51"/>
      <c r="HL28" s="51"/>
      <c r="HM28" s="51"/>
      <c r="HN28" s="51"/>
      <c r="HO28" s="51"/>
      <c r="HP28" s="51"/>
      <c r="HQ28" s="51"/>
      <c r="HR28" s="51"/>
      <c r="HS28" s="51">
        <v>510599.06936752796</v>
      </c>
      <c r="HT28" s="51"/>
      <c r="HU28" s="51"/>
      <c r="HV28" s="51"/>
      <c r="HW28" s="51"/>
      <c r="HX28" s="51"/>
      <c r="HY28" s="51"/>
      <c r="HZ28" s="51"/>
      <c r="IA28" s="51">
        <v>-1924614.5</v>
      </c>
      <c r="IB28" s="51"/>
      <c r="IC28" s="203"/>
      <c r="ID28" s="203"/>
      <c r="IE28" s="51"/>
      <c r="IF28" s="51"/>
      <c r="IG28" s="78">
        <f t="shared" ref="IG28:IG41" si="35">SUM(GK28:IF28)</f>
        <v>1415573.1357542705</v>
      </c>
      <c r="IH28" s="83">
        <f t="shared" ref="IH28:IH41" si="36">+IG28+GJ28</f>
        <v>101116304.70715238</v>
      </c>
      <c r="II28" s="51"/>
      <c r="IJ28" s="51"/>
      <c r="IK28" s="51"/>
      <c r="IL28" s="51"/>
      <c r="IM28" s="51"/>
      <c r="IN28" s="51"/>
      <c r="IO28" s="51"/>
      <c r="IP28" s="51"/>
      <c r="IQ28" s="51"/>
      <c r="IR28" s="51"/>
      <c r="IS28" s="79">
        <v>418726.62910603825</v>
      </c>
      <c r="IT28" s="51"/>
      <c r="IU28" s="51"/>
      <c r="IV28" s="51"/>
      <c r="IW28" s="51"/>
      <c r="IX28" s="51"/>
      <c r="IY28" s="51"/>
      <c r="IZ28" s="51"/>
      <c r="JA28" s="51"/>
      <c r="JB28" s="51"/>
      <c r="JC28" s="51"/>
      <c r="JD28" s="208">
        <f>+'[22]BGM-7'!L46</f>
        <v>2617678.5996704251</v>
      </c>
      <c r="JE28" s="51"/>
      <c r="JF28" s="51"/>
      <c r="JG28" s="51"/>
      <c r="JH28" s="51"/>
      <c r="JI28" s="51"/>
      <c r="JJ28" s="51"/>
      <c r="JK28" s="51"/>
      <c r="JL28" s="51"/>
      <c r="JM28" s="51"/>
      <c r="JN28" s="51"/>
      <c r="JO28" s="51"/>
      <c r="JP28" s="51"/>
      <c r="JQ28" s="51">
        <v>7394298.8083925396</v>
      </c>
      <c r="JR28" s="51"/>
      <c r="JS28" s="51"/>
      <c r="JT28" s="51"/>
      <c r="JU28" s="51"/>
      <c r="JV28" s="51"/>
      <c r="JW28" s="51"/>
      <c r="JX28" s="51"/>
      <c r="JY28" s="51">
        <v>-5257088.0149999931</v>
      </c>
      <c r="JZ28" s="51"/>
      <c r="KA28" s="203"/>
      <c r="KB28" s="203"/>
      <c r="KC28" s="51"/>
      <c r="KD28" s="51"/>
      <c r="KE28" s="78">
        <f t="shared" ref="KE28:KE41" si="37">SUM(II28:KD28)</f>
        <v>5173616.0221690089</v>
      </c>
      <c r="KF28" s="83">
        <f t="shared" ref="KF28:KF41" si="38">+KE28+IH28</f>
        <v>106289920.72932139</v>
      </c>
      <c r="KG28" s="43" t="s">
        <v>34</v>
      </c>
    </row>
    <row r="29" spans="1:293" x14ac:dyDescent="0.3">
      <c r="A29" s="58">
        <f>ROW()</f>
        <v>29</v>
      </c>
      <c r="B29" s="74" t="s">
        <v>78</v>
      </c>
      <c r="C29" s="78">
        <v>24911099.109999999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>
        <v>488551.30625339446</v>
      </c>
      <c r="O29" s="79"/>
      <c r="P29" s="79"/>
      <c r="Q29" s="79"/>
      <c r="R29" s="79"/>
      <c r="S29" s="79"/>
      <c r="T29" s="79"/>
      <c r="U29" s="79">
        <v>223450.68884317949</v>
      </c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>
        <v>-221927.2233333331</v>
      </c>
      <c r="AI29" s="79"/>
      <c r="AJ29" s="79"/>
      <c r="AK29" s="79"/>
      <c r="AL29" s="79"/>
      <c r="AM29" s="79"/>
      <c r="AN29" s="79"/>
      <c r="AO29" s="79"/>
      <c r="AP29" s="208"/>
      <c r="AQ29" s="79"/>
      <c r="AR29" s="78">
        <f t="shared" si="27"/>
        <v>490074.77176324086</v>
      </c>
      <c r="AS29" s="78">
        <f t="shared" si="28"/>
        <v>25401173.881763238</v>
      </c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>
        <v>-172627.97223630385</v>
      </c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8">
        <f t="shared" si="29"/>
        <v>-172627.97223630385</v>
      </c>
      <c r="CO29" s="78">
        <f t="shared" si="30"/>
        <v>25228545.909526933</v>
      </c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>
        <v>34303.401499684667</v>
      </c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208"/>
      <c r="EI29" s="79"/>
      <c r="EJ29" s="79"/>
      <c r="EK29" s="78">
        <f t="shared" si="31"/>
        <v>34303.401499684667</v>
      </c>
      <c r="EL29" s="78">
        <f t="shared" si="32"/>
        <v>25262849.311026618</v>
      </c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>
        <v>63251.408425192698</v>
      </c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208">
        <f>+'[22]BGM-7'!J47</f>
        <v>806218.21876198798</v>
      </c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>
        <v>-969054.8354037758</v>
      </c>
      <c r="FY29" s="79"/>
      <c r="FZ29" s="79"/>
      <c r="GA29" s="79"/>
      <c r="GB29" s="79"/>
      <c r="GC29" s="79"/>
      <c r="GD29" s="79"/>
      <c r="GE29" s="208"/>
      <c r="GF29" s="208"/>
      <c r="GG29" s="79"/>
      <c r="GH29" s="79"/>
      <c r="GI29" s="78">
        <f t="shared" si="33"/>
        <v>-99585.208216595114</v>
      </c>
      <c r="GJ29" s="78">
        <f t="shared" si="34"/>
        <v>25163264.102810021</v>
      </c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>
        <v>147006.18956183421</v>
      </c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208">
        <f>+'[22]BGM-7'!K47</f>
        <v>644179.5610319376</v>
      </c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208"/>
      <c r="ID29" s="208"/>
      <c r="IE29" s="79"/>
      <c r="IF29" s="79"/>
      <c r="IG29" s="78">
        <f t="shared" si="35"/>
        <v>791185.75059377181</v>
      </c>
      <c r="IH29" s="78">
        <f t="shared" si="36"/>
        <v>25954449.853403792</v>
      </c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>
        <v>222021.43244411948</v>
      </c>
      <c r="IT29" s="79"/>
      <c r="IU29" s="79"/>
      <c r="IV29" s="79"/>
      <c r="IW29" s="79"/>
      <c r="IX29" s="79"/>
      <c r="IY29" s="79"/>
      <c r="IZ29" s="79"/>
      <c r="JA29" s="79"/>
      <c r="JB29" s="79"/>
      <c r="JC29" s="79"/>
      <c r="JD29" s="208">
        <f>+'[22]BGM-7'!L47</f>
        <v>660670.55779435486</v>
      </c>
      <c r="JE29" s="79"/>
      <c r="JF29" s="79"/>
      <c r="JG29" s="79"/>
      <c r="JH29" s="79"/>
      <c r="JI29" s="79"/>
      <c r="JJ29" s="79"/>
      <c r="JK29" s="79"/>
      <c r="JL29" s="79"/>
      <c r="JM29" s="79"/>
      <c r="JN29" s="79"/>
      <c r="JO29" s="79"/>
      <c r="JP29" s="79"/>
      <c r="JQ29" s="79"/>
      <c r="JR29" s="79"/>
      <c r="JS29" s="79"/>
      <c r="JT29" s="79"/>
      <c r="JU29" s="79"/>
      <c r="JV29" s="79"/>
      <c r="JW29" s="79"/>
      <c r="JX29" s="79"/>
      <c r="JY29" s="79"/>
      <c r="JZ29" s="79"/>
      <c r="KA29" s="208"/>
      <c r="KB29" s="208"/>
      <c r="KC29" s="79"/>
      <c r="KD29" s="79"/>
      <c r="KE29" s="78">
        <f t="shared" si="37"/>
        <v>882691.99023847433</v>
      </c>
      <c r="KF29" s="78">
        <f t="shared" si="38"/>
        <v>26837141.843642265</v>
      </c>
      <c r="KG29" s="43" t="s">
        <v>34</v>
      </c>
    </row>
    <row r="30" spans="1:293" x14ac:dyDescent="0.3">
      <c r="A30" s="58">
        <f>ROW()</f>
        <v>30</v>
      </c>
      <c r="B30" s="74" t="s">
        <v>79</v>
      </c>
      <c r="C30" s="78">
        <v>89651034.640000001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>
        <v>1327852.6021819038</v>
      </c>
      <c r="O30" s="79"/>
      <c r="P30" s="79"/>
      <c r="Q30" s="79"/>
      <c r="R30" s="79"/>
      <c r="S30" s="79"/>
      <c r="T30" s="79"/>
      <c r="U30" s="79">
        <v>514493.33828667179</v>
      </c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>
        <v>1133055.3483333332</v>
      </c>
      <c r="AI30" s="79"/>
      <c r="AJ30" s="79"/>
      <c r="AK30" s="79"/>
      <c r="AL30" s="79"/>
      <c r="AM30" s="79"/>
      <c r="AN30" s="79"/>
      <c r="AO30" s="79"/>
      <c r="AP30" s="208"/>
      <c r="AQ30" s="79"/>
      <c r="AR30" s="78">
        <f t="shared" si="27"/>
        <v>2975401.2888019085</v>
      </c>
      <c r="AS30" s="78">
        <f t="shared" si="28"/>
        <v>92626435.928801909</v>
      </c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>
        <v>-469923.05705742119</v>
      </c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8">
        <f t="shared" si="29"/>
        <v>-469923.05705742119</v>
      </c>
      <c r="CO30" s="78">
        <f t="shared" si="30"/>
        <v>92156512.871744484</v>
      </c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>
        <v>93379.763959307689</v>
      </c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208"/>
      <c r="EI30" s="79"/>
      <c r="EJ30" s="79"/>
      <c r="EK30" s="78">
        <f t="shared" si="31"/>
        <v>93379.763959307689</v>
      </c>
      <c r="EL30" s="78">
        <f t="shared" si="32"/>
        <v>92249892.635703787</v>
      </c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>
        <v>172181.22199609107</v>
      </c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208">
        <f>+'[22]BGM-7'!J48</f>
        <v>3056588.837090224</v>
      </c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>
        <v>-78000.229596220772</v>
      </c>
      <c r="FY30" s="79"/>
      <c r="FZ30" s="79"/>
      <c r="GA30" s="79"/>
      <c r="GB30" s="79"/>
      <c r="GC30" s="79"/>
      <c r="GD30" s="79"/>
      <c r="GE30" s="208"/>
      <c r="GF30" s="208"/>
      <c r="GG30" s="79"/>
      <c r="GH30" s="79"/>
      <c r="GI30" s="78">
        <f t="shared" si="33"/>
        <v>3150769.8294900944</v>
      </c>
      <c r="GJ30" s="78">
        <f t="shared" si="34"/>
        <v>95400662.465193883</v>
      </c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>
        <v>400176.15401689801</v>
      </c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208">
        <f>+'[22]BGM-7'!K48</f>
        <v>2442256.9591089636</v>
      </c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208"/>
      <c r="ID30" s="208"/>
      <c r="IE30" s="79"/>
      <c r="IF30" s="79"/>
      <c r="IG30" s="78">
        <f t="shared" si="35"/>
        <v>2842433.1131258616</v>
      </c>
      <c r="IH30" s="78">
        <f t="shared" si="36"/>
        <v>98243095.578319743</v>
      </c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>
        <v>604380.55846239673</v>
      </c>
      <c r="IT30" s="79"/>
      <c r="IU30" s="79"/>
      <c r="IV30" s="79"/>
      <c r="IW30" s="79"/>
      <c r="IX30" s="79"/>
      <c r="IY30" s="79"/>
      <c r="IZ30" s="79"/>
      <c r="JA30" s="79"/>
      <c r="JB30" s="79"/>
      <c r="JC30" s="79"/>
      <c r="JD30" s="208">
        <f>+'[22]BGM-7'!L48</f>
        <v>2504778.7372621596</v>
      </c>
      <c r="JE30" s="79"/>
      <c r="JF30" s="79"/>
      <c r="JG30" s="79"/>
      <c r="JH30" s="79"/>
      <c r="JI30" s="79"/>
      <c r="JJ30" s="79"/>
      <c r="JK30" s="79"/>
      <c r="JL30" s="79"/>
      <c r="JM30" s="79"/>
      <c r="JN30" s="79"/>
      <c r="JO30" s="79"/>
      <c r="JP30" s="79"/>
      <c r="JQ30" s="79"/>
      <c r="JR30" s="79"/>
      <c r="JS30" s="79"/>
      <c r="JT30" s="79"/>
      <c r="JU30" s="79"/>
      <c r="JV30" s="79"/>
      <c r="JW30" s="79"/>
      <c r="JX30" s="79"/>
      <c r="JY30" s="79"/>
      <c r="JZ30" s="79"/>
      <c r="KA30" s="208"/>
      <c r="KB30" s="208"/>
      <c r="KC30" s="79"/>
      <c r="KD30" s="79"/>
      <c r="KE30" s="78">
        <f t="shared" si="37"/>
        <v>3109159.2957245563</v>
      </c>
      <c r="KF30" s="78">
        <f t="shared" si="38"/>
        <v>101352254.8740443</v>
      </c>
      <c r="KG30" s="43" t="s">
        <v>34</v>
      </c>
    </row>
    <row r="31" spans="1:293" x14ac:dyDescent="0.3">
      <c r="A31" s="58">
        <f>ROW()</f>
        <v>31</v>
      </c>
      <c r="B31" s="74" t="s">
        <v>80</v>
      </c>
      <c r="C31" s="78">
        <v>54008362.240000002</v>
      </c>
      <c r="D31" s="79">
        <v>464239.87124975096</v>
      </c>
      <c r="E31" s="79">
        <v>-1476891.8123157108</v>
      </c>
      <c r="F31" s="79">
        <v>7937.9671349999999</v>
      </c>
      <c r="G31" s="79"/>
      <c r="H31" s="79"/>
      <c r="I31" s="79">
        <v>-3766721.2629440017</v>
      </c>
      <c r="J31" s="79"/>
      <c r="K31" s="79"/>
      <c r="L31" s="79"/>
      <c r="M31" s="79"/>
      <c r="N31" s="79">
        <v>351618.71151122008</v>
      </c>
      <c r="O31" s="79"/>
      <c r="P31" s="79"/>
      <c r="Q31" s="79"/>
      <c r="R31" s="79"/>
      <c r="S31" s="79"/>
      <c r="T31" s="79"/>
      <c r="U31" s="79">
        <v>137226.71599812526</v>
      </c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208"/>
      <c r="AQ31" s="79"/>
      <c r="AR31" s="78">
        <f t="shared" si="27"/>
        <v>-4282589.8093656162</v>
      </c>
      <c r="AS31" s="78">
        <f t="shared" si="28"/>
        <v>49725772.430634387</v>
      </c>
      <c r="AT31" s="79">
        <v>-56442.53432223</v>
      </c>
      <c r="AU31" s="79"/>
      <c r="AV31" s="79">
        <v>0</v>
      </c>
      <c r="AW31" s="79"/>
      <c r="AX31" s="79"/>
      <c r="AY31" s="79"/>
      <c r="AZ31" s="79"/>
      <c r="BA31" s="79"/>
      <c r="BB31" s="79"/>
      <c r="BC31" s="79"/>
      <c r="BD31" s="79">
        <v>-124425.64484210667</v>
      </c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8">
        <f t="shared" si="29"/>
        <v>-180868.17916433667</v>
      </c>
      <c r="CO31" s="78">
        <f t="shared" si="30"/>
        <v>49544904.251470052</v>
      </c>
      <c r="CP31" s="79">
        <v>-392281.5054796607</v>
      </c>
      <c r="CQ31" s="79"/>
      <c r="CR31" s="79"/>
      <c r="CS31" s="79"/>
      <c r="CT31" s="79"/>
      <c r="CU31" s="79"/>
      <c r="CV31" s="79"/>
      <c r="CW31" s="79"/>
      <c r="CX31" s="79"/>
      <c r="CY31" s="79"/>
      <c r="CZ31" s="79">
        <v>24724.978209402529</v>
      </c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208"/>
      <c r="EI31" s="79"/>
      <c r="EJ31" s="79"/>
      <c r="EK31" s="78">
        <f t="shared" si="31"/>
        <v>-367556.52727025817</v>
      </c>
      <c r="EL31" s="78">
        <f t="shared" si="32"/>
        <v>49177347.724199794</v>
      </c>
      <c r="EM31" s="79">
        <v>152192.39917394571</v>
      </c>
      <c r="EN31" s="79"/>
      <c r="EO31" s="79"/>
      <c r="EP31" s="79"/>
      <c r="EQ31" s="79"/>
      <c r="ER31" s="79"/>
      <c r="ES31" s="79"/>
      <c r="ET31" s="79"/>
      <c r="EU31" s="79"/>
      <c r="EV31" s="79"/>
      <c r="EW31" s="79">
        <v>45589.930638257065</v>
      </c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208">
        <f>+'[22]BGM-7'!J49</f>
        <v>1634316.8047877923</v>
      </c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208"/>
      <c r="GF31" s="208"/>
      <c r="GG31" s="79"/>
      <c r="GH31" s="79"/>
      <c r="GI31" s="78">
        <f t="shared" si="33"/>
        <v>1832099.1345999951</v>
      </c>
      <c r="GJ31" s="78">
        <f t="shared" si="34"/>
        <v>51009446.858799793</v>
      </c>
      <c r="GK31" s="79">
        <v>155262.28071470041</v>
      </c>
      <c r="GL31" s="79"/>
      <c r="GM31" s="79"/>
      <c r="GN31" s="79"/>
      <c r="GO31" s="79"/>
      <c r="GP31" s="79"/>
      <c r="GQ31" s="79"/>
      <c r="GR31" s="79"/>
      <c r="GS31" s="79"/>
      <c r="GT31" s="79"/>
      <c r="GU31" s="79">
        <v>105958.14626712917</v>
      </c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208">
        <f>+'[22]BGM-7'!K49</f>
        <v>1305841.8395852745</v>
      </c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208"/>
      <c r="ID31" s="208"/>
      <c r="IE31" s="79"/>
      <c r="IF31" s="79"/>
      <c r="IG31" s="78">
        <f t="shared" si="35"/>
        <v>1567062.266567104</v>
      </c>
      <c r="IH31" s="78">
        <f t="shared" si="36"/>
        <v>52576509.125366896</v>
      </c>
      <c r="II31" s="79">
        <v>45623.994470811806</v>
      </c>
      <c r="IJ31" s="79"/>
      <c r="IK31" s="79"/>
      <c r="IL31" s="79"/>
      <c r="IM31" s="79"/>
      <c r="IN31" s="79"/>
      <c r="IO31" s="79"/>
      <c r="IP31" s="79"/>
      <c r="IQ31" s="79"/>
      <c r="IR31" s="79"/>
      <c r="IS31" s="79">
        <v>160027.13547960087</v>
      </c>
      <c r="IT31" s="79"/>
      <c r="IU31" s="79"/>
      <c r="IV31" s="79"/>
      <c r="IW31" s="79"/>
      <c r="IX31" s="79"/>
      <c r="IY31" s="79"/>
      <c r="IZ31" s="79"/>
      <c r="JA31" s="79"/>
      <c r="JB31" s="79"/>
      <c r="JC31" s="79"/>
      <c r="JD31" s="208">
        <f>+'[22]BGM-7'!L49</f>
        <v>1339271.3906786591</v>
      </c>
      <c r="JE31" s="79"/>
      <c r="JF31" s="79"/>
      <c r="JG31" s="79"/>
      <c r="JH31" s="79"/>
      <c r="JI31" s="79"/>
      <c r="JJ31" s="79"/>
      <c r="JK31" s="79"/>
      <c r="JL31" s="79"/>
      <c r="JM31" s="79"/>
      <c r="JN31" s="79"/>
      <c r="JO31" s="79"/>
      <c r="JP31" s="79"/>
      <c r="JQ31" s="79"/>
      <c r="JR31" s="79"/>
      <c r="JS31" s="79"/>
      <c r="JT31" s="79"/>
      <c r="JU31" s="79"/>
      <c r="JV31" s="79"/>
      <c r="JW31" s="79"/>
      <c r="JX31" s="79"/>
      <c r="JY31" s="79"/>
      <c r="JZ31" s="79"/>
      <c r="KA31" s="208"/>
      <c r="KB31" s="208"/>
      <c r="KC31" s="79"/>
      <c r="KD31" s="79"/>
      <c r="KE31" s="78">
        <f t="shared" si="37"/>
        <v>1544922.5206290716</v>
      </c>
      <c r="KF31" s="78">
        <f t="shared" si="38"/>
        <v>54121431.645995967</v>
      </c>
      <c r="KG31" s="43" t="s">
        <v>34</v>
      </c>
    </row>
    <row r="32" spans="1:293" x14ac:dyDescent="0.3">
      <c r="A32" s="58">
        <f>ROW()</f>
        <v>32</v>
      </c>
      <c r="B32" s="74" t="s">
        <v>81</v>
      </c>
      <c r="C32" s="78">
        <v>26079425.670000002</v>
      </c>
      <c r="D32" s="79"/>
      <c r="E32" s="79">
        <v>-21901569.399999999</v>
      </c>
      <c r="F32" s="79"/>
      <c r="G32" s="79"/>
      <c r="H32" s="79"/>
      <c r="I32" s="79"/>
      <c r="J32" s="79"/>
      <c r="K32" s="79"/>
      <c r="L32" s="79"/>
      <c r="M32" s="79"/>
      <c r="N32" s="79">
        <v>116086.93405948317</v>
      </c>
      <c r="O32" s="79"/>
      <c r="P32" s="79">
        <v>17521.863852870072</v>
      </c>
      <c r="Q32" s="79"/>
      <c r="R32" s="79"/>
      <c r="S32" s="79"/>
      <c r="T32" s="79"/>
      <c r="U32" s="79">
        <v>69835.85542291298</v>
      </c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208"/>
      <c r="AQ32" s="79"/>
      <c r="AR32" s="78">
        <f t="shared" si="27"/>
        <v>-21698124.746664733</v>
      </c>
      <c r="AS32" s="78">
        <f t="shared" si="28"/>
        <v>4381300.9233352691</v>
      </c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>
        <v>-40999.434061738371</v>
      </c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8">
        <f t="shared" si="29"/>
        <v>-40999.434061738371</v>
      </c>
      <c r="CO32" s="78">
        <f t="shared" si="30"/>
        <v>4340301.4892735304</v>
      </c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>
        <v>10201.843619465246</v>
      </c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208"/>
      <c r="EI32" s="79"/>
      <c r="EJ32" s="79"/>
      <c r="EK32" s="78">
        <f t="shared" si="31"/>
        <v>10201.843619465246</v>
      </c>
      <c r="EL32" s="78">
        <f t="shared" si="32"/>
        <v>4350503.3328929953</v>
      </c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>
        <v>15022.315998075559</v>
      </c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208">
        <f>+'[22]BGM-7'!J50</f>
        <v>144498.89897829387</v>
      </c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208"/>
      <c r="GF32" s="208"/>
      <c r="GG32" s="79"/>
      <c r="GH32" s="79"/>
      <c r="GI32" s="78">
        <f t="shared" si="33"/>
        <v>159521.21497636943</v>
      </c>
      <c r="GJ32" s="78">
        <f t="shared" si="34"/>
        <v>4510024.5478693647</v>
      </c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>
        <v>34914.217536874465</v>
      </c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208">
        <f>+'[22]BGM-7'!K50</f>
        <v>115456.62842545565</v>
      </c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208"/>
      <c r="ID32" s="208"/>
      <c r="IE32" s="79"/>
      <c r="IF32" s="79"/>
      <c r="IG32" s="78">
        <f t="shared" si="35"/>
        <v>150370.84596233012</v>
      </c>
      <c r="IH32" s="78">
        <f t="shared" si="36"/>
        <v>4660395.3938316945</v>
      </c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>
        <v>52730.464025406982</v>
      </c>
      <c r="IT32" s="79"/>
      <c r="IU32" s="79"/>
      <c r="IV32" s="79"/>
      <c r="IW32" s="79"/>
      <c r="IX32" s="79"/>
      <c r="IY32" s="79"/>
      <c r="IZ32" s="79"/>
      <c r="JA32" s="79"/>
      <c r="JB32" s="79"/>
      <c r="JC32" s="79"/>
      <c r="JD32" s="208">
        <f>+'[22]BGM-7'!L50</f>
        <v>118412.31811314728</v>
      </c>
      <c r="JE32" s="79"/>
      <c r="JF32" s="79"/>
      <c r="JG32" s="79"/>
      <c r="JH32" s="79"/>
      <c r="JI32" s="79"/>
      <c r="JJ32" s="79"/>
      <c r="JK32" s="79"/>
      <c r="JL32" s="79"/>
      <c r="JM32" s="79"/>
      <c r="JN32" s="79"/>
      <c r="JO32" s="79"/>
      <c r="JP32" s="79"/>
      <c r="JQ32" s="79"/>
      <c r="JR32" s="79"/>
      <c r="JS32" s="79"/>
      <c r="JT32" s="79"/>
      <c r="JU32" s="79"/>
      <c r="JV32" s="79"/>
      <c r="JW32" s="79"/>
      <c r="JX32" s="79"/>
      <c r="JY32" s="79"/>
      <c r="JZ32" s="79"/>
      <c r="KA32" s="208"/>
      <c r="KB32" s="208"/>
      <c r="KC32" s="79"/>
      <c r="KD32" s="79"/>
      <c r="KE32" s="78">
        <f t="shared" si="37"/>
        <v>171142.78213855426</v>
      </c>
      <c r="KF32" s="78">
        <f t="shared" si="38"/>
        <v>4831538.1759702489</v>
      </c>
      <c r="KG32" s="43" t="s">
        <v>34</v>
      </c>
    </row>
    <row r="33" spans="1:293" x14ac:dyDescent="0.3">
      <c r="A33" s="58">
        <f>ROW()</f>
        <v>33</v>
      </c>
      <c r="B33" s="74" t="s">
        <v>82</v>
      </c>
      <c r="C33" s="78">
        <v>88978068.780000001</v>
      </c>
      <c r="D33" s="79"/>
      <c r="E33" s="79">
        <v>-88978068.780000001</v>
      </c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208"/>
      <c r="AQ33" s="79"/>
      <c r="AR33" s="78">
        <f t="shared" si="27"/>
        <v>-88978068.780000001</v>
      </c>
      <c r="AS33" s="78">
        <f t="shared" si="28"/>
        <v>0</v>
      </c>
      <c r="AT33" s="79"/>
      <c r="AU33" s="79"/>
      <c r="AV33" s="79"/>
      <c r="AW33" s="79"/>
      <c r="AX33" s="79"/>
      <c r="AY33" s="79"/>
      <c r="AZ33" s="51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8">
        <f t="shared" si="29"/>
        <v>0</v>
      </c>
      <c r="CO33" s="78">
        <f t="shared" si="30"/>
        <v>0</v>
      </c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208"/>
      <c r="EI33" s="79"/>
      <c r="EJ33" s="79"/>
      <c r="EK33" s="78">
        <f t="shared" si="31"/>
        <v>0</v>
      </c>
      <c r="EL33" s="78">
        <f t="shared" si="32"/>
        <v>0</v>
      </c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208">
        <f>+'[22]BGM-7'!J51</f>
        <v>0</v>
      </c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208"/>
      <c r="GF33" s="208"/>
      <c r="GG33" s="79"/>
      <c r="GH33" s="79"/>
      <c r="GI33" s="78">
        <f t="shared" si="33"/>
        <v>0</v>
      </c>
      <c r="GJ33" s="78">
        <f t="shared" si="34"/>
        <v>0</v>
      </c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208">
        <f>+'[22]BGM-7'!K51</f>
        <v>0</v>
      </c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208"/>
      <c r="ID33" s="208"/>
      <c r="IE33" s="79"/>
      <c r="IF33" s="79"/>
      <c r="IG33" s="78">
        <f t="shared" si="35"/>
        <v>0</v>
      </c>
      <c r="IH33" s="78">
        <f t="shared" si="36"/>
        <v>0</v>
      </c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  <c r="IU33" s="79"/>
      <c r="IV33" s="79"/>
      <c r="IW33" s="79"/>
      <c r="IX33" s="79"/>
      <c r="IY33" s="79"/>
      <c r="IZ33" s="79"/>
      <c r="JA33" s="79"/>
      <c r="JB33" s="79"/>
      <c r="JC33" s="79"/>
      <c r="JD33" s="208">
        <f>+'[22]BGM-7'!L51</f>
        <v>0</v>
      </c>
      <c r="JE33" s="79"/>
      <c r="JF33" s="79"/>
      <c r="JG33" s="79"/>
      <c r="JH33" s="79"/>
      <c r="JI33" s="79"/>
      <c r="JJ33" s="79"/>
      <c r="JK33" s="79"/>
      <c r="JL33" s="79"/>
      <c r="JM33" s="79"/>
      <c r="JN33" s="79"/>
      <c r="JO33" s="79"/>
      <c r="JP33" s="79"/>
      <c r="JQ33" s="79"/>
      <c r="JR33" s="79"/>
      <c r="JS33" s="79"/>
      <c r="JT33" s="79"/>
      <c r="JU33" s="79"/>
      <c r="JV33" s="79"/>
      <c r="JW33" s="79"/>
      <c r="JX33" s="79"/>
      <c r="JY33" s="79"/>
      <c r="JZ33" s="79"/>
      <c r="KA33" s="208"/>
      <c r="KB33" s="208"/>
      <c r="KC33" s="79"/>
      <c r="KD33" s="79"/>
      <c r="KE33" s="78">
        <f t="shared" si="37"/>
        <v>0</v>
      </c>
      <c r="KF33" s="78">
        <f t="shared" si="38"/>
        <v>0</v>
      </c>
      <c r="KG33" s="43" t="s">
        <v>34</v>
      </c>
    </row>
    <row r="34" spans="1:293" x14ac:dyDescent="0.3">
      <c r="A34" s="58">
        <f>ROW()</f>
        <v>34</v>
      </c>
      <c r="B34" s="74" t="s">
        <v>83</v>
      </c>
      <c r="C34" s="78">
        <v>136358878.84999999</v>
      </c>
      <c r="D34" s="79">
        <v>129009.27365562067</v>
      </c>
      <c r="E34" s="79">
        <v>-528977.00344885676</v>
      </c>
      <c r="F34" s="79">
        <v>2205.91</v>
      </c>
      <c r="G34" s="79"/>
      <c r="H34" s="79"/>
      <c r="I34" s="79"/>
      <c r="J34" s="79">
        <v>-176427.85429400008</v>
      </c>
      <c r="K34" s="79"/>
      <c r="L34" s="79">
        <v>-43612.900235448033</v>
      </c>
      <c r="M34" s="79">
        <v>89605.877021006425</v>
      </c>
      <c r="N34" s="79">
        <v>1558255.8040565557</v>
      </c>
      <c r="O34" s="79">
        <v>155471.96360148769</v>
      </c>
      <c r="P34" s="79"/>
      <c r="Q34" s="79">
        <v>1033763.7840479165</v>
      </c>
      <c r="R34" s="79"/>
      <c r="S34" s="79">
        <v>-83667.238430449957</v>
      </c>
      <c r="T34" s="79">
        <v>-1995167.9585492229</v>
      </c>
      <c r="U34" s="79">
        <v>1150224.592931442</v>
      </c>
      <c r="V34" s="79"/>
      <c r="W34" s="79"/>
      <c r="X34" s="79">
        <v>88086.051040000282</v>
      </c>
      <c r="Y34" s="79"/>
      <c r="Z34" s="79"/>
      <c r="AA34" s="79"/>
      <c r="AB34" s="79"/>
      <c r="AC34" s="79"/>
      <c r="AD34" s="79"/>
      <c r="AE34" s="79"/>
      <c r="AF34" s="79"/>
      <c r="AG34" s="79"/>
      <c r="AH34" s="79">
        <v>23601.223333333328</v>
      </c>
      <c r="AI34" s="79"/>
      <c r="AJ34" s="79">
        <v>-27892.62</v>
      </c>
      <c r="AK34" s="79"/>
      <c r="AL34" s="79"/>
      <c r="AM34" s="79"/>
      <c r="AN34" s="79"/>
      <c r="AO34" s="79"/>
      <c r="AP34" s="221">
        <v>0</v>
      </c>
      <c r="AQ34" s="79"/>
      <c r="AR34" s="78">
        <f t="shared" si="27"/>
        <v>1374478.9047293852</v>
      </c>
      <c r="AS34" s="78">
        <f t="shared" si="28"/>
        <v>137733357.75472939</v>
      </c>
      <c r="AT34" s="79">
        <v>-15685.017180000001</v>
      </c>
      <c r="AU34" s="79"/>
      <c r="AV34" s="79">
        <v>0</v>
      </c>
      <c r="AW34" s="79"/>
      <c r="AX34" s="79"/>
      <c r="AY34" s="79"/>
      <c r="AZ34" s="79"/>
      <c r="BA34" s="79"/>
      <c r="BB34" s="79">
        <v>111965.94676945359</v>
      </c>
      <c r="BC34" s="79"/>
      <c r="BD34" s="79">
        <v>-547063.95192761847</v>
      </c>
      <c r="BE34" s="79"/>
      <c r="BF34" s="79"/>
      <c r="BG34" s="79">
        <v>947448.74396524625</v>
      </c>
      <c r="BH34" s="79"/>
      <c r="BI34" s="79"/>
      <c r="BJ34" s="79">
        <v>1550046.8553782646</v>
      </c>
      <c r="BK34" s="79"/>
      <c r="BL34" s="79"/>
      <c r="BM34" s="79"/>
      <c r="BN34" s="79"/>
      <c r="BO34" s="79"/>
      <c r="BP34" s="79"/>
      <c r="BQ34" s="79"/>
      <c r="BR34" s="79"/>
      <c r="BS34" s="79"/>
      <c r="BT34" s="79"/>
      <c r="BU34" s="79"/>
      <c r="BV34" s="79"/>
      <c r="BW34" s="79"/>
      <c r="BX34" s="79"/>
      <c r="BY34" s="79"/>
      <c r="BZ34" s="79"/>
      <c r="CA34" s="79"/>
      <c r="CB34" s="79"/>
      <c r="CC34" s="79"/>
      <c r="CD34" s="79"/>
      <c r="CE34" s="79"/>
      <c r="CF34" s="79"/>
      <c r="CG34" s="79">
        <v>0</v>
      </c>
      <c r="CH34" s="79"/>
      <c r="CI34" s="79"/>
      <c r="CJ34" s="79">
        <v>-1092602</v>
      </c>
      <c r="CK34" s="79"/>
      <c r="CL34" s="79"/>
      <c r="CM34" s="79"/>
      <c r="CN34" s="78">
        <f t="shared" si="29"/>
        <v>954110.57700534584</v>
      </c>
      <c r="CO34" s="78">
        <f t="shared" si="30"/>
        <v>138687468.33173475</v>
      </c>
      <c r="CP34" s="79">
        <v>-109012.50673326683</v>
      </c>
      <c r="CQ34" s="79"/>
      <c r="CR34" s="79"/>
      <c r="CS34" s="79"/>
      <c r="CT34" s="79"/>
      <c r="CU34" s="79"/>
      <c r="CV34" s="79"/>
      <c r="CW34" s="79"/>
      <c r="CX34" s="79"/>
      <c r="CY34" s="79"/>
      <c r="CZ34" s="79">
        <v>106653.92532418831</v>
      </c>
      <c r="DA34" s="79"/>
      <c r="DB34" s="79"/>
      <c r="DC34" s="79"/>
      <c r="DD34" s="79"/>
      <c r="DE34" s="79"/>
      <c r="DF34" s="79"/>
      <c r="DG34" s="79"/>
      <c r="DH34" s="79"/>
      <c r="DI34" s="79"/>
      <c r="DJ34" s="79"/>
      <c r="DK34" s="79"/>
      <c r="DL34" s="79"/>
      <c r="DM34" s="79"/>
      <c r="DN34" s="79"/>
      <c r="DO34" s="79"/>
      <c r="DP34" s="79"/>
      <c r="DQ34" s="79"/>
      <c r="DR34" s="79"/>
      <c r="DS34" s="79"/>
      <c r="DT34" s="79"/>
      <c r="DU34" s="79"/>
      <c r="DV34" s="79"/>
      <c r="DW34" s="79"/>
      <c r="DX34" s="79"/>
      <c r="DY34" s="79"/>
      <c r="DZ34" s="79"/>
      <c r="EA34" s="79"/>
      <c r="EB34" s="79"/>
      <c r="EC34" s="79">
        <v>0</v>
      </c>
      <c r="ED34" s="79"/>
      <c r="EE34" s="79"/>
      <c r="EF34" s="79">
        <v>0</v>
      </c>
      <c r="EG34" s="79"/>
      <c r="EH34" s="208"/>
      <c r="EI34" s="79"/>
      <c r="EJ34" s="79"/>
      <c r="EK34" s="78">
        <f t="shared" si="31"/>
        <v>-2358.5814090785134</v>
      </c>
      <c r="EL34" s="78">
        <f t="shared" si="32"/>
        <v>138685109.75032568</v>
      </c>
      <c r="EM34" s="79">
        <v>42293.288640807477</v>
      </c>
      <c r="EN34" s="79"/>
      <c r="EO34" s="79"/>
      <c r="EP34" s="79"/>
      <c r="EQ34" s="79"/>
      <c r="ER34" s="79"/>
      <c r="ES34" s="79"/>
      <c r="ET34" s="79"/>
      <c r="EU34" s="79"/>
      <c r="EV34" s="79"/>
      <c r="EW34" s="79">
        <v>200445.8779757178</v>
      </c>
      <c r="EX34" s="79"/>
      <c r="EY34" s="79"/>
      <c r="EZ34" s="79"/>
      <c r="FA34" s="79"/>
      <c r="FB34" s="79"/>
      <c r="FC34" s="79"/>
      <c r="FD34" s="79"/>
      <c r="FE34" s="79"/>
      <c r="FF34" s="79"/>
      <c r="FG34" s="79"/>
      <c r="FH34" s="208">
        <f>+'[22]BGM-7'!J52</f>
        <v>4598511.7991507649</v>
      </c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>
        <v>0</v>
      </c>
      <c r="GA34" s="79"/>
      <c r="GB34" s="79"/>
      <c r="GC34" s="79">
        <v>0</v>
      </c>
      <c r="GD34" s="79"/>
      <c r="GE34" s="208"/>
      <c r="GF34" s="221">
        <f>+'A2 (Dir. Fees)'!X11</f>
        <v>-506134.95668135781</v>
      </c>
      <c r="GG34" s="79"/>
      <c r="GH34" s="79"/>
      <c r="GI34" s="78">
        <f t="shared" si="33"/>
        <v>4335116.0090859327</v>
      </c>
      <c r="GJ34" s="78">
        <f t="shared" si="34"/>
        <v>143020225.7594116</v>
      </c>
      <c r="GK34" s="79">
        <v>43146.388971710549</v>
      </c>
      <c r="GL34" s="79"/>
      <c r="GM34" s="79"/>
      <c r="GN34" s="79"/>
      <c r="GO34" s="79"/>
      <c r="GP34" s="79"/>
      <c r="GQ34" s="79"/>
      <c r="GR34" s="79"/>
      <c r="GS34" s="79"/>
      <c r="GT34" s="79"/>
      <c r="GU34" s="79">
        <v>465867.64576850471</v>
      </c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208">
        <f>+'[22]BGM-7'!K52</f>
        <v>3674274.8343319893</v>
      </c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>
        <v>0</v>
      </c>
      <c r="HY34" s="79"/>
      <c r="HZ34" s="79"/>
      <c r="IA34" s="79">
        <v>0</v>
      </c>
      <c r="IB34" s="79"/>
      <c r="IC34" s="208"/>
      <c r="ID34" s="221">
        <f>+'A2 (Dir. Fees)'!Y11</f>
        <v>-486</v>
      </c>
      <c r="IE34" s="79"/>
      <c r="IF34" s="79"/>
      <c r="IG34" s="78">
        <f t="shared" si="35"/>
        <v>4182802.8690722045</v>
      </c>
      <c r="IH34" s="78">
        <f t="shared" si="36"/>
        <v>147203028.6284838</v>
      </c>
      <c r="II34" s="79">
        <v>12678.614553511687</v>
      </c>
      <c r="IJ34" s="79"/>
      <c r="IK34" s="79"/>
      <c r="IL34" s="79"/>
      <c r="IM34" s="79"/>
      <c r="IN34" s="79"/>
      <c r="IO34" s="79"/>
      <c r="IP34" s="79"/>
      <c r="IQ34" s="79"/>
      <c r="IR34" s="79"/>
      <c r="IS34" s="79">
        <v>703593.51773679454</v>
      </c>
      <c r="IT34" s="79"/>
      <c r="IU34" s="79"/>
      <c r="IV34" s="79"/>
      <c r="IW34" s="79"/>
      <c r="IX34" s="79"/>
      <c r="IY34" s="79"/>
      <c r="IZ34" s="79"/>
      <c r="JA34" s="79"/>
      <c r="JB34" s="79"/>
      <c r="JC34" s="79"/>
      <c r="JD34" s="208">
        <f>+'[22]BGM-7'!L52</f>
        <v>3768336.270090878</v>
      </c>
      <c r="JE34" s="79"/>
      <c r="JF34" s="79"/>
      <c r="JG34" s="79"/>
      <c r="JH34" s="79"/>
      <c r="JI34" s="79"/>
      <c r="JJ34" s="79"/>
      <c r="JK34" s="79"/>
      <c r="JL34" s="79"/>
      <c r="JM34" s="79"/>
      <c r="JN34" s="79"/>
      <c r="JO34" s="79"/>
      <c r="JP34" s="79"/>
      <c r="JQ34" s="79"/>
      <c r="JR34" s="79"/>
      <c r="JS34" s="79"/>
      <c r="JT34" s="79"/>
      <c r="JU34" s="79"/>
      <c r="JV34" s="79">
        <v>0</v>
      </c>
      <c r="JW34" s="79"/>
      <c r="JX34" s="79"/>
      <c r="JY34" s="79">
        <v>0</v>
      </c>
      <c r="JZ34" s="79"/>
      <c r="KA34" s="208"/>
      <c r="KB34" s="221">
        <f>+'A2 (Dir. Fees)'!Z11</f>
        <v>-496</v>
      </c>
      <c r="KC34" s="79"/>
      <c r="KD34" s="79"/>
      <c r="KE34" s="78">
        <f t="shared" si="37"/>
        <v>4484112.4023811845</v>
      </c>
      <c r="KF34" s="78">
        <f t="shared" si="38"/>
        <v>151687141.03086498</v>
      </c>
      <c r="KG34" s="43" t="s">
        <v>34</v>
      </c>
    </row>
    <row r="35" spans="1:293" x14ac:dyDescent="0.3">
      <c r="A35" s="58">
        <f>ROW()</f>
        <v>35</v>
      </c>
      <c r="B35" s="74" t="s">
        <v>84</v>
      </c>
      <c r="C35" s="78">
        <v>366968452.88999999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>
        <v>8169933.5584353749</v>
      </c>
      <c r="X35" s="51"/>
      <c r="Y35" s="79"/>
      <c r="Z35" s="79"/>
      <c r="AA35" s="79"/>
      <c r="AB35" s="79"/>
      <c r="AC35" s="79"/>
      <c r="AD35" s="51"/>
      <c r="AE35" s="51"/>
      <c r="AF35" s="51"/>
      <c r="AG35" s="51">
        <v>-212064</v>
      </c>
      <c r="AH35" s="51"/>
      <c r="AI35" s="51"/>
      <c r="AJ35" s="51"/>
      <c r="AK35" s="51"/>
      <c r="AL35" s="51"/>
      <c r="AM35" s="51"/>
      <c r="AN35" s="51"/>
      <c r="AO35" s="51"/>
      <c r="AP35" s="205"/>
      <c r="AQ35" s="51"/>
      <c r="AR35" s="78">
        <f t="shared" si="27"/>
        <v>7957869.5584353749</v>
      </c>
      <c r="AS35" s="78">
        <f t="shared" si="28"/>
        <v>374926322.44843537</v>
      </c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H35" s="79"/>
      <c r="BI35" s="79"/>
      <c r="BJ35" s="79"/>
      <c r="BK35" s="79"/>
      <c r="BM35" s="79"/>
      <c r="BN35" s="87"/>
      <c r="BO35" s="79"/>
      <c r="BP35" s="79"/>
      <c r="BQ35" s="79"/>
      <c r="BR35" s="79"/>
      <c r="BV35" s="88">
        <v>50815.725357409567</v>
      </c>
      <c r="BW35" s="88">
        <v>-724524.27379400027</v>
      </c>
      <c r="BX35" s="88">
        <v>806007.69200599985</v>
      </c>
      <c r="BY35" s="88">
        <v>265889.89000000007</v>
      </c>
      <c r="BZ35" s="88">
        <v>83608.954031999994</v>
      </c>
      <c r="CA35" s="88">
        <v>523083.831672</v>
      </c>
      <c r="CD35" s="88"/>
      <c r="CG35" s="51"/>
      <c r="CJ35" s="88">
        <v>-40994427.419206001</v>
      </c>
      <c r="CN35" s="78">
        <f t="shared" si="29"/>
        <v>-39989545.599932589</v>
      </c>
      <c r="CO35" s="78">
        <f t="shared" si="30"/>
        <v>334936776.84850276</v>
      </c>
      <c r="DJ35" s="87"/>
      <c r="DL35" s="51">
        <v>0</v>
      </c>
      <c r="DR35" s="88">
        <v>50815.724747296423</v>
      </c>
      <c r="DS35" s="88">
        <v>-5535263.7181780003</v>
      </c>
      <c r="DT35" s="88">
        <v>8218017.5819359999</v>
      </c>
      <c r="DU35" s="88">
        <v>987114.71</v>
      </c>
      <c r="DV35" s="216">
        <f>2267459.228064+'6.33 (EESD)'!E31*1000</f>
        <v>2228721.298064</v>
      </c>
      <c r="DW35" s="88">
        <v>3154509.0298359999</v>
      </c>
      <c r="DZ35" s="88"/>
      <c r="EC35" s="51"/>
      <c r="EF35" s="88">
        <v>-281934.45079399645</v>
      </c>
      <c r="EH35" s="221">
        <f>'A1 (Elect. Adj.)'!E31*1000</f>
        <v>1398263.7045717936</v>
      </c>
      <c r="EK35" s="78">
        <f t="shared" si="31"/>
        <v>10220243.880183091</v>
      </c>
      <c r="EL35" s="78">
        <f t="shared" si="32"/>
        <v>345157020.72868586</v>
      </c>
      <c r="EW35" s="79"/>
      <c r="FG35" s="79"/>
      <c r="FI35" s="79"/>
      <c r="FM35" s="89"/>
      <c r="FO35" s="88">
        <v>-7225689.7521299385</v>
      </c>
      <c r="FP35" s="88">
        <v>-6951997.0875739902</v>
      </c>
      <c r="FQ35" s="88">
        <v>12445254.686976001</v>
      </c>
      <c r="FR35" s="88">
        <v>118027.49000000022</v>
      </c>
      <c r="FS35" s="216">
        <f>2981471.5+'6.33 (EESD)'!F31*1000</f>
        <v>2237943.83</v>
      </c>
      <c r="FT35" s="88">
        <v>3781733.2028060015</v>
      </c>
      <c r="FW35" s="88">
        <v>-15860.650800000003</v>
      </c>
      <c r="FZ35" s="51"/>
      <c r="GC35" s="88">
        <v>7135015.409999989</v>
      </c>
      <c r="GE35" s="221">
        <f>+'A1 (Elect. Adj.)'!F31*1000</f>
        <v>-2408478.5116964323</v>
      </c>
      <c r="GF35" s="205"/>
      <c r="GI35" s="78">
        <f t="shared" si="33"/>
        <v>9115948.617581632</v>
      </c>
      <c r="GJ35" s="78">
        <f t="shared" si="34"/>
        <v>354272969.34626746</v>
      </c>
      <c r="GU35" s="79"/>
      <c r="HE35" s="79"/>
      <c r="HG35" s="79"/>
      <c r="HK35" s="79"/>
      <c r="HM35" s="88">
        <v>-11698429.322766013</v>
      </c>
      <c r="HN35" s="88">
        <v>-3990460.5011839992</v>
      </c>
      <c r="HO35" s="88">
        <v>24082072.369025975</v>
      </c>
      <c r="HP35" s="88">
        <v>241632.77000000025</v>
      </c>
      <c r="HQ35" s="216">
        <f>2921554.019626+'6.33 (EESD)'!G31*1000</f>
        <v>1210012.1096259998</v>
      </c>
      <c r="HR35" s="88">
        <v>3929790.4066619966</v>
      </c>
      <c r="HX35" s="51"/>
      <c r="IA35" s="87">
        <v>-578649.06000000238</v>
      </c>
      <c r="IC35" s="221">
        <f>+'A1 (Elect. Adj.)'!G31*1000</f>
        <v>-6132221.1458583912</v>
      </c>
      <c r="ID35" s="208"/>
      <c r="IG35" s="78">
        <f t="shared" si="35"/>
        <v>7063747.6255055657</v>
      </c>
      <c r="IH35" s="78">
        <f t="shared" si="36"/>
        <v>361336716.97177303</v>
      </c>
      <c r="IS35" s="79"/>
      <c r="JC35" s="79"/>
      <c r="JE35" s="79"/>
      <c r="JI35" s="79"/>
      <c r="JK35" s="88">
        <v>-2083724.3399999738</v>
      </c>
      <c r="JL35" s="88">
        <v>-3042699.4011839996</v>
      </c>
      <c r="JM35" s="88">
        <v>20588584.749999963</v>
      </c>
      <c r="JN35" s="88">
        <v>330055.58999999659</v>
      </c>
      <c r="JO35" s="88">
        <v>6108525.7413339997</v>
      </c>
      <c r="JP35" s="216">
        <f>2935534.846588+'6.33 (EESD)'!H31*1000+'6.33 (LWR BKR)'!H31*1000</f>
        <v>-1534719.7234119999</v>
      </c>
      <c r="JV35" s="51"/>
      <c r="JY35" s="88">
        <v>-922395.29999999702</v>
      </c>
      <c r="KA35" s="221">
        <f>+'A1 (Elect. Adj.)'!H31*1000</f>
        <v>-5926315.7094514081</v>
      </c>
      <c r="KB35" s="208"/>
      <c r="KE35" s="78">
        <f t="shared" si="37"/>
        <v>13517311.60728658</v>
      </c>
      <c r="KF35" s="78">
        <f t="shared" si="38"/>
        <v>374854028.5790596</v>
      </c>
      <c r="KG35" s="43" t="s">
        <v>34</v>
      </c>
    </row>
    <row r="36" spans="1:293" x14ac:dyDescent="0.3">
      <c r="A36" s="58">
        <f>ROW()</f>
        <v>36</v>
      </c>
      <c r="B36" s="74" t="s">
        <v>85</v>
      </c>
      <c r="C36" s="78">
        <v>100485354.22999999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>
        <v>-7337495.7790320162</v>
      </c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>
        <v>-71167.850000000006</v>
      </c>
      <c r="AK36" s="79"/>
      <c r="AL36" s="79"/>
      <c r="AM36" s="79"/>
      <c r="AN36" s="79"/>
      <c r="AO36" s="79"/>
      <c r="AP36" s="208"/>
      <c r="AQ36" s="79">
        <v>0</v>
      </c>
      <c r="AR36" s="78">
        <f t="shared" si="27"/>
        <v>-7408663.6290320158</v>
      </c>
      <c r="AS36" s="78">
        <f t="shared" si="28"/>
        <v>93076690.600967973</v>
      </c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>
        <v>-3904166.9768639915</v>
      </c>
      <c r="BW36" s="79">
        <v>-936.98</v>
      </c>
      <c r="BX36" s="79">
        <v>906554.01078799996</v>
      </c>
      <c r="BY36" s="79">
        <v>1672.5</v>
      </c>
      <c r="BZ36" s="79">
        <v>5.7565619999999997</v>
      </c>
      <c r="CA36" s="79">
        <v>814772.59040800005</v>
      </c>
      <c r="CB36" s="79"/>
      <c r="CC36" s="79"/>
      <c r="CD36" s="79"/>
      <c r="CE36" s="79"/>
      <c r="CF36" s="79"/>
      <c r="CG36" s="79">
        <v>-42700.709999999977</v>
      </c>
      <c r="CH36" s="79"/>
      <c r="CI36" s="79"/>
      <c r="CJ36" s="79"/>
      <c r="CK36" s="79"/>
      <c r="CL36" s="79"/>
      <c r="CM36" s="79">
        <v>0</v>
      </c>
      <c r="CN36" s="78">
        <f t="shared" si="29"/>
        <v>-2224799.8091059914</v>
      </c>
      <c r="CO36" s="78">
        <f t="shared" si="30"/>
        <v>90851890.791861981</v>
      </c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>
        <v>0</v>
      </c>
      <c r="DM36" s="79"/>
      <c r="DN36" s="79"/>
      <c r="DO36" s="79"/>
      <c r="DP36" s="79"/>
      <c r="DQ36" s="79"/>
      <c r="DR36" s="79">
        <v>-18708410.436314002</v>
      </c>
      <c r="DS36" s="79">
        <v>-31569.771575999999</v>
      </c>
      <c r="DT36" s="79">
        <v>5697757.854203999</v>
      </c>
      <c r="DU36" s="79">
        <v>15609.779999999999</v>
      </c>
      <c r="DV36" s="79">
        <v>11.493342000000002</v>
      </c>
      <c r="DW36" s="79">
        <v>7561242.8787820004</v>
      </c>
      <c r="DX36" s="79"/>
      <c r="DY36" s="79"/>
      <c r="DZ36" s="79"/>
      <c r="EA36" s="79"/>
      <c r="EB36" s="79"/>
      <c r="EC36" s="79">
        <v>0</v>
      </c>
      <c r="ED36" s="79"/>
      <c r="EE36" s="79"/>
      <c r="EF36" s="79"/>
      <c r="EG36" s="79"/>
      <c r="EH36" s="208"/>
      <c r="EI36" s="79"/>
      <c r="EJ36" s="79">
        <v>-442141.81999997795</v>
      </c>
      <c r="EK36" s="78">
        <f t="shared" si="31"/>
        <v>-5907500.0215619802</v>
      </c>
      <c r="EL36" s="78">
        <f t="shared" si="32"/>
        <v>84944390.770300001</v>
      </c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>
        <v>-20186211.486417998</v>
      </c>
      <c r="FP36" s="79">
        <v>-42612.342552000002</v>
      </c>
      <c r="FQ36" s="79">
        <v>4425696.9259739984</v>
      </c>
      <c r="FR36" s="79">
        <v>40307.040000000001</v>
      </c>
      <c r="FS36" s="79">
        <v>0</v>
      </c>
      <c r="FT36" s="79">
        <v>9151524.506389996</v>
      </c>
      <c r="FU36" s="79"/>
      <c r="FV36" s="79"/>
      <c r="FW36" s="79"/>
      <c r="FX36" s="79"/>
      <c r="FY36" s="79"/>
      <c r="FZ36" s="79">
        <v>14233.570000000065</v>
      </c>
      <c r="GA36" s="79"/>
      <c r="GB36" s="79"/>
      <c r="GC36" s="79"/>
      <c r="GD36" s="79"/>
      <c r="GE36" s="208"/>
      <c r="GF36" s="208"/>
      <c r="GG36" s="79"/>
      <c r="GH36" s="79">
        <v>-2210758.1800000221</v>
      </c>
      <c r="GI36" s="78">
        <f t="shared" si="33"/>
        <v>-8807819.9666060247</v>
      </c>
      <c r="GJ36" s="78">
        <f t="shared" si="34"/>
        <v>76136570.80369398</v>
      </c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>
        <v>0</v>
      </c>
      <c r="HJ36" s="79"/>
      <c r="HK36" s="79"/>
      <c r="HL36" s="79"/>
      <c r="HM36" s="79">
        <v>-8242668.5420480072</v>
      </c>
      <c r="HN36" s="79">
        <v>-42612.342551999995</v>
      </c>
      <c r="HO36" s="79">
        <v>6483407.3843800034</v>
      </c>
      <c r="HP36" s="79">
        <v>71876.820000000007</v>
      </c>
      <c r="HQ36" s="79">
        <v>384924.36095399997</v>
      </c>
      <c r="HR36" s="79">
        <v>13333803.599940002</v>
      </c>
      <c r="HS36" s="79"/>
      <c r="HT36" s="79"/>
      <c r="HU36" s="79"/>
      <c r="HV36" s="79"/>
      <c r="HW36" s="79"/>
      <c r="HX36" s="79">
        <v>99634.989999999918</v>
      </c>
      <c r="HY36" s="79"/>
      <c r="HZ36" s="79"/>
      <c r="IA36" s="79"/>
      <c r="IB36" s="79"/>
      <c r="IC36" s="208"/>
      <c r="ID36" s="208"/>
      <c r="IE36" s="79"/>
      <c r="IF36" s="79">
        <v>0</v>
      </c>
      <c r="IG36" s="78">
        <f t="shared" si="35"/>
        <v>12088366.270674</v>
      </c>
      <c r="IH36" s="78">
        <f t="shared" si="36"/>
        <v>88224937.074367985</v>
      </c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  <c r="IU36" s="79"/>
      <c r="IV36" s="79"/>
      <c r="IW36" s="79"/>
      <c r="IX36" s="79"/>
      <c r="IY36" s="79"/>
      <c r="IZ36" s="79"/>
      <c r="JA36" s="79"/>
      <c r="JB36" s="79"/>
      <c r="JC36" s="79"/>
      <c r="JD36" s="79"/>
      <c r="JE36" s="79"/>
      <c r="JF36" s="79"/>
      <c r="JG36" s="79"/>
      <c r="JH36" s="79"/>
      <c r="JI36" s="79"/>
      <c r="JJ36" s="79"/>
      <c r="JK36" s="79">
        <v>-6256362.3787359949</v>
      </c>
      <c r="JL36" s="79">
        <v>-42612.342552000009</v>
      </c>
      <c r="JM36" s="79">
        <v>4384373.8775239987</v>
      </c>
      <c r="JN36" s="79">
        <v>77833.439999999988</v>
      </c>
      <c r="JO36" s="79">
        <v>2068876.2634260003</v>
      </c>
      <c r="JP36" s="79">
        <v>6071024.8471860047</v>
      </c>
      <c r="JQ36" s="79"/>
      <c r="JR36" s="79"/>
      <c r="JS36" s="79"/>
      <c r="JT36" s="79"/>
      <c r="JU36" s="79"/>
      <c r="JV36" s="79">
        <v>0</v>
      </c>
      <c r="JW36" s="79"/>
      <c r="JX36" s="79"/>
      <c r="JY36" s="79"/>
      <c r="JZ36" s="79"/>
      <c r="KA36" s="208"/>
      <c r="KB36" s="208"/>
      <c r="KC36" s="79"/>
      <c r="KD36" s="79">
        <v>0</v>
      </c>
      <c r="KE36" s="78">
        <f t="shared" si="37"/>
        <v>6303133.7068480086</v>
      </c>
      <c r="KF36" s="78">
        <f t="shared" si="38"/>
        <v>94528070.781215996</v>
      </c>
      <c r="KG36" s="43" t="s">
        <v>34</v>
      </c>
    </row>
    <row r="37" spans="1:293" x14ac:dyDescent="0.3">
      <c r="A37" s="58">
        <f>ROW()</f>
        <v>37</v>
      </c>
      <c r="B37" s="86" t="s">
        <v>86</v>
      </c>
      <c r="C37" s="78">
        <v>25964700.379999999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>
        <v>0</v>
      </c>
      <c r="AJ37" s="79"/>
      <c r="AK37" s="79">
        <v>-999957.6419999972</v>
      </c>
      <c r="AL37" s="79"/>
      <c r="AM37" s="79"/>
      <c r="AN37" s="79"/>
      <c r="AO37" s="79"/>
      <c r="AP37" s="208"/>
      <c r="AQ37" s="79"/>
      <c r="AR37" s="78">
        <f t="shared" si="27"/>
        <v>-999957.6419999972</v>
      </c>
      <c r="AS37" s="78">
        <f t="shared" si="28"/>
        <v>24964742.738000002</v>
      </c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>
        <v>0</v>
      </c>
      <c r="CF37" s="79">
        <v>-3118311.55</v>
      </c>
      <c r="CG37" s="79"/>
      <c r="CH37" s="79"/>
      <c r="CI37" s="79"/>
      <c r="CJ37" s="79"/>
      <c r="CK37" s="79"/>
      <c r="CL37" s="79"/>
      <c r="CM37" s="79"/>
      <c r="CN37" s="78">
        <f t="shared" si="29"/>
        <v>-3118311.55</v>
      </c>
      <c r="CO37" s="78">
        <f t="shared" si="30"/>
        <v>21846431.188000001</v>
      </c>
      <c r="CP37" s="79"/>
      <c r="CQ37" s="79"/>
      <c r="CR37" s="79"/>
      <c r="CS37" s="79"/>
      <c r="CT37" s="79"/>
      <c r="CU37" s="79"/>
      <c r="CV37" s="79"/>
      <c r="CW37" s="79"/>
      <c r="CX37" s="79"/>
      <c r="CY37" s="79"/>
      <c r="CZ37" s="79"/>
      <c r="DA37" s="79"/>
      <c r="DB37" s="79"/>
      <c r="DC37" s="79"/>
      <c r="DD37" s="79"/>
      <c r="DE37" s="79"/>
      <c r="DF37" s="79"/>
      <c r="DG37" s="79"/>
      <c r="DH37" s="79"/>
      <c r="DI37" s="79"/>
      <c r="DJ37" s="79"/>
      <c r="DK37" s="79"/>
      <c r="DL37" s="79"/>
      <c r="DM37" s="79"/>
      <c r="DN37" s="79"/>
      <c r="DO37" s="79"/>
      <c r="DP37" s="79"/>
      <c r="DQ37" s="79"/>
      <c r="DR37" s="79"/>
      <c r="DS37" s="79"/>
      <c r="DX37" s="79"/>
      <c r="DY37" s="79"/>
      <c r="DZ37" s="79"/>
      <c r="EA37" s="79"/>
      <c r="EB37" s="79"/>
      <c r="EC37" s="79"/>
      <c r="ED37" s="79"/>
      <c r="EE37" s="79"/>
      <c r="EF37" s="79"/>
      <c r="EG37" s="79"/>
      <c r="EH37" s="208"/>
      <c r="EI37" s="79"/>
      <c r="EJ37" s="79"/>
      <c r="EK37" s="78">
        <f t="shared" si="31"/>
        <v>0</v>
      </c>
      <c r="EL37" s="78">
        <f t="shared" si="32"/>
        <v>21846431.188000001</v>
      </c>
      <c r="EM37" s="79"/>
      <c r="EN37" s="79"/>
      <c r="EO37" s="79"/>
      <c r="EP37" s="79"/>
      <c r="EQ37" s="79"/>
      <c r="ER37" s="79"/>
      <c r="ES37" s="79"/>
      <c r="ET37" s="79"/>
      <c r="EU37" s="79"/>
      <c r="EV37" s="79"/>
      <c r="EW37" s="79"/>
      <c r="EX37" s="79"/>
      <c r="EY37" s="79"/>
      <c r="EZ37" s="79"/>
      <c r="FA37" s="79"/>
      <c r="FB37" s="79"/>
      <c r="FC37" s="79"/>
      <c r="FD37" s="79"/>
      <c r="FE37" s="79"/>
      <c r="FF37" s="79"/>
      <c r="FG37" s="79"/>
      <c r="FH37" s="79"/>
      <c r="FI37" s="79">
        <v>310766.00840534508</v>
      </c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>
        <v>0</v>
      </c>
      <c r="FY37" s="79"/>
      <c r="FZ37" s="79"/>
      <c r="GA37" s="208">
        <f>+'[23]BGM-10'!$O$47</f>
        <v>-386487.16694599763</v>
      </c>
      <c r="GB37" s="79"/>
      <c r="GC37" s="79"/>
      <c r="GD37" s="79"/>
      <c r="GE37" s="208"/>
      <c r="GF37" s="208"/>
      <c r="GG37" s="79"/>
      <c r="GH37" s="79"/>
      <c r="GI37" s="78">
        <f t="shared" si="33"/>
        <v>-75721.158540652541</v>
      </c>
      <c r="GJ37" s="78">
        <f t="shared" si="34"/>
        <v>21770710.02945935</v>
      </c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>
        <v>3418426.0924587958</v>
      </c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208">
        <v>0</v>
      </c>
      <c r="HZ37" s="79"/>
      <c r="IA37" s="79"/>
      <c r="IB37" s="79"/>
      <c r="IC37" s="208"/>
      <c r="ID37" s="208"/>
      <c r="IE37" s="79"/>
      <c r="IF37" s="79"/>
      <c r="IG37" s="78">
        <f t="shared" si="35"/>
        <v>3418426.0924587958</v>
      </c>
      <c r="IH37" s="78">
        <f t="shared" si="36"/>
        <v>25189136.121918146</v>
      </c>
      <c r="II37" s="79"/>
      <c r="IJ37" s="79"/>
      <c r="IK37" s="79"/>
      <c r="IL37" s="79"/>
      <c r="IM37" s="79"/>
      <c r="IN37" s="79"/>
      <c r="IO37" s="79"/>
      <c r="IP37" s="79"/>
      <c r="IQ37" s="79"/>
      <c r="IR37" s="79"/>
      <c r="IS37" s="79"/>
      <c r="IT37" s="79"/>
      <c r="IU37" s="79"/>
      <c r="IV37" s="79"/>
      <c r="IW37" s="79"/>
      <c r="IX37" s="79"/>
      <c r="IY37" s="79"/>
      <c r="IZ37" s="79"/>
      <c r="JA37" s="79"/>
      <c r="JB37" s="79"/>
      <c r="JC37" s="79"/>
      <c r="JD37" s="79"/>
      <c r="JE37" s="79">
        <v>0</v>
      </c>
      <c r="JF37" s="79"/>
      <c r="JG37" s="79"/>
      <c r="JH37" s="79"/>
      <c r="JI37" s="79"/>
      <c r="JJ37" s="79"/>
      <c r="JK37" s="79"/>
      <c r="JL37" s="79"/>
      <c r="JM37" s="79"/>
      <c r="JN37" s="79"/>
      <c r="JO37" s="79"/>
      <c r="JP37" s="79"/>
      <c r="JQ37" s="79"/>
      <c r="JR37" s="79"/>
      <c r="JS37" s="79"/>
      <c r="JT37" s="79"/>
      <c r="JU37" s="79"/>
      <c r="JV37" s="79"/>
      <c r="JW37" s="208">
        <v>0</v>
      </c>
      <c r="JX37" s="79"/>
      <c r="JY37" s="79"/>
      <c r="JZ37" s="79"/>
      <c r="KA37" s="208"/>
      <c r="KB37" s="208"/>
      <c r="KC37" s="79"/>
      <c r="KD37" s="79"/>
      <c r="KE37" s="78">
        <f t="shared" si="37"/>
        <v>0</v>
      </c>
      <c r="KF37" s="78">
        <f t="shared" si="38"/>
        <v>25189136.121918146</v>
      </c>
      <c r="KG37" s="43" t="s">
        <v>34</v>
      </c>
    </row>
    <row r="38" spans="1:293" x14ac:dyDescent="0.3">
      <c r="A38" s="58">
        <f>ROW()</f>
        <v>38</v>
      </c>
      <c r="B38" s="74" t="s">
        <v>87</v>
      </c>
      <c r="C38" s="78">
        <v>-28743053.520000003</v>
      </c>
      <c r="D38" s="79">
        <v>26348573.159999996</v>
      </c>
      <c r="E38" s="79">
        <v>-203185.3499404758</v>
      </c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>
        <v>-1649021.2299999997</v>
      </c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>
        <v>-179784.00547481515</v>
      </c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208"/>
      <c r="AQ38" s="79"/>
      <c r="AR38" s="78">
        <f t="shared" si="27"/>
        <v>24316582.574584708</v>
      </c>
      <c r="AS38" s="78">
        <f t="shared" si="28"/>
        <v>-4426470.9454152957</v>
      </c>
      <c r="AT38" s="79">
        <v>0</v>
      </c>
      <c r="AU38" s="79"/>
      <c r="AV38" s="79"/>
      <c r="AW38" s="79"/>
      <c r="AX38" s="79"/>
      <c r="AY38" s="79"/>
      <c r="AZ38" s="79"/>
      <c r="BA38" s="79"/>
      <c r="BB38" s="79"/>
      <c r="BC38" s="79"/>
      <c r="BD38" s="79"/>
      <c r="BE38" s="79"/>
      <c r="BF38" s="79"/>
      <c r="BG38" s="79"/>
      <c r="BH38" s="79">
        <v>0</v>
      </c>
      <c r="BI38" s="79"/>
      <c r="BJ38" s="79"/>
      <c r="BK38" s="79"/>
      <c r="BL38" s="79"/>
      <c r="BM38" s="79"/>
      <c r="BN38" s="79"/>
      <c r="BO38" s="79"/>
      <c r="BP38" s="79"/>
      <c r="BQ38" s="79"/>
      <c r="BR38" s="79">
        <v>11323975.769400001</v>
      </c>
      <c r="BS38" s="79">
        <v>-2.4525184999220073E-2</v>
      </c>
      <c r="BT38" s="79"/>
      <c r="BU38" s="79"/>
      <c r="BV38" s="79"/>
      <c r="BW38" s="79"/>
      <c r="BX38" s="79"/>
      <c r="BY38" s="79"/>
      <c r="BZ38" s="79"/>
      <c r="CA38" s="79"/>
      <c r="CB38" s="79"/>
      <c r="CC38" s="79"/>
      <c r="CD38" s="79"/>
      <c r="CE38" s="79"/>
      <c r="CF38" s="79">
        <v>1469979.6108323112</v>
      </c>
      <c r="CG38" s="79"/>
      <c r="CH38" s="79"/>
      <c r="CI38" s="79">
        <v>1837799.24</v>
      </c>
      <c r="CJ38" s="79"/>
      <c r="CK38" s="79"/>
      <c r="CL38" s="79"/>
      <c r="CM38" s="79"/>
      <c r="CN38" s="78">
        <f t="shared" si="29"/>
        <v>14631754.595707128</v>
      </c>
      <c r="CO38" s="78">
        <f t="shared" si="30"/>
        <v>10205283.650291832</v>
      </c>
      <c r="CP38" s="79"/>
      <c r="CQ38" s="79"/>
      <c r="CR38" s="79"/>
      <c r="CS38" s="79"/>
      <c r="CT38" s="79"/>
      <c r="CU38" s="79"/>
      <c r="CV38" s="79"/>
      <c r="CW38" s="79"/>
      <c r="CX38" s="79"/>
      <c r="CY38" s="79"/>
      <c r="CZ38" s="79"/>
      <c r="DA38" s="79"/>
      <c r="DB38" s="79"/>
      <c r="DC38" s="79"/>
      <c r="DD38" s="79">
        <v>1472877.8700000003</v>
      </c>
      <c r="DE38" s="79"/>
      <c r="DF38" s="79"/>
      <c r="DG38" s="79"/>
      <c r="DH38" s="79"/>
      <c r="DI38" s="79"/>
      <c r="DJ38" s="79"/>
      <c r="DK38" s="79"/>
      <c r="DL38" s="79"/>
      <c r="DM38" s="79"/>
      <c r="DN38" s="79"/>
      <c r="DO38" s="79">
        <v>0</v>
      </c>
      <c r="DP38" s="79"/>
      <c r="DQ38" s="79"/>
      <c r="DR38" s="79"/>
      <c r="DS38" s="79"/>
      <c r="DT38" s="79"/>
      <c r="DU38" s="79"/>
      <c r="DV38" s="79"/>
      <c r="DW38" s="79"/>
      <c r="DX38" s="79"/>
      <c r="DY38" s="79"/>
      <c r="DZ38" s="79"/>
      <c r="EA38" s="79"/>
      <c r="EB38" s="79">
        <v>306357.35740875098</v>
      </c>
      <c r="EC38" s="79"/>
      <c r="ED38" s="79"/>
      <c r="EE38" s="79"/>
      <c r="EF38" s="79"/>
      <c r="EG38" s="79"/>
      <c r="EH38" s="208"/>
      <c r="EI38" s="79"/>
      <c r="EJ38" s="79"/>
      <c r="EK38" s="78">
        <f t="shared" si="31"/>
        <v>1779235.2274087514</v>
      </c>
      <c r="EL38" s="78">
        <f t="shared" si="32"/>
        <v>11984518.877700584</v>
      </c>
      <c r="EM38" s="79"/>
      <c r="EN38" s="79"/>
      <c r="EO38" s="79"/>
      <c r="EP38" s="79"/>
      <c r="EQ38" s="79"/>
      <c r="ER38" s="79"/>
      <c r="ES38" s="79"/>
      <c r="ET38" s="79"/>
      <c r="EU38" s="79"/>
      <c r="EV38" s="79"/>
      <c r="EW38" s="79"/>
      <c r="EX38" s="79"/>
      <c r="EY38" s="79"/>
      <c r="EZ38" s="79"/>
      <c r="FA38" s="79">
        <v>4390318.74</v>
      </c>
      <c r="FB38" s="79"/>
      <c r="FC38" s="79"/>
      <c r="FD38" s="79"/>
      <c r="FE38" s="79"/>
      <c r="FF38" s="79"/>
      <c r="FG38" s="79"/>
      <c r="FH38" s="79"/>
      <c r="FI38" s="79"/>
      <c r="FJ38" s="79"/>
      <c r="FK38" s="89">
        <v>6970120.2719269898</v>
      </c>
      <c r="FL38" s="79">
        <v>101312.69981712464</v>
      </c>
      <c r="FM38" s="208">
        <f>+'[21]Lead E'!$K$26</f>
        <v>-806804.30354166636</v>
      </c>
      <c r="FN38" s="79"/>
      <c r="FO38" s="79"/>
      <c r="FP38" s="79"/>
      <c r="FQ38" s="79"/>
      <c r="FR38" s="79"/>
      <c r="FS38" s="79"/>
      <c r="FT38" s="79"/>
      <c r="FU38" s="79"/>
      <c r="FV38" s="79"/>
      <c r="FW38" s="79"/>
      <c r="FX38" s="79"/>
      <c r="FY38" s="79">
        <v>-2857679.8235148825</v>
      </c>
      <c r="FZ38" s="79"/>
      <c r="GA38" s="79"/>
      <c r="GB38" s="79">
        <v>2161486.389623465</v>
      </c>
      <c r="GC38" s="79"/>
      <c r="GD38" s="79"/>
      <c r="GE38" s="208"/>
      <c r="GF38" s="208"/>
      <c r="GG38" s="79"/>
      <c r="GH38" s="79"/>
      <c r="GI38" s="78">
        <f t="shared" si="33"/>
        <v>9958753.9743110314</v>
      </c>
      <c r="GJ38" s="78">
        <f t="shared" si="34"/>
        <v>21943272.852011614</v>
      </c>
      <c r="GK38" s="79"/>
      <c r="GL38" s="79"/>
      <c r="GM38" s="79"/>
      <c r="GN38" s="79"/>
      <c r="GO38" s="79"/>
      <c r="GP38" s="79"/>
      <c r="GQ38" s="79"/>
      <c r="GR38" s="79"/>
      <c r="GS38" s="79"/>
      <c r="GT38" s="79"/>
      <c r="GU38" s="79"/>
      <c r="GV38" s="79"/>
      <c r="GW38" s="79"/>
      <c r="GX38" s="79"/>
      <c r="GY38" s="79"/>
      <c r="GZ38" s="79"/>
      <c r="HA38" s="79"/>
      <c r="HB38" s="79"/>
      <c r="HC38" s="79"/>
      <c r="HD38" s="79"/>
      <c r="HE38" s="79"/>
      <c r="HF38" s="79"/>
      <c r="HG38" s="79"/>
      <c r="HH38" s="79"/>
      <c r="HI38" s="79">
        <v>0</v>
      </c>
      <c r="HJ38" s="79">
        <v>0</v>
      </c>
      <c r="HK38" s="79">
        <v>0</v>
      </c>
      <c r="HL38" s="79"/>
      <c r="HM38" s="79"/>
      <c r="HN38" s="79"/>
      <c r="HO38" s="79"/>
      <c r="HP38" s="79"/>
      <c r="HQ38" s="79"/>
      <c r="HR38" s="79"/>
      <c r="HS38" s="79"/>
      <c r="HT38" s="79"/>
      <c r="HU38" s="79"/>
      <c r="HV38" s="79"/>
      <c r="HW38" s="79">
        <v>-9768857.3679394089</v>
      </c>
      <c r="HX38" s="79"/>
      <c r="HY38" s="79"/>
      <c r="HZ38" s="79">
        <v>178659.22804067837</v>
      </c>
      <c r="IA38" s="79"/>
      <c r="IB38" s="79"/>
      <c r="IC38" s="208"/>
      <c r="ID38" s="208"/>
      <c r="IE38" s="79"/>
      <c r="IF38" s="79"/>
      <c r="IG38" s="78">
        <f t="shared" si="35"/>
        <v>-9590198.1398987304</v>
      </c>
      <c r="IH38" s="78">
        <f t="shared" si="36"/>
        <v>12353074.712112883</v>
      </c>
      <c r="II38" s="79"/>
      <c r="IJ38" s="79"/>
      <c r="IK38" s="79"/>
      <c r="IL38" s="79"/>
      <c r="IM38" s="79"/>
      <c r="IN38" s="79"/>
      <c r="IO38" s="79"/>
      <c r="IP38" s="79"/>
      <c r="IQ38" s="79"/>
      <c r="IR38" s="79"/>
      <c r="IS38" s="79"/>
      <c r="IT38" s="79"/>
      <c r="IU38" s="79"/>
      <c r="IV38" s="79"/>
      <c r="IW38" s="79"/>
      <c r="IX38" s="79"/>
      <c r="IY38" s="79"/>
      <c r="IZ38" s="79"/>
      <c r="JA38" s="79"/>
      <c r="JB38" s="79"/>
      <c r="JC38" s="79"/>
      <c r="JD38" s="79"/>
      <c r="JE38" s="79"/>
      <c r="JF38" s="79"/>
      <c r="JG38" s="79"/>
      <c r="JH38" s="79">
        <v>-302917.45000000007</v>
      </c>
      <c r="JI38" s="208">
        <f>+'[21]Lead E'!$O$26</f>
        <v>806804.30354166636</v>
      </c>
      <c r="JJ38" s="79"/>
      <c r="JK38" s="79"/>
      <c r="JL38" s="79"/>
      <c r="JM38" s="79"/>
      <c r="JN38" s="79"/>
      <c r="JO38" s="79"/>
      <c r="JP38" s="79"/>
      <c r="JQ38" s="79"/>
      <c r="JR38" s="79"/>
      <c r="JS38" s="79"/>
      <c r="JT38" s="79"/>
      <c r="JU38" s="79">
        <v>-2330028.624977693</v>
      </c>
      <c r="JV38" s="79"/>
      <c r="JW38" s="79"/>
      <c r="JX38" s="79">
        <v>309639.8489784752</v>
      </c>
      <c r="JY38" s="79"/>
      <c r="JZ38" s="79"/>
      <c r="KA38" s="208"/>
      <c r="KB38" s="208"/>
      <c r="KC38" s="79"/>
      <c r="KD38" s="79"/>
      <c r="KE38" s="78">
        <f t="shared" si="37"/>
        <v>-1516501.9224575516</v>
      </c>
      <c r="KF38" s="78">
        <f t="shared" si="38"/>
        <v>10836572.789655332</v>
      </c>
      <c r="KG38" s="43" t="s">
        <v>34</v>
      </c>
    </row>
    <row r="39" spans="1:293" x14ac:dyDescent="0.3">
      <c r="A39" s="58">
        <f>ROW()</f>
        <v>39</v>
      </c>
      <c r="B39" s="74" t="s">
        <v>88</v>
      </c>
      <c r="C39" s="78">
        <v>236496070.14000002</v>
      </c>
      <c r="D39" s="79">
        <v>2480525.8092134465</v>
      </c>
      <c r="E39" s="79">
        <v>-146898295.90738791</v>
      </c>
      <c r="F39" s="79">
        <v>42414.134525000001</v>
      </c>
      <c r="G39" s="79"/>
      <c r="H39" s="79"/>
      <c r="I39" s="79"/>
      <c r="J39" s="79"/>
      <c r="K39" s="79">
        <v>-2208.3352379947901</v>
      </c>
      <c r="L39" s="79"/>
      <c r="M39" s="79"/>
      <c r="N39" s="79">
        <v>460733.65079812868</v>
      </c>
      <c r="O39" s="79"/>
      <c r="P39" s="79"/>
      <c r="Q39" s="79"/>
      <c r="R39" s="79"/>
      <c r="S39" s="79"/>
      <c r="T39" s="79"/>
      <c r="U39" s="79">
        <v>249312.5242715913</v>
      </c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79">
        <v>97768.272499999963</v>
      </c>
      <c r="AG39" s="79"/>
      <c r="AH39" s="79">
        <v>9441.5583333333489</v>
      </c>
      <c r="AI39" s="79"/>
      <c r="AJ39" s="79"/>
      <c r="AK39" s="79"/>
      <c r="AL39" s="79"/>
      <c r="AM39" s="79"/>
      <c r="AN39" s="79"/>
      <c r="AO39" s="79"/>
      <c r="AP39" s="208"/>
      <c r="AQ39" s="79"/>
      <c r="AR39" s="78">
        <f t="shared" si="27"/>
        <v>-143560308.29298437</v>
      </c>
      <c r="AS39" s="78">
        <f t="shared" si="28"/>
        <v>92935761.847015649</v>
      </c>
      <c r="AT39" s="79">
        <v>-301583.66782845004</v>
      </c>
      <c r="AU39" s="79"/>
      <c r="AV39" s="79">
        <v>0</v>
      </c>
      <c r="AW39" s="79"/>
      <c r="AX39" s="79"/>
      <c r="AY39" s="79"/>
      <c r="AZ39" s="79"/>
      <c r="BA39" s="79"/>
      <c r="BB39" s="79"/>
      <c r="BC39" s="79"/>
      <c r="BD39" s="79">
        <v>-162587.3754357195</v>
      </c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>
        <v>0</v>
      </c>
      <c r="CD39" s="79"/>
      <c r="CE39" s="79"/>
      <c r="CF39" s="79"/>
      <c r="CG39" s="79"/>
      <c r="CH39" s="79"/>
      <c r="CI39" s="79"/>
      <c r="CJ39" s="79">
        <v>-733205.16249999998</v>
      </c>
      <c r="CK39" s="79"/>
      <c r="CL39" s="79"/>
      <c r="CM39" s="79"/>
      <c r="CN39" s="78">
        <f t="shared" si="29"/>
        <v>-1197376.2057641696</v>
      </c>
      <c r="CO39" s="78">
        <f t="shared" si="30"/>
        <v>91738385.641251475</v>
      </c>
      <c r="CP39" s="79">
        <v>-2096037.9732138882</v>
      </c>
      <c r="CQ39" s="79"/>
      <c r="CR39" s="79"/>
      <c r="CS39" s="79"/>
      <c r="CT39" s="79"/>
      <c r="CU39" s="79"/>
      <c r="CV39" s="79"/>
      <c r="CW39" s="79"/>
      <c r="CX39" s="79"/>
      <c r="CY39" s="79"/>
      <c r="CZ39" s="79">
        <v>32308.205594380197</v>
      </c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>
        <v>0</v>
      </c>
      <c r="DZ39" s="79"/>
      <c r="EA39" s="79"/>
      <c r="EB39" s="79"/>
      <c r="EC39" s="79"/>
      <c r="ED39" s="79"/>
      <c r="EE39" s="79"/>
      <c r="EF39" s="79">
        <v>0</v>
      </c>
      <c r="EG39" s="79"/>
      <c r="EH39" s="208"/>
      <c r="EI39" s="79"/>
      <c r="EJ39" s="79"/>
      <c r="EK39" s="78">
        <f t="shared" si="31"/>
        <v>-2063729.7676195081</v>
      </c>
      <c r="EL39" s="78">
        <f t="shared" si="32"/>
        <v>89674655.873631969</v>
      </c>
      <c r="EM39" s="79">
        <v>813194.20734112593</v>
      </c>
      <c r="EN39" s="79"/>
      <c r="EO39" s="79"/>
      <c r="EP39" s="79"/>
      <c r="EQ39" s="79"/>
      <c r="ER39" s="79"/>
      <c r="ES39" s="79"/>
      <c r="ET39" s="79"/>
      <c r="EU39" s="79"/>
      <c r="EV39" s="79"/>
      <c r="EW39" s="79">
        <v>59572.503547615277</v>
      </c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>
        <v>502629.88558841869</v>
      </c>
      <c r="FI39" s="79"/>
      <c r="FJ39" s="79"/>
      <c r="FK39" s="79"/>
      <c r="FL39" s="79"/>
      <c r="FM39" s="208"/>
      <c r="FN39" s="79"/>
      <c r="FO39" s="79"/>
      <c r="FP39" s="79"/>
      <c r="FQ39" s="79"/>
      <c r="FR39" s="79"/>
      <c r="FS39" s="79"/>
      <c r="FT39" s="79"/>
      <c r="FU39" s="79">
        <v>11095.099065874063</v>
      </c>
      <c r="FV39" s="79">
        <v>176542.65249999997</v>
      </c>
      <c r="FW39" s="79"/>
      <c r="FX39" s="79"/>
      <c r="FY39" s="79"/>
      <c r="FZ39" s="79"/>
      <c r="GA39" s="79"/>
      <c r="GB39" s="79"/>
      <c r="GC39" s="79">
        <v>-176542.65249999997</v>
      </c>
      <c r="GD39" s="79"/>
      <c r="GE39" s="208"/>
      <c r="GF39" s="208"/>
      <c r="GG39" s="79"/>
      <c r="GH39" s="79"/>
      <c r="GI39" s="78">
        <f t="shared" si="33"/>
        <v>1386491.695543034</v>
      </c>
      <c r="GJ39" s="78">
        <f t="shared" si="34"/>
        <v>91061147.569175005</v>
      </c>
      <c r="GK39" s="79">
        <v>829597.19395356462</v>
      </c>
      <c r="GL39" s="79"/>
      <c r="GM39" s="79"/>
      <c r="GN39" s="79"/>
      <c r="GO39" s="79"/>
      <c r="GP39" s="79"/>
      <c r="GQ39" s="79"/>
      <c r="GR39" s="79"/>
      <c r="GS39" s="79"/>
      <c r="GT39" s="79"/>
      <c r="GU39" s="79">
        <v>138455.83785776532</v>
      </c>
      <c r="GV39" s="79"/>
      <c r="GW39" s="79"/>
      <c r="GX39" s="79"/>
      <c r="GY39" s="79"/>
      <c r="GZ39" s="79"/>
      <c r="HA39" s="79"/>
      <c r="HB39" s="79"/>
      <c r="HC39" s="79"/>
      <c r="HD39" s="79"/>
      <c r="HE39" s="79"/>
      <c r="HF39" s="79">
        <v>334043.21696564928</v>
      </c>
      <c r="HG39" s="79"/>
      <c r="HH39" s="79"/>
      <c r="HI39" s="79"/>
      <c r="HJ39" s="79"/>
      <c r="HK39" s="79"/>
      <c r="HL39" s="79"/>
      <c r="HM39" s="79"/>
      <c r="HN39" s="79"/>
      <c r="HO39" s="79"/>
      <c r="HP39" s="79"/>
      <c r="HQ39" s="79"/>
      <c r="HR39" s="79"/>
      <c r="HS39" s="79">
        <v>5785.7712328868756</v>
      </c>
      <c r="HT39" s="79">
        <v>-60605.032499999972</v>
      </c>
      <c r="HU39" s="79"/>
      <c r="HV39" s="79"/>
      <c r="HW39" s="79"/>
      <c r="HX39" s="79"/>
      <c r="HY39" s="79"/>
      <c r="HZ39" s="79"/>
      <c r="IA39" s="79">
        <v>60605.032499999972</v>
      </c>
      <c r="IB39" s="79"/>
      <c r="IC39" s="208"/>
      <c r="ID39" s="208"/>
      <c r="IE39" s="79"/>
      <c r="IF39" s="79"/>
      <c r="IG39" s="78">
        <f t="shared" si="35"/>
        <v>1307882.0200098662</v>
      </c>
      <c r="IH39" s="78">
        <f t="shared" si="36"/>
        <v>92369029.589184865</v>
      </c>
      <c r="II39" s="79">
        <v>243778.06132764596</v>
      </c>
      <c r="IJ39" s="79"/>
      <c r="IK39" s="79"/>
      <c r="IL39" s="79"/>
      <c r="IM39" s="79"/>
      <c r="IN39" s="79"/>
      <c r="IO39" s="79"/>
      <c r="IP39" s="79"/>
      <c r="IQ39" s="79"/>
      <c r="IR39" s="79"/>
      <c r="IS39" s="79">
        <v>209107.95350220124</v>
      </c>
      <c r="IT39" s="79"/>
      <c r="IU39" s="79"/>
      <c r="IV39" s="79"/>
      <c r="IW39" s="79"/>
      <c r="IX39" s="79"/>
      <c r="IY39" s="79"/>
      <c r="IZ39" s="79"/>
      <c r="JA39" s="79"/>
      <c r="JB39" s="79"/>
      <c r="JC39" s="79"/>
      <c r="JD39" s="79">
        <v>346628.75210659951</v>
      </c>
      <c r="JE39" s="79"/>
      <c r="JF39" s="79">
        <v>0</v>
      </c>
      <c r="JG39" s="79"/>
      <c r="JH39" s="79"/>
      <c r="JI39" s="79"/>
      <c r="JJ39" s="79"/>
      <c r="JK39" s="79"/>
      <c r="JL39" s="79"/>
      <c r="JM39" s="79"/>
      <c r="JN39" s="79"/>
      <c r="JO39" s="79"/>
      <c r="JP39" s="79"/>
      <c r="JQ39" s="79">
        <v>5944.597612249815</v>
      </c>
      <c r="JR39" s="79">
        <v>-5711.8725000000559</v>
      </c>
      <c r="JS39" s="79"/>
      <c r="JT39" s="79"/>
      <c r="JU39" s="79"/>
      <c r="JV39" s="79"/>
      <c r="JW39" s="79"/>
      <c r="JX39" s="79"/>
      <c r="JY39" s="79">
        <v>5711.8725000000559</v>
      </c>
      <c r="JZ39" s="79"/>
      <c r="KA39" s="208"/>
      <c r="KB39" s="208"/>
      <c r="KC39" s="79"/>
      <c r="KD39" s="79"/>
      <c r="KE39" s="78">
        <f t="shared" si="37"/>
        <v>805459.36454869655</v>
      </c>
      <c r="KF39" s="78">
        <f t="shared" si="38"/>
        <v>93174488.953733563</v>
      </c>
      <c r="KG39" s="43" t="s">
        <v>34</v>
      </c>
    </row>
    <row r="40" spans="1:293" x14ac:dyDescent="0.3">
      <c r="A40" s="58">
        <f>ROW()</f>
        <v>40</v>
      </c>
      <c r="B40" s="74" t="s">
        <v>89</v>
      </c>
      <c r="C40" s="78">
        <v>12488944.709999999</v>
      </c>
      <c r="D40" s="79">
        <v>7367280.6298752185</v>
      </c>
      <c r="E40" s="79">
        <v>261655.16971955716</v>
      </c>
      <c r="F40" s="79">
        <v>220583.36755139998</v>
      </c>
      <c r="G40" s="79">
        <v>-36730076.987808421</v>
      </c>
      <c r="H40" s="79">
        <v>-29473738.80405971</v>
      </c>
      <c r="I40" s="79">
        <v>791011.46521824028</v>
      </c>
      <c r="J40" s="79">
        <v>37049.849401740015</v>
      </c>
      <c r="K40" s="79">
        <v>463.75039997890588</v>
      </c>
      <c r="L40" s="79">
        <v>9158.7090494440872</v>
      </c>
      <c r="M40" s="79">
        <v>-18817.234174411347</v>
      </c>
      <c r="N40" s="79">
        <v>-1161160.0981651808</v>
      </c>
      <c r="O40" s="79">
        <v>-32649.112356312413</v>
      </c>
      <c r="P40" s="79"/>
      <c r="Q40" s="79">
        <v>-217090.39465006246</v>
      </c>
      <c r="R40" s="79">
        <v>346294.45829999994</v>
      </c>
      <c r="S40" s="79">
        <v>17570.120070394489</v>
      </c>
      <c r="T40" s="79">
        <v>418985.27129533677</v>
      </c>
      <c r="U40" s="79">
        <v>-601407.14602230373</v>
      </c>
      <c r="V40" s="79"/>
      <c r="W40" s="79">
        <v>-174811.93367470521</v>
      </c>
      <c r="X40" s="90">
        <v>-18498.07071840006</v>
      </c>
      <c r="Y40" s="79"/>
      <c r="Z40" s="79"/>
      <c r="AA40" s="79"/>
      <c r="AB40" s="79"/>
      <c r="AC40" s="79">
        <v>37754.641149711177</v>
      </c>
      <c r="AD40" s="90"/>
      <c r="AE40" s="90">
        <v>-2163098.0817776541</v>
      </c>
      <c r="AF40" s="90">
        <v>-20531.337224999992</v>
      </c>
      <c r="AG40" s="90">
        <v>0</v>
      </c>
      <c r="AH40" s="90">
        <v>-198275.8904</v>
      </c>
      <c r="AI40" s="90">
        <v>0</v>
      </c>
      <c r="AJ40" s="90">
        <v>20802.698700000001</v>
      </c>
      <c r="AK40" s="90">
        <v>209991.1048199994</v>
      </c>
      <c r="AL40" s="90"/>
      <c r="AM40" s="90"/>
      <c r="AN40" s="90"/>
      <c r="AO40" s="90"/>
      <c r="AP40" s="208">
        <f>-AP34*0.21</f>
        <v>0</v>
      </c>
      <c r="AQ40" s="90">
        <v>0</v>
      </c>
      <c r="AR40" s="78">
        <f t="shared" si="27"/>
        <v>-61071553.85548114</v>
      </c>
      <c r="AS40" s="78">
        <f t="shared" si="28"/>
        <v>-48582609.145481139</v>
      </c>
      <c r="AT40" s="79">
        <v>-1568447.4478405572</v>
      </c>
      <c r="AU40" s="79"/>
      <c r="AV40" s="79">
        <v>0</v>
      </c>
      <c r="AW40" s="79">
        <v>0</v>
      </c>
      <c r="AX40" s="208">
        <f>-813879.839825047-'Exh. BGM-3 (1)'!Y59*1000</f>
        <v>-809137.34002525103</v>
      </c>
      <c r="AY40" s="79"/>
      <c r="AZ40" s="79"/>
      <c r="BA40" s="79"/>
      <c r="BB40" s="79">
        <v>-23512.848821585252</v>
      </c>
      <c r="BC40" s="79"/>
      <c r="BD40" s="79">
        <v>409759.46188067319</v>
      </c>
      <c r="BE40" s="79"/>
      <c r="BF40" s="79"/>
      <c r="BG40" s="79">
        <v>-198964.23623270172</v>
      </c>
      <c r="BH40" s="79">
        <v>0</v>
      </c>
      <c r="BI40" s="79"/>
      <c r="BJ40" s="79">
        <v>-325509.83962943556</v>
      </c>
      <c r="BK40" s="79"/>
      <c r="BL40" s="79"/>
      <c r="BM40" s="79"/>
      <c r="BN40" s="79"/>
      <c r="BO40" s="79"/>
      <c r="BP40" s="79">
        <v>0</v>
      </c>
      <c r="BQ40" s="79">
        <v>-1316321.3133</v>
      </c>
      <c r="BR40" s="79">
        <v>-2378034.911574</v>
      </c>
      <c r="BS40" s="79">
        <v>5.1502888498362156E-3</v>
      </c>
      <c r="BT40" s="79"/>
      <c r="BU40" s="79"/>
      <c r="BV40" s="79">
        <v>809203.76281638222</v>
      </c>
      <c r="BW40" s="79">
        <v>152346.86329674005</v>
      </c>
      <c r="BX40" s="79">
        <v>-359637.95758673997</v>
      </c>
      <c r="BY40" s="79">
        <v>-56188.101900000016</v>
      </c>
      <c r="BZ40" s="79">
        <v>-17559.089224739997</v>
      </c>
      <c r="CA40" s="79">
        <v>-280949.84863679996</v>
      </c>
      <c r="CB40" s="79"/>
      <c r="CC40" s="79">
        <v>0</v>
      </c>
      <c r="CD40" s="79"/>
      <c r="CE40" s="79">
        <v>0</v>
      </c>
      <c r="CF40" s="79">
        <v>346149.70722521457</v>
      </c>
      <c r="CG40" s="90">
        <v>8967.1490999999951</v>
      </c>
      <c r="CH40" s="79"/>
      <c r="CI40" s="79">
        <v>-398153.56349999999</v>
      </c>
      <c r="CJ40" s="79">
        <v>21429763.773458257</v>
      </c>
      <c r="CK40" s="79"/>
      <c r="CL40" s="79"/>
      <c r="CM40" s="79">
        <v>0</v>
      </c>
      <c r="CN40" s="78">
        <f t="shared" si="29"/>
        <v>15423774.224655746</v>
      </c>
      <c r="CO40" s="78">
        <f t="shared" si="30"/>
        <v>-33158834.920825392</v>
      </c>
      <c r="CP40" s="79">
        <v>-10900873.490053385</v>
      </c>
      <c r="CQ40" s="79"/>
      <c r="CR40" s="79"/>
      <c r="CS40" s="79">
        <v>0</v>
      </c>
      <c r="CT40" s="208">
        <f>-443298.295190693-'Exh. BGM-3 (1)'!Y110*1000</f>
        <v>-631151.54481271701</v>
      </c>
      <c r="CU40" s="79"/>
      <c r="CV40" s="79"/>
      <c r="CW40" s="79"/>
      <c r="CX40" s="79"/>
      <c r="CY40" s="79"/>
      <c r="CZ40" s="79">
        <v>-81424.482701717439</v>
      </c>
      <c r="DA40" s="79"/>
      <c r="DB40" s="79"/>
      <c r="DC40" s="79"/>
      <c r="DD40" s="79">
        <v>-309304.35270000005</v>
      </c>
      <c r="DE40" s="79"/>
      <c r="DF40" s="79"/>
      <c r="DG40" s="79"/>
      <c r="DH40" s="79"/>
      <c r="DI40" s="79"/>
      <c r="DJ40" s="79"/>
      <c r="DK40" s="79"/>
      <c r="DL40" s="79">
        <v>0</v>
      </c>
      <c r="DM40" s="79"/>
      <c r="DN40" s="79"/>
      <c r="DO40" s="79">
        <v>0</v>
      </c>
      <c r="DP40" s="79"/>
      <c r="DQ40" s="79"/>
      <c r="DR40" s="79">
        <v>3918094.8894290086</v>
      </c>
      <c r="DS40" s="79">
        <v>1169035.03284834</v>
      </c>
      <c r="DT40" s="79">
        <v>-2922312.8415893996</v>
      </c>
      <c r="DU40" s="79">
        <v>-210572.14289999998</v>
      </c>
      <c r="DV40" s="208">
        <f>+SUM(DV35:DV36)*-0.21</f>
        <v>-468033.88619525998</v>
      </c>
      <c r="DW40" s="79">
        <v>-2250307.9008097798</v>
      </c>
      <c r="DX40" s="79"/>
      <c r="DY40" s="79">
        <v>0</v>
      </c>
      <c r="DZ40" s="79"/>
      <c r="EA40" s="79"/>
      <c r="EB40" s="79">
        <v>-64335.045055837705</v>
      </c>
      <c r="EC40" s="90">
        <v>0</v>
      </c>
      <c r="ED40" s="79"/>
      <c r="EE40" s="79"/>
      <c r="EF40" s="79">
        <v>321589.83466674248</v>
      </c>
      <c r="EG40" s="79"/>
      <c r="EH40" s="208">
        <f>-EH35*(0.21)</f>
        <v>-293635.37796007661</v>
      </c>
      <c r="EI40" s="79"/>
      <c r="EJ40" s="79">
        <v>92849.782199995359</v>
      </c>
      <c r="EK40" s="78">
        <f t="shared" si="31"/>
        <v>-12630381.525634088</v>
      </c>
      <c r="EL40" s="78">
        <f t="shared" si="32"/>
        <v>-45789216.44645948</v>
      </c>
      <c r="EM40" s="79">
        <v>4229182.5293020504</v>
      </c>
      <c r="EN40" s="79"/>
      <c r="EO40" s="79"/>
      <c r="EP40" s="79">
        <v>0</v>
      </c>
      <c r="EQ40" s="208">
        <f>545414.017970728-'Exh. BGM-3 (1)'!Y163*1000</f>
        <v>1131614.694250165</v>
      </c>
      <c r="ER40" s="79"/>
      <c r="ES40" s="79"/>
      <c r="ET40" s="79"/>
      <c r="EU40" s="79"/>
      <c r="EV40" s="79"/>
      <c r="EW40" s="79">
        <v>-150137.09970492887</v>
      </c>
      <c r="EX40" s="79"/>
      <c r="EY40" s="79"/>
      <c r="EZ40" s="79"/>
      <c r="FA40" s="79">
        <v>-921966.93539999996</v>
      </c>
      <c r="FB40" s="79"/>
      <c r="FC40" s="79"/>
      <c r="FD40" s="79"/>
      <c r="FE40" s="79"/>
      <c r="FF40" s="79"/>
      <c r="FG40" s="79"/>
      <c r="FH40" s="208">
        <f>+SUM(FH28:FH39)*-0.21</f>
        <v>-2926796.3160590315</v>
      </c>
      <c r="FI40" s="79">
        <v>-65260.861765122463</v>
      </c>
      <c r="FJ40" s="79">
        <v>-1752299.6381946239</v>
      </c>
      <c r="FK40" s="79">
        <v>-1463725.2571046674</v>
      </c>
      <c r="FL40" s="79">
        <v>-21275.666961596173</v>
      </c>
      <c r="FM40" s="306">
        <f>+'[21]Lead E'!$K$32</f>
        <v>169428.90374374992</v>
      </c>
      <c r="FN40" s="79"/>
      <c r="FO40" s="79">
        <v>5756499.2600950664</v>
      </c>
      <c r="FP40" s="79">
        <v>1468867.9803264579</v>
      </c>
      <c r="FQ40" s="79">
        <v>-3542899.8387194993</v>
      </c>
      <c r="FR40" s="79">
        <v>-33250.251300000047</v>
      </c>
      <c r="FS40" s="208">
        <f>+-FS35*0.21</f>
        <v>-469968.20429999998</v>
      </c>
      <c r="FT40" s="79">
        <v>-2715984.1189311594</v>
      </c>
      <c r="FU40" s="208">
        <f>-33354676.4025087+4353000*0.21</f>
        <v>-32440546.402508698</v>
      </c>
      <c r="FV40" s="79">
        <v>-37073.957024999989</v>
      </c>
      <c r="FW40" s="79"/>
      <c r="FX40" s="79">
        <v>219881.56364999927</v>
      </c>
      <c r="FY40" s="79">
        <v>600112.76293812529</v>
      </c>
      <c r="FZ40" s="90">
        <v>-2989.0497000000137</v>
      </c>
      <c r="GA40" s="90">
        <f>+GA37*-0.21</f>
        <v>81162.305058659505</v>
      </c>
      <c r="GB40" s="79">
        <v>-453912.14182092762</v>
      </c>
      <c r="GC40" s="79">
        <v>-2601308.0965749985</v>
      </c>
      <c r="GE40" s="208">
        <f>-GE35*0.21</f>
        <v>505780.48745625076</v>
      </c>
      <c r="GF40" s="208">
        <f>-GF34*0.21</f>
        <v>106288.34090308513</v>
      </c>
      <c r="GG40" s="79"/>
      <c r="GH40" s="79">
        <v>464259.21780000464</v>
      </c>
      <c r="GI40" s="78">
        <f t="shared" si="33"/>
        <v>-34866315.790546633</v>
      </c>
      <c r="GJ40" s="78">
        <f t="shared" si="34"/>
        <v>-80655532.237006113</v>
      </c>
      <c r="GK40" s="79">
        <v>4314489.6106652124</v>
      </c>
      <c r="GL40" s="79"/>
      <c r="GM40" s="79"/>
      <c r="GN40" s="79">
        <v>0</v>
      </c>
      <c r="GO40" s="208">
        <f>-1969431.35737349-'Exh. BGM-3 (1)'!Y217*1000</f>
        <v>-676709.86312155868</v>
      </c>
      <c r="GP40" s="79"/>
      <c r="GQ40" s="79"/>
      <c r="GR40" s="79"/>
      <c r="GS40" s="79"/>
      <c r="GT40" s="79"/>
      <c r="GU40" s="79">
        <v>-348942.15779542999</v>
      </c>
      <c r="GV40" s="79"/>
      <c r="GW40" s="79"/>
      <c r="GX40" s="79"/>
      <c r="GY40" s="79"/>
      <c r="GZ40" s="79"/>
      <c r="HA40" s="79"/>
      <c r="HB40" s="79"/>
      <c r="HC40" s="79"/>
      <c r="HD40" s="79"/>
      <c r="HE40" s="79"/>
      <c r="HF40" s="79">
        <f>+SUM(HF28:HF39)*-0.21</f>
        <v>-2324362.2712121834</v>
      </c>
      <c r="HG40" s="79">
        <v>-717869.47941634711</v>
      </c>
      <c r="HH40" s="79">
        <v>0</v>
      </c>
      <c r="HI40" s="79">
        <v>0</v>
      </c>
      <c r="HJ40" s="79">
        <v>0</v>
      </c>
      <c r="HK40" s="79">
        <v>0</v>
      </c>
      <c r="HL40" s="79"/>
      <c r="HM40" s="79">
        <v>4187630.5516109443</v>
      </c>
      <c r="HN40" s="79">
        <v>846945.29718455987</v>
      </c>
      <c r="HO40" s="79">
        <v>-6418750.7482152553</v>
      </c>
      <c r="HP40" s="79">
        <v>-65837.013900000049</v>
      </c>
      <c r="HQ40" s="208">
        <f>+-SUM(HQ35:HQ36)*0.21</f>
        <v>-334936.65882179991</v>
      </c>
      <c r="HR40" s="79">
        <v>-3625354.7413864201</v>
      </c>
      <c r="HS40" s="79">
        <f>-2385964.51137151+4353000*-0.21</f>
        <v>-3300094.5113715101</v>
      </c>
      <c r="HT40" s="79">
        <v>12727.056824999994</v>
      </c>
      <c r="HU40" s="79"/>
      <c r="HV40" s="79"/>
      <c r="HW40" s="79">
        <v>2051460.0472672759</v>
      </c>
      <c r="HX40" s="90">
        <v>-20923.347899999982</v>
      </c>
      <c r="HY40" s="90">
        <f>+HY37*-0.21</f>
        <v>0</v>
      </c>
      <c r="HZ40" s="79">
        <v>-37518.437888542459</v>
      </c>
      <c r="IA40" s="79">
        <v>-200005.89922499936</v>
      </c>
      <c r="IB40" s="79"/>
      <c r="IC40" s="208">
        <f>-IC35*0.21</f>
        <v>1287766.440630262</v>
      </c>
      <c r="ID40" s="208">
        <f>-ID34*0.21</f>
        <v>102.06</v>
      </c>
      <c r="IE40" s="79"/>
      <c r="IF40" s="79">
        <v>0</v>
      </c>
      <c r="IG40" s="78">
        <f t="shared" si="35"/>
        <v>-5370184.0660707923</v>
      </c>
      <c r="IH40" s="78">
        <f t="shared" si="36"/>
        <v>-86025716.303076908</v>
      </c>
      <c r="II40" s="79">
        <v>1267817.5873448136</v>
      </c>
      <c r="IJ40" s="79"/>
      <c r="IK40" s="79"/>
      <c r="IL40" s="79">
        <v>0</v>
      </c>
      <c r="IM40" s="208">
        <f>-2201721.63295581-'Exh. BGM-3 (1)'!Y271*1000</f>
        <v>-350613.69089476718</v>
      </c>
      <c r="IN40" s="79"/>
      <c r="IO40" s="79"/>
      <c r="IP40" s="79"/>
      <c r="IQ40" s="79"/>
      <c r="IR40" s="79"/>
      <c r="IS40" s="79">
        <v>-527002.55645560136</v>
      </c>
      <c r="IT40" s="79"/>
      <c r="IU40" s="79"/>
      <c r="IV40" s="79"/>
      <c r="IW40" s="79"/>
      <c r="IX40" s="79"/>
      <c r="IY40" s="79"/>
      <c r="IZ40" s="79"/>
      <c r="JA40" s="79"/>
      <c r="JB40" s="79"/>
      <c r="JC40" s="79"/>
      <c r="JD40" s="208">
        <f>+SUM(JD28:JD39)*-0.21</f>
        <v>-2384713.0914004068</v>
      </c>
      <c r="JE40" s="79">
        <v>0</v>
      </c>
      <c r="JF40" s="79"/>
      <c r="JG40" s="79"/>
      <c r="JH40" s="79">
        <v>63612.664500000014</v>
      </c>
      <c r="JI40" s="79">
        <f>+'[21]Lead E'!$O$32</f>
        <v>-169428.90374374992</v>
      </c>
      <c r="JJ40" s="79"/>
      <c r="JK40" s="79">
        <v>1751418.2109345533</v>
      </c>
      <c r="JL40" s="79">
        <v>647915.46618455998</v>
      </c>
      <c r="JM40" s="79">
        <v>-5244321.3117800318</v>
      </c>
      <c r="JN40" s="79">
        <v>-85656.696299999283</v>
      </c>
      <c r="JO40" s="79">
        <v>-1717254.4209995999</v>
      </c>
      <c r="JP40" s="208">
        <f>+SUM(JP35:JP36)*-0.21</f>
        <v>-952624.07599254104</v>
      </c>
      <c r="JQ40" s="79">
        <v>11827539.53415641</v>
      </c>
      <c r="JR40" s="79">
        <v>1199.4932250000118</v>
      </c>
      <c r="JS40" s="79"/>
      <c r="JT40" s="79"/>
      <c r="JU40" s="79">
        <v>489306.01124531549</v>
      </c>
      <c r="JV40" s="90">
        <v>0</v>
      </c>
      <c r="JW40" s="79">
        <v>0</v>
      </c>
      <c r="JX40" s="79">
        <v>-65024.368285479788</v>
      </c>
      <c r="JY40" s="79">
        <v>668240.92292499752</v>
      </c>
      <c r="JZ40" s="79"/>
      <c r="KA40" s="208">
        <f>-KA35*0.21</f>
        <v>1244526.2989847956</v>
      </c>
      <c r="KB40" s="208">
        <f>-KB34*0.21</f>
        <v>104.16</v>
      </c>
      <c r="KC40" s="79"/>
      <c r="KD40" s="79">
        <v>0</v>
      </c>
      <c r="KE40" s="78">
        <f t="shared" si="37"/>
        <v>6465041.2336482685</v>
      </c>
      <c r="KF40" s="78">
        <f t="shared" si="38"/>
        <v>-79560675.069428638</v>
      </c>
      <c r="KG40" s="43" t="s">
        <v>34</v>
      </c>
    </row>
    <row r="41" spans="1:293" x14ac:dyDescent="0.3">
      <c r="A41" s="58">
        <f>ROW()</f>
        <v>41</v>
      </c>
      <c r="B41" s="47" t="s">
        <v>90</v>
      </c>
      <c r="C41" s="78">
        <v>89040544.51000002</v>
      </c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79"/>
      <c r="Z41" s="79"/>
      <c r="AA41" s="79"/>
      <c r="AB41" s="79"/>
      <c r="AC41" s="79"/>
      <c r="AD41" s="79"/>
      <c r="AE41" s="79"/>
      <c r="AF41" s="79"/>
      <c r="AG41" s="79">
        <v>44533.439999999995</v>
      </c>
      <c r="AH41" s="79"/>
      <c r="AI41" s="79"/>
      <c r="AJ41" s="79"/>
      <c r="AK41" s="79"/>
      <c r="AL41" s="79"/>
      <c r="AM41" s="79"/>
      <c r="AN41" s="79"/>
      <c r="AO41" s="79"/>
      <c r="AP41" s="208"/>
      <c r="AQ41" s="79"/>
      <c r="AR41" s="78">
        <f t="shared" si="27"/>
        <v>44533.439999999995</v>
      </c>
      <c r="AS41" s="78">
        <f t="shared" si="28"/>
        <v>89085077.950000018</v>
      </c>
      <c r="AT41" s="79"/>
      <c r="AU41" s="79"/>
      <c r="AV41" s="79"/>
      <c r="AW41" s="79">
        <v>-454424.19965512399</v>
      </c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79"/>
      <c r="BI41" s="79"/>
      <c r="BJ41" s="79"/>
      <c r="BK41" s="79"/>
      <c r="BL41" s="79"/>
      <c r="BM41" s="79"/>
      <c r="BN41" s="79"/>
      <c r="BO41" s="79"/>
      <c r="BP41" s="79"/>
      <c r="BQ41" s="79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79"/>
      <c r="CM41" s="79"/>
      <c r="CN41" s="78">
        <f t="shared" si="29"/>
        <v>-454424.19965512399</v>
      </c>
      <c r="CO41" s="78">
        <f t="shared" si="30"/>
        <v>88630653.750344887</v>
      </c>
      <c r="CP41" s="79"/>
      <c r="CQ41" s="79"/>
      <c r="CR41" s="79"/>
      <c r="CS41" s="79">
        <v>-399773.68118600268</v>
      </c>
      <c r="CT41" s="79"/>
      <c r="CU41" s="79"/>
      <c r="CV41" s="79"/>
      <c r="CW41" s="79"/>
      <c r="CX41" s="79"/>
      <c r="CY41" s="79"/>
      <c r="CZ41" s="79"/>
      <c r="DA41" s="79"/>
      <c r="DB41" s="79"/>
      <c r="DC41" s="79"/>
      <c r="DD41" s="79"/>
      <c r="DE41" s="79"/>
      <c r="DF41" s="79"/>
      <c r="DG41" s="79"/>
      <c r="DH41" s="79"/>
      <c r="DI41" s="79"/>
      <c r="DJ41" s="79"/>
      <c r="DK41" s="79"/>
      <c r="DL41" s="79"/>
      <c r="DM41" s="79"/>
      <c r="DN41" s="79"/>
      <c r="DO41" s="79"/>
      <c r="DP41" s="79"/>
      <c r="DQ41" s="79"/>
      <c r="DR41" s="79"/>
      <c r="DS41" s="79"/>
      <c r="DT41" s="79"/>
      <c r="DU41" s="79"/>
      <c r="DV41" s="79"/>
      <c r="DW41" s="79"/>
      <c r="DX41" s="79"/>
      <c r="DY41" s="79"/>
      <c r="DZ41" s="79"/>
      <c r="EA41" s="79"/>
      <c r="EB41" s="79"/>
      <c r="EC41" s="79"/>
      <c r="ED41" s="79"/>
      <c r="EE41" s="79"/>
      <c r="EF41" s="79"/>
      <c r="EG41" s="79"/>
      <c r="EH41" s="208"/>
      <c r="EI41" s="79"/>
      <c r="EJ41" s="79"/>
      <c r="EK41" s="78">
        <f t="shared" si="31"/>
        <v>-399773.68118600268</v>
      </c>
      <c r="EL41" s="78">
        <f t="shared" si="32"/>
        <v>88230880.069158882</v>
      </c>
      <c r="EM41" s="79"/>
      <c r="EN41" s="79"/>
      <c r="EO41" s="79"/>
      <c r="EP41" s="79">
        <v>-668842.91487600096</v>
      </c>
      <c r="EQ41" s="79"/>
      <c r="ER41" s="79"/>
      <c r="ES41" s="79"/>
      <c r="ET41" s="79"/>
      <c r="EU41" s="79"/>
      <c r="EV41" s="79"/>
      <c r="EW41" s="79"/>
      <c r="EX41" s="79"/>
      <c r="EY41" s="79"/>
      <c r="EZ41" s="79"/>
      <c r="FA41" s="79"/>
      <c r="FB41" s="79"/>
      <c r="FC41" s="79"/>
      <c r="FD41" s="79"/>
      <c r="FE41" s="79"/>
      <c r="FF41" s="79"/>
      <c r="FG41" s="79"/>
      <c r="FH41" s="79"/>
      <c r="FI41" s="79"/>
      <c r="FJ41" s="79"/>
      <c r="FK41" s="79"/>
      <c r="FL41" s="79"/>
      <c r="FM41" s="79"/>
      <c r="FN41" s="79"/>
      <c r="FO41" s="79"/>
      <c r="FP41" s="79"/>
      <c r="FQ41" s="79"/>
      <c r="FR41" s="79"/>
      <c r="FS41" s="79"/>
      <c r="FT41" s="79"/>
      <c r="FU41" s="79"/>
      <c r="FV41" s="79"/>
      <c r="FW41" s="79">
        <v>3330.7366680000005</v>
      </c>
      <c r="FX41" s="79"/>
      <c r="FY41" s="79"/>
      <c r="FZ41" s="79"/>
      <c r="GA41" s="79"/>
      <c r="GB41" s="79"/>
      <c r="GC41" s="79"/>
      <c r="GD41" s="79"/>
      <c r="GE41" s="208"/>
      <c r="GF41" s="208"/>
      <c r="GG41" s="79"/>
      <c r="GH41" s="79"/>
      <c r="GI41" s="78">
        <f t="shared" si="33"/>
        <v>-665512.17820800096</v>
      </c>
      <c r="GJ41" s="78">
        <f t="shared" si="34"/>
        <v>87565367.890950888</v>
      </c>
      <c r="GK41" s="79"/>
      <c r="GL41" s="79"/>
      <c r="GM41" s="79"/>
      <c r="GN41" s="79">
        <v>467403.99771801173</v>
      </c>
      <c r="GO41" s="79"/>
      <c r="GP41" s="79"/>
      <c r="GQ41" s="79"/>
      <c r="GR41" s="79"/>
      <c r="GS41" s="79"/>
      <c r="GT41" s="79"/>
      <c r="GU41" s="79"/>
      <c r="GV41" s="79"/>
      <c r="GW41" s="79"/>
      <c r="GX41" s="79"/>
      <c r="GY41" s="79"/>
      <c r="GZ41" s="79"/>
      <c r="HA41" s="79"/>
      <c r="HB41" s="79"/>
      <c r="HC41" s="79"/>
      <c r="HD41" s="79"/>
      <c r="HE41" s="79"/>
      <c r="HF41" s="79"/>
      <c r="HG41" s="79"/>
      <c r="HH41" s="79"/>
      <c r="HI41" s="79"/>
      <c r="HJ41" s="79"/>
      <c r="HK41" s="79"/>
      <c r="HL41" s="79"/>
      <c r="HM41" s="79"/>
      <c r="HN41" s="79"/>
      <c r="HO41" s="79"/>
      <c r="HP41" s="79"/>
      <c r="HQ41" s="79"/>
      <c r="HR41" s="79"/>
      <c r="HS41" s="79"/>
      <c r="HT41" s="79"/>
      <c r="HU41" s="79"/>
      <c r="HV41" s="79"/>
      <c r="HW41" s="79"/>
      <c r="HX41" s="79"/>
      <c r="HY41" s="79"/>
      <c r="HZ41" s="79"/>
      <c r="IA41" s="79"/>
      <c r="IB41" s="79"/>
      <c r="IC41" s="208"/>
      <c r="ID41" s="208"/>
      <c r="IE41" s="79"/>
      <c r="IF41" s="79"/>
      <c r="IG41" s="78">
        <f t="shared" si="35"/>
        <v>467403.99771801173</v>
      </c>
      <c r="IH41" s="78">
        <f t="shared" si="36"/>
        <v>88032771.888668895</v>
      </c>
      <c r="II41" s="79"/>
      <c r="IJ41" s="79"/>
      <c r="IK41" s="79"/>
      <c r="IL41" s="79">
        <v>-553818.45254800306</v>
      </c>
      <c r="IM41" s="79"/>
      <c r="IN41" s="79"/>
      <c r="IO41" s="79"/>
      <c r="IP41" s="79"/>
      <c r="IQ41" s="79"/>
      <c r="IR41" s="79"/>
      <c r="IS41" s="79"/>
      <c r="IT41" s="79"/>
      <c r="IU41" s="79"/>
      <c r="IV41" s="79"/>
      <c r="IW41" s="79"/>
      <c r="IX41" s="79"/>
      <c r="IY41" s="79"/>
      <c r="IZ41" s="79"/>
      <c r="JA41" s="79"/>
      <c r="JB41" s="79"/>
      <c r="JC41" s="79"/>
      <c r="JD41" s="79"/>
      <c r="JE41" s="79"/>
      <c r="JF41" s="79"/>
      <c r="JG41" s="79"/>
      <c r="JH41" s="79"/>
      <c r="JI41" s="79"/>
      <c r="JJ41" s="79"/>
      <c r="JK41" s="79"/>
      <c r="JL41" s="79"/>
      <c r="JM41" s="79"/>
      <c r="JN41" s="79"/>
      <c r="JO41" s="79"/>
      <c r="JP41" s="79"/>
      <c r="JQ41" s="79"/>
      <c r="JR41" s="79"/>
      <c r="JS41" s="79"/>
      <c r="JT41" s="79"/>
      <c r="JU41" s="79"/>
      <c r="JV41" s="79"/>
      <c r="JW41" s="79"/>
      <c r="JX41" s="79"/>
      <c r="JY41" s="79"/>
      <c r="JZ41" s="79"/>
      <c r="KA41" s="208"/>
      <c r="KB41" s="208"/>
      <c r="KC41" s="79"/>
      <c r="KD41" s="79"/>
      <c r="KE41" s="78">
        <f t="shared" si="37"/>
        <v>-553818.45254800306</v>
      </c>
      <c r="KF41" s="78">
        <f t="shared" si="38"/>
        <v>87478953.436120898</v>
      </c>
      <c r="KG41" s="43" t="s">
        <v>34</v>
      </c>
    </row>
    <row r="42" spans="1:293" x14ac:dyDescent="0.3">
      <c r="A42" s="58">
        <f>ROW()</f>
        <v>42</v>
      </c>
      <c r="B42" s="74" t="s">
        <v>91</v>
      </c>
      <c r="C42" s="84">
        <f t="shared" ref="C42:BN42" si="39">SUM(C26:C41)</f>
        <v>2222908753.6300001</v>
      </c>
      <c r="D42" s="85">
        <f t="shared" si="39"/>
        <v>36789628.743994035</v>
      </c>
      <c r="E42" s="85">
        <f t="shared" si="39"/>
        <v>-207167041.29337341</v>
      </c>
      <c r="F42" s="85">
        <f t="shared" si="39"/>
        <v>273141.3792114</v>
      </c>
      <c r="G42" s="85">
        <f t="shared" si="39"/>
        <v>-36730076.987808421</v>
      </c>
      <c r="H42" s="85">
        <f t="shared" si="39"/>
        <v>-29473738.80405971</v>
      </c>
      <c r="I42" s="85">
        <f t="shared" si="39"/>
        <v>-2975709.7977257613</v>
      </c>
      <c r="J42" s="85">
        <f t="shared" si="39"/>
        <v>-139378.00489226007</v>
      </c>
      <c r="K42" s="85">
        <f t="shared" si="39"/>
        <v>-1744.5848380158841</v>
      </c>
      <c r="L42" s="85">
        <f t="shared" si="39"/>
        <v>-34454.191186003947</v>
      </c>
      <c r="M42" s="85">
        <f t="shared" si="39"/>
        <v>70788.642846595074</v>
      </c>
      <c r="N42" s="85">
        <f t="shared" si="39"/>
        <v>4368173.7026213948</v>
      </c>
      <c r="O42" s="85">
        <f t="shared" si="39"/>
        <v>122822.85124517528</v>
      </c>
      <c r="P42" s="85">
        <f t="shared" si="39"/>
        <v>17521.863852870072</v>
      </c>
      <c r="Q42" s="85">
        <f t="shared" si="39"/>
        <v>816673.3893978541</v>
      </c>
      <c r="R42" s="85">
        <f t="shared" si="39"/>
        <v>-1302726.7716999999</v>
      </c>
      <c r="S42" s="85">
        <f t="shared" si="39"/>
        <v>-66097.118360055465</v>
      </c>
      <c r="T42" s="85">
        <f t="shared" si="39"/>
        <v>-1576182.6872538861</v>
      </c>
      <c r="U42" s="85">
        <f t="shared" si="39"/>
        <v>2262436.406464857</v>
      </c>
      <c r="V42" s="85">
        <f t="shared" si="39"/>
        <v>0</v>
      </c>
      <c r="W42" s="85">
        <f t="shared" si="39"/>
        <v>657625.84572865348</v>
      </c>
      <c r="X42" s="85">
        <f t="shared" si="39"/>
        <v>69587.980321600218</v>
      </c>
      <c r="Y42" s="85">
        <f t="shared" si="39"/>
        <v>0</v>
      </c>
      <c r="Z42" s="85">
        <f t="shared" si="39"/>
        <v>0</v>
      </c>
      <c r="AA42" s="85">
        <f t="shared" si="39"/>
        <v>0</v>
      </c>
      <c r="AB42" s="85">
        <f t="shared" si="39"/>
        <v>0</v>
      </c>
      <c r="AC42" s="85">
        <f t="shared" si="39"/>
        <v>-142029.36432510396</v>
      </c>
      <c r="AD42" s="85">
        <f t="shared" si="39"/>
        <v>0</v>
      </c>
      <c r="AE42" s="85">
        <f t="shared" si="39"/>
        <v>8137368.974306412</v>
      </c>
      <c r="AF42" s="85">
        <f t="shared" si="39"/>
        <v>77236.935274999967</v>
      </c>
      <c r="AG42" s="85">
        <f t="shared" si="39"/>
        <v>-167530.56</v>
      </c>
      <c r="AH42" s="85">
        <f t="shared" si="39"/>
        <v>745895.0162666667</v>
      </c>
      <c r="AI42" s="85">
        <f t="shared" si="39"/>
        <v>0</v>
      </c>
      <c r="AJ42" s="85">
        <f t="shared" si="39"/>
        <v>-78257.771299999993</v>
      </c>
      <c r="AK42" s="85">
        <f t="shared" si="39"/>
        <v>-789966.53717999777</v>
      </c>
      <c r="AL42" s="85">
        <f t="shared" si="39"/>
        <v>0</v>
      </c>
      <c r="AM42" s="85">
        <f t="shared" si="39"/>
        <v>0</v>
      </c>
      <c r="AN42" s="85">
        <f t="shared" si="39"/>
        <v>0</v>
      </c>
      <c r="AO42" s="85">
        <f t="shared" si="39"/>
        <v>0</v>
      </c>
      <c r="AP42" s="210">
        <f t="shared" si="39"/>
        <v>0</v>
      </c>
      <c r="AQ42" s="85">
        <f t="shared" si="39"/>
        <v>0</v>
      </c>
      <c r="AR42" s="84">
        <f t="shared" si="39"/>
        <v>-226236032.74247006</v>
      </c>
      <c r="AS42" s="84">
        <f t="shared" si="39"/>
        <v>1996672720.8875301</v>
      </c>
      <c r="AT42" s="85">
        <f t="shared" si="39"/>
        <v>-1942158.6671712373</v>
      </c>
      <c r="AU42" s="85">
        <f t="shared" si="39"/>
        <v>0</v>
      </c>
      <c r="AV42" s="85">
        <f t="shared" si="39"/>
        <v>0</v>
      </c>
      <c r="AW42" s="85">
        <f t="shared" si="39"/>
        <v>-454424.19965512399</v>
      </c>
      <c r="AX42" s="85">
        <f t="shared" si="39"/>
        <v>-809137.34002525103</v>
      </c>
      <c r="AY42" s="85">
        <f t="shared" si="39"/>
        <v>0</v>
      </c>
      <c r="AZ42" s="85">
        <f t="shared" si="39"/>
        <v>0</v>
      </c>
      <c r="BA42" s="85">
        <f t="shared" si="39"/>
        <v>0</v>
      </c>
      <c r="BB42" s="85">
        <f t="shared" si="39"/>
        <v>88453.097947868329</v>
      </c>
      <c r="BC42" s="85">
        <f t="shared" si="39"/>
        <v>0</v>
      </c>
      <c r="BD42" s="85">
        <f t="shared" si="39"/>
        <v>-1541476.0708844375</v>
      </c>
      <c r="BE42" s="85">
        <f t="shared" si="39"/>
        <v>0</v>
      </c>
      <c r="BF42" s="85">
        <f t="shared" si="39"/>
        <v>0</v>
      </c>
      <c r="BG42" s="85">
        <f t="shared" si="39"/>
        <v>748484.50773254456</v>
      </c>
      <c r="BH42" s="85">
        <f t="shared" si="39"/>
        <v>0</v>
      </c>
      <c r="BI42" s="85">
        <f t="shared" si="39"/>
        <v>0</v>
      </c>
      <c r="BJ42" s="85">
        <f t="shared" si="39"/>
        <v>1224537.0157488291</v>
      </c>
      <c r="BK42" s="85">
        <f t="shared" si="39"/>
        <v>0</v>
      </c>
      <c r="BL42" s="85">
        <f t="shared" si="39"/>
        <v>0</v>
      </c>
      <c r="BM42" s="85">
        <f t="shared" si="39"/>
        <v>0</v>
      </c>
      <c r="BN42" s="85">
        <f t="shared" si="39"/>
        <v>0</v>
      </c>
      <c r="BO42" s="85">
        <f t="shared" ref="BO42:DZ42" si="40">SUM(BO26:BO41)</f>
        <v>0</v>
      </c>
      <c r="BP42" s="85">
        <f t="shared" si="40"/>
        <v>0</v>
      </c>
      <c r="BQ42" s="85">
        <f t="shared" si="40"/>
        <v>-1316321.3133</v>
      </c>
      <c r="BR42" s="85">
        <f t="shared" si="40"/>
        <v>8945940.8578260001</v>
      </c>
      <c r="BS42" s="85">
        <f t="shared" si="40"/>
        <v>-1.9374896149383859E-2</v>
      </c>
      <c r="BT42" s="85">
        <f t="shared" si="40"/>
        <v>0</v>
      </c>
      <c r="BU42" s="85">
        <f t="shared" si="40"/>
        <v>0</v>
      </c>
      <c r="BV42" s="85">
        <f t="shared" si="40"/>
        <v>-3044147.4886901998</v>
      </c>
      <c r="BW42" s="85">
        <f t="shared" si="40"/>
        <v>-573114.39049726026</v>
      </c>
      <c r="BX42" s="85">
        <f t="shared" si="40"/>
        <v>1352923.7452072599</v>
      </c>
      <c r="BY42" s="85">
        <f t="shared" si="40"/>
        <v>211374.28810000006</v>
      </c>
      <c r="BZ42" s="85">
        <f t="shared" si="40"/>
        <v>66055.621369259985</v>
      </c>
      <c r="CA42" s="85">
        <f t="shared" si="40"/>
        <v>1056906.5734432</v>
      </c>
      <c r="CB42" s="85">
        <f t="shared" si="40"/>
        <v>0</v>
      </c>
      <c r="CC42" s="85">
        <f t="shared" si="40"/>
        <v>0</v>
      </c>
      <c r="CD42" s="85">
        <f t="shared" si="40"/>
        <v>0</v>
      </c>
      <c r="CE42" s="85">
        <f t="shared" si="40"/>
        <v>0</v>
      </c>
      <c r="CF42" s="85">
        <f t="shared" si="40"/>
        <v>-1302182.2319424739</v>
      </c>
      <c r="CG42" s="85">
        <f t="shared" si="40"/>
        <v>-33733.560899999982</v>
      </c>
      <c r="CH42" s="85">
        <f t="shared" si="40"/>
        <v>0</v>
      </c>
      <c r="CI42" s="85">
        <f t="shared" si="40"/>
        <v>1439645.6765000001</v>
      </c>
      <c r="CJ42" s="85">
        <f t="shared" si="40"/>
        <v>-51935956.248247728</v>
      </c>
      <c r="CK42" s="85">
        <f t="shared" si="40"/>
        <v>0</v>
      </c>
      <c r="CL42" s="85">
        <f t="shared" si="40"/>
        <v>0</v>
      </c>
      <c r="CM42" s="85">
        <f t="shared" si="40"/>
        <v>0</v>
      </c>
      <c r="CN42" s="84">
        <f t="shared" si="40"/>
        <v>-47818330.146813653</v>
      </c>
      <c r="CO42" s="84">
        <f t="shared" si="40"/>
        <v>1948854390.7407165</v>
      </c>
      <c r="CP42" s="85">
        <f t="shared" si="40"/>
        <v>-13498205.475480201</v>
      </c>
      <c r="CQ42" s="85">
        <f t="shared" si="40"/>
        <v>0</v>
      </c>
      <c r="CR42" s="85">
        <f t="shared" si="40"/>
        <v>0</v>
      </c>
      <c r="CS42" s="85">
        <f t="shared" si="40"/>
        <v>-399773.68118600268</v>
      </c>
      <c r="CT42" s="85">
        <f t="shared" si="40"/>
        <v>-631151.54481271701</v>
      </c>
      <c r="CU42" s="85">
        <f t="shared" si="40"/>
        <v>0</v>
      </c>
      <c r="CV42" s="85">
        <f t="shared" si="40"/>
        <v>0</v>
      </c>
      <c r="CW42" s="85">
        <f t="shared" si="40"/>
        <v>0</v>
      </c>
      <c r="CX42" s="85">
        <f t="shared" si="40"/>
        <v>0</v>
      </c>
      <c r="CY42" s="85">
        <f t="shared" si="40"/>
        <v>0</v>
      </c>
      <c r="CZ42" s="85">
        <f t="shared" si="40"/>
        <v>306311.14921122277</v>
      </c>
      <c r="DA42" s="85">
        <f t="shared" si="40"/>
        <v>0</v>
      </c>
      <c r="DB42" s="85">
        <f t="shared" si="40"/>
        <v>0</v>
      </c>
      <c r="DC42" s="85">
        <f t="shared" si="40"/>
        <v>0</v>
      </c>
      <c r="DD42" s="85">
        <f t="shared" si="40"/>
        <v>1163573.5173000004</v>
      </c>
      <c r="DE42" s="85">
        <f t="shared" si="40"/>
        <v>0</v>
      </c>
      <c r="DF42" s="85">
        <f t="shared" si="40"/>
        <v>0</v>
      </c>
      <c r="DG42" s="85">
        <f t="shared" si="40"/>
        <v>0</v>
      </c>
      <c r="DH42" s="85">
        <f t="shared" si="40"/>
        <v>0</v>
      </c>
      <c r="DI42" s="85">
        <f t="shared" si="40"/>
        <v>0</v>
      </c>
      <c r="DJ42" s="85">
        <f t="shared" si="40"/>
        <v>0</v>
      </c>
      <c r="DK42" s="85">
        <f t="shared" si="40"/>
        <v>0</v>
      </c>
      <c r="DL42" s="85">
        <f t="shared" si="40"/>
        <v>0</v>
      </c>
      <c r="DM42" s="85">
        <f t="shared" si="40"/>
        <v>0</v>
      </c>
      <c r="DN42" s="85">
        <f t="shared" si="40"/>
        <v>0</v>
      </c>
      <c r="DO42" s="85">
        <f t="shared" si="40"/>
        <v>0</v>
      </c>
      <c r="DP42" s="85">
        <f t="shared" si="40"/>
        <v>0</v>
      </c>
      <c r="DQ42" s="85">
        <f t="shared" si="40"/>
        <v>0</v>
      </c>
      <c r="DR42" s="85">
        <f t="shared" si="40"/>
        <v>-14739499.822137697</v>
      </c>
      <c r="DS42" s="85">
        <f t="shared" si="40"/>
        <v>-4397798.4569056612</v>
      </c>
      <c r="DT42" s="85">
        <f t="shared" si="40"/>
        <v>10993462.594550598</v>
      </c>
      <c r="DU42" s="85">
        <f t="shared" si="40"/>
        <v>792152.34710000001</v>
      </c>
      <c r="DV42" s="85">
        <f t="shared" si="40"/>
        <v>1760698.9052107399</v>
      </c>
      <c r="DW42" s="85">
        <f t="shared" si="40"/>
        <v>8465444.0078082196</v>
      </c>
      <c r="DX42" s="85">
        <f t="shared" si="40"/>
        <v>0</v>
      </c>
      <c r="DY42" s="85">
        <f t="shared" si="40"/>
        <v>0</v>
      </c>
      <c r="DZ42" s="85">
        <f t="shared" si="40"/>
        <v>0</v>
      </c>
      <c r="EA42" s="85">
        <f t="shared" ref="EA42:GL42" si="41">SUM(EA26:EA41)</f>
        <v>0</v>
      </c>
      <c r="EB42" s="85">
        <f t="shared" si="41"/>
        <v>242022.31235291326</v>
      </c>
      <c r="EC42" s="85">
        <f t="shared" si="41"/>
        <v>0</v>
      </c>
      <c r="ED42" s="85">
        <f t="shared" si="41"/>
        <v>0</v>
      </c>
      <c r="EE42" s="85">
        <f t="shared" si="41"/>
        <v>0</v>
      </c>
      <c r="EF42" s="85">
        <f t="shared" si="41"/>
        <v>39655.383872746024</v>
      </c>
      <c r="EG42" s="85">
        <f t="shared" si="41"/>
        <v>0</v>
      </c>
      <c r="EH42" s="210">
        <f t="shared" si="41"/>
        <v>1104628.326611717</v>
      </c>
      <c r="EI42" s="85">
        <f t="shared" si="41"/>
        <v>0</v>
      </c>
      <c r="EJ42" s="85">
        <f t="shared" si="41"/>
        <v>-349292.03779998259</v>
      </c>
      <c r="EK42" s="84">
        <f t="shared" si="41"/>
        <v>-9147772.4743041024</v>
      </c>
      <c r="EL42" s="84">
        <f t="shared" si="41"/>
        <v>1939706618.2664115</v>
      </c>
      <c r="EM42" s="85">
        <f t="shared" si="41"/>
        <v>5236862.4244579291</v>
      </c>
      <c r="EN42" s="85">
        <f t="shared" si="41"/>
        <v>0</v>
      </c>
      <c r="EO42" s="85">
        <f t="shared" si="41"/>
        <v>0</v>
      </c>
      <c r="EP42" s="85">
        <f t="shared" si="41"/>
        <v>-668842.91487600096</v>
      </c>
      <c r="EQ42" s="85">
        <f t="shared" si="41"/>
        <v>1131614.694250165</v>
      </c>
      <c r="ER42" s="85">
        <f t="shared" si="41"/>
        <v>0</v>
      </c>
      <c r="ES42" s="85">
        <f t="shared" si="41"/>
        <v>0</v>
      </c>
      <c r="ET42" s="85">
        <f t="shared" si="41"/>
        <v>0</v>
      </c>
      <c r="EU42" s="85">
        <f t="shared" si="41"/>
        <v>0</v>
      </c>
      <c r="EV42" s="85">
        <f t="shared" si="41"/>
        <v>0</v>
      </c>
      <c r="EW42" s="85">
        <f t="shared" si="41"/>
        <v>564801.47031854209</v>
      </c>
      <c r="EX42" s="85">
        <f t="shared" si="41"/>
        <v>0</v>
      </c>
      <c r="EY42" s="85">
        <f t="shared" si="41"/>
        <v>0</v>
      </c>
      <c r="EZ42" s="85">
        <f t="shared" si="41"/>
        <v>0</v>
      </c>
      <c r="FA42" s="85">
        <f t="shared" si="41"/>
        <v>3468351.8046000004</v>
      </c>
      <c r="FB42" s="85">
        <f t="shared" si="41"/>
        <v>0</v>
      </c>
      <c r="FC42" s="85">
        <f t="shared" si="41"/>
        <v>0</v>
      </c>
      <c r="FD42" s="85">
        <f t="shared" si="41"/>
        <v>0</v>
      </c>
      <c r="FE42" s="85">
        <f t="shared" si="41"/>
        <v>0</v>
      </c>
      <c r="FF42" s="85">
        <f t="shared" si="41"/>
        <v>0</v>
      </c>
      <c r="FG42" s="85">
        <f t="shared" si="41"/>
        <v>0</v>
      </c>
      <c r="FH42" s="85">
        <f t="shared" si="41"/>
        <v>11010328.998507787</v>
      </c>
      <c r="FI42" s="85">
        <f t="shared" si="41"/>
        <v>245505.14664022264</v>
      </c>
      <c r="FJ42" s="85">
        <f t="shared" si="41"/>
        <v>-1752299.6381946239</v>
      </c>
      <c r="FK42" s="85">
        <f t="shared" si="41"/>
        <v>5506395.0148223229</v>
      </c>
      <c r="FL42" s="85">
        <f t="shared" si="41"/>
        <v>80037.032855528465</v>
      </c>
      <c r="FM42" s="85">
        <f t="shared" si="41"/>
        <v>-637375.39979791641</v>
      </c>
      <c r="FN42" s="85">
        <f t="shared" si="41"/>
        <v>0</v>
      </c>
      <c r="FO42" s="85">
        <f t="shared" si="41"/>
        <v>-21655401.978452869</v>
      </c>
      <c r="FP42" s="85">
        <f t="shared" si="41"/>
        <v>-5525741.4497995321</v>
      </c>
      <c r="FQ42" s="85">
        <f t="shared" si="41"/>
        <v>13328051.774230499</v>
      </c>
      <c r="FR42" s="85">
        <f t="shared" si="41"/>
        <v>125084.27870000018</v>
      </c>
      <c r="FS42" s="85">
        <f t="shared" si="41"/>
        <v>1767975.6257000002</v>
      </c>
      <c r="FT42" s="85">
        <f t="shared" si="41"/>
        <v>10217273.590264838</v>
      </c>
      <c r="FU42" s="85">
        <f t="shared" si="41"/>
        <v>98226963.491555691</v>
      </c>
      <c r="FV42" s="85">
        <f t="shared" si="41"/>
        <v>139468.69547499999</v>
      </c>
      <c r="FW42" s="85">
        <f t="shared" si="41"/>
        <v>-12529.914132000002</v>
      </c>
      <c r="FX42" s="85">
        <f t="shared" si="41"/>
        <v>-827173.50134999724</v>
      </c>
      <c r="FY42" s="85">
        <f t="shared" si="41"/>
        <v>-2257567.0605767574</v>
      </c>
      <c r="FZ42" s="85">
        <f t="shared" si="41"/>
        <v>11244.520300000051</v>
      </c>
      <c r="GA42" s="85">
        <f t="shared" si="41"/>
        <v>-305324.86188733811</v>
      </c>
      <c r="GB42" s="85">
        <f t="shared" si="41"/>
        <v>1707574.2478025374</v>
      </c>
      <c r="GC42" s="85">
        <f t="shared" si="41"/>
        <v>8200821.0775916548</v>
      </c>
      <c r="GD42" s="85">
        <f t="shared" si="41"/>
        <v>0</v>
      </c>
      <c r="GE42" s="210">
        <f t="shared" si="41"/>
        <v>-1902698.0242401815</v>
      </c>
      <c r="GF42" s="210">
        <f t="shared" si="41"/>
        <v>-399846.61577827268</v>
      </c>
      <c r="GG42" s="85">
        <f t="shared" si="41"/>
        <v>0</v>
      </c>
      <c r="GH42" s="85">
        <f t="shared" si="41"/>
        <v>-1746498.9622000174</v>
      </c>
      <c r="GI42" s="84">
        <f t="shared" si="41"/>
        <v>123277053.56678718</v>
      </c>
      <c r="GJ42" s="84">
        <f t="shared" si="41"/>
        <v>2062983671.833199</v>
      </c>
      <c r="GK42" s="85">
        <f t="shared" si="41"/>
        <v>5342495.4743051883</v>
      </c>
      <c r="GL42" s="85">
        <f t="shared" si="41"/>
        <v>0</v>
      </c>
      <c r="GM42" s="85">
        <f t="shared" ref="GM42:IX42" si="42">SUM(GM26:GM41)</f>
        <v>0</v>
      </c>
      <c r="GN42" s="85">
        <f t="shared" si="42"/>
        <v>467403.99771801173</v>
      </c>
      <c r="GO42" s="85">
        <f t="shared" si="42"/>
        <v>-676709.86312155868</v>
      </c>
      <c r="GP42" s="85">
        <f t="shared" si="42"/>
        <v>0</v>
      </c>
      <c r="GQ42" s="85">
        <f t="shared" si="42"/>
        <v>0</v>
      </c>
      <c r="GR42" s="85">
        <f t="shared" si="42"/>
        <v>0</v>
      </c>
      <c r="GS42" s="85">
        <f t="shared" si="42"/>
        <v>0</v>
      </c>
      <c r="GT42" s="85">
        <f t="shared" si="42"/>
        <v>0</v>
      </c>
      <c r="GU42" s="85">
        <f t="shared" si="42"/>
        <v>1312687.165039951</v>
      </c>
      <c r="GV42" s="85">
        <f t="shared" si="42"/>
        <v>0</v>
      </c>
      <c r="GW42" s="85">
        <f t="shared" si="42"/>
        <v>0</v>
      </c>
      <c r="GX42" s="85">
        <f t="shared" si="42"/>
        <v>0</v>
      </c>
      <c r="GY42" s="85">
        <f t="shared" si="42"/>
        <v>0</v>
      </c>
      <c r="GZ42" s="85">
        <f t="shared" si="42"/>
        <v>0</v>
      </c>
      <c r="HA42" s="85">
        <f t="shared" si="42"/>
        <v>0</v>
      </c>
      <c r="HB42" s="85">
        <f t="shared" si="42"/>
        <v>0</v>
      </c>
      <c r="HC42" s="85">
        <f t="shared" si="42"/>
        <v>0</v>
      </c>
      <c r="HD42" s="85">
        <f t="shared" si="42"/>
        <v>0</v>
      </c>
      <c r="HE42" s="85">
        <f t="shared" si="42"/>
        <v>0</v>
      </c>
      <c r="HF42" s="85">
        <f t="shared" si="42"/>
        <v>8744029.496464882</v>
      </c>
      <c r="HG42" s="85">
        <f t="shared" si="42"/>
        <v>2700556.6130424486</v>
      </c>
      <c r="HH42" s="85">
        <f t="shared" si="42"/>
        <v>0</v>
      </c>
      <c r="HI42" s="85">
        <f t="shared" si="42"/>
        <v>0</v>
      </c>
      <c r="HJ42" s="85">
        <f t="shared" si="42"/>
        <v>0</v>
      </c>
      <c r="HK42" s="85">
        <f t="shared" si="42"/>
        <v>0</v>
      </c>
      <c r="HL42" s="85">
        <f t="shared" si="42"/>
        <v>0</v>
      </c>
      <c r="HM42" s="85">
        <f t="shared" si="42"/>
        <v>-15753467.313203076</v>
      </c>
      <c r="HN42" s="85">
        <f t="shared" si="42"/>
        <v>-3186127.5465514394</v>
      </c>
      <c r="HO42" s="85">
        <f t="shared" si="42"/>
        <v>24146729.005190726</v>
      </c>
      <c r="HP42" s="85">
        <f t="shared" si="42"/>
        <v>247672.57610000021</v>
      </c>
      <c r="HQ42" s="85">
        <f t="shared" si="42"/>
        <v>1259999.8117581997</v>
      </c>
      <c r="HR42" s="85">
        <f t="shared" si="42"/>
        <v>13638239.265215576</v>
      </c>
      <c r="HS42" s="85">
        <f t="shared" si="42"/>
        <v>5850297.7636484094</v>
      </c>
      <c r="HT42" s="85">
        <f t="shared" si="42"/>
        <v>-47877.97567499998</v>
      </c>
      <c r="HU42" s="85">
        <f t="shared" si="42"/>
        <v>0</v>
      </c>
      <c r="HV42" s="85">
        <f t="shared" si="42"/>
        <v>0</v>
      </c>
      <c r="HW42" s="85">
        <f t="shared" si="42"/>
        <v>-7717397.320672133</v>
      </c>
      <c r="HX42" s="85">
        <f t="shared" si="42"/>
        <v>78711.642099999939</v>
      </c>
      <c r="HY42" s="85">
        <f t="shared" si="42"/>
        <v>0</v>
      </c>
      <c r="HZ42" s="85">
        <f t="shared" si="42"/>
        <v>141140.79015213592</v>
      </c>
      <c r="IA42" s="85">
        <f t="shared" si="42"/>
        <v>-2642664.426725002</v>
      </c>
      <c r="IB42" s="85">
        <f t="shared" si="42"/>
        <v>0</v>
      </c>
      <c r="IC42" s="210">
        <f t="shared" si="42"/>
        <v>-4844454.7052281294</v>
      </c>
      <c r="ID42" s="210">
        <f t="shared" si="42"/>
        <v>-383.94</v>
      </c>
      <c r="IE42" s="85">
        <f t="shared" si="42"/>
        <v>0</v>
      </c>
      <c r="IF42" s="85">
        <f t="shared" si="42"/>
        <v>0</v>
      </c>
      <c r="IG42" s="84">
        <f t="shared" si="42"/>
        <v>29060880.509559184</v>
      </c>
      <c r="IH42" s="84">
        <f t="shared" si="42"/>
        <v>2092044552.3427582</v>
      </c>
      <c r="II42" s="85">
        <f t="shared" si="42"/>
        <v>1569898.2576967832</v>
      </c>
      <c r="IJ42" s="85">
        <f t="shared" si="42"/>
        <v>0</v>
      </c>
      <c r="IK42" s="85">
        <f t="shared" si="42"/>
        <v>0</v>
      </c>
      <c r="IL42" s="85">
        <f t="shared" si="42"/>
        <v>-553818.45254800306</v>
      </c>
      <c r="IM42" s="85">
        <f t="shared" si="42"/>
        <v>-350613.69089476718</v>
      </c>
      <c r="IN42" s="85">
        <f t="shared" si="42"/>
        <v>0</v>
      </c>
      <c r="IO42" s="85">
        <f t="shared" si="42"/>
        <v>0</v>
      </c>
      <c r="IP42" s="85">
        <f t="shared" si="42"/>
        <v>0</v>
      </c>
      <c r="IQ42" s="85">
        <f t="shared" si="42"/>
        <v>0</v>
      </c>
      <c r="IR42" s="85">
        <f t="shared" si="42"/>
        <v>0</v>
      </c>
      <c r="IS42" s="85">
        <f t="shared" si="42"/>
        <v>1982533.4266663087</v>
      </c>
      <c r="IT42" s="85">
        <f t="shared" si="42"/>
        <v>0</v>
      </c>
      <c r="IU42" s="85">
        <f t="shared" si="42"/>
        <v>0</v>
      </c>
      <c r="IV42" s="85">
        <f t="shared" si="42"/>
        <v>0</v>
      </c>
      <c r="IW42" s="85">
        <f t="shared" si="42"/>
        <v>0</v>
      </c>
      <c r="IX42" s="85">
        <f t="shared" si="42"/>
        <v>0</v>
      </c>
      <c r="IY42" s="85">
        <f t="shared" ref="IY42:KF42" si="43">SUM(IY26:IY41)</f>
        <v>0</v>
      </c>
      <c r="IZ42" s="85">
        <f t="shared" si="43"/>
        <v>0</v>
      </c>
      <c r="JA42" s="85">
        <f t="shared" si="43"/>
        <v>0</v>
      </c>
      <c r="JB42" s="85">
        <f t="shared" si="43"/>
        <v>0</v>
      </c>
      <c r="JC42" s="85">
        <f t="shared" si="43"/>
        <v>0</v>
      </c>
      <c r="JD42" s="85">
        <f t="shared" si="43"/>
        <v>8971063.5343158171</v>
      </c>
      <c r="JE42" s="85">
        <f t="shared" si="43"/>
        <v>0</v>
      </c>
      <c r="JF42" s="85">
        <f t="shared" si="43"/>
        <v>0</v>
      </c>
      <c r="JG42" s="85">
        <f t="shared" si="43"/>
        <v>0</v>
      </c>
      <c r="JH42" s="85">
        <f t="shared" si="43"/>
        <v>-239304.78550000006</v>
      </c>
      <c r="JI42" s="85">
        <f t="shared" si="43"/>
        <v>637375.39979791641</v>
      </c>
      <c r="JJ42" s="85">
        <f t="shared" si="43"/>
        <v>0</v>
      </c>
      <c r="JK42" s="85">
        <f t="shared" si="43"/>
        <v>-6588668.5078014154</v>
      </c>
      <c r="JL42" s="85">
        <f t="shared" si="43"/>
        <v>-2437396.2775514396</v>
      </c>
      <c r="JM42" s="85">
        <f t="shared" si="43"/>
        <v>19728637.315743931</v>
      </c>
      <c r="JN42" s="85">
        <f t="shared" si="43"/>
        <v>322232.33369999728</v>
      </c>
      <c r="JO42" s="85">
        <f t="shared" si="43"/>
        <v>6460147.5837604003</v>
      </c>
      <c r="JP42" s="85">
        <f t="shared" si="43"/>
        <v>3583681.0477814642</v>
      </c>
      <c r="JQ42" s="85">
        <f t="shared" si="43"/>
        <v>-70104883.388792962</v>
      </c>
      <c r="JR42" s="85">
        <f t="shared" si="43"/>
        <v>-4512.3792750000439</v>
      </c>
      <c r="JS42" s="85">
        <f t="shared" si="43"/>
        <v>0</v>
      </c>
      <c r="JT42" s="85">
        <f t="shared" si="43"/>
        <v>0</v>
      </c>
      <c r="JU42" s="85">
        <f t="shared" si="43"/>
        <v>-1840722.6137323775</v>
      </c>
      <c r="JV42" s="85">
        <f t="shared" si="43"/>
        <v>0</v>
      </c>
      <c r="JW42" s="85">
        <f t="shared" si="43"/>
        <v>0</v>
      </c>
      <c r="JX42" s="85">
        <f t="shared" si="43"/>
        <v>244615.48069299542</v>
      </c>
      <c r="JY42" s="85">
        <f t="shared" si="43"/>
        <v>-5505530.5195749924</v>
      </c>
      <c r="JZ42" s="85">
        <f t="shared" si="43"/>
        <v>0</v>
      </c>
      <c r="KA42" s="210">
        <f t="shared" si="43"/>
        <v>-4681789.4104666123</v>
      </c>
      <c r="KB42" s="210">
        <f t="shared" si="43"/>
        <v>-391.84000000000003</v>
      </c>
      <c r="KC42" s="85">
        <f t="shared" si="43"/>
        <v>0</v>
      </c>
      <c r="KD42" s="85">
        <f t="shared" si="43"/>
        <v>0</v>
      </c>
      <c r="KE42" s="84">
        <f t="shared" si="43"/>
        <v>-48807447.485981964</v>
      </c>
      <c r="KF42" s="84">
        <f t="shared" si="43"/>
        <v>2043237104.856777</v>
      </c>
      <c r="KG42" s="43" t="s">
        <v>34</v>
      </c>
    </row>
    <row r="43" spans="1:293" x14ac:dyDescent="0.3">
      <c r="A43" s="58">
        <f>ROW()</f>
        <v>43</v>
      </c>
      <c r="C43" s="91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211"/>
      <c r="AQ43" s="92"/>
      <c r="AR43" s="91"/>
      <c r="AS43" s="91"/>
      <c r="AT43" s="92"/>
      <c r="AU43" s="92"/>
      <c r="AV43" s="92"/>
      <c r="AW43" s="92"/>
      <c r="AX43" s="92"/>
      <c r="AY43" s="92"/>
      <c r="AZ43" s="92"/>
      <c r="BA43" s="92"/>
      <c r="BB43" s="92"/>
      <c r="BC43" s="92"/>
      <c r="BD43" s="92"/>
      <c r="BE43" s="92"/>
      <c r="BF43" s="92"/>
      <c r="BG43" s="92"/>
      <c r="BH43" s="92"/>
      <c r="BI43" s="92"/>
      <c r="BJ43" s="92"/>
      <c r="BK43" s="92"/>
      <c r="BL43" s="92"/>
      <c r="BM43" s="92"/>
      <c r="BN43" s="92"/>
      <c r="BO43" s="92"/>
      <c r="BP43" s="92"/>
      <c r="BQ43" s="92"/>
      <c r="BR43" s="92"/>
      <c r="BS43" s="92"/>
      <c r="BT43" s="92"/>
      <c r="BU43" s="92"/>
      <c r="BV43" s="92"/>
      <c r="BW43" s="92"/>
      <c r="BX43" s="92"/>
      <c r="BY43" s="92"/>
      <c r="BZ43" s="92"/>
      <c r="CA43" s="92"/>
      <c r="CB43" s="92"/>
      <c r="CC43" s="92"/>
      <c r="CD43" s="92"/>
      <c r="CE43" s="92"/>
      <c r="CF43" s="92"/>
      <c r="CG43" s="92"/>
      <c r="CH43" s="92"/>
      <c r="CI43" s="92"/>
      <c r="CJ43" s="92"/>
      <c r="CK43" s="92"/>
      <c r="CL43" s="92"/>
      <c r="CM43" s="92"/>
      <c r="CN43" s="91"/>
      <c r="CO43" s="91"/>
      <c r="CP43" s="92"/>
      <c r="CQ43" s="92"/>
      <c r="CR43" s="92"/>
      <c r="CS43" s="92"/>
      <c r="CT43" s="92"/>
      <c r="CU43" s="92"/>
      <c r="CV43" s="92"/>
      <c r="CW43" s="92"/>
      <c r="CX43" s="92"/>
      <c r="CY43" s="92"/>
      <c r="CZ43" s="92"/>
      <c r="DA43" s="92"/>
      <c r="DB43" s="92"/>
      <c r="DC43" s="92"/>
      <c r="DD43" s="92"/>
      <c r="DE43" s="92"/>
      <c r="DF43" s="92"/>
      <c r="DG43" s="92"/>
      <c r="DH43" s="92"/>
      <c r="DI43" s="92"/>
      <c r="DJ43" s="92"/>
      <c r="DK43" s="92"/>
      <c r="DL43" s="92"/>
      <c r="DM43" s="92"/>
      <c r="DN43" s="92"/>
      <c r="DO43" s="92"/>
      <c r="DP43" s="92"/>
      <c r="DQ43" s="92"/>
      <c r="DR43" s="92"/>
      <c r="DS43" s="92"/>
      <c r="DT43" s="92"/>
      <c r="DU43" s="92"/>
      <c r="DV43" s="92"/>
      <c r="DW43" s="92"/>
      <c r="DX43" s="92"/>
      <c r="DY43" s="92"/>
      <c r="DZ43" s="92"/>
      <c r="EA43" s="92"/>
      <c r="EB43" s="92"/>
      <c r="EC43" s="92"/>
      <c r="ED43" s="92"/>
      <c r="EE43" s="92"/>
      <c r="EF43" s="92"/>
      <c r="EG43" s="92"/>
      <c r="EH43" s="211"/>
      <c r="EI43" s="92"/>
      <c r="EJ43" s="92"/>
      <c r="EK43" s="91"/>
      <c r="EL43" s="91"/>
      <c r="EM43" s="92"/>
      <c r="EN43" s="92"/>
      <c r="EO43" s="92"/>
      <c r="EP43" s="92"/>
      <c r="EQ43" s="92"/>
      <c r="ER43" s="92"/>
      <c r="ES43" s="92"/>
      <c r="ET43" s="92"/>
      <c r="EU43" s="92"/>
      <c r="EV43" s="92"/>
      <c r="EW43" s="92"/>
      <c r="EX43" s="92"/>
      <c r="EY43" s="92"/>
      <c r="EZ43" s="92"/>
      <c r="FA43" s="92"/>
      <c r="FB43" s="92"/>
      <c r="FC43" s="92"/>
      <c r="FD43" s="92"/>
      <c r="FE43" s="92"/>
      <c r="FF43" s="92"/>
      <c r="FG43" s="92"/>
      <c r="FH43" s="92"/>
      <c r="FI43" s="92"/>
      <c r="FJ43" s="92"/>
      <c r="FK43" s="92"/>
      <c r="FL43" s="92"/>
      <c r="FM43" s="92"/>
      <c r="FN43" s="92"/>
      <c r="FO43" s="92"/>
      <c r="FP43" s="92"/>
      <c r="FQ43" s="92"/>
      <c r="FR43" s="92"/>
      <c r="FS43" s="92"/>
      <c r="FT43" s="92"/>
      <c r="FU43" s="92"/>
      <c r="FV43" s="92"/>
      <c r="FW43" s="92"/>
      <c r="FX43" s="92"/>
      <c r="FY43" s="92"/>
      <c r="FZ43" s="92"/>
      <c r="GA43" s="92"/>
      <c r="GB43" s="92"/>
      <c r="GC43" s="92"/>
      <c r="GD43" s="92"/>
      <c r="GE43" s="211"/>
      <c r="GF43" s="211"/>
      <c r="GG43" s="92"/>
      <c r="GH43" s="92"/>
      <c r="GI43" s="91"/>
      <c r="GJ43" s="91"/>
      <c r="GK43" s="92"/>
      <c r="GL43" s="92"/>
      <c r="GM43" s="92"/>
      <c r="GN43" s="92"/>
      <c r="GO43" s="92"/>
      <c r="GP43" s="92"/>
      <c r="GQ43" s="92"/>
      <c r="GR43" s="92"/>
      <c r="GS43" s="92"/>
      <c r="GT43" s="92"/>
      <c r="GU43" s="92"/>
      <c r="GV43" s="92"/>
      <c r="GW43" s="92"/>
      <c r="GX43" s="92"/>
      <c r="GY43" s="92"/>
      <c r="GZ43" s="92"/>
      <c r="HA43" s="92"/>
      <c r="HB43" s="92"/>
      <c r="HC43" s="92"/>
      <c r="HD43" s="92"/>
      <c r="HE43" s="92"/>
      <c r="HF43" s="92"/>
      <c r="HG43" s="92"/>
      <c r="HH43" s="92"/>
      <c r="HI43" s="92"/>
      <c r="HJ43" s="92"/>
      <c r="HK43" s="92"/>
      <c r="HL43" s="92"/>
      <c r="HM43" s="92"/>
      <c r="HN43" s="92"/>
      <c r="HO43" s="92"/>
      <c r="HP43" s="92"/>
      <c r="HQ43" s="92"/>
      <c r="HR43" s="92"/>
      <c r="HS43" s="92"/>
      <c r="HT43" s="92"/>
      <c r="HU43" s="92"/>
      <c r="HV43" s="92"/>
      <c r="HW43" s="92"/>
      <c r="HX43" s="92"/>
      <c r="HY43" s="92"/>
      <c r="HZ43" s="92"/>
      <c r="IA43" s="92"/>
      <c r="IB43" s="92"/>
      <c r="IC43" s="211"/>
      <c r="ID43" s="211"/>
      <c r="IE43" s="92"/>
      <c r="IF43" s="92"/>
      <c r="IG43" s="91"/>
      <c r="IH43" s="91"/>
      <c r="II43" s="92"/>
      <c r="IJ43" s="92"/>
      <c r="IK43" s="92"/>
      <c r="IL43" s="92"/>
      <c r="IM43" s="92"/>
      <c r="IN43" s="92"/>
      <c r="IO43" s="92"/>
      <c r="IP43" s="92"/>
      <c r="IQ43" s="92"/>
      <c r="IR43" s="92"/>
      <c r="IS43" s="92"/>
      <c r="IT43" s="92"/>
      <c r="IU43" s="92"/>
      <c r="IV43" s="92"/>
      <c r="IW43" s="92"/>
      <c r="IX43" s="92"/>
      <c r="IY43" s="92"/>
      <c r="IZ43" s="92"/>
      <c r="JA43" s="92"/>
      <c r="JB43" s="92"/>
      <c r="JC43" s="92"/>
      <c r="JD43" s="92"/>
      <c r="JE43" s="92"/>
      <c r="JF43" s="92"/>
      <c r="JG43" s="92"/>
      <c r="JH43" s="92"/>
      <c r="JI43" s="92"/>
      <c r="JJ43" s="92"/>
      <c r="JK43" s="92"/>
      <c r="JL43" s="92"/>
      <c r="JM43" s="92"/>
      <c r="JN43" s="92"/>
      <c r="JO43" s="92"/>
      <c r="JP43" s="92"/>
      <c r="JQ43" s="92"/>
      <c r="JR43" s="92"/>
      <c r="JS43" s="92"/>
      <c r="JT43" s="92"/>
      <c r="JU43" s="92"/>
      <c r="JV43" s="92"/>
      <c r="JW43" s="92"/>
      <c r="JX43" s="92"/>
      <c r="JY43" s="92"/>
      <c r="JZ43" s="92"/>
      <c r="KA43" s="211"/>
      <c r="KB43" s="211"/>
      <c r="KC43" s="92"/>
      <c r="KD43" s="92"/>
      <c r="KE43" s="91"/>
      <c r="KF43" s="91"/>
      <c r="KG43" s="43" t="s">
        <v>34</v>
      </c>
    </row>
    <row r="44" spans="1:293" ht="13.5" thickBot="1" x14ac:dyDescent="0.35">
      <c r="A44" s="58">
        <f>ROW()</f>
        <v>44</v>
      </c>
      <c r="B44" s="47" t="s">
        <v>92</v>
      </c>
      <c r="C44" s="93">
        <f t="shared" ref="C44:BN44" si="44">+C17-C42</f>
        <v>297280276.17000008</v>
      </c>
      <c r="D44" s="94">
        <f t="shared" si="44"/>
        <v>27715008.083816297</v>
      </c>
      <c r="E44" s="94">
        <f t="shared" si="44"/>
        <v>984321.82894507051</v>
      </c>
      <c r="F44" s="94">
        <f t="shared" si="44"/>
        <v>829813.62078860006</v>
      </c>
      <c r="G44" s="94">
        <f t="shared" si="44"/>
        <v>36730076.987808421</v>
      </c>
      <c r="H44" s="94">
        <f t="shared" si="44"/>
        <v>29473738.80405971</v>
      </c>
      <c r="I44" s="94">
        <f t="shared" si="44"/>
        <v>2975709.7977257613</v>
      </c>
      <c r="J44" s="94">
        <f t="shared" si="44"/>
        <v>139378.00489226007</v>
      </c>
      <c r="K44" s="94">
        <f t="shared" si="44"/>
        <v>1744.5848380158841</v>
      </c>
      <c r="L44" s="94">
        <f t="shared" si="44"/>
        <v>34454.191186003947</v>
      </c>
      <c r="M44" s="94">
        <f t="shared" si="44"/>
        <v>-70788.642846595074</v>
      </c>
      <c r="N44" s="94">
        <f t="shared" si="44"/>
        <v>-4368173.7026213948</v>
      </c>
      <c r="O44" s="94">
        <f t="shared" si="44"/>
        <v>-122822.85124517528</v>
      </c>
      <c r="P44" s="94">
        <f t="shared" si="44"/>
        <v>-17521.863852870072</v>
      </c>
      <c r="Q44" s="94">
        <f t="shared" si="44"/>
        <v>-816673.3893978541</v>
      </c>
      <c r="R44" s="94">
        <f t="shared" si="44"/>
        <v>1302726.7716999999</v>
      </c>
      <c r="S44" s="94">
        <f t="shared" si="44"/>
        <v>66097.118360055465</v>
      </c>
      <c r="T44" s="94">
        <f t="shared" si="44"/>
        <v>1576182.6872538861</v>
      </c>
      <c r="U44" s="94">
        <f t="shared" si="44"/>
        <v>-2262436.406464857</v>
      </c>
      <c r="V44" s="94">
        <f t="shared" si="44"/>
        <v>0</v>
      </c>
      <c r="W44" s="94">
        <f t="shared" si="44"/>
        <v>-657625.84572865348</v>
      </c>
      <c r="X44" s="94">
        <f t="shared" si="44"/>
        <v>-69587.980321600218</v>
      </c>
      <c r="Y44" s="94">
        <f t="shared" si="44"/>
        <v>0</v>
      </c>
      <c r="Z44" s="94">
        <f t="shared" si="44"/>
        <v>0</v>
      </c>
      <c r="AA44" s="94">
        <f t="shared" si="44"/>
        <v>0</v>
      </c>
      <c r="AB44" s="94">
        <f t="shared" si="44"/>
        <v>0</v>
      </c>
      <c r="AC44" s="94">
        <f t="shared" si="44"/>
        <v>142029.36432510396</v>
      </c>
      <c r="AD44" s="94">
        <f t="shared" si="44"/>
        <v>0</v>
      </c>
      <c r="AE44" s="94">
        <f t="shared" si="44"/>
        <v>-8137368.974306412</v>
      </c>
      <c r="AF44" s="94">
        <f t="shared" si="44"/>
        <v>-77236.935274999967</v>
      </c>
      <c r="AG44" s="94">
        <f t="shared" si="44"/>
        <v>167530.56</v>
      </c>
      <c r="AH44" s="94">
        <f t="shared" si="44"/>
        <v>-745895.0162666667</v>
      </c>
      <c r="AI44" s="94">
        <f t="shared" si="44"/>
        <v>0</v>
      </c>
      <c r="AJ44" s="94">
        <f t="shared" si="44"/>
        <v>78257.771299999993</v>
      </c>
      <c r="AK44" s="94">
        <f t="shared" si="44"/>
        <v>789966.53717999777</v>
      </c>
      <c r="AL44" s="94">
        <f t="shared" si="44"/>
        <v>0</v>
      </c>
      <c r="AM44" s="94">
        <f t="shared" si="44"/>
        <v>0</v>
      </c>
      <c r="AN44" s="94">
        <f t="shared" si="44"/>
        <v>0</v>
      </c>
      <c r="AO44" s="94">
        <f t="shared" si="44"/>
        <v>0</v>
      </c>
      <c r="AP44" s="212">
        <f t="shared" si="44"/>
        <v>0</v>
      </c>
      <c r="AQ44" s="94">
        <f t="shared" si="44"/>
        <v>0</v>
      </c>
      <c r="AR44" s="93">
        <f t="shared" si="44"/>
        <v>85660905.105852038</v>
      </c>
      <c r="AS44" s="93">
        <f t="shared" si="44"/>
        <v>382941181.27585196</v>
      </c>
      <c r="AT44" s="94">
        <f t="shared" si="44"/>
        <v>-5900349.9228287628</v>
      </c>
      <c r="AU44" s="94">
        <f t="shared" si="44"/>
        <v>0</v>
      </c>
      <c r="AV44" s="94">
        <f t="shared" si="44"/>
        <v>0</v>
      </c>
      <c r="AW44" s="94">
        <f t="shared" si="44"/>
        <v>454424.19965512399</v>
      </c>
      <c r="AX44" s="94">
        <f t="shared" si="44"/>
        <v>809137.34002525103</v>
      </c>
      <c r="AY44" s="94">
        <f t="shared" si="44"/>
        <v>0</v>
      </c>
      <c r="AZ44" s="94">
        <f t="shared" si="44"/>
        <v>0</v>
      </c>
      <c r="BA44" s="94">
        <f t="shared" si="44"/>
        <v>0</v>
      </c>
      <c r="BB44" s="94">
        <f t="shared" si="44"/>
        <v>-88453.097947868329</v>
      </c>
      <c r="BC44" s="94">
        <f t="shared" si="44"/>
        <v>0</v>
      </c>
      <c r="BD44" s="94">
        <f t="shared" si="44"/>
        <v>1541476.0708844375</v>
      </c>
      <c r="BE44" s="94">
        <f t="shared" si="44"/>
        <v>0</v>
      </c>
      <c r="BF44" s="94">
        <f t="shared" si="44"/>
        <v>0</v>
      </c>
      <c r="BG44" s="94">
        <f t="shared" si="44"/>
        <v>-748484.50773254456</v>
      </c>
      <c r="BH44" s="94">
        <f t="shared" si="44"/>
        <v>0</v>
      </c>
      <c r="BI44" s="94">
        <f t="shared" si="44"/>
        <v>0</v>
      </c>
      <c r="BJ44" s="94">
        <f t="shared" si="44"/>
        <v>-1224537.0157488291</v>
      </c>
      <c r="BK44" s="94">
        <f t="shared" si="44"/>
        <v>0</v>
      </c>
      <c r="BL44" s="94">
        <f t="shared" si="44"/>
        <v>0</v>
      </c>
      <c r="BM44" s="94">
        <f t="shared" si="44"/>
        <v>0</v>
      </c>
      <c r="BN44" s="94">
        <f t="shared" si="44"/>
        <v>0</v>
      </c>
      <c r="BO44" s="94">
        <f t="shared" ref="BO44:DZ44" si="45">+BO17-BO42</f>
        <v>0</v>
      </c>
      <c r="BP44" s="94">
        <f t="shared" si="45"/>
        <v>0</v>
      </c>
      <c r="BQ44" s="94">
        <f t="shared" si="45"/>
        <v>-4951875.4166999999</v>
      </c>
      <c r="BR44" s="94">
        <f t="shared" si="45"/>
        <v>-8945940.8578260001</v>
      </c>
      <c r="BS44" s="94">
        <f t="shared" si="45"/>
        <v>1.9374896149383859E-2</v>
      </c>
      <c r="BT44" s="94">
        <f t="shared" si="45"/>
        <v>0</v>
      </c>
      <c r="BU44" s="94">
        <f t="shared" si="45"/>
        <v>0</v>
      </c>
      <c r="BV44" s="94">
        <f t="shared" si="45"/>
        <v>3044147.4886901998</v>
      </c>
      <c r="BW44" s="94">
        <f t="shared" si="45"/>
        <v>573114.39049726026</v>
      </c>
      <c r="BX44" s="94">
        <f t="shared" si="45"/>
        <v>-1352923.7452072599</v>
      </c>
      <c r="BY44" s="94">
        <f t="shared" si="45"/>
        <v>-211374.28810000006</v>
      </c>
      <c r="BZ44" s="94">
        <f t="shared" si="45"/>
        <v>-66055.621369259985</v>
      </c>
      <c r="CA44" s="94">
        <f t="shared" si="45"/>
        <v>-1056906.5734432</v>
      </c>
      <c r="CB44" s="94">
        <f t="shared" si="45"/>
        <v>0</v>
      </c>
      <c r="CC44" s="94">
        <f t="shared" si="45"/>
        <v>0</v>
      </c>
      <c r="CD44" s="94">
        <f t="shared" si="45"/>
        <v>0</v>
      </c>
      <c r="CE44" s="94">
        <f t="shared" si="45"/>
        <v>0</v>
      </c>
      <c r="CF44" s="94">
        <f t="shared" si="45"/>
        <v>1302182.2319424739</v>
      </c>
      <c r="CG44" s="94">
        <f t="shared" si="45"/>
        <v>33733.560899999982</v>
      </c>
      <c r="CH44" s="94">
        <f t="shared" si="45"/>
        <v>0</v>
      </c>
      <c r="CI44" s="94">
        <f t="shared" si="45"/>
        <v>-1497815.7865000002</v>
      </c>
      <c r="CJ44" s="94">
        <f t="shared" si="45"/>
        <v>51935956.248247728</v>
      </c>
      <c r="CK44" s="94">
        <f t="shared" si="45"/>
        <v>0</v>
      </c>
      <c r="CL44" s="94">
        <f t="shared" si="45"/>
        <v>0</v>
      </c>
      <c r="CM44" s="94">
        <f t="shared" si="45"/>
        <v>0</v>
      </c>
      <c r="CN44" s="93">
        <f t="shared" si="45"/>
        <v>33649454.716813654</v>
      </c>
      <c r="CO44" s="93">
        <f t="shared" si="45"/>
        <v>416590635.99266577</v>
      </c>
      <c r="CP44" s="94">
        <f t="shared" si="45"/>
        <v>-41008047.891153216</v>
      </c>
      <c r="CQ44" s="94">
        <f t="shared" si="45"/>
        <v>0</v>
      </c>
      <c r="CR44" s="94">
        <f t="shared" si="45"/>
        <v>0</v>
      </c>
      <c r="CS44" s="94">
        <f t="shared" si="45"/>
        <v>399773.68118600268</v>
      </c>
      <c r="CT44" s="94">
        <f t="shared" si="45"/>
        <v>631151.54481271701</v>
      </c>
      <c r="CU44" s="94">
        <f t="shared" si="45"/>
        <v>0</v>
      </c>
      <c r="CV44" s="94">
        <f t="shared" si="45"/>
        <v>0</v>
      </c>
      <c r="CW44" s="94">
        <f t="shared" si="45"/>
        <v>0</v>
      </c>
      <c r="CX44" s="94">
        <f t="shared" si="45"/>
        <v>0</v>
      </c>
      <c r="CY44" s="94">
        <f t="shared" si="45"/>
        <v>0</v>
      </c>
      <c r="CZ44" s="94">
        <f t="shared" si="45"/>
        <v>-306311.14921122277</v>
      </c>
      <c r="DA44" s="94">
        <f t="shared" si="45"/>
        <v>0</v>
      </c>
      <c r="DB44" s="94">
        <f t="shared" si="45"/>
        <v>0</v>
      </c>
      <c r="DC44" s="94">
        <f t="shared" si="45"/>
        <v>0</v>
      </c>
      <c r="DD44" s="94">
        <f t="shared" si="45"/>
        <v>-1163573.5173000004</v>
      </c>
      <c r="DE44" s="94">
        <f t="shared" si="45"/>
        <v>0</v>
      </c>
      <c r="DF44" s="94">
        <f t="shared" si="45"/>
        <v>0</v>
      </c>
      <c r="DG44" s="94">
        <f t="shared" si="45"/>
        <v>0</v>
      </c>
      <c r="DH44" s="94">
        <f t="shared" si="45"/>
        <v>0</v>
      </c>
      <c r="DI44" s="94">
        <f t="shared" si="45"/>
        <v>0</v>
      </c>
      <c r="DJ44" s="94">
        <f t="shared" si="45"/>
        <v>0</v>
      </c>
      <c r="DK44" s="94">
        <f t="shared" si="45"/>
        <v>0</v>
      </c>
      <c r="DL44" s="94">
        <f t="shared" si="45"/>
        <v>0</v>
      </c>
      <c r="DM44" s="94">
        <f t="shared" si="45"/>
        <v>0</v>
      </c>
      <c r="DN44" s="94">
        <f t="shared" si="45"/>
        <v>0</v>
      </c>
      <c r="DO44" s="94">
        <f t="shared" si="45"/>
        <v>0</v>
      </c>
      <c r="DP44" s="94">
        <f t="shared" si="45"/>
        <v>0</v>
      </c>
      <c r="DQ44" s="94">
        <f t="shared" si="45"/>
        <v>0</v>
      </c>
      <c r="DR44" s="94">
        <f t="shared" si="45"/>
        <v>14739499.822137697</v>
      </c>
      <c r="DS44" s="94">
        <f t="shared" si="45"/>
        <v>4397798.4569056612</v>
      </c>
      <c r="DT44" s="94">
        <f t="shared" si="45"/>
        <v>-10993462.594550598</v>
      </c>
      <c r="DU44" s="94">
        <f t="shared" si="45"/>
        <v>-792152.34710000001</v>
      </c>
      <c r="DV44" s="94">
        <f t="shared" si="45"/>
        <v>-1760698.9052107399</v>
      </c>
      <c r="DW44" s="94">
        <f t="shared" si="45"/>
        <v>-8465444.0078082196</v>
      </c>
      <c r="DX44" s="94">
        <f t="shared" si="45"/>
        <v>0</v>
      </c>
      <c r="DY44" s="94">
        <f t="shared" si="45"/>
        <v>0</v>
      </c>
      <c r="DZ44" s="94">
        <f t="shared" si="45"/>
        <v>0</v>
      </c>
      <c r="EA44" s="94">
        <f t="shared" ref="EA44:GL44" si="46">+EA17-EA42</f>
        <v>0</v>
      </c>
      <c r="EB44" s="94">
        <f t="shared" si="46"/>
        <v>-242022.31235291326</v>
      </c>
      <c r="EC44" s="94">
        <f t="shared" si="46"/>
        <v>0</v>
      </c>
      <c r="ED44" s="94">
        <f t="shared" si="46"/>
        <v>0</v>
      </c>
      <c r="EE44" s="94">
        <f t="shared" si="46"/>
        <v>0</v>
      </c>
      <c r="EF44" s="94">
        <f t="shared" si="46"/>
        <v>-39655.383872746024</v>
      </c>
      <c r="EG44" s="94">
        <f t="shared" si="46"/>
        <v>0</v>
      </c>
      <c r="EH44" s="212">
        <f t="shared" si="46"/>
        <v>-1104628.326611717</v>
      </c>
      <c r="EI44" s="94">
        <f t="shared" si="46"/>
        <v>0</v>
      </c>
      <c r="EJ44" s="94">
        <f t="shared" si="46"/>
        <v>349292.03779998259</v>
      </c>
      <c r="EK44" s="93">
        <f t="shared" si="46"/>
        <v>-45358480.892329313</v>
      </c>
      <c r="EL44" s="93">
        <f t="shared" si="46"/>
        <v>371232155.10033727</v>
      </c>
      <c r="EM44" s="94">
        <f t="shared" si="46"/>
        <v>15909781.89594581</v>
      </c>
      <c r="EN44" s="94">
        <f t="shared" si="46"/>
        <v>0</v>
      </c>
      <c r="EO44" s="94">
        <f t="shared" si="46"/>
        <v>0</v>
      </c>
      <c r="EP44" s="94">
        <f t="shared" si="46"/>
        <v>668842.91487600096</v>
      </c>
      <c r="EQ44" s="94">
        <f t="shared" si="46"/>
        <v>-1131614.694250165</v>
      </c>
      <c r="ER44" s="94">
        <f t="shared" si="46"/>
        <v>0</v>
      </c>
      <c r="ES44" s="94">
        <f t="shared" si="46"/>
        <v>0</v>
      </c>
      <c r="ET44" s="94">
        <f t="shared" si="46"/>
        <v>0</v>
      </c>
      <c r="EU44" s="94">
        <f t="shared" si="46"/>
        <v>0</v>
      </c>
      <c r="EV44" s="94">
        <f t="shared" si="46"/>
        <v>0</v>
      </c>
      <c r="EW44" s="94">
        <f t="shared" si="46"/>
        <v>-564801.47031854209</v>
      </c>
      <c r="EX44" s="94">
        <f t="shared" si="46"/>
        <v>0</v>
      </c>
      <c r="EY44" s="94">
        <f t="shared" si="46"/>
        <v>0</v>
      </c>
      <c r="EZ44" s="94">
        <f t="shared" si="46"/>
        <v>0</v>
      </c>
      <c r="FA44" s="94">
        <f t="shared" si="46"/>
        <v>-3468351.8046000004</v>
      </c>
      <c r="FB44" s="94">
        <f t="shared" si="46"/>
        <v>0</v>
      </c>
      <c r="FC44" s="94">
        <f t="shared" si="46"/>
        <v>0</v>
      </c>
      <c r="FD44" s="94">
        <f t="shared" si="46"/>
        <v>0</v>
      </c>
      <c r="FE44" s="94">
        <f t="shared" si="46"/>
        <v>0</v>
      </c>
      <c r="FF44" s="94">
        <f t="shared" si="46"/>
        <v>0</v>
      </c>
      <c r="FG44" s="94">
        <f t="shared" si="46"/>
        <v>0</v>
      </c>
      <c r="FH44" s="94">
        <f t="shared" si="46"/>
        <v>-11010328.998507787</v>
      </c>
      <c r="FI44" s="94">
        <f t="shared" si="46"/>
        <v>-245505.14664022264</v>
      </c>
      <c r="FJ44" s="94">
        <f t="shared" si="46"/>
        <v>-6591984.3532083482</v>
      </c>
      <c r="FK44" s="94">
        <f t="shared" si="46"/>
        <v>-5506395.0148223229</v>
      </c>
      <c r="FL44" s="94">
        <f t="shared" si="46"/>
        <v>-80037.032855528465</v>
      </c>
      <c r="FM44" s="94">
        <f t="shared" si="46"/>
        <v>637375.39979791641</v>
      </c>
      <c r="FN44" s="94">
        <f t="shared" si="46"/>
        <v>0</v>
      </c>
      <c r="FO44" s="94">
        <f t="shared" si="46"/>
        <v>21655401.978452869</v>
      </c>
      <c r="FP44" s="94">
        <f t="shared" si="46"/>
        <v>5525741.4497995321</v>
      </c>
      <c r="FQ44" s="94">
        <f t="shared" si="46"/>
        <v>-13328051.774230499</v>
      </c>
      <c r="FR44" s="94">
        <f t="shared" si="46"/>
        <v>-125084.27870000018</v>
      </c>
      <c r="FS44" s="94">
        <f t="shared" si="46"/>
        <v>-1767975.6257000002</v>
      </c>
      <c r="FT44" s="94">
        <f t="shared" si="46"/>
        <v>-10217273.590264838</v>
      </c>
      <c r="FU44" s="94">
        <f t="shared" si="46"/>
        <v>-122038245.99038979</v>
      </c>
      <c r="FV44" s="94">
        <f t="shared" si="46"/>
        <v>-139468.69547499999</v>
      </c>
      <c r="FW44" s="94">
        <f t="shared" si="46"/>
        <v>12529.914132000002</v>
      </c>
      <c r="FX44" s="94">
        <f t="shared" si="46"/>
        <v>827173.50134999724</v>
      </c>
      <c r="FY44" s="94">
        <f t="shared" si="46"/>
        <v>2257567.0605767574</v>
      </c>
      <c r="FZ44" s="94">
        <f t="shared" si="46"/>
        <v>-11244.520300000051</v>
      </c>
      <c r="GA44" s="94">
        <f t="shared" si="46"/>
        <v>305324.86188733811</v>
      </c>
      <c r="GB44" s="94">
        <f t="shared" si="46"/>
        <v>-1707574.2478025374</v>
      </c>
      <c r="GC44" s="94">
        <f t="shared" si="46"/>
        <v>-8200821.0775916548</v>
      </c>
      <c r="GD44" s="94">
        <f t="shared" si="46"/>
        <v>0</v>
      </c>
      <c r="GE44" s="212">
        <f t="shared" si="46"/>
        <v>1902698.0242401815</v>
      </c>
      <c r="GF44" s="212">
        <f t="shared" si="46"/>
        <v>399846.61577827268</v>
      </c>
      <c r="GG44" s="94">
        <f t="shared" si="46"/>
        <v>0</v>
      </c>
      <c r="GH44" s="94">
        <f t="shared" si="46"/>
        <v>1746498.9622000174</v>
      </c>
      <c r="GI44" s="93">
        <f t="shared" si="46"/>
        <v>-134285975.73662052</v>
      </c>
      <c r="GJ44" s="93">
        <f t="shared" si="46"/>
        <v>236946179.36371613</v>
      </c>
      <c r="GK44" s="94">
        <f t="shared" si="46"/>
        <v>16230699.011550086</v>
      </c>
      <c r="GL44" s="94">
        <f t="shared" si="46"/>
        <v>0</v>
      </c>
      <c r="GM44" s="94">
        <f t="shared" ref="GM44:IX44" si="47">+GM17-GM42</f>
        <v>0</v>
      </c>
      <c r="GN44" s="94">
        <f t="shared" si="47"/>
        <v>-467403.99771801173</v>
      </c>
      <c r="GO44" s="94">
        <f t="shared" si="47"/>
        <v>676709.86312155868</v>
      </c>
      <c r="GP44" s="94">
        <f t="shared" si="47"/>
        <v>0</v>
      </c>
      <c r="GQ44" s="94">
        <f t="shared" si="47"/>
        <v>0</v>
      </c>
      <c r="GR44" s="94">
        <f t="shared" si="47"/>
        <v>0</v>
      </c>
      <c r="GS44" s="94">
        <f t="shared" si="47"/>
        <v>0</v>
      </c>
      <c r="GT44" s="94">
        <f t="shared" si="47"/>
        <v>0</v>
      </c>
      <c r="GU44" s="94">
        <f t="shared" si="47"/>
        <v>-1312687.165039951</v>
      </c>
      <c r="GV44" s="94">
        <f t="shared" si="47"/>
        <v>0</v>
      </c>
      <c r="GW44" s="94">
        <f t="shared" si="47"/>
        <v>0</v>
      </c>
      <c r="GX44" s="94">
        <f t="shared" si="47"/>
        <v>0</v>
      </c>
      <c r="GY44" s="94">
        <f t="shared" si="47"/>
        <v>0</v>
      </c>
      <c r="GZ44" s="94">
        <f t="shared" si="47"/>
        <v>0</v>
      </c>
      <c r="HA44" s="94">
        <f t="shared" si="47"/>
        <v>0</v>
      </c>
      <c r="HB44" s="94">
        <f t="shared" si="47"/>
        <v>0</v>
      </c>
      <c r="HC44" s="94">
        <f t="shared" si="47"/>
        <v>0</v>
      </c>
      <c r="HD44" s="94">
        <f t="shared" si="47"/>
        <v>0</v>
      </c>
      <c r="HE44" s="94">
        <f t="shared" si="47"/>
        <v>0</v>
      </c>
      <c r="HF44" s="94">
        <f t="shared" si="47"/>
        <v>-8744029.496464882</v>
      </c>
      <c r="HG44" s="94">
        <f t="shared" si="47"/>
        <v>-2700556.6130424486</v>
      </c>
      <c r="HH44" s="94">
        <f t="shared" si="47"/>
        <v>0</v>
      </c>
      <c r="HI44" s="94">
        <f t="shared" si="47"/>
        <v>0</v>
      </c>
      <c r="HJ44" s="94">
        <f t="shared" si="47"/>
        <v>0</v>
      </c>
      <c r="HK44" s="94">
        <f t="shared" si="47"/>
        <v>0</v>
      </c>
      <c r="HL44" s="94">
        <f t="shared" si="47"/>
        <v>0</v>
      </c>
      <c r="HM44" s="94">
        <f t="shared" si="47"/>
        <v>15753467.313203076</v>
      </c>
      <c r="HN44" s="94">
        <f t="shared" si="47"/>
        <v>3186127.5465514394</v>
      </c>
      <c r="HO44" s="94">
        <f t="shared" si="47"/>
        <v>-24146729.005190726</v>
      </c>
      <c r="HP44" s="94">
        <f t="shared" si="47"/>
        <v>-247672.57610000021</v>
      </c>
      <c r="HQ44" s="94">
        <f t="shared" si="47"/>
        <v>-1259999.8117581997</v>
      </c>
      <c r="HR44" s="94">
        <f t="shared" si="47"/>
        <v>-13638239.265215576</v>
      </c>
      <c r="HS44" s="94">
        <f t="shared" si="47"/>
        <v>-12414641.257064261</v>
      </c>
      <c r="HT44" s="94">
        <f t="shared" si="47"/>
        <v>47877.97567499998</v>
      </c>
      <c r="HU44" s="94">
        <f t="shared" si="47"/>
        <v>0</v>
      </c>
      <c r="HV44" s="94">
        <f t="shared" si="47"/>
        <v>0</v>
      </c>
      <c r="HW44" s="94">
        <f t="shared" si="47"/>
        <v>7717397.320672133</v>
      </c>
      <c r="HX44" s="94">
        <f t="shared" si="47"/>
        <v>-78711.642099999939</v>
      </c>
      <c r="HY44" s="94">
        <f t="shared" si="47"/>
        <v>0</v>
      </c>
      <c r="HZ44" s="94">
        <f t="shared" si="47"/>
        <v>-141140.79015213592</v>
      </c>
      <c r="IA44" s="94">
        <f t="shared" si="47"/>
        <v>2642664.426725002</v>
      </c>
      <c r="IB44" s="94">
        <f t="shared" si="47"/>
        <v>0</v>
      </c>
      <c r="IC44" s="212">
        <f t="shared" si="47"/>
        <v>4844454.7052281294</v>
      </c>
      <c r="ID44" s="212">
        <f t="shared" si="47"/>
        <v>383.94</v>
      </c>
      <c r="IE44" s="94">
        <f t="shared" si="47"/>
        <v>0</v>
      </c>
      <c r="IF44" s="94">
        <f t="shared" si="47"/>
        <v>0</v>
      </c>
      <c r="IG44" s="93">
        <f t="shared" si="47"/>
        <v>-14052029.517119762</v>
      </c>
      <c r="IH44" s="93">
        <f t="shared" si="47"/>
        <v>222894149.84659672</v>
      </c>
      <c r="II44" s="94">
        <f t="shared" si="47"/>
        <v>4769409.0190590601</v>
      </c>
      <c r="IJ44" s="94">
        <f t="shared" si="47"/>
        <v>0</v>
      </c>
      <c r="IK44" s="94">
        <f t="shared" si="47"/>
        <v>0</v>
      </c>
      <c r="IL44" s="94">
        <f t="shared" si="47"/>
        <v>553818.45254800306</v>
      </c>
      <c r="IM44" s="94">
        <f t="shared" si="47"/>
        <v>350613.69089476718</v>
      </c>
      <c r="IN44" s="94">
        <f t="shared" si="47"/>
        <v>0</v>
      </c>
      <c r="IO44" s="94">
        <f t="shared" si="47"/>
        <v>0</v>
      </c>
      <c r="IP44" s="94">
        <f t="shared" si="47"/>
        <v>0</v>
      </c>
      <c r="IQ44" s="94">
        <f t="shared" si="47"/>
        <v>0</v>
      </c>
      <c r="IR44" s="94">
        <f t="shared" si="47"/>
        <v>0</v>
      </c>
      <c r="IS44" s="94">
        <f t="shared" si="47"/>
        <v>-1982533.4266663087</v>
      </c>
      <c r="IT44" s="94">
        <f t="shared" si="47"/>
        <v>0</v>
      </c>
      <c r="IU44" s="94">
        <f t="shared" si="47"/>
        <v>0</v>
      </c>
      <c r="IV44" s="94">
        <f t="shared" si="47"/>
        <v>0</v>
      </c>
      <c r="IW44" s="94">
        <f t="shared" si="47"/>
        <v>0</v>
      </c>
      <c r="IX44" s="94">
        <f t="shared" si="47"/>
        <v>0</v>
      </c>
      <c r="IY44" s="94">
        <f t="shared" ref="IY44:KF44" si="48">+IY17-IY42</f>
        <v>0</v>
      </c>
      <c r="IZ44" s="94">
        <f t="shared" si="48"/>
        <v>0</v>
      </c>
      <c r="JA44" s="94">
        <f t="shared" si="48"/>
        <v>0</v>
      </c>
      <c r="JB44" s="94">
        <f t="shared" si="48"/>
        <v>0</v>
      </c>
      <c r="JC44" s="94">
        <f t="shared" si="48"/>
        <v>0</v>
      </c>
      <c r="JD44" s="94">
        <f t="shared" si="48"/>
        <v>-8971063.5343158171</v>
      </c>
      <c r="JE44" s="94">
        <f t="shared" si="48"/>
        <v>0</v>
      </c>
      <c r="JF44" s="94">
        <f t="shared" si="48"/>
        <v>0</v>
      </c>
      <c r="JG44" s="94">
        <f t="shared" si="48"/>
        <v>0</v>
      </c>
      <c r="JH44" s="94">
        <f t="shared" si="48"/>
        <v>239304.78550000006</v>
      </c>
      <c r="JI44" s="94">
        <f t="shared" si="48"/>
        <v>-637375.39979791641</v>
      </c>
      <c r="JJ44" s="94">
        <f t="shared" si="48"/>
        <v>0</v>
      </c>
      <c r="JK44" s="94">
        <f t="shared" si="48"/>
        <v>6588668.5078014154</v>
      </c>
      <c r="JL44" s="94">
        <f t="shared" si="48"/>
        <v>2437396.2775514396</v>
      </c>
      <c r="JM44" s="94">
        <f t="shared" si="48"/>
        <v>-19728637.315743931</v>
      </c>
      <c r="JN44" s="94">
        <f t="shared" si="48"/>
        <v>-322232.33369999728</v>
      </c>
      <c r="JO44" s="94">
        <f t="shared" si="48"/>
        <v>-6460147.5837604003</v>
      </c>
      <c r="JP44" s="94">
        <f t="shared" si="48"/>
        <v>-3583681.0477814642</v>
      </c>
      <c r="JQ44" s="94">
        <f t="shared" si="48"/>
        <v>44494077.295159809</v>
      </c>
      <c r="JR44" s="94">
        <f t="shared" si="48"/>
        <v>4512.3792750000439</v>
      </c>
      <c r="JS44" s="94">
        <f t="shared" si="48"/>
        <v>0</v>
      </c>
      <c r="JT44" s="94">
        <f t="shared" si="48"/>
        <v>0</v>
      </c>
      <c r="JU44" s="94">
        <f t="shared" si="48"/>
        <v>1840722.6137323775</v>
      </c>
      <c r="JV44" s="94">
        <f t="shared" si="48"/>
        <v>0</v>
      </c>
      <c r="JW44" s="94">
        <f t="shared" si="48"/>
        <v>0</v>
      </c>
      <c r="JX44" s="94">
        <f t="shared" si="48"/>
        <v>-244615.48069299542</v>
      </c>
      <c r="JY44" s="94">
        <f t="shared" si="48"/>
        <v>5505530.5195749924</v>
      </c>
      <c r="JZ44" s="94">
        <f t="shared" si="48"/>
        <v>0</v>
      </c>
      <c r="KA44" s="212">
        <f t="shared" si="48"/>
        <v>4681789.4104666123</v>
      </c>
      <c r="KB44" s="212">
        <f t="shared" si="48"/>
        <v>391.84000000000003</v>
      </c>
      <c r="KC44" s="94">
        <f t="shared" si="48"/>
        <v>0</v>
      </c>
      <c r="KD44" s="94">
        <f t="shared" si="48"/>
        <v>0</v>
      </c>
      <c r="KE44" s="93">
        <f t="shared" si="48"/>
        <v>29535948.669104654</v>
      </c>
      <c r="KF44" s="93">
        <f t="shared" si="48"/>
        <v>252430098.51570058</v>
      </c>
      <c r="KG44" s="43" t="s">
        <v>34</v>
      </c>
    </row>
    <row r="45" spans="1:293" ht="15" thickTop="1" x14ac:dyDescent="0.35">
      <c r="A45" s="58">
        <f>ROW()</f>
        <v>45</v>
      </c>
      <c r="B45"/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  <c r="AE45" s="96"/>
      <c r="AF45" s="96"/>
      <c r="AG45" s="96"/>
      <c r="AH45" s="96"/>
      <c r="AI45" s="96"/>
      <c r="AJ45" s="96"/>
      <c r="AK45" s="96"/>
      <c r="AL45" s="96"/>
      <c r="AM45" s="96"/>
      <c r="AN45" s="96"/>
      <c r="AO45" s="96"/>
      <c r="AP45" s="213"/>
      <c r="AQ45" s="96"/>
      <c r="AR45" s="95"/>
      <c r="AS45" s="95"/>
      <c r="AT45" s="96"/>
      <c r="AU45" s="96"/>
      <c r="AV45" s="96"/>
      <c r="AW45" s="96"/>
      <c r="AX45" s="96"/>
      <c r="AY45" s="96"/>
      <c r="AZ45" s="96"/>
      <c r="BA45" s="96"/>
      <c r="BB45" s="96"/>
      <c r="BC45" s="96"/>
      <c r="BD45" s="96"/>
      <c r="BE45" s="96"/>
      <c r="BF45" s="96"/>
      <c r="BG45" s="96"/>
      <c r="BH45" s="96"/>
      <c r="BI45" s="96"/>
      <c r="BJ45" s="96"/>
      <c r="BK45" s="96"/>
      <c r="BL45" s="96"/>
      <c r="BM45" s="96"/>
      <c r="BN45" s="96"/>
      <c r="BO45" s="96"/>
      <c r="BP45" s="96"/>
      <c r="BQ45" s="96"/>
      <c r="BR45" s="96"/>
      <c r="BS45" s="96"/>
      <c r="BT45" s="96"/>
      <c r="BU45" s="96"/>
      <c r="BV45" s="96"/>
      <c r="BW45" s="96"/>
      <c r="BX45" s="96"/>
      <c r="BY45" s="96"/>
      <c r="BZ45" s="96"/>
      <c r="CA45" s="96"/>
      <c r="CB45" s="96"/>
      <c r="CC45" s="96"/>
      <c r="CD45" s="96"/>
      <c r="CE45" s="96"/>
      <c r="CF45" s="96"/>
      <c r="CG45" s="96"/>
      <c r="CH45" s="96"/>
      <c r="CI45" s="96"/>
      <c r="CJ45" s="96"/>
      <c r="CK45" s="96"/>
      <c r="CL45" s="96"/>
      <c r="CM45" s="96"/>
      <c r="CN45" s="95"/>
      <c r="CO45" s="95"/>
      <c r="CP45" s="96"/>
      <c r="CQ45" s="96"/>
      <c r="CR45" s="96"/>
      <c r="CS45" s="96"/>
      <c r="CT45" s="96"/>
      <c r="CU45" s="96"/>
      <c r="CV45" s="96"/>
      <c r="CW45" s="96"/>
      <c r="CX45" s="96"/>
      <c r="CY45" s="96"/>
      <c r="CZ45" s="96"/>
      <c r="DA45" s="96"/>
      <c r="DB45" s="96"/>
      <c r="DC45" s="96"/>
      <c r="DD45" s="96"/>
      <c r="DE45" s="96"/>
      <c r="DF45" s="96"/>
      <c r="DG45" s="96"/>
      <c r="DH45" s="96"/>
      <c r="DI45" s="96"/>
      <c r="DJ45" s="96"/>
      <c r="DK45" s="96"/>
      <c r="DL45" s="96" t="s">
        <v>93</v>
      </c>
      <c r="DM45" s="96"/>
      <c r="DN45" s="96"/>
      <c r="DO45" s="96"/>
      <c r="DP45" s="96"/>
      <c r="DQ45" s="96"/>
      <c r="DR45" s="96"/>
      <c r="DS45" s="96"/>
      <c r="DT45" s="96"/>
      <c r="DU45" s="96"/>
      <c r="DV45" s="96"/>
      <c r="DW45" s="96"/>
      <c r="DX45" s="96"/>
      <c r="DY45" s="96"/>
      <c r="DZ45" s="96"/>
      <c r="EA45" s="96"/>
      <c r="EB45" s="96"/>
      <c r="EC45" s="96"/>
      <c r="ED45" s="96"/>
      <c r="EE45" s="96"/>
      <c r="EF45" s="96"/>
      <c r="EG45" s="96"/>
      <c r="EH45" s="213"/>
      <c r="EI45" s="96"/>
      <c r="EJ45" s="96"/>
      <c r="EK45" s="95"/>
      <c r="EL45" s="95"/>
      <c r="EM45" s="96"/>
      <c r="EN45" s="96"/>
      <c r="EO45" s="96"/>
      <c r="EP45" s="96"/>
      <c r="EQ45" s="96"/>
      <c r="ER45" s="96"/>
      <c r="ES45" s="96"/>
      <c r="ET45" s="96"/>
      <c r="EU45" s="96"/>
      <c r="EV45" s="96"/>
      <c r="EW45" s="96"/>
      <c r="EX45" s="96"/>
      <c r="EY45" s="96"/>
      <c r="EZ45" s="96"/>
      <c r="FA45" s="96"/>
      <c r="FB45" s="96"/>
      <c r="FC45" s="96"/>
      <c r="FD45" s="96"/>
      <c r="FE45" s="96"/>
      <c r="FF45" s="96"/>
      <c r="FG45" s="96"/>
      <c r="FH45" s="96"/>
      <c r="FI45" s="96"/>
      <c r="FJ45" s="96"/>
      <c r="FK45" s="96"/>
      <c r="FL45" s="96"/>
      <c r="FM45" s="96"/>
      <c r="FN45" s="96"/>
      <c r="FO45" s="96"/>
      <c r="FP45" s="96"/>
      <c r="FQ45" s="96"/>
      <c r="FR45" s="96"/>
      <c r="FS45" s="96"/>
      <c r="FT45" s="96"/>
      <c r="FU45" s="96"/>
      <c r="FV45" s="96"/>
      <c r="FW45" s="96"/>
      <c r="FX45" s="96"/>
      <c r="FY45" s="96"/>
      <c r="FZ45" s="96"/>
      <c r="GA45" s="96"/>
      <c r="GB45" s="96"/>
      <c r="GC45" s="96"/>
      <c r="GD45" s="96"/>
      <c r="GE45" s="213"/>
      <c r="GF45" s="213"/>
      <c r="GG45" s="96"/>
      <c r="GH45" s="96"/>
      <c r="GI45" s="95"/>
      <c r="GJ45" s="95"/>
      <c r="GK45" s="96"/>
      <c r="GL45" s="96"/>
      <c r="GM45" s="96"/>
      <c r="GN45" s="96"/>
      <c r="GO45" s="96"/>
      <c r="GP45" s="96"/>
      <c r="GQ45" s="96"/>
      <c r="GR45" s="96"/>
      <c r="GS45" s="96"/>
      <c r="GT45" s="96"/>
      <c r="GU45" s="96"/>
      <c r="GV45" s="96"/>
      <c r="GW45" s="96"/>
      <c r="GX45" s="96"/>
      <c r="GY45" s="96"/>
      <c r="GZ45" s="96"/>
      <c r="HA45" s="96"/>
      <c r="HB45" s="96"/>
      <c r="HC45" s="96"/>
      <c r="HD45" s="96"/>
      <c r="HE45" s="96"/>
      <c r="HF45" s="96"/>
      <c r="HG45" s="96"/>
      <c r="HH45" s="96"/>
      <c r="HI45" s="96"/>
      <c r="HJ45" s="96"/>
      <c r="HK45" s="96"/>
      <c r="HL45" s="96"/>
      <c r="HM45" s="96"/>
      <c r="HN45" s="96"/>
      <c r="HO45" s="96"/>
      <c r="HP45" s="96"/>
      <c r="HQ45" s="96"/>
      <c r="HR45" s="96"/>
      <c r="HS45" s="96"/>
      <c r="HT45" s="96"/>
      <c r="HU45" s="96"/>
      <c r="HV45" s="96"/>
      <c r="HW45" s="96"/>
      <c r="HX45" s="96"/>
      <c r="HY45" s="96"/>
      <c r="HZ45" s="96"/>
      <c r="IA45" s="96"/>
      <c r="IB45" s="96"/>
      <c r="IC45" s="213"/>
      <c r="ID45" s="213"/>
      <c r="IE45" s="96"/>
      <c r="IF45" s="96"/>
      <c r="IG45" s="95"/>
      <c r="IH45" s="95"/>
      <c r="II45" s="96"/>
      <c r="IJ45" s="96"/>
      <c r="IK45" s="96"/>
      <c r="IL45" s="96"/>
      <c r="IM45" s="96"/>
      <c r="IN45" s="96"/>
      <c r="IO45" s="96"/>
      <c r="IP45" s="96"/>
      <c r="IQ45" s="96"/>
      <c r="IR45" s="96"/>
      <c r="IS45" s="96"/>
      <c r="IT45" s="96"/>
      <c r="IU45" s="96"/>
      <c r="IV45" s="96"/>
      <c r="IW45" s="96"/>
      <c r="IX45" s="96"/>
      <c r="IY45" s="96"/>
      <c r="IZ45" s="96"/>
      <c r="JA45" s="96"/>
      <c r="JB45" s="96"/>
      <c r="JC45" s="96"/>
      <c r="JD45" s="96"/>
      <c r="JE45" s="96"/>
      <c r="JF45" s="96"/>
      <c r="JG45" s="96"/>
      <c r="JH45" s="96"/>
      <c r="JI45" s="96"/>
      <c r="JJ45" s="96"/>
      <c r="JK45" s="96"/>
      <c r="JL45" s="96"/>
      <c r="JM45" s="96"/>
      <c r="JN45" s="96"/>
      <c r="JO45" s="96"/>
      <c r="JP45" s="96"/>
      <c r="JQ45" s="96"/>
      <c r="JR45" s="96"/>
      <c r="JS45" s="96"/>
      <c r="JT45" s="96"/>
      <c r="JU45" s="96"/>
      <c r="JV45" s="96"/>
      <c r="JW45" s="96"/>
      <c r="JX45" s="96"/>
      <c r="JY45" s="96"/>
      <c r="JZ45" s="96"/>
      <c r="KA45" s="213"/>
      <c r="KB45" s="213"/>
      <c r="KC45" s="96"/>
      <c r="KD45" s="96"/>
      <c r="KE45" s="95"/>
      <c r="KF45" s="95"/>
      <c r="KG45" s="43" t="s">
        <v>34</v>
      </c>
    </row>
    <row r="46" spans="1:293" s="88" customFormat="1" x14ac:dyDescent="0.3">
      <c r="A46" s="58">
        <f>ROW()</f>
        <v>46</v>
      </c>
      <c r="B46" s="74" t="s">
        <v>94</v>
      </c>
      <c r="C46" s="83">
        <f t="shared" ref="C46:BN46" si="49">C57</f>
        <v>5483216405.8370619</v>
      </c>
      <c r="D46" s="51">
        <f t="shared" si="49"/>
        <v>0</v>
      </c>
      <c r="E46" s="51">
        <f t="shared" si="49"/>
        <v>0</v>
      </c>
      <c r="F46" s="51">
        <f t="shared" si="49"/>
        <v>0</v>
      </c>
      <c r="G46" s="51">
        <f t="shared" si="49"/>
        <v>0</v>
      </c>
      <c r="H46" s="51">
        <f t="shared" si="49"/>
        <v>0</v>
      </c>
      <c r="I46" s="51">
        <f t="shared" si="49"/>
        <v>0</v>
      </c>
      <c r="J46" s="51">
        <f t="shared" si="49"/>
        <v>0</v>
      </c>
      <c r="K46" s="51">
        <f t="shared" si="49"/>
        <v>0</v>
      </c>
      <c r="L46" s="51">
        <f t="shared" si="49"/>
        <v>0</v>
      </c>
      <c r="M46" s="51">
        <f t="shared" si="49"/>
        <v>0</v>
      </c>
      <c r="N46" s="51">
        <f t="shared" si="49"/>
        <v>0</v>
      </c>
      <c r="O46" s="51">
        <f t="shared" si="49"/>
        <v>0</v>
      </c>
      <c r="P46" s="51">
        <f t="shared" si="49"/>
        <v>0</v>
      </c>
      <c r="Q46" s="51">
        <f t="shared" si="49"/>
        <v>0</v>
      </c>
      <c r="R46" s="51">
        <f t="shared" si="49"/>
        <v>0</v>
      </c>
      <c r="S46" s="51">
        <f t="shared" si="49"/>
        <v>0</v>
      </c>
      <c r="T46" s="51">
        <f t="shared" si="49"/>
        <v>0</v>
      </c>
      <c r="U46" s="51">
        <f t="shared" si="49"/>
        <v>0</v>
      </c>
      <c r="V46" s="51">
        <f t="shared" si="49"/>
        <v>18890706.954618394</v>
      </c>
      <c r="W46" s="51">
        <f t="shared" si="49"/>
        <v>-657625.84572865302</v>
      </c>
      <c r="X46" s="51">
        <f t="shared" si="49"/>
        <v>0</v>
      </c>
      <c r="Y46" s="51">
        <f t="shared" si="49"/>
        <v>0</v>
      </c>
      <c r="Z46" s="51">
        <f t="shared" si="49"/>
        <v>0</v>
      </c>
      <c r="AA46" s="51">
        <f t="shared" si="49"/>
        <v>-143015087.87042797</v>
      </c>
      <c r="AB46" s="51">
        <f t="shared" si="49"/>
        <v>0</v>
      </c>
      <c r="AC46" s="51">
        <f t="shared" si="49"/>
        <v>0</v>
      </c>
      <c r="AD46" s="51">
        <f t="shared" si="49"/>
        <v>0</v>
      </c>
      <c r="AE46" s="51">
        <f t="shared" si="49"/>
        <v>0</v>
      </c>
      <c r="AF46" s="51">
        <f t="shared" si="49"/>
        <v>0</v>
      </c>
      <c r="AG46" s="51">
        <f t="shared" si="49"/>
        <v>-1259296.25</v>
      </c>
      <c r="AH46" s="51">
        <f t="shared" si="49"/>
        <v>0</v>
      </c>
      <c r="AI46" s="51">
        <f t="shared" si="49"/>
        <v>0</v>
      </c>
      <c r="AJ46" s="51">
        <f t="shared" si="49"/>
        <v>-261470.68089999998</v>
      </c>
      <c r="AK46" s="51">
        <f t="shared" si="49"/>
        <v>0</v>
      </c>
      <c r="AL46" s="51">
        <f t="shared" si="49"/>
        <v>0</v>
      </c>
      <c r="AM46" s="51">
        <f t="shared" si="49"/>
        <v>0</v>
      </c>
      <c r="AN46" s="51">
        <f t="shared" si="49"/>
        <v>0</v>
      </c>
      <c r="AO46" s="51">
        <f t="shared" si="49"/>
        <v>0</v>
      </c>
      <c r="AP46" s="203">
        <f t="shared" si="49"/>
        <v>-10412255.885072351</v>
      </c>
      <c r="AQ46" s="51">
        <f t="shared" si="49"/>
        <v>0</v>
      </c>
      <c r="AR46" s="83">
        <f t="shared" si="49"/>
        <v>-136715029.5775106</v>
      </c>
      <c r="AS46" s="83">
        <f t="shared" si="49"/>
        <v>5346501376.2595491</v>
      </c>
      <c r="AT46" s="51">
        <f t="shared" si="49"/>
        <v>0</v>
      </c>
      <c r="AU46" s="51">
        <f t="shared" si="49"/>
        <v>0</v>
      </c>
      <c r="AV46" s="51">
        <f t="shared" si="49"/>
        <v>0</v>
      </c>
      <c r="AW46" s="51">
        <f t="shared" si="49"/>
        <v>10695828.339366198</v>
      </c>
      <c r="AX46" s="51">
        <f t="shared" si="49"/>
        <v>0</v>
      </c>
      <c r="AY46" s="51">
        <f t="shared" si="49"/>
        <v>0</v>
      </c>
      <c r="AZ46" s="51">
        <f t="shared" si="49"/>
        <v>0</v>
      </c>
      <c r="BA46" s="51">
        <f t="shared" si="49"/>
        <v>0</v>
      </c>
      <c r="BB46" s="51">
        <f t="shared" si="49"/>
        <v>0</v>
      </c>
      <c r="BC46" s="51">
        <f t="shared" si="49"/>
        <v>0</v>
      </c>
      <c r="BD46" s="51">
        <f t="shared" si="49"/>
        <v>0</v>
      </c>
      <c r="BE46" s="51">
        <f t="shared" si="49"/>
        <v>0</v>
      </c>
      <c r="BF46" s="51">
        <f t="shared" si="49"/>
        <v>0</v>
      </c>
      <c r="BG46" s="51">
        <f t="shared" si="49"/>
        <v>0</v>
      </c>
      <c r="BH46" s="51">
        <f t="shared" si="49"/>
        <v>0</v>
      </c>
      <c r="BI46" s="51">
        <f t="shared" si="49"/>
        <v>0</v>
      </c>
      <c r="BJ46" s="51">
        <f t="shared" si="49"/>
        <v>0</v>
      </c>
      <c r="BK46" s="51">
        <f t="shared" si="49"/>
        <v>0</v>
      </c>
      <c r="BL46" s="51">
        <f t="shared" si="49"/>
        <v>0</v>
      </c>
      <c r="BM46" s="51">
        <f t="shared" si="49"/>
        <v>0</v>
      </c>
      <c r="BN46" s="51">
        <f t="shared" si="49"/>
        <v>0</v>
      </c>
      <c r="BO46" s="51">
        <f t="shared" ref="BO46:DZ46" si="50">BO57</f>
        <v>0</v>
      </c>
      <c r="BP46" s="51">
        <f t="shared" si="50"/>
        <v>0</v>
      </c>
      <c r="BQ46" s="51">
        <f t="shared" si="50"/>
        <v>143015087.87042797</v>
      </c>
      <c r="BR46" s="51">
        <f t="shared" si="50"/>
        <v>2309809.4341880446</v>
      </c>
      <c r="BS46" s="51">
        <f t="shared" si="50"/>
        <v>0</v>
      </c>
      <c r="BT46" s="51">
        <f t="shared" si="50"/>
        <v>-659684.86803250038</v>
      </c>
      <c r="BU46" s="51">
        <f t="shared" si="50"/>
        <v>0</v>
      </c>
      <c r="BV46" s="51">
        <f t="shared" si="50"/>
        <v>-176471829.89576447</v>
      </c>
      <c r="BW46" s="51">
        <f t="shared" si="50"/>
        <v>725461.25379400025</v>
      </c>
      <c r="BX46" s="51">
        <f t="shared" si="50"/>
        <v>134447165.56129003</v>
      </c>
      <c r="BY46" s="51">
        <f t="shared" si="50"/>
        <v>35118980.799999997</v>
      </c>
      <c r="BZ46" s="51">
        <f t="shared" si="50"/>
        <v>23103389.294628005</v>
      </c>
      <c r="CA46" s="51">
        <f t="shared" si="50"/>
        <v>83418881.591735959</v>
      </c>
      <c r="CB46" s="51">
        <f t="shared" si="50"/>
        <v>0</v>
      </c>
      <c r="CC46" s="51">
        <f t="shared" si="50"/>
        <v>0</v>
      </c>
      <c r="CD46" s="51">
        <f t="shared" si="50"/>
        <v>71140.25</v>
      </c>
      <c r="CE46" s="51">
        <f t="shared" si="50"/>
        <v>0</v>
      </c>
      <c r="CF46" s="51">
        <f t="shared" si="50"/>
        <v>-6172818.6654862948</v>
      </c>
      <c r="CG46" s="51">
        <f t="shared" si="50"/>
        <v>56934.279999999977</v>
      </c>
      <c r="CH46" s="51">
        <f t="shared" si="50"/>
        <v>0</v>
      </c>
      <c r="CI46" s="51">
        <f t="shared" si="50"/>
        <v>4432284.8022039272</v>
      </c>
      <c r="CJ46" s="51">
        <f t="shared" si="50"/>
        <v>58064158.296151057</v>
      </c>
      <c r="CK46" s="51">
        <f t="shared" si="50"/>
        <v>0</v>
      </c>
      <c r="CL46" s="51">
        <f t="shared" si="50"/>
        <v>-160912337.32015103</v>
      </c>
      <c r="CM46" s="51">
        <f t="shared" si="50"/>
        <v>-4207196.5800000094</v>
      </c>
      <c r="CN46" s="83">
        <f t="shared" si="50"/>
        <v>147035254.44435084</v>
      </c>
      <c r="CO46" s="83">
        <f t="shared" si="50"/>
        <v>5493536630.7039003</v>
      </c>
      <c r="CP46" s="51">
        <f t="shared" si="50"/>
        <v>0</v>
      </c>
      <c r="CQ46" s="51">
        <f t="shared" si="50"/>
        <v>0</v>
      </c>
      <c r="CR46" s="51">
        <f t="shared" si="50"/>
        <v>0</v>
      </c>
      <c r="CS46" s="51">
        <f t="shared" si="50"/>
        <v>21526388.995392021</v>
      </c>
      <c r="CT46" s="51">
        <f t="shared" si="50"/>
        <v>0</v>
      </c>
      <c r="CU46" s="51">
        <f t="shared" si="50"/>
        <v>0</v>
      </c>
      <c r="CV46" s="51">
        <f t="shared" si="50"/>
        <v>0</v>
      </c>
      <c r="CW46" s="51">
        <f t="shared" si="50"/>
        <v>0</v>
      </c>
      <c r="CX46" s="51">
        <f t="shared" si="50"/>
        <v>0</v>
      </c>
      <c r="CY46" s="51">
        <f t="shared" si="50"/>
        <v>0</v>
      </c>
      <c r="CZ46" s="51">
        <f t="shared" si="50"/>
        <v>0</v>
      </c>
      <c r="DA46" s="51">
        <f t="shared" si="50"/>
        <v>0</v>
      </c>
      <c r="DB46" s="51">
        <f t="shared" si="50"/>
        <v>0</v>
      </c>
      <c r="DC46" s="51">
        <f t="shared" si="50"/>
        <v>0</v>
      </c>
      <c r="DD46" s="51">
        <f t="shared" si="50"/>
        <v>0</v>
      </c>
      <c r="DE46" s="51">
        <f t="shared" si="50"/>
        <v>0</v>
      </c>
      <c r="DF46" s="51">
        <f t="shared" si="50"/>
        <v>0</v>
      </c>
      <c r="DG46" s="51">
        <f t="shared" si="50"/>
        <v>0</v>
      </c>
      <c r="DH46" s="51">
        <f t="shared" si="50"/>
        <v>0</v>
      </c>
      <c r="DI46" s="51">
        <f t="shared" si="50"/>
        <v>0</v>
      </c>
      <c r="DJ46" s="51">
        <f t="shared" si="50"/>
        <v>0</v>
      </c>
      <c r="DK46" s="51">
        <f t="shared" si="50"/>
        <v>0</v>
      </c>
      <c r="DL46" s="51">
        <f t="shared" si="50"/>
        <v>0</v>
      </c>
      <c r="DM46" s="51">
        <f t="shared" si="50"/>
        <v>0</v>
      </c>
      <c r="DN46" s="51">
        <f t="shared" si="50"/>
        <v>4198345.2148493472</v>
      </c>
      <c r="DO46" s="51">
        <f t="shared" si="50"/>
        <v>0</v>
      </c>
      <c r="DP46" s="51">
        <f t="shared" si="50"/>
        <v>-329842.43401625042</v>
      </c>
      <c r="DQ46" s="51">
        <f t="shared" si="50"/>
        <v>0</v>
      </c>
      <c r="DR46" s="51">
        <f t="shared" si="50"/>
        <v>-414160548.26198196</v>
      </c>
      <c r="DS46" s="51">
        <f t="shared" si="50"/>
        <v>6292294.7435479974</v>
      </c>
      <c r="DT46" s="51">
        <f t="shared" si="50"/>
        <v>257327359.85496002</v>
      </c>
      <c r="DU46" s="51">
        <f t="shared" si="50"/>
        <v>2321616.9599999934</v>
      </c>
      <c r="DV46" s="51">
        <f t="shared" si="50"/>
        <v>88085315.313833997</v>
      </c>
      <c r="DW46" s="51">
        <f t="shared" si="50"/>
        <v>104456521.71575001</v>
      </c>
      <c r="DX46" s="51">
        <f t="shared" si="50"/>
        <v>0</v>
      </c>
      <c r="DY46" s="51">
        <f t="shared" si="50"/>
        <v>0</v>
      </c>
      <c r="DZ46" s="51">
        <f t="shared" si="50"/>
        <v>142280</v>
      </c>
      <c r="EA46" s="51">
        <f t="shared" ref="EA46:GL46" si="51">EA57</f>
        <v>0</v>
      </c>
      <c r="EB46" s="51">
        <f t="shared" si="51"/>
        <v>-11947081.314286396</v>
      </c>
      <c r="EC46" s="51">
        <f t="shared" si="51"/>
        <v>113868.55999999995</v>
      </c>
      <c r="ED46" s="51">
        <f t="shared" si="51"/>
        <v>0</v>
      </c>
      <c r="EE46" s="51">
        <f t="shared" si="51"/>
        <v>1742015.2007266018</v>
      </c>
      <c r="EF46" s="51">
        <f t="shared" si="51"/>
        <v>65921512.419419408</v>
      </c>
      <c r="EG46" s="51">
        <f t="shared" si="51"/>
        <v>0</v>
      </c>
      <c r="EH46" s="203">
        <f t="shared" si="51"/>
        <v>36688763.215511516</v>
      </c>
      <c r="EI46" s="51">
        <f t="shared" si="51"/>
        <v>-38618085.089419432</v>
      </c>
      <c r="EJ46" s="51">
        <f t="shared" si="51"/>
        <v>-7972251.3400000408</v>
      </c>
      <c r="EK46" s="83">
        <f t="shared" si="51"/>
        <v>115788473.75428693</v>
      </c>
      <c r="EL46" s="83">
        <f t="shared" si="51"/>
        <v>5609325104.4581881</v>
      </c>
      <c r="EM46" s="51">
        <f t="shared" si="51"/>
        <v>0</v>
      </c>
      <c r="EN46" s="51">
        <f t="shared" si="51"/>
        <v>0</v>
      </c>
      <c r="EO46" s="51">
        <f t="shared" si="51"/>
        <v>0</v>
      </c>
      <c r="EP46" s="51">
        <f t="shared" si="51"/>
        <v>10098693.721887633</v>
      </c>
      <c r="EQ46" s="51">
        <f t="shared" si="51"/>
        <v>0</v>
      </c>
      <c r="ER46" s="51">
        <f t="shared" si="51"/>
        <v>0</v>
      </c>
      <c r="ES46" s="51">
        <f t="shared" si="51"/>
        <v>0</v>
      </c>
      <c r="ET46" s="51">
        <f t="shared" si="51"/>
        <v>0</v>
      </c>
      <c r="EU46" s="51">
        <f t="shared" si="51"/>
        <v>0</v>
      </c>
      <c r="EV46" s="51">
        <f t="shared" si="51"/>
        <v>0</v>
      </c>
      <c r="EW46" s="51">
        <f t="shared" si="51"/>
        <v>0</v>
      </c>
      <c r="EX46" s="51">
        <f t="shared" si="51"/>
        <v>0</v>
      </c>
      <c r="EY46" s="51">
        <f t="shared" si="51"/>
        <v>0</v>
      </c>
      <c r="EZ46" s="51">
        <f t="shared" si="51"/>
        <v>0</v>
      </c>
      <c r="FA46" s="51">
        <f t="shared" si="51"/>
        <v>0</v>
      </c>
      <c r="FB46" s="51">
        <f t="shared" si="51"/>
        <v>0</v>
      </c>
      <c r="FC46" s="51">
        <f t="shared" si="51"/>
        <v>0</v>
      </c>
      <c r="FD46" s="51">
        <f t="shared" si="51"/>
        <v>0</v>
      </c>
      <c r="FE46" s="51">
        <f t="shared" si="51"/>
        <v>0</v>
      </c>
      <c r="FF46" s="51">
        <f t="shared" si="51"/>
        <v>0</v>
      </c>
      <c r="FG46" s="51">
        <f t="shared" si="51"/>
        <v>0</v>
      </c>
      <c r="FH46" s="51">
        <f t="shared" si="51"/>
        <v>0</v>
      </c>
      <c r="FI46" s="51">
        <f t="shared" si="51"/>
        <v>1743384.3323934791</v>
      </c>
      <c r="FJ46" s="51">
        <f t="shared" si="51"/>
        <v>0</v>
      </c>
      <c r="FK46" s="51">
        <f t="shared" si="51"/>
        <v>-242607.00961800106</v>
      </c>
      <c r="FL46" s="51">
        <f t="shared" si="51"/>
        <v>0</v>
      </c>
      <c r="FM46" s="51">
        <f t="shared" si="51"/>
        <v>318687.69989895809</v>
      </c>
      <c r="FN46" s="51">
        <f t="shared" si="51"/>
        <v>0</v>
      </c>
      <c r="FO46" s="51">
        <f t="shared" si="51"/>
        <v>-195386564.26574242</v>
      </c>
      <c r="FP46" s="51">
        <f t="shared" si="51"/>
        <v>6185965.0190380029</v>
      </c>
      <c r="FQ46" s="51">
        <f t="shared" si="51"/>
        <v>174642002.14264983</v>
      </c>
      <c r="FR46" s="51">
        <f t="shared" si="51"/>
        <v>3146660.8700000085</v>
      </c>
      <c r="FS46" s="51">
        <f t="shared" si="51"/>
        <v>-18789697.743576486</v>
      </c>
      <c r="FT46" s="51">
        <f t="shared" si="51"/>
        <v>54806639.016327873</v>
      </c>
      <c r="FU46" s="51">
        <f t="shared" si="51"/>
        <v>0</v>
      </c>
      <c r="FV46" s="51">
        <f t="shared" si="51"/>
        <v>0</v>
      </c>
      <c r="FW46" s="51">
        <f t="shared" si="51"/>
        <v>79070.325399999972</v>
      </c>
      <c r="FX46" s="51">
        <f t="shared" si="51"/>
        <v>0</v>
      </c>
      <c r="FY46" s="51">
        <f t="shared" si="51"/>
        <v>-6069072.8816930102</v>
      </c>
      <c r="FZ46" s="51">
        <f t="shared" si="51"/>
        <v>50175.311134722244</v>
      </c>
      <c r="GA46" s="51">
        <f t="shared" si="51"/>
        <v>-8790214.1875838004</v>
      </c>
      <c r="GB46" s="51">
        <f t="shared" si="51"/>
        <v>-771787.50036631664</v>
      </c>
      <c r="GC46" s="51">
        <f t="shared" si="51"/>
        <v>10775509.003744235</v>
      </c>
      <c r="GD46" s="51">
        <f t="shared" si="51"/>
        <v>0</v>
      </c>
      <c r="GE46" s="203">
        <f t="shared" si="51"/>
        <v>-65148959.183049001</v>
      </c>
      <c r="GF46" s="203">
        <f t="shared" si="51"/>
        <v>0</v>
      </c>
      <c r="GG46" s="51">
        <f t="shared" si="51"/>
        <v>0</v>
      </c>
      <c r="GH46" s="51">
        <f t="shared" si="51"/>
        <v>-2880746.5800000094</v>
      </c>
      <c r="GI46" s="83">
        <f t="shared" si="51"/>
        <v>-36232861.909154333</v>
      </c>
      <c r="GJ46" s="83">
        <f t="shared" si="51"/>
        <v>5573092242.5490351</v>
      </c>
      <c r="GK46" s="51">
        <f t="shared" si="51"/>
        <v>0</v>
      </c>
      <c r="GL46" s="51">
        <f t="shared" si="51"/>
        <v>0</v>
      </c>
      <c r="GM46" s="51">
        <f t="shared" ref="GM46:IX46" si="52">GM57</f>
        <v>0</v>
      </c>
      <c r="GN46" s="51">
        <f t="shared" si="52"/>
        <v>21213022.136484977</v>
      </c>
      <c r="GO46" s="51">
        <f t="shared" si="52"/>
        <v>0</v>
      </c>
      <c r="GP46" s="51">
        <f t="shared" si="52"/>
        <v>0</v>
      </c>
      <c r="GQ46" s="51">
        <f t="shared" si="52"/>
        <v>0</v>
      </c>
      <c r="GR46" s="51">
        <f t="shared" si="52"/>
        <v>0</v>
      </c>
      <c r="GS46" s="51">
        <f t="shared" si="52"/>
        <v>0</v>
      </c>
      <c r="GT46" s="51">
        <f t="shared" si="52"/>
        <v>0</v>
      </c>
      <c r="GU46" s="51">
        <f t="shared" si="52"/>
        <v>0</v>
      </c>
      <c r="GV46" s="51">
        <f t="shared" si="52"/>
        <v>0</v>
      </c>
      <c r="GW46" s="51">
        <f t="shared" si="52"/>
        <v>0</v>
      </c>
      <c r="GX46" s="51">
        <f t="shared" si="52"/>
        <v>0</v>
      </c>
      <c r="GY46" s="51">
        <f t="shared" si="52"/>
        <v>0</v>
      </c>
      <c r="GZ46" s="51">
        <f t="shared" si="52"/>
        <v>0</v>
      </c>
      <c r="HA46" s="51">
        <f t="shared" si="52"/>
        <v>0</v>
      </c>
      <c r="HB46" s="51">
        <f t="shared" si="52"/>
        <v>0</v>
      </c>
      <c r="HC46" s="51">
        <f t="shared" si="52"/>
        <v>0</v>
      </c>
      <c r="HD46" s="51">
        <f t="shared" si="52"/>
        <v>0</v>
      </c>
      <c r="HE46" s="51">
        <f t="shared" si="52"/>
        <v>0</v>
      </c>
      <c r="HF46" s="51">
        <f t="shared" si="52"/>
        <v>0</v>
      </c>
      <c r="HG46" s="51">
        <f t="shared" si="52"/>
        <v>-21401979.720287658</v>
      </c>
      <c r="HH46" s="51">
        <f t="shared" si="52"/>
        <v>0</v>
      </c>
      <c r="HI46" s="51">
        <f t="shared" si="52"/>
        <v>-5294316.163872092</v>
      </c>
      <c r="HJ46" s="51">
        <f t="shared" si="52"/>
        <v>0</v>
      </c>
      <c r="HK46" s="51">
        <f t="shared" si="52"/>
        <v>637375.39979791641</v>
      </c>
      <c r="HL46" s="51">
        <f t="shared" si="52"/>
        <v>0</v>
      </c>
      <c r="HM46" s="51">
        <f t="shared" si="52"/>
        <v>-369995483.59326911</v>
      </c>
      <c r="HN46" s="51">
        <f t="shared" si="52"/>
        <v>15530997.728948005</v>
      </c>
      <c r="HO46" s="51">
        <f t="shared" si="52"/>
        <v>504451934.22671396</v>
      </c>
      <c r="HP46" s="51">
        <f t="shared" si="52"/>
        <v>6798414.0799999991</v>
      </c>
      <c r="HQ46" s="51">
        <f t="shared" si="52"/>
        <v>36064172.252630033</v>
      </c>
      <c r="HR46" s="51">
        <f t="shared" si="52"/>
        <v>122625300.25564417</v>
      </c>
      <c r="HS46" s="51">
        <f t="shared" si="52"/>
        <v>0</v>
      </c>
      <c r="HT46" s="51">
        <f t="shared" si="52"/>
        <v>0</v>
      </c>
      <c r="HU46" s="51">
        <f t="shared" si="52"/>
        <v>158140.65079999901</v>
      </c>
      <c r="HV46" s="51">
        <f t="shared" si="52"/>
        <v>0</v>
      </c>
      <c r="HW46" s="51">
        <f t="shared" si="52"/>
        <v>-14555862.582186887</v>
      </c>
      <c r="HX46" s="51">
        <f t="shared" si="52"/>
        <v>40492.529765277883</v>
      </c>
      <c r="HY46" s="51">
        <f t="shared" si="52"/>
        <v>-17580428.375167601</v>
      </c>
      <c r="HZ46" s="51">
        <f t="shared" si="52"/>
        <v>-1543575.0007326342</v>
      </c>
      <c r="IA46" s="51">
        <f t="shared" si="52"/>
        <v>14340757.836875102</v>
      </c>
      <c r="IB46" s="51">
        <f t="shared" si="52"/>
        <v>0</v>
      </c>
      <c r="IC46" s="203">
        <f t="shared" si="52"/>
        <v>-158860227.57196862</v>
      </c>
      <c r="ID46" s="203">
        <f t="shared" si="52"/>
        <v>0</v>
      </c>
      <c r="IE46" s="51">
        <f t="shared" si="52"/>
        <v>0</v>
      </c>
      <c r="IF46" s="51">
        <f t="shared" si="52"/>
        <v>-5761493.1600000188</v>
      </c>
      <c r="IG46" s="83">
        <f t="shared" si="52"/>
        <v>126867240.93017474</v>
      </c>
      <c r="IH46" s="83">
        <f t="shared" si="52"/>
        <v>5699959483.4792099</v>
      </c>
      <c r="II46" s="51">
        <f t="shared" si="52"/>
        <v>0</v>
      </c>
      <c r="IJ46" s="51">
        <f t="shared" si="52"/>
        <v>0</v>
      </c>
      <c r="IK46" s="51">
        <f t="shared" si="52"/>
        <v>0</v>
      </c>
      <c r="IL46" s="51">
        <f t="shared" si="52"/>
        <v>20837437.957287818</v>
      </c>
      <c r="IM46" s="51">
        <f t="shared" si="52"/>
        <v>0</v>
      </c>
      <c r="IN46" s="51">
        <f t="shared" si="52"/>
        <v>0</v>
      </c>
      <c r="IO46" s="51">
        <f t="shared" si="52"/>
        <v>0</v>
      </c>
      <c r="IP46" s="51">
        <f t="shared" si="52"/>
        <v>0</v>
      </c>
      <c r="IQ46" s="51">
        <f t="shared" si="52"/>
        <v>0</v>
      </c>
      <c r="IR46" s="51">
        <f t="shared" si="52"/>
        <v>0</v>
      </c>
      <c r="IS46" s="51">
        <f t="shared" si="52"/>
        <v>0</v>
      </c>
      <c r="IT46" s="51">
        <f t="shared" si="52"/>
        <v>0</v>
      </c>
      <c r="IU46" s="51">
        <f t="shared" si="52"/>
        <v>0</v>
      </c>
      <c r="IV46" s="51">
        <f t="shared" si="52"/>
        <v>0</v>
      </c>
      <c r="IW46" s="51">
        <f t="shared" si="52"/>
        <v>0</v>
      </c>
      <c r="IX46" s="51">
        <f t="shared" si="52"/>
        <v>0</v>
      </c>
      <c r="IY46" s="51">
        <f t="shared" ref="IY46:KF46" si="53">IY57</f>
        <v>0</v>
      </c>
      <c r="IZ46" s="51">
        <f t="shared" si="53"/>
        <v>0</v>
      </c>
      <c r="JA46" s="51">
        <f t="shared" si="53"/>
        <v>0</v>
      </c>
      <c r="JB46" s="51">
        <f t="shared" si="53"/>
        <v>0</v>
      </c>
      <c r="JC46" s="51">
        <f t="shared" si="53"/>
        <v>0</v>
      </c>
      <c r="JD46" s="51">
        <f t="shared" si="53"/>
        <v>0</v>
      </c>
      <c r="JE46" s="51">
        <f t="shared" si="53"/>
        <v>-2946061.7596826805</v>
      </c>
      <c r="JF46" s="51">
        <f t="shared" si="53"/>
        <v>0</v>
      </c>
      <c r="JG46" s="51">
        <f t="shared" si="53"/>
        <v>-5294316.1638720883</v>
      </c>
      <c r="JH46" s="51">
        <f t="shared" si="53"/>
        <v>0</v>
      </c>
      <c r="JI46" s="51">
        <f t="shared" si="53"/>
        <v>318687.6998989578</v>
      </c>
      <c r="JJ46" s="51">
        <f t="shared" si="53"/>
        <v>0</v>
      </c>
      <c r="JK46" s="51">
        <f t="shared" si="53"/>
        <v>-353567888.62914097</v>
      </c>
      <c r="JL46" s="51">
        <f t="shared" si="53"/>
        <v>18862632.939278003</v>
      </c>
      <c r="JM46" s="51">
        <f t="shared" si="53"/>
        <v>434225941.39003211</v>
      </c>
      <c r="JN46" s="51">
        <f t="shared" si="53"/>
        <v>9396376.4400000051</v>
      </c>
      <c r="JO46" s="51">
        <f t="shared" si="53"/>
        <v>232425138.98714393</v>
      </c>
      <c r="JP46" s="51">
        <f t="shared" si="53"/>
        <v>-114500273.61496846</v>
      </c>
      <c r="JQ46" s="51">
        <f t="shared" si="53"/>
        <v>0</v>
      </c>
      <c r="JR46" s="51">
        <f t="shared" si="53"/>
        <v>0</v>
      </c>
      <c r="JS46" s="51">
        <f t="shared" si="53"/>
        <v>158140.65079999808</v>
      </c>
      <c r="JT46" s="51">
        <f t="shared" si="53"/>
        <v>0</v>
      </c>
      <c r="JU46" s="51">
        <f t="shared" si="53"/>
        <v>-14219006.308582447</v>
      </c>
      <c r="JV46" s="51">
        <f t="shared" si="53"/>
        <v>0</v>
      </c>
      <c r="JW46" s="51">
        <f t="shared" si="53"/>
        <v>-17580428.375167601</v>
      </c>
      <c r="JX46" s="51">
        <f t="shared" si="53"/>
        <v>-1543575.000732634</v>
      </c>
      <c r="JY46" s="51">
        <f t="shared" si="53"/>
        <v>11449840.215727881</v>
      </c>
      <c r="JZ46" s="51">
        <f t="shared" si="53"/>
        <v>0</v>
      </c>
      <c r="KA46" s="203">
        <f t="shared" si="53"/>
        <v>-146529302.70657244</v>
      </c>
      <c r="KB46" s="203">
        <f t="shared" si="53"/>
        <v>0</v>
      </c>
      <c r="KC46" s="51">
        <f t="shared" si="53"/>
        <v>0</v>
      </c>
      <c r="KD46" s="51">
        <f t="shared" si="53"/>
        <v>-5761493.1600000151</v>
      </c>
      <c r="KE46" s="83">
        <f t="shared" si="53"/>
        <v>65731850.561449312</v>
      </c>
      <c r="KF46" s="83">
        <f t="shared" si="53"/>
        <v>5765691334.0406599</v>
      </c>
      <c r="KG46" s="43" t="s">
        <v>34</v>
      </c>
    </row>
    <row r="47" spans="1:293" ht="14.5" x14ac:dyDescent="0.35">
      <c r="A47" s="58">
        <f>ROW()</f>
        <v>47</v>
      </c>
      <c r="C47" s="75"/>
      <c r="F47"/>
      <c r="G47"/>
      <c r="H4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P47" s="205"/>
      <c r="AR47" s="75"/>
      <c r="AS47" s="75"/>
      <c r="CN47" s="75"/>
      <c r="CO47" s="75"/>
      <c r="EH47" s="205"/>
      <c r="EK47" s="75"/>
      <c r="EL47" s="75"/>
      <c r="GE47" s="205"/>
      <c r="GF47" s="205"/>
      <c r="GI47" s="75"/>
      <c r="GJ47" s="75"/>
      <c r="IC47" s="205"/>
      <c r="ID47" s="205"/>
      <c r="IG47" s="75"/>
      <c r="IH47" s="75"/>
      <c r="KA47" s="205"/>
      <c r="KB47" s="205"/>
      <c r="KE47" s="75"/>
      <c r="KF47" s="75"/>
      <c r="KG47" s="43" t="s">
        <v>34</v>
      </c>
    </row>
    <row r="48" spans="1:293" ht="14.5" x14ac:dyDescent="0.35">
      <c r="A48" s="58">
        <f>ROW()</f>
        <v>48</v>
      </c>
      <c r="B48" s="74" t="s">
        <v>95</v>
      </c>
      <c r="C48" s="98">
        <f>+C44/C46</f>
        <v>5.4216404053200523E-2</v>
      </c>
      <c r="D48" s="79"/>
      <c r="E48" s="79"/>
      <c r="F48"/>
      <c r="G48"/>
      <c r="H48"/>
      <c r="I48" s="77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79"/>
      <c r="AO48" s="79"/>
      <c r="AP48" s="208"/>
      <c r="AQ48" s="79"/>
      <c r="AR48" s="98"/>
      <c r="AS48" s="98">
        <f>+AS44/AS46</f>
        <v>7.162462970200531E-2</v>
      </c>
      <c r="AT48" s="79"/>
      <c r="AU48" s="79"/>
      <c r="AV48" s="79"/>
      <c r="AW48" s="79"/>
      <c r="AX48" s="79"/>
      <c r="AY48" s="79"/>
      <c r="AZ48" s="79"/>
      <c r="BA48" s="79"/>
      <c r="BB48" s="79"/>
      <c r="BC48" s="79"/>
      <c r="BD48" s="79"/>
      <c r="BE48" s="79"/>
      <c r="BF48" s="79"/>
      <c r="BG48" s="79"/>
      <c r="BH48" s="79"/>
      <c r="BI48" s="79"/>
      <c r="BJ48" s="79"/>
      <c r="BK48" s="79"/>
      <c r="BL48" s="79"/>
      <c r="BM48" s="79"/>
      <c r="BN48" s="79"/>
      <c r="BO48" s="79"/>
      <c r="BP48" s="79"/>
      <c r="BQ48" s="79"/>
      <c r="BR48" s="79"/>
      <c r="BS48" s="79"/>
      <c r="BT48" s="79"/>
      <c r="BU48" s="79"/>
      <c r="BV48" s="79"/>
      <c r="BW48" s="79"/>
      <c r="BX48" s="79"/>
      <c r="BY48" s="79"/>
      <c r="BZ48" s="79"/>
      <c r="CA48" s="79"/>
      <c r="CB48" s="79"/>
      <c r="CC48" s="79"/>
      <c r="CD48" s="79"/>
      <c r="CE48" s="79"/>
      <c r="CF48" s="79"/>
      <c r="CG48" s="79"/>
      <c r="CH48" s="79"/>
      <c r="CI48" s="79"/>
      <c r="CJ48" s="79"/>
      <c r="CK48" s="79"/>
      <c r="CL48" s="79"/>
      <c r="CM48" s="79"/>
      <c r="CN48" s="78"/>
      <c r="CO48" s="98">
        <f>+CO44/CO46</f>
        <v>7.5832867603776583E-2</v>
      </c>
      <c r="CP48" s="79"/>
      <c r="CQ48" s="79"/>
      <c r="CR48" s="79"/>
      <c r="CS48" s="79"/>
      <c r="CT48" s="79"/>
      <c r="CU48" s="79"/>
      <c r="CV48" s="79"/>
      <c r="CW48" s="79"/>
      <c r="CX48" s="79"/>
      <c r="CY48" s="79"/>
      <c r="CZ48" s="79"/>
      <c r="DA48" s="79"/>
      <c r="DB48" s="79"/>
      <c r="DC48" s="79"/>
      <c r="DD48" s="79"/>
      <c r="DE48" s="79"/>
      <c r="DF48" s="79"/>
      <c r="DG48" s="79"/>
      <c r="DH48" s="79"/>
      <c r="DI48" s="79"/>
      <c r="DJ48" s="79"/>
      <c r="DK48" s="79"/>
      <c r="DL48" s="79"/>
      <c r="DM48" s="79"/>
      <c r="DN48" s="79"/>
      <c r="DO48" s="79"/>
      <c r="DP48" s="79"/>
      <c r="DQ48" s="79"/>
      <c r="DR48" s="79"/>
      <c r="DS48" s="79"/>
      <c r="DT48" s="79"/>
      <c r="DU48" s="79"/>
      <c r="DV48" s="79"/>
      <c r="DW48" s="79"/>
      <c r="DX48" s="79"/>
      <c r="DY48" s="79"/>
      <c r="DZ48" s="79"/>
      <c r="EA48" s="79"/>
      <c r="EB48" s="79"/>
      <c r="EC48" s="79"/>
      <c r="ED48" s="79"/>
      <c r="EE48" s="79"/>
      <c r="EF48" s="79"/>
      <c r="EG48" s="79"/>
      <c r="EH48" s="208"/>
      <c r="EI48" s="79"/>
      <c r="EJ48" s="79"/>
      <c r="EK48" s="78"/>
      <c r="EL48" s="98">
        <f>+EL44/EL46</f>
        <v>6.618125143170768E-2</v>
      </c>
      <c r="EM48" s="79"/>
      <c r="EN48" s="79"/>
      <c r="EO48" s="79"/>
      <c r="EP48" s="79"/>
      <c r="EQ48" s="79"/>
      <c r="ER48" s="79"/>
      <c r="ES48" s="79"/>
      <c r="ET48" s="79"/>
      <c r="EU48" s="79"/>
      <c r="EV48" s="79"/>
      <c r="EW48" s="79"/>
      <c r="EX48" s="79"/>
      <c r="EY48" s="79"/>
      <c r="EZ48" s="79"/>
      <c r="FA48" s="79"/>
      <c r="FB48" s="79"/>
      <c r="FC48" s="79"/>
      <c r="FD48" s="79"/>
      <c r="FE48" s="79"/>
      <c r="FF48" s="79"/>
      <c r="FG48" s="79"/>
      <c r="FH48" s="79"/>
      <c r="FI48" s="79"/>
      <c r="FJ48" s="79"/>
      <c r="FK48" s="79"/>
      <c r="FL48" s="79"/>
      <c r="FM48" s="79"/>
      <c r="FN48" s="79"/>
      <c r="FO48" s="79"/>
      <c r="FP48" s="79"/>
      <c r="FQ48" s="79"/>
      <c r="FR48" s="79"/>
      <c r="FS48" s="79"/>
      <c r="FT48" s="79"/>
      <c r="FU48" s="79"/>
      <c r="FV48" s="79"/>
      <c r="FW48" s="79"/>
      <c r="FX48" s="79"/>
      <c r="FY48" s="79"/>
      <c r="FZ48" s="79"/>
      <c r="GA48" s="79"/>
      <c r="GB48" s="79"/>
      <c r="GC48" s="79"/>
      <c r="GD48" s="79"/>
      <c r="GE48" s="208"/>
      <c r="GF48" s="208"/>
      <c r="GG48" s="79"/>
      <c r="GH48" s="79"/>
      <c r="GI48" s="78"/>
      <c r="GJ48" s="98">
        <f>+GJ44/GJ46</f>
        <v>4.2516105790371968E-2</v>
      </c>
      <c r="GK48" s="79"/>
      <c r="GL48" s="79"/>
      <c r="GM48" s="79"/>
      <c r="GN48" s="79"/>
      <c r="GO48" s="79"/>
      <c r="GP48" s="79"/>
      <c r="GQ48" s="79"/>
      <c r="GR48" s="79"/>
      <c r="GS48" s="79"/>
      <c r="GT48" s="79"/>
      <c r="GU48" s="79"/>
      <c r="GV48" s="79"/>
      <c r="GW48" s="79"/>
      <c r="GX48" s="79"/>
      <c r="GY48" s="79"/>
      <c r="GZ48" s="79"/>
      <c r="HA48" s="79"/>
      <c r="HB48" s="79"/>
      <c r="HC48" s="79"/>
      <c r="HD48" s="79"/>
      <c r="HE48" s="79"/>
      <c r="HF48" s="79"/>
      <c r="HG48" s="79"/>
      <c r="HH48" s="79"/>
      <c r="HI48" s="79"/>
      <c r="HJ48" s="79"/>
      <c r="HK48" s="79"/>
      <c r="HL48" s="79"/>
      <c r="HM48" s="79"/>
      <c r="HN48" s="79"/>
      <c r="HO48" s="79"/>
      <c r="HP48" s="79"/>
      <c r="HQ48" s="79"/>
      <c r="HR48" s="79"/>
      <c r="HS48" s="79"/>
      <c r="HT48" s="79"/>
      <c r="HU48" s="79"/>
      <c r="HV48" s="79"/>
      <c r="HW48" s="79"/>
      <c r="HX48" s="79"/>
      <c r="HY48" s="79"/>
      <c r="HZ48" s="79"/>
      <c r="IA48" s="79"/>
      <c r="IB48" s="79"/>
      <c r="IC48" s="208"/>
      <c r="ID48" s="208"/>
      <c r="IE48" s="79"/>
      <c r="IF48" s="79"/>
      <c r="IG48" s="78"/>
      <c r="IH48" s="98">
        <f>+IH44/IH46</f>
        <v>3.9104514776400465E-2</v>
      </c>
      <c r="II48" s="79"/>
      <c r="IJ48" s="79"/>
      <c r="IK48" s="79"/>
      <c r="IL48" s="79"/>
      <c r="IM48" s="79"/>
      <c r="IN48" s="79"/>
      <c r="IO48" s="79"/>
      <c r="IP48" s="79"/>
      <c r="IQ48" s="79"/>
      <c r="IR48" s="79"/>
      <c r="IS48" s="79"/>
      <c r="IT48" s="79"/>
      <c r="IU48" s="79"/>
      <c r="IV48" s="79"/>
      <c r="IW48" s="79"/>
      <c r="IX48" s="79"/>
      <c r="IY48" s="79"/>
      <c r="IZ48" s="79"/>
      <c r="JA48" s="79"/>
      <c r="JB48" s="79"/>
      <c r="JC48" s="79"/>
      <c r="JD48" s="79"/>
      <c r="JE48" s="79"/>
      <c r="JF48" s="79"/>
      <c r="JG48" s="79"/>
      <c r="JH48" s="79"/>
      <c r="JI48" s="79"/>
      <c r="JJ48" s="79"/>
      <c r="JK48" s="79"/>
      <c r="JL48" s="79"/>
      <c r="JM48" s="79"/>
      <c r="JN48" s="79"/>
      <c r="JO48" s="79"/>
      <c r="JP48" s="79"/>
      <c r="JQ48" s="79"/>
      <c r="JR48" s="79"/>
      <c r="JS48" s="79"/>
      <c r="JT48" s="79"/>
      <c r="JU48" s="79"/>
      <c r="JV48" s="79"/>
      <c r="JW48" s="79"/>
      <c r="JX48" s="79"/>
      <c r="JY48" s="79"/>
      <c r="JZ48" s="79"/>
      <c r="KA48" s="208"/>
      <c r="KB48" s="208"/>
      <c r="KC48" s="79"/>
      <c r="KD48" s="79"/>
      <c r="KE48" s="78"/>
      <c r="KF48" s="98">
        <f>+KF44/KF46</f>
        <v>4.3781410396590691E-2</v>
      </c>
      <c r="KG48" s="43" t="s">
        <v>34</v>
      </c>
    </row>
    <row r="49" spans="1:293" ht="14.5" x14ac:dyDescent="0.35">
      <c r="A49" s="58">
        <f>ROW()</f>
        <v>49</v>
      </c>
      <c r="C49" s="78"/>
      <c r="D49" s="79"/>
      <c r="E49" s="79"/>
      <c r="F49"/>
      <c r="G49"/>
      <c r="H4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208"/>
      <c r="AQ49" s="79"/>
      <c r="AR49" s="78"/>
      <c r="AS49" s="78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8"/>
      <c r="CO49" s="78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208"/>
      <c r="EI49" s="79"/>
      <c r="EJ49" s="79"/>
      <c r="EK49" s="78"/>
      <c r="EL49" s="78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208"/>
      <c r="GF49" s="208"/>
      <c r="GG49" s="79"/>
      <c r="GH49" s="79"/>
      <c r="GI49" s="78"/>
      <c r="GJ49" s="78"/>
      <c r="GK49" s="79"/>
      <c r="GL49" s="79"/>
      <c r="GM49" s="79"/>
      <c r="GN49" s="79"/>
      <c r="GO49" s="79"/>
      <c r="GP49" s="79"/>
      <c r="GQ49" s="79"/>
      <c r="GR49" s="79"/>
      <c r="GS49" s="79"/>
      <c r="GT49" s="79"/>
      <c r="GU49" s="79"/>
      <c r="GV49" s="79"/>
      <c r="GW49" s="79"/>
      <c r="GX49" s="79"/>
      <c r="GY49" s="79"/>
      <c r="GZ49" s="79"/>
      <c r="HA49" s="79"/>
      <c r="HB49" s="79"/>
      <c r="HC49" s="79"/>
      <c r="HD49" s="79"/>
      <c r="HE49" s="79"/>
      <c r="HF49" s="79"/>
      <c r="HG49" s="79"/>
      <c r="HH49" s="79"/>
      <c r="HI49" s="79"/>
      <c r="HJ49" s="79"/>
      <c r="HK49" s="79"/>
      <c r="HL49" s="79"/>
      <c r="HM49" s="79"/>
      <c r="HN49" s="79"/>
      <c r="HO49" s="79"/>
      <c r="HP49" s="79"/>
      <c r="HQ49" s="79"/>
      <c r="HR49" s="79"/>
      <c r="HS49" s="79"/>
      <c r="HT49" s="79"/>
      <c r="HU49" s="79"/>
      <c r="HV49" s="79"/>
      <c r="HW49" s="79"/>
      <c r="HX49" s="79"/>
      <c r="HY49" s="79"/>
      <c r="HZ49" s="79"/>
      <c r="IA49" s="79"/>
      <c r="IB49" s="79"/>
      <c r="IC49" s="208"/>
      <c r="ID49" s="208"/>
      <c r="IE49" s="79"/>
      <c r="IF49" s="79"/>
      <c r="IG49" s="78"/>
      <c r="IH49" s="78"/>
      <c r="II49" s="79"/>
      <c r="IJ49" s="79"/>
      <c r="IK49" s="79"/>
      <c r="IL49" s="79"/>
      <c r="IM49" s="79"/>
      <c r="IN49" s="79"/>
      <c r="IO49" s="79"/>
      <c r="IP49" s="79"/>
      <c r="IQ49" s="79"/>
      <c r="IR49" s="79"/>
      <c r="IS49" s="79"/>
      <c r="IT49" s="79"/>
      <c r="IU49" s="79"/>
      <c r="IV49" s="79"/>
      <c r="IW49" s="79"/>
      <c r="IX49" s="79"/>
      <c r="IY49" s="79"/>
      <c r="IZ49" s="79"/>
      <c r="JA49" s="79"/>
      <c r="JB49" s="79"/>
      <c r="JC49" s="79"/>
      <c r="JD49" s="79"/>
      <c r="JE49" s="79"/>
      <c r="JF49" s="79"/>
      <c r="JG49" s="79"/>
      <c r="JH49" s="79"/>
      <c r="JI49" s="79"/>
      <c r="JJ49" s="79"/>
      <c r="JK49" s="79"/>
      <c r="JL49" s="79"/>
      <c r="JM49" s="79"/>
      <c r="JN49" s="79"/>
      <c r="JO49" s="79"/>
      <c r="JP49" s="79"/>
      <c r="JQ49" s="79"/>
      <c r="JR49" s="79"/>
      <c r="JS49" s="79"/>
      <c r="JT49" s="79"/>
      <c r="JU49" s="79"/>
      <c r="JV49" s="79"/>
      <c r="JW49" s="79"/>
      <c r="JX49" s="79"/>
      <c r="JY49" s="79"/>
      <c r="JZ49" s="79"/>
      <c r="KA49" s="208"/>
      <c r="KB49" s="208"/>
      <c r="KC49" s="79"/>
      <c r="KD49" s="79"/>
      <c r="KE49" s="78"/>
      <c r="KF49" s="78"/>
      <c r="KG49" s="43" t="s">
        <v>34</v>
      </c>
    </row>
    <row r="50" spans="1:293" ht="14.5" x14ac:dyDescent="0.35">
      <c r="A50" s="58">
        <f>ROW()</f>
        <v>50</v>
      </c>
      <c r="B50" s="47" t="s">
        <v>96</v>
      </c>
      <c r="C50" s="78"/>
      <c r="D50" s="79"/>
      <c r="E50" s="79"/>
      <c r="F50"/>
      <c r="G50"/>
      <c r="H50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208"/>
      <c r="AQ50" s="79"/>
      <c r="AR50" s="78"/>
      <c r="AS50" s="78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8"/>
      <c r="CO50" s="78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208"/>
      <c r="EI50" s="79"/>
      <c r="EJ50" s="79"/>
      <c r="EK50" s="78"/>
      <c r="EL50" s="78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208"/>
      <c r="GF50" s="208"/>
      <c r="GG50" s="79"/>
      <c r="GH50" s="79"/>
      <c r="GI50" s="78"/>
      <c r="GJ50" s="78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208"/>
      <c r="ID50" s="208"/>
      <c r="IE50" s="79"/>
      <c r="IF50" s="79"/>
      <c r="IG50" s="78"/>
      <c r="IH50" s="78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  <c r="IW50" s="79"/>
      <c r="IX50" s="79"/>
      <c r="IY50" s="79"/>
      <c r="IZ50" s="79"/>
      <c r="JA50" s="79"/>
      <c r="JB50" s="79"/>
      <c r="JC50" s="79"/>
      <c r="JD50" s="79"/>
      <c r="JE50" s="79"/>
      <c r="JF50" s="79"/>
      <c r="JG50" s="79"/>
      <c r="JH50" s="79"/>
      <c r="JI50" s="79"/>
      <c r="JJ50" s="79"/>
      <c r="JK50" s="79"/>
      <c r="JL50" s="79"/>
      <c r="JM50" s="79"/>
      <c r="JN50" s="79"/>
      <c r="JO50" s="79"/>
      <c r="JP50" s="79"/>
      <c r="JQ50" s="79"/>
      <c r="JR50" s="79"/>
      <c r="JS50" s="79"/>
      <c r="JT50" s="79"/>
      <c r="JU50" s="79"/>
      <c r="JV50" s="79"/>
      <c r="JW50" s="79"/>
      <c r="JX50" s="79"/>
      <c r="JY50" s="79"/>
      <c r="JZ50" s="79"/>
      <c r="KA50" s="208"/>
      <c r="KB50" s="208"/>
      <c r="KC50" s="79"/>
      <c r="KD50" s="79"/>
      <c r="KE50" s="78"/>
      <c r="KF50" s="78"/>
      <c r="KG50" s="43" t="s">
        <v>34</v>
      </c>
    </row>
    <row r="51" spans="1:293" x14ac:dyDescent="0.3">
      <c r="A51" s="58">
        <f>ROW()</f>
        <v>51</v>
      </c>
      <c r="B51" s="100" t="s">
        <v>97</v>
      </c>
      <c r="C51" s="83">
        <v>11178630582.58481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>
        <v>154600258.49912643</v>
      </c>
      <c r="X51" s="51"/>
      <c r="Y51" s="51"/>
      <c r="Z51" s="51"/>
      <c r="AA51" s="51">
        <v>-194357205.99521798</v>
      </c>
      <c r="AB51" s="51"/>
      <c r="AC51" s="51"/>
      <c r="AD51" s="51"/>
      <c r="AE51" s="51"/>
      <c r="AF51" s="51"/>
      <c r="AG51" s="51">
        <v>-4539303</v>
      </c>
      <c r="AH51" s="51"/>
      <c r="AI51" s="51"/>
      <c r="AJ51" s="51">
        <v>-341605.68</v>
      </c>
      <c r="AK51" s="51"/>
      <c r="AL51" s="51"/>
      <c r="AM51" s="51"/>
      <c r="AN51" s="51"/>
      <c r="AO51" s="51"/>
      <c r="AP51" s="203"/>
      <c r="AQ51" s="51">
        <v>0</v>
      </c>
      <c r="AR51" s="83">
        <f t="shared" ref="AR51:AR56" si="54">SUM(D51:AQ51)</f>
        <v>-44637856.176091544</v>
      </c>
      <c r="AS51" s="83">
        <f t="shared" ref="AS51:AS56" si="55">+AR51+C51</f>
        <v>11133992726.408718</v>
      </c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51"/>
      <c r="BQ51" s="51">
        <v>194357205.99521798</v>
      </c>
      <c r="BR51" s="51"/>
      <c r="BS51" s="51"/>
      <c r="BT51" s="51"/>
      <c r="BU51" s="51">
        <v>-90132147.473370671</v>
      </c>
      <c r="BV51" s="79"/>
      <c r="BW51" s="51"/>
      <c r="BX51" s="79">
        <v>137361550.14402601</v>
      </c>
      <c r="BY51" s="79">
        <v>35713428</v>
      </c>
      <c r="BZ51" s="79">
        <v>23415306.929908004</v>
      </c>
      <c r="CA51" s="79">
        <v>85733349.788745955</v>
      </c>
      <c r="CB51" s="51"/>
      <c r="CC51" s="51"/>
      <c r="CD51" s="51"/>
      <c r="CE51" s="51"/>
      <c r="CF51" s="51"/>
      <c r="CG51" s="51">
        <v>0</v>
      </c>
      <c r="CH51" s="51"/>
      <c r="CI51" s="51"/>
      <c r="CJ51" s="51">
        <v>-487254872.49999994</v>
      </c>
      <c r="CK51" s="51"/>
      <c r="CL51" s="51"/>
      <c r="CM51" s="51">
        <v>0</v>
      </c>
      <c r="CN51" s="83">
        <f t="shared" ref="CN51:CN56" si="56">SUM(AT51:CM51)</f>
        <v>-100806179.11547273</v>
      </c>
      <c r="CO51" s="83">
        <f t="shared" ref="CO51:CO56" si="57">+CN51+AS51</f>
        <v>11033186547.293245</v>
      </c>
      <c r="CP51" s="51"/>
      <c r="CQ51" s="51"/>
      <c r="CR51" s="51"/>
      <c r="CS51" s="51"/>
      <c r="CT51" s="51"/>
      <c r="CU51" s="51"/>
      <c r="CV51" s="51"/>
      <c r="CW51" s="51"/>
      <c r="CX51" s="51"/>
      <c r="CY51" s="51"/>
      <c r="CZ51" s="51"/>
      <c r="DA51" s="51"/>
      <c r="DB51" s="51"/>
      <c r="DC51" s="51"/>
      <c r="DD51" s="51"/>
      <c r="DE51" s="51"/>
      <c r="DF51" s="51"/>
      <c r="DG51" s="51"/>
      <c r="DH51" s="51"/>
      <c r="DI51" s="51"/>
      <c r="DJ51" s="51"/>
      <c r="DK51" s="51"/>
      <c r="DL51" s="51">
        <v>0</v>
      </c>
      <c r="DM51" s="51">
        <v>0</v>
      </c>
      <c r="DN51" s="51"/>
      <c r="DO51" s="51"/>
      <c r="DP51" s="51"/>
      <c r="DQ51" s="51">
        <v>-166759056.9989773</v>
      </c>
      <c r="DR51" s="79"/>
      <c r="DS51" s="51"/>
      <c r="DT51" s="51">
        <v>278179409.54060602</v>
      </c>
      <c r="DU51" s="51">
        <v>4064845.849999994</v>
      </c>
      <c r="DV51" s="203">
        <f>92269615.25+'6.33 (EESD)'!E24*1000</f>
        <v>90597956.439402953</v>
      </c>
      <c r="DW51" s="51">
        <v>119436500.32754801</v>
      </c>
      <c r="DX51" s="51"/>
      <c r="DY51" s="51"/>
      <c r="DZ51" s="51">
        <v>212064</v>
      </c>
      <c r="EA51" s="51"/>
      <c r="EB51" s="51"/>
      <c r="EC51" s="51">
        <v>0</v>
      </c>
      <c r="ED51" s="51"/>
      <c r="EE51" s="51"/>
      <c r="EF51" s="51">
        <v>-2991730.919999999</v>
      </c>
      <c r="EG51" s="51"/>
      <c r="EH51" s="203">
        <f>+'A1 (Elect. Adj.)'!E24*1000</f>
        <v>38099828.46244669</v>
      </c>
      <c r="EI51" s="51"/>
      <c r="EJ51" s="51">
        <v>0</v>
      </c>
      <c r="EK51" s="83">
        <f t="shared" ref="EK51:EK56" si="58">SUM(CP51:EJ51)</f>
        <v>360839816.70102638</v>
      </c>
      <c r="EL51" s="83">
        <f t="shared" ref="EL51:EL56" si="59">+EK51+CO51</f>
        <v>11394026363.994272</v>
      </c>
      <c r="EM51" s="51"/>
      <c r="EN51" s="51"/>
      <c r="EO51" s="51"/>
      <c r="EP51" s="51"/>
      <c r="EQ51" s="51"/>
      <c r="ER51" s="51"/>
      <c r="ES51" s="51"/>
      <c r="ET51" s="51"/>
      <c r="EU51" s="51"/>
      <c r="EV51" s="51"/>
      <c r="EW51" s="51"/>
      <c r="EX51" s="51"/>
      <c r="EY51" s="51"/>
      <c r="EZ51" s="51"/>
      <c r="FA51" s="51"/>
      <c r="FB51" s="51"/>
      <c r="FC51" s="51"/>
      <c r="FD51" s="51"/>
      <c r="FE51" s="51"/>
      <c r="FF51" s="51"/>
      <c r="FH51" s="51"/>
      <c r="FI51" s="51">
        <v>0</v>
      </c>
      <c r="FJ51" s="51"/>
      <c r="FK51" s="51"/>
      <c r="FL51" s="51"/>
      <c r="FM51" s="51"/>
      <c r="FN51" s="51">
        <v>-143568371.99825859</v>
      </c>
      <c r="FO51" s="79"/>
      <c r="FP51" s="51"/>
      <c r="FQ51" s="51">
        <v>195610353.76659983</v>
      </c>
      <c r="FR51" s="51">
        <v>4047296.7100000083</v>
      </c>
      <c r="FS51" s="203">
        <f>21438621.54+'6.33 (EESD)'!F24*1000</f>
        <v>-17009531.099402949</v>
      </c>
      <c r="FT51" s="51">
        <v>68833757.894389868</v>
      </c>
      <c r="FU51" s="51"/>
      <c r="FV51" s="51"/>
      <c r="FW51" s="51"/>
      <c r="FX51" s="51"/>
      <c r="FY51" s="51"/>
      <c r="FZ51" s="51">
        <v>0</v>
      </c>
      <c r="GA51" s="51"/>
      <c r="GB51" s="51"/>
      <c r="GC51" s="51">
        <v>-2038434.6399999987</v>
      </c>
      <c r="GD51" s="51"/>
      <c r="GE51" s="203">
        <f>+'A1 (Elect. Adj.)'!F24*1000</f>
        <v>-65626117.484916411</v>
      </c>
      <c r="GF51" s="203"/>
      <c r="GG51" s="51"/>
      <c r="GH51" s="51">
        <v>0</v>
      </c>
      <c r="GI51" s="83">
        <f t="shared" ref="GI51:GI56" si="60">SUM(EM51:GH51)</f>
        <v>40248953.148411758</v>
      </c>
      <c r="GJ51" s="83">
        <f t="shared" ref="GJ51:GJ56" si="61">+GI51+EL51</f>
        <v>11434275317.142685</v>
      </c>
      <c r="GK51" s="51"/>
      <c r="GL51" s="51"/>
      <c r="GM51" s="51"/>
      <c r="GN51" s="51"/>
      <c r="GO51" s="51"/>
      <c r="GP51" s="51"/>
      <c r="GQ51" s="51"/>
      <c r="GR51" s="51"/>
      <c r="GS51" s="51"/>
      <c r="GT51" s="51"/>
      <c r="GU51" s="51"/>
      <c r="GV51" s="51"/>
      <c r="GW51" s="51"/>
      <c r="GX51" s="51"/>
      <c r="GY51" s="51"/>
      <c r="GZ51" s="51"/>
      <c r="HA51" s="51"/>
      <c r="HB51" s="51"/>
      <c r="HC51" s="51"/>
      <c r="HD51" s="51"/>
      <c r="HE51" s="51"/>
      <c r="HF51" s="51"/>
      <c r="HG51" s="51">
        <v>0</v>
      </c>
      <c r="HH51" s="51"/>
      <c r="HI51" s="51">
        <v>0</v>
      </c>
      <c r="HJ51" s="51"/>
      <c r="HK51" s="51"/>
      <c r="HL51" s="51">
        <v>-73436267.902879477</v>
      </c>
      <c r="HM51" s="79"/>
      <c r="HN51" s="51"/>
      <c r="HO51" s="79">
        <v>567587004.33275998</v>
      </c>
      <c r="HP51" s="79">
        <v>8832345.3599999994</v>
      </c>
      <c r="HQ51" s="79">
        <f>113725405.10989+'6.33 (EESD)'!G24*1000</f>
        <v>39092525.339890003</v>
      </c>
      <c r="HR51" s="79">
        <v>162975760.90361816</v>
      </c>
      <c r="HS51" s="51"/>
      <c r="HT51" s="51"/>
      <c r="HU51" s="51">
        <v>227924.65079999901</v>
      </c>
      <c r="HV51" s="51"/>
      <c r="HW51" s="51"/>
      <c r="HX51" s="51">
        <v>0</v>
      </c>
      <c r="HY51" s="51"/>
      <c r="HZ51" s="51"/>
      <c r="IA51" s="51">
        <v>-11423246.820000004</v>
      </c>
      <c r="IB51" s="51"/>
      <c r="IC51" s="203">
        <f>+'A1 (Elect. Adj.)'!G24*1000</f>
        <v>-167090494.43755835</v>
      </c>
      <c r="ID51" s="203"/>
      <c r="IE51" s="51"/>
      <c r="IF51" s="51">
        <v>0</v>
      </c>
      <c r="IG51" s="83">
        <f t="shared" ref="IG51:IG56" si="62">SUM(GK51:IF51)</f>
        <v>526765551.4266302</v>
      </c>
      <c r="IH51" s="83">
        <f t="shared" ref="IH51:IH56" si="63">+IG51+GJ51</f>
        <v>11961040868.569315</v>
      </c>
      <c r="II51" s="51"/>
      <c r="IJ51" s="51"/>
      <c r="IK51" s="51"/>
      <c r="IL51" s="51"/>
      <c r="IM51" s="51"/>
      <c r="IN51" s="51"/>
      <c r="IO51" s="51"/>
      <c r="IP51" s="51"/>
      <c r="IQ51" s="51"/>
      <c r="IR51" s="51"/>
      <c r="IS51" s="51"/>
      <c r="IT51" s="51"/>
      <c r="IU51" s="51"/>
      <c r="IV51" s="51"/>
      <c r="IW51" s="51"/>
      <c r="IX51" s="51"/>
      <c r="IY51" s="51"/>
      <c r="IZ51" s="51"/>
      <c r="JA51" s="51"/>
      <c r="JB51" s="51"/>
      <c r="JC51" s="51"/>
      <c r="JD51" s="51"/>
      <c r="JE51" s="51">
        <v>0</v>
      </c>
      <c r="JF51" s="51"/>
      <c r="JG51" s="51">
        <v>0</v>
      </c>
      <c r="JH51" s="51"/>
      <c r="JI51" s="51"/>
      <c r="JJ51" s="51">
        <v>-151562792.76746643</v>
      </c>
      <c r="JK51" s="79"/>
      <c r="JL51" s="51"/>
      <c r="JM51" s="79">
        <v>528060572.18698215</v>
      </c>
      <c r="JN51" s="79">
        <v>11853126.560000002</v>
      </c>
      <c r="JO51" s="79">
        <v>254066681.87600192</v>
      </c>
      <c r="JP51" s="208">
        <f>124054620.51282+'6.33 (EESD)'!H24*1000+'6.33 (LWR BKR)'!H24*1000</f>
        <v>-76054263.577180043</v>
      </c>
      <c r="JQ51" s="51"/>
      <c r="JR51" s="51"/>
      <c r="JS51" s="51">
        <v>227924.65079999808</v>
      </c>
      <c r="JT51" s="51"/>
      <c r="JU51" s="51"/>
      <c r="JV51" s="51">
        <v>0</v>
      </c>
      <c r="JW51" s="51"/>
      <c r="JX51" s="51"/>
      <c r="JY51" s="51">
        <v>-16217464.820000004</v>
      </c>
      <c r="JZ51" s="51"/>
      <c r="KA51" s="203">
        <f>+'A1 (Elect. Adj.)'!H24*1000</f>
        <v>-161479992.08314461</v>
      </c>
      <c r="KB51" s="203"/>
      <c r="KC51" s="51"/>
      <c r="KD51" s="51">
        <v>0</v>
      </c>
      <c r="KE51" s="83">
        <f t="shared" ref="KE51:KE56" si="64">SUM(II51:KD51)</f>
        <v>388893792.02599293</v>
      </c>
      <c r="KF51" s="83">
        <f t="shared" ref="KF51:KF56" si="65">+KE51+IH51</f>
        <v>12349934660.595308</v>
      </c>
      <c r="KG51" s="43" t="s">
        <v>34</v>
      </c>
    </row>
    <row r="52" spans="1:293" x14ac:dyDescent="0.3">
      <c r="A52" s="58">
        <f>ROW()</f>
        <v>52</v>
      </c>
      <c r="B52" s="100" t="s">
        <v>98</v>
      </c>
      <c r="C52" s="78">
        <v>-4782009812.8514233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>
        <v>-149594569.49256706</v>
      </c>
      <c r="W52" s="90">
        <v>-832437.77940335823</v>
      </c>
      <c r="X52" s="90"/>
      <c r="Y52" s="90"/>
      <c r="Z52" s="90"/>
      <c r="AA52" s="51">
        <v>36317803.857320003</v>
      </c>
      <c r="AB52" s="90">
        <v>0</v>
      </c>
      <c r="AC52" s="90"/>
      <c r="AD52" s="90"/>
      <c r="AE52" s="90"/>
      <c r="AF52" s="90"/>
      <c r="AG52" s="90">
        <v>2651000</v>
      </c>
      <c r="AH52" s="90"/>
      <c r="AI52" s="90"/>
      <c r="AJ52" s="90">
        <v>71167.850000000006</v>
      </c>
      <c r="AK52" s="90"/>
      <c r="AL52" s="90"/>
      <c r="AM52" s="90"/>
      <c r="AN52" s="90"/>
      <c r="AO52" s="90"/>
      <c r="AP52" s="208"/>
      <c r="AQ52" s="90">
        <v>0</v>
      </c>
      <c r="AR52" s="78">
        <f t="shared" si="54"/>
        <v>-111387035.56465042</v>
      </c>
      <c r="AS52" s="78">
        <f t="shared" si="55"/>
        <v>-4893396848.4160738</v>
      </c>
      <c r="AT52" s="79"/>
      <c r="AU52" s="79"/>
      <c r="AV52" s="79"/>
      <c r="AW52" s="79"/>
      <c r="AX52" s="79"/>
      <c r="AY52" s="79"/>
      <c r="AZ52" s="79"/>
      <c r="BA52" s="79"/>
      <c r="BB52" s="79"/>
      <c r="BC52" s="79"/>
      <c r="BD52" s="79"/>
      <c r="BE52" s="79"/>
      <c r="BF52" s="79"/>
      <c r="BG52" s="79"/>
      <c r="BH52" s="79"/>
      <c r="BI52" s="79"/>
      <c r="BJ52" s="51"/>
      <c r="BK52" s="79"/>
      <c r="BL52" s="79"/>
      <c r="BM52" s="79"/>
      <c r="BN52" s="79"/>
      <c r="BO52" s="79"/>
      <c r="BP52" s="79"/>
      <c r="BQ52" s="79">
        <v>-36317803.857320003</v>
      </c>
      <c r="BR52" s="79"/>
      <c r="BS52" s="79"/>
      <c r="BT52" s="79"/>
      <c r="BU52" s="79">
        <v>90132147.473370671</v>
      </c>
      <c r="BV52" s="79">
        <v>-184068627.26586723</v>
      </c>
      <c r="BW52" s="79">
        <v>725461.25379400025</v>
      </c>
      <c r="BX52" s="79">
        <v>-1712561.702794</v>
      </c>
      <c r="BY52" s="79">
        <v>-267562.39</v>
      </c>
      <c r="BZ52" s="79">
        <v>-83614.710594000004</v>
      </c>
      <c r="CA52" s="79">
        <v>-1337856.4220799999</v>
      </c>
      <c r="CB52" s="79"/>
      <c r="CC52" s="79"/>
      <c r="CD52" s="79">
        <v>106032</v>
      </c>
      <c r="CE52" s="79"/>
      <c r="CF52" s="79"/>
      <c r="CG52" s="90">
        <v>56934.27999999997</v>
      </c>
      <c r="CH52" s="79"/>
      <c r="CI52" s="79"/>
      <c r="CJ52" s="79">
        <v>426121157.88</v>
      </c>
      <c r="CK52" s="79"/>
      <c r="CL52" s="79"/>
      <c r="CM52" s="79">
        <v>-4207196.5800000094</v>
      </c>
      <c r="CN52" s="78">
        <f t="shared" si="56"/>
        <v>289146509.95850945</v>
      </c>
      <c r="CO52" s="78">
        <f t="shared" si="57"/>
        <v>-4604250338.4575644</v>
      </c>
      <c r="CP52" s="79"/>
      <c r="CQ52" s="79"/>
      <c r="CR52" s="79"/>
      <c r="CS52" s="79"/>
      <c r="CT52" s="79"/>
      <c r="CU52" s="79"/>
      <c r="CV52" s="79"/>
      <c r="CW52" s="79"/>
      <c r="CX52" s="79"/>
      <c r="CY52" s="79"/>
      <c r="CZ52" s="79"/>
      <c r="DA52" s="79"/>
      <c r="DB52" s="79"/>
      <c r="DC52" s="79"/>
      <c r="DD52" s="79"/>
      <c r="DE52" s="79"/>
      <c r="DF52" s="79"/>
      <c r="DG52" s="79"/>
      <c r="DH52" s="79"/>
      <c r="DI52" s="79"/>
      <c r="DJ52" s="79"/>
      <c r="DK52" s="79"/>
      <c r="DL52" s="79">
        <v>0</v>
      </c>
      <c r="DM52" s="79">
        <v>0</v>
      </c>
      <c r="DN52" s="79"/>
      <c r="DO52" s="79"/>
      <c r="DP52" s="79"/>
      <c r="DQ52" s="79">
        <v>166759056.9989773</v>
      </c>
      <c r="DR52" s="79">
        <v>-433782286.52983093</v>
      </c>
      <c r="DS52" s="79">
        <v>6292294.7435479974</v>
      </c>
      <c r="DT52" s="79">
        <v>-15628337.138933998</v>
      </c>
      <c r="DU52" s="79">
        <v>-1270286.8800000004</v>
      </c>
      <c r="DV52" s="208">
        <f>-2351085.432+'6.33 (EESD)'!E39*1000</f>
        <v>-2312347.5019999999</v>
      </c>
      <c r="DW52" s="79">
        <v>-12053608.330697998</v>
      </c>
      <c r="DX52" s="79"/>
      <c r="DY52" s="79"/>
      <c r="DZ52" s="79">
        <v>-69784</v>
      </c>
      <c r="EA52" s="79"/>
      <c r="EB52" s="79"/>
      <c r="EC52" s="90">
        <v>113868.55999999994</v>
      </c>
      <c r="ED52" s="79"/>
      <c r="EE52" s="79"/>
      <c r="EF52" s="79">
        <v>41277723.129999988</v>
      </c>
      <c r="EG52" s="79"/>
      <c r="EH52" s="208">
        <f>+'A1 (Elect. Adj.)'!E39*1000</f>
        <v>-1398263.7045717936</v>
      </c>
      <c r="EI52" s="79"/>
      <c r="EJ52" s="79">
        <v>-7972251.3400000408</v>
      </c>
      <c r="EK52" s="78">
        <f t="shared" si="58"/>
        <v>-260044221.99350941</v>
      </c>
      <c r="EL52" s="78">
        <f t="shared" si="59"/>
        <v>-4864294560.4510736</v>
      </c>
      <c r="EM52" s="79"/>
      <c r="EN52" s="79"/>
      <c r="EO52" s="79"/>
      <c r="EP52" s="79"/>
      <c r="EQ52" s="79"/>
      <c r="ER52" s="79"/>
      <c r="ES52" s="79"/>
      <c r="ET52" s="79"/>
      <c r="EU52" s="79"/>
      <c r="EV52" s="79"/>
      <c r="EW52" s="79"/>
      <c r="EX52" s="79"/>
      <c r="EY52" s="79"/>
      <c r="EZ52" s="79"/>
      <c r="FA52" s="79"/>
      <c r="FB52" s="79"/>
      <c r="FC52" s="79"/>
      <c r="FD52" s="79"/>
      <c r="FE52" s="79"/>
      <c r="FF52" s="79"/>
      <c r="FG52" s="79"/>
      <c r="FH52" s="79"/>
      <c r="FI52" s="79">
        <v>-701437.75289873779</v>
      </c>
      <c r="FJ52" s="79"/>
      <c r="FK52" s="79"/>
      <c r="FL52" s="79"/>
      <c r="FM52" s="79"/>
      <c r="FN52" s="79">
        <v>143568371.99825859</v>
      </c>
      <c r="FO52" s="79">
        <v>-205881420.09132481</v>
      </c>
      <c r="FP52" s="79">
        <v>6185965.0190380029</v>
      </c>
      <c r="FQ52" s="79">
        <v>-14459310.266520005</v>
      </c>
      <c r="FR52" s="79">
        <v>-691162.42999999993</v>
      </c>
      <c r="FS52" s="208">
        <f>-2556253.641+'6.33 (EESD)'!F39*1000</f>
        <v>-1773988.0409999997</v>
      </c>
      <c r="FT52" s="79">
        <v>-11350087.289713996</v>
      </c>
      <c r="FU52" s="79"/>
      <c r="FV52" s="79"/>
      <c r="FW52" s="79">
        <v>113962.32539999997</v>
      </c>
      <c r="FX52" s="79"/>
      <c r="FY52" s="79"/>
      <c r="FZ52" s="90">
        <v>55945.837638888945</v>
      </c>
      <c r="GA52" s="79"/>
      <c r="GB52" s="79"/>
      <c r="GC52" s="88">
        <v>17067601.199999943</v>
      </c>
      <c r="GD52" s="79"/>
      <c r="GE52" s="208">
        <f>+'A1 (Elect. Adj.)'!F39*1000</f>
        <v>1010214.8071246388</v>
      </c>
      <c r="GF52" s="208"/>
      <c r="GG52" s="79"/>
      <c r="GH52" s="79">
        <v>-2880746.5800000094</v>
      </c>
      <c r="GI52" s="78">
        <f t="shared" si="60"/>
        <v>-69736091.26399751</v>
      </c>
      <c r="GJ52" s="78">
        <f t="shared" si="61"/>
        <v>-4934030651.7150707</v>
      </c>
      <c r="GK52" s="79"/>
      <c r="GL52" s="79"/>
      <c r="GM52" s="79"/>
      <c r="GN52" s="79"/>
      <c r="GO52" s="79"/>
      <c r="GP52" s="79"/>
      <c r="GQ52" s="79"/>
      <c r="GR52" s="79"/>
      <c r="GS52" s="79"/>
      <c r="GT52" s="79"/>
      <c r="GU52" s="79"/>
      <c r="GV52" s="79"/>
      <c r="GW52" s="79"/>
      <c r="GX52" s="79"/>
      <c r="GY52" s="79"/>
      <c r="GZ52" s="79"/>
      <c r="HA52" s="79"/>
      <c r="HB52" s="79"/>
      <c r="HC52" s="79"/>
      <c r="HD52" s="79"/>
      <c r="HE52" s="79"/>
      <c r="HF52" s="79"/>
      <c r="HG52" s="79">
        <v>-76159856.802167311</v>
      </c>
      <c r="HH52" s="79"/>
      <c r="HI52" s="79"/>
      <c r="HJ52" s="79"/>
      <c r="HK52" s="79"/>
      <c r="HL52" s="79">
        <v>73436267.902879477</v>
      </c>
      <c r="HM52" s="79">
        <v>-394632171.66910362</v>
      </c>
      <c r="HN52" s="79">
        <v>15530997.728948005</v>
      </c>
      <c r="HO52" s="79">
        <v>-47616994.555111997</v>
      </c>
      <c r="HP52" s="79">
        <v>-1578473.9100000001</v>
      </c>
      <c r="HQ52" s="79">
        <f>-6305425.383958+'6.33 (EESD)'!G39*1000</f>
        <v>-3811617.8739579995</v>
      </c>
      <c r="HR52" s="79">
        <v>-33968841.746707991</v>
      </c>
      <c r="HS52" s="79"/>
      <c r="HT52" s="79"/>
      <c r="HU52" s="79">
        <v>-69784</v>
      </c>
      <c r="HV52" s="79"/>
      <c r="HW52" s="79"/>
      <c r="HX52" s="90">
        <v>43689.152361111192</v>
      </c>
      <c r="HY52" s="79"/>
      <c r="HZ52" s="79"/>
      <c r="IA52" s="79">
        <v>34696376.21000009</v>
      </c>
      <c r="IB52" s="79"/>
      <c r="IC52" s="208">
        <f>+'A1 (Elect. Adj.)'!G39*1000</f>
        <v>7142435.952983031</v>
      </c>
      <c r="ID52" s="208"/>
      <c r="IE52" s="79"/>
      <c r="IF52" s="79">
        <v>-5761493.1600000188</v>
      </c>
      <c r="IG52" s="78">
        <f t="shared" si="62"/>
        <v>-432749466.76987725</v>
      </c>
      <c r="IH52" s="78">
        <f t="shared" si="63"/>
        <v>-5366780118.4849482</v>
      </c>
      <c r="II52" s="79"/>
      <c r="IJ52" s="79"/>
      <c r="IK52" s="79"/>
      <c r="IL52" s="79"/>
      <c r="IM52" s="79"/>
      <c r="IN52" s="79"/>
      <c r="IO52" s="79"/>
      <c r="IP52" s="79"/>
      <c r="IQ52" s="79"/>
      <c r="IR52" s="79"/>
      <c r="IS52" s="79"/>
      <c r="IT52" s="79"/>
      <c r="IU52" s="79"/>
      <c r="IV52" s="79"/>
      <c r="IW52" s="79"/>
      <c r="IX52" s="79"/>
      <c r="IY52" s="79"/>
      <c r="IZ52" s="79"/>
      <c r="JA52" s="79"/>
      <c r="JB52" s="79"/>
      <c r="JC52" s="79"/>
      <c r="JD52" s="79"/>
      <c r="JE52" s="79">
        <v>0</v>
      </c>
      <c r="JF52" s="79"/>
      <c r="JG52" s="79"/>
      <c r="JH52" s="79"/>
      <c r="JI52" s="79"/>
      <c r="JJ52" s="79">
        <v>151562792.76746643</v>
      </c>
      <c r="JK52" s="79">
        <v>-382153396.9819355</v>
      </c>
      <c r="JL52" s="79">
        <v>18862632.939278003</v>
      </c>
      <c r="JM52" s="79">
        <v>-75301472.311560035</v>
      </c>
      <c r="JN52" s="79">
        <v>-1938322.7799999984</v>
      </c>
      <c r="JO52" s="79">
        <v>-13200898.795836003</v>
      </c>
      <c r="JP52" s="208">
        <f>-46930146.796448+'6.33 (EESD)'!H39*1000+'6.33 (LWR BKR)'!H39*1000</f>
        <v>-39966084.716448002</v>
      </c>
      <c r="JQ52" s="79"/>
      <c r="JR52" s="79"/>
      <c r="JS52" s="79">
        <v>-69784</v>
      </c>
      <c r="JT52" s="79"/>
      <c r="JU52" s="79"/>
      <c r="JV52" s="90">
        <v>0</v>
      </c>
      <c r="JW52" s="79"/>
      <c r="JX52" s="79"/>
      <c r="JY52" s="79">
        <v>35804764.380000159</v>
      </c>
      <c r="JZ52" s="79"/>
      <c r="KA52" s="208">
        <f>+'A1 (Elect. Adj.)'!H39*1000</f>
        <v>13068751.662434438</v>
      </c>
      <c r="KB52" s="208"/>
      <c r="KC52" s="79"/>
      <c r="KD52" s="79">
        <v>-5761493.1600000151</v>
      </c>
      <c r="KE52" s="78">
        <f t="shared" si="64"/>
        <v>-299092510.99660051</v>
      </c>
      <c r="KF52" s="78">
        <f t="shared" si="65"/>
        <v>-5665872629.4815483</v>
      </c>
      <c r="KG52" s="43" t="s">
        <v>34</v>
      </c>
    </row>
    <row r="53" spans="1:293" x14ac:dyDescent="0.3">
      <c r="A53" s="58">
        <f>ROW()</f>
        <v>53</v>
      </c>
      <c r="B53" s="47" t="s">
        <v>99</v>
      </c>
      <c r="C53" s="78">
        <v>343267967.57920831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>
        <v>-10304632.389208317</v>
      </c>
      <c r="W53" s="90"/>
      <c r="X53" s="90"/>
      <c r="Y53" s="90"/>
      <c r="Z53" s="90"/>
      <c r="AA53" s="51"/>
      <c r="AB53" s="90"/>
      <c r="AC53" s="90"/>
      <c r="AD53" s="90">
        <v>0</v>
      </c>
      <c r="AE53" s="90"/>
      <c r="AF53" s="90"/>
      <c r="AG53" s="90"/>
      <c r="AH53" s="90"/>
      <c r="AI53" s="90">
        <v>0</v>
      </c>
      <c r="AJ53" s="90"/>
      <c r="AK53" s="90"/>
      <c r="AL53" s="90"/>
      <c r="AM53" s="90"/>
      <c r="AN53" s="90"/>
      <c r="AO53" s="90"/>
      <c r="AP53" s="208"/>
      <c r="AQ53" s="90"/>
      <c r="AR53" s="78">
        <f t="shared" si="54"/>
        <v>-10304632.389208317</v>
      </c>
      <c r="AS53" s="78">
        <f t="shared" si="55"/>
        <v>332963335.19</v>
      </c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51"/>
      <c r="BK53" s="79"/>
      <c r="BL53" s="79"/>
      <c r="BM53" s="79"/>
      <c r="BN53" s="79"/>
      <c r="BO53" s="79"/>
      <c r="BP53" s="79"/>
      <c r="BQ53" s="79"/>
      <c r="BR53" s="79">
        <v>2792096.9742273977</v>
      </c>
      <c r="BS53" s="79"/>
      <c r="BT53" s="208">
        <f>+'[21]Lead E'!$G$12+'[21]Lead E'!$G$15</f>
        <v>-835044.1367500003</v>
      </c>
      <c r="BU53" s="79"/>
      <c r="BV53" s="79"/>
      <c r="BW53" s="79"/>
      <c r="BX53" s="79"/>
      <c r="BY53" s="79"/>
      <c r="BZ53" s="79"/>
      <c r="CA53" s="79"/>
      <c r="CB53" s="79"/>
      <c r="CC53" s="79"/>
      <c r="CD53" s="79"/>
      <c r="CE53" s="79"/>
      <c r="CF53" s="79">
        <v>-6632217.3044687957</v>
      </c>
      <c r="CG53" s="90"/>
      <c r="CH53" s="79"/>
      <c r="CI53" s="79">
        <v>5610487.0913973758</v>
      </c>
      <c r="CJ53" s="79">
        <v>92714284.336900011</v>
      </c>
      <c r="CK53" s="79"/>
      <c r="CL53" s="79">
        <v>-203686502.93690002</v>
      </c>
      <c r="CM53" s="79"/>
      <c r="CN53" s="78">
        <f t="shared" si="56"/>
        <v>-110036895.97559403</v>
      </c>
      <c r="CO53" s="78">
        <f t="shared" si="57"/>
        <v>222926439.21440595</v>
      </c>
      <c r="CP53" s="79"/>
      <c r="CQ53" s="79"/>
      <c r="CR53" s="79"/>
      <c r="CS53" s="79"/>
      <c r="CT53" s="79"/>
      <c r="CU53" s="79"/>
      <c r="CV53" s="79"/>
      <c r="CW53" s="79"/>
      <c r="CX53" s="79"/>
      <c r="CY53" s="79"/>
      <c r="CZ53" s="79"/>
      <c r="DA53" s="79"/>
      <c r="DB53" s="79"/>
      <c r="DC53" s="79"/>
      <c r="DD53" s="79"/>
      <c r="DE53" s="79"/>
      <c r="DF53" s="79"/>
      <c r="DG53" s="79"/>
      <c r="DH53" s="79"/>
      <c r="DI53" s="79"/>
      <c r="DJ53" s="79"/>
      <c r="DK53" s="79"/>
      <c r="DL53" s="79"/>
      <c r="DM53" s="79"/>
      <c r="DN53" s="79">
        <v>5314361.0314548695</v>
      </c>
      <c r="DO53" s="79"/>
      <c r="DP53" s="208">
        <f>+'[21]Lead E'!$I$12+'[21]Lead E'!$I$15</f>
        <v>-417522.06837500038</v>
      </c>
      <c r="DQ53" s="79"/>
      <c r="DR53" s="79"/>
      <c r="DS53" s="79"/>
      <c r="DT53" s="79"/>
      <c r="DU53" s="79"/>
      <c r="DV53" s="208"/>
      <c r="DW53" s="79"/>
      <c r="DX53" s="79"/>
      <c r="DY53" s="79"/>
      <c r="DZ53" s="79"/>
      <c r="EA53" s="79"/>
      <c r="EB53" s="79">
        <v>-12660729.431444496</v>
      </c>
      <c r="EC53" s="90"/>
      <c r="ED53" s="79"/>
      <c r="EE53" s="79">
        <v>2205082.5325653199</v>
      </c>
      <c r="EF53" s="79">
        <v>48883652.011923321</v>
      </c>
      <c r="EG53" s="79"/>
      <c r="EH53" s="208"/>
      <c r="EI53" s="79">
        <v>-48883652.011923321</v>
      </c>
      <c r="EJ53" s="79"/>
      <c r="EK53" s="78">
        <f t="shared" si="58"/>
        <v>-5558807.9357993081</v>
      </c>
      <c r="EL53" s="78">
        <f t="shared" si="59"/>
        <v>217367631.27860665</v>
      </c>
      <c r="EM53" s="79"/>
      <c r="EN53" s="79"/>
      <c r="EO53" s="79"/>
      <c r="EP53" s="79"/>
      <c r="EQ53" s="79"/>
      <c r="ER53" s="79"/>
      <c r="ES53" s="79"/>
      <c r="ET53" s="79"/>
      <c r="EU53" s="79"/>
      <c r="EV53" s="79"/>
      <c r="EW53" s="79"/>
      <c r="EX53" s="79"/>
      <c r="EY53" s="79"/>
      <c r="EZ53" s="79"/>
      <c r="FA53" s="79"/>
      <c r="FB53" s="79"/>
      <c r="FC53" s="79"/>
      <c r="FD53" s="79"/>
      <c r="FE53" s="79"/>
      <c r="FF53" s="79"/>
      <c r="FH53" s="79"/>
      <c r="FI53" s="79">
        <v>3094711.5003698948</v>
      </c>
      <c r="FJ53" s="79">
        <v>0</v>
      </c>
      <c r="FK53" s="79">
        <v>-307097.48052911554</v>
      </c>
      <c r="FL53" s="79"/>
      <c r="FM53" s="208">
        <f>+'[21]Lead E'!$K$13+'[21]Lead E'!$K$16</f>
        <v>403402.1517708333</v>
      </c>
      <c r="FN53" s="79"/>
      <c r="FO53" s="79"/>
      <c r="FP53" s="79"/>
      <c r="FQ53" s="79"/>
      <c r="FR53" s="79"/>
      <c r="FS53" s="208"/>
      <c r="FT53" s="79"/>
      <c r="FU53" s="79"/>
      <c r="FV53" s="79"/>
      <c r="FW53" s="79"/>
      <c r="FX53" s="79"/>
      <c r="FY53" s="79">
        <v>-6428589.0754790008</v>
      </c>
      <c r="FZ53" s="90"/>
      <c r="GA53" s="208">
        <f>+[23]Adjustment!$F$44*1000</f>
        <v>-10729971.805527003</v>
      </c>
      <c r="GB53" s="79">
        <v>-976946.20299533708</v>
      </c>
      <c r="GC53" s="88">
        <v>0</v>
      </c>
      <c r="GD53" s="79">
        <v>0</v>
      </c>
      <c r="GE53" s="208"/>
      <c r="GF53" s="208"/>
      <c r="GG53" s="79"/>
      <c r="GH53" s="79"/>
      <c r="GI53" s="78">
        <f t="shared" si="60"/>
        <v>-14944490.912389729</v>
      </c>
      <c r="GJ53" s="78">
        <f t="shared" si="61"/>
        <v>202423140.36621693</v>
      </c>
      <c r="GK53" s="79"/>
      <c r="GL53" s="79"/>
      <c r="GM53" s="79"/>
      <c r="GN53" s="79"/>
      <c r="GO53" s="79"/>
      <c r="GP53" s="79"/>
      <c r="GQ53" s="79"/>
      <c r="GR53" s="79"/>
      <c r="GS53" s="79"/>
      <c r="GT53" s="79"/>
      <c r="GU53" s="79"/>
      <c r="GV53" s="79"/>
      <c r="GW53" s="79"/>
      <c r="GX53" s="79"/>
      <c r="GY53" s="79"/>
      <c r="GZ53" s="79"/>
      <c r="HA53" s="79"/>
      <c r="HB53" s="79"/>
      <c r="HC53" s="79"/>
      <c r="HD53" s="79"/>
      <c r="HE53" s="79"/>
      <c r="HF53" s="79"/>
      <c r="HG53" s="79">
        <v>69313768.458075508</v>
      </c>
      <c r="HH53" s="79">
        <v>0</v>
      </c>
      <c r="HI53" s="79">
        <v>-6701666.0302178357</v>
      </c>
      <c r="HJ53" s="79"/>
      <c r="HK53" s="208">
        <f>+'[21]Lead E'!$M$13+'[21]Lead E'!$M$16</f>
        <v>806804.30354166648</v>
      </c>
      <c r="HL53" s="79"/>
      <c r="HM53" s="79"/>
      <c r="HN53" s="79"/>
      <c r="HO53" s="79"/>
      <c r="HP53" s="79"/>
      <c r="HQ53" s="79"/>
      <c r="HR53" s="79"/>
      <c r="HS53" s="79"/>
      <c r="HT53" s="79"/>
      <c r="HU53" s="79"/>
      <c r="HV53" s="79"/>
      <c r="HW53" s="79">
        <v>-15831026.472392336</v>
      </c>
      <c r="HX53" s="90"/>
      <c r="HY53" s="208">
        <f>+[23]Adjustment!$G$44*1000</f>
        <v>-21459943.611054003</v>
      </c>
      <c r="HZ53" s="79">
        <v>-1953892.4059906751</v>
      </c>
      <c r="IA53" s="79">
        <v>0</v>
      </c>
      <c r="IB53" s="79">
        <v>0</v>
      </c>
      <c r="IC53" s="208"/>
      <c r="ID53" s="208"/>
      <c r="IE53" s="79"/>
      <c r="IF53" s="79"/>
      <c r="IG53" s="78">
        <f t="shared" si="62"/>
        <v>24174044.241962329</v>
      </c>
      <c r="IH53" s="78">
        <f t="shared" si="63"/>
        <v>226597184.60817927</v>
      </c>
      <c r="II53" s="79"/>
      <c r="IJ53" s="79"/>
      <c r="IK53" s="79"/>
      <c r="IL53" s="79"/>
      <c r="IM53" s="79"/>
      <c r="IN53" s="79"/>
      <c r="IO53" s="79"/>
      <c r="IP53" s="79"/>
      <c r="IQ53" s="79"/>
      <c r="IR53" s="79"/>
      <c r="IS53" s="79"/>
      <c r="IT53" s="79"/>
      <c r="IU53" s="79"/>
      <c r="IV53" s="79"/>
      <c r="IW53" s="79"/>
      <c r="IX53" s="79"/>
      <c r="IY53" s="79"/>
      <c r="IZ53" s="79"/>
      <c r="JA53" s="79"/>
      <c r="JB53" s="79"/>
      <c r="JC53" s="79"/>
      <c r="JD53" s="79"/>
      <c r="JE53" s="79">
        <v>-3729192.1008641431</v>
      </c>
      <c r="JF53" s="79">
        <v>0</v>
      </c>
      <c r="JG53" s="79">
        <v>-6701666.030217832</v>
      </c>
      <c r="JH53" s="79"/>
      <c r="JI53" s="208">
        <f>+'[21]Lead E'!$O$13+'[21]Lead E'!$O$16</f>
        <v>403402.15177083277</v>
      </c>
      <c r="JJ53" s="79"/>
      <c r="JK53" s="79"/>
      <c r="JL53" s="79"/>
      <c r="JM53" s="79"/>
      <c r="JN53" s="79"/>
      <c r="JO53" s="79"/>
      <c r="JP53" s="208"/>
      <c r="JQ53" s="79"/>
      <c r="JR53" s="79"/>
      <c r="JS53" s="79"/>
      <c r="JT53" s="79"/>
      <c r="JU53" s="79">
        <v>-15325183.616237327</v>
      </c>
      <c r="JV53" s="90"/>
      <c r="JW53" s="208">
        <f>+[23]Adjustment!$H$44*1000</f>
        <v>-21459943.611054003</v>
      </c>
      <c r="JX53" s="79">
        <v>-1953892.4059906746</v>
      </c>
      <c r="JY53" s="79">
        <v>0</v>
      </c>
      <c r="JZ53" s="79">
        <v>0</v>
      </c>
      <c r="KA53" s="208"/>
      <c r="KB53" s="208"/>
      <c r="KC53" s="79"/>
      <c r="KD53" s="79"/>
      <c r="KE53" s="78">
        <f t="shared" si="64"/>
        <v>-48766475.612593152</v>
      </c>
      <c r="KF53" s="78">
        <f t="shared" si="65"/>
        <v>177830708.99558613</v>
      </c>
      <c r="KG53" s="43" t="s">
        <v>34</v>
      </c>
    </row>
    <row r="54" spans="1:293" x14ac:dyDescent="0.3">
      <c r="A54" s="58">
        <f>ROW()</f>
        <v>54</v>
      </c>
      <c r="B54" s="47" t="s">
        <v>100</v>
      </c>
      <c r="C54" s="78">
        <v>-1335992018.2306712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>
        <v>20193342.25231719</v>
      </c>
      <c r="W54" s="90">
        <v>174811.93367470521</v>
      </c>
      <c r="X54" s="87"/>
      <c r="Y54" s="90"/>
      <c r="Z54" s="90"/>
      <c r="AA54" s="51">
        <v>15024314.267470008</v>
      </c>
      <c r="AB54" s="90">
        <v>0</v>
      </c>
      <c r="AC54" s="90"/>
      <c r="AD54" s="90">
        <v>0</v>
      </c>
      <c r="AE54" s="87"/>
      <c r="AF54" s="87"/>
      <c r="AG54" s="88">
        <v>629006.75</v>
      </c>
      <c r="AH54" s="87"/>
      <c r="AI54" s="90">
        <v>0</v>
      </c>
      <c r="AJ54" s="88">
        <v>8967.149099999986</v>
      </c>
      <c r="AK54" s="87"/>
      <c r="AL54" s="87"/>
      <c r="AM54" s="87"/>
      <c r="AN54" s="87"/>
      <c r="AO54" s="87"/>
      <c r="AP54" s="208"/>
      <c r="AQ54" s="87"/>
      <c r="AR54" s="78">
        <f t="shared" si="54"/>
        <v>36030442.352561899</v>
      </c>
      <c r="AS54" s="78">
        <f t="shared" si="55"/>
        <v>-1299961575.8781092</v>
      </c>
      <c r="AT54" s="79"/>
      <c r="AU54" s="79"/>
      <c r="AV54" s="79"/>
      <c r="AW54" s="79">
        <v>10695828.339366198</v>
      </c>
      <c r="AX54" s="79"/>
      <c r="AY54" s="79"/>
      <c r="AZ54" s="79"/>
      <c r="BA54" s="79"/>
      <c r="BB54" s="79"/>
      <c r="BC54" s="79"/>
      <c r="BD54" s="79"/>
      <c r="BE54" s="79"/>
      <c r="BF54" s="79"/>
      <c r="BG54" s="79"/>
      <c r="BH54" s="79"/>
      <c r="BI54" s="79"/>
      <c r="BJ54" s="51"/>
      <c r="BK54" s="79"/>
      <c r="BL54" s="79"/>
      <c r="BM54" s="79"/>
      <c r="BN54" s="79"/>
      <c r="BO54" s="79"/>
      <c r="BP54" s="79"/>
      <c r="BQ54" s="79">
        <v>-15024314.267470008</v>
      </c>
      <c r="BR54" s="79">
        <v>-482287.54003935307</v>
      </c>
      <c r="BS54" s="79"/>
      <c r="BT54" s="208">
        <f>+'[21]Lead E'!$G$14+'[21]Lead E'!$G$17</f>
        <v>175359.26871749992</v>
      </c>
      <c r="BU54" s="79"/>
      <c r="BV54" s="79">
        <v>7596797.3701027632</v>
      </c>
      <c r="BW54" s="79">
        <v>0</v>
      </c>
      <c r="BX54" s="79">
        <v>-1201822.8799419999</v>
      </c>
      <c r="BY54" s="79">
        <v>-326884.81</v>
      </c>
      <c r="BZ54" s="79">
        <v>-228302.92468599998</v>
      </c>
      <c r="CA54" s="79">
        <v>-976611.77493000019</v>
      </c>
      <c r="CB54" s="79"/>
      <c r="CC54" s="79"/>
      <c r="CD54" s="79">
        <v>-34891.75</v>
      </c>
      <c r="CE54" s="79"/>
      <c r="CF54" s="79">
        <v>459398.63898250088</v>
      </c>
      <c r="CG54" s="88">
        <v>5.4569682106375694E-12</v>
      </c>
      <c r="CH54" s="79"/>
      <c r="CI54" s="79">
        <v>-1178202.2891934488</v>
      </c>
      <c r="CJ54" s="79">
        <v>26483588.579250995</v>
      </c>
      <c r="CK54" s="79"/>
      <c r="CL54" s="79">
        <v>42774165.616749004</v>
      </c>
      <c r="CM54" s="79"/>
      <c r="CN54" s="78">
        <f t="shared" si="56"/>
        <v>68731819.576908141</v>
      </c>
      <c r="CO54" s="78">
        <f t="shared" si="57"/>
        <v>-1231229756.3012011</v>
      </c>
      <c r="CP54" s="79"/>
      <c r="CQ54" s="79"/>
      <c r="CR54" s="79"/>
      <c r="CS54" s="79">
        <v>21526388.995392021</v>
      </c>
      <c r="CT54" s="79"/>
      <c r="CU54" s="79"/>
      <c r="CV54" s="79"/>
      <c r="CW54" s="79"/>
      <c r="CX54" s="79"/>
      <c r="CY54" s="79"/>
      <c r="CZ54" s="79"/>
      <c r="DA54" s="79"/>
      <c r="DB54" s="79"/>
      <c r="DC54" s="79"/>
      <c r="DD54" s="79"/>
      <c r="DE54" s="79"/>
      <c r="DF54" s="79"/>
      <c r="DG54" s="79"/>
      <c r="DH54" s="79"/>
      <c r="DI54" s="79"/>
      <c r="DJ54" s="79"/>
      <c r="DK54" s="79"/>
      <c r="DL54" s="79">
        <v>0</v>
      </c>
      <c r="DM54" s="79">
        <v>0</v>
      </c>
      <c r="DN54" s="79">
        <v>-1116015.8166055225</v>
      </c>
      <c r="DO54" s="79"/>
      <c r="DP54" s="208"/>
      <c r="DQ54" s="79"/>
      <c r="DR54" s="79">
        <v>19621738.267848969</v>
      </c>
      <c r="DS54" s="79">
        <v>0</v>
      </c>
      <c r="DT54" s="79">
        <v>-5223712.5467120009</v>
      </c>
      <c r="DU54" s="79">
        <v>-472942.01000000007</v>
      </c>
      <c r="DV54" s="208">
        <f>-807087.119536+'6.33 (EESD)'!E60*1000</f>
        <v>-200293.6235689465</v>
      </c>
      <c r="DW54" s="79">
        <v>-2926370.2810999993</v>
      </c>
      <c r="DX54" s="79"/>
      <c r="DY54" s="79"/>
      <c r="DZ54" s="79"/>
      <c r="EA54" s="79"/>
      <c r="EB54" s="79">
        <v>713648.11715810001</v>
      </c>
      <c r="EC54" s="88">
        <v>1.8189894035458565E-11</v>
      </c>
      <c r="ED54" s="79"/>
      <c r="EE54" s="79">
        <v>-463067.33183871815</v>
      </c>
      <c r="EF54" s="79">
        <v>-21248131.802503899</v>
      </c>
      <c r="EG54" s="79"/>
      <c r="EH54" s="208">
        <f>+'A1 (Elect. Adj.)'!E60*1000</f>
        <v>-12801.54236338201</v>
      </c>
      <c r="EI54" s="79">
        <v>10265566.922503889</v>
      </c>
      <c r="EJ54" s="79"/>
      <c r="EK54" s="78">
        <f t="shared" si="58"/>
        <v>20464007.348210514</v>
      </c>
      <c r="EL54" s="78">
        <f t="shared" si="59"/>
        <v>-1210765748.9529905</v>
      </c>
      <c r="EM54" s="79"/>
      <c r="EN54" s="79"/>
      <c r="EO54" s="79"/>
      <c r="EP54" s="79">
        <v>10098693.721887633</v>
      </c>
      <c r="EQ54" s="79"/>
      <c r="ER54" s="79"/>
      <c r="ES54" s="79"/>
      <c r="ET54" s="79"/>
      <c r="EU54" s="79"/>
      <c r="EV54" s="79"/>
      <c r="EW54" s="79"/>
      <c r="EX54" s="79"/>
      <c r="EY54" s="79"/>
      <c r="EZ54" s="79"/>
      <c r="FA54" s="79"/>
      <c r="FB54" s="79"/>
      <c r="FC54" s="79"/>
      <c r="FD54" s="79"/>
      <c r="FE54" s="79"/>
      <c r="FF54" s="79"/>
      <c r="FG54" s="79"/>
      <c r="FH54" s="79"/>
      <c r="FI54" s="79">
        <v>-649889.41507767781</v>
      </c>
      <c r="FJ54" s="79">
        <v>0</v>
      </c>
      <c r="FK54" s="79">
        <v>64490.470911114477</v>
      </c>
      <c r="FL54" s="79"/>
      <c r="FM54" s="208">
        <f>+'[21]Lead E'!$K$14+'[21]Lead E'!$K$17</f>
        <v>-84714.451871875208</v>
      </c>
      <c r="FN54" s="79"/>
      <c r="FO54" s="79">
        <v>10494855.825582385</v>
      </c>
      <c r="FP54" s="79">
        <v>0</v>
      </c>
      <c r="FQ54" s="79">
        <v>-6509041.3574299989</v>
      </c>
      <c r="FR54" s="79">
        <v>-209473.41000000003</v>
      </c>
      <c r="FS54" s="208">
        <f>-992104.317384+'6.33 (EESD)'!F60*1000</f>
        <v>-6178.6031735367142</v>
      </c>
      <c r="FT54" s="79">
        <v>-2677031.5883480022</v>
      </c>
      <c r="FU54" s="79"/>
      <c r="FV54" s="79"/>
      <c r="FW54" s="79">
        <v>-34892</v>
      </c>
      <c r="FX54" s="79"/>
      <c r="FY54" s="79">
        <v>359516.19378599059</v>
      </c>
      <c r="FZ54" s="88">
        <v>-5770.5265041666971</v>
      </c>
      <c r="GA54" s="208">
        <f>+[23]Adjustment!$F$53*1000</f>
        <v>1939757.6179432024</v>
      </c>
      <c r="GB54" s="79">
        <v>205158.70262902044</v>
      </c>
      <c r="GC54" s="88">
        <v>-4253657.5562557094</v>
      </c>
      <c r="GD54" s="79">
        <v>0</v>
      </c>
      <c r="GE54" s="208">
        <f>+'A1 (Elect. Adj.)'!F60*1000</f>
        <v>-533056.50525722408</v>
      </c>
      <c r="GF54" s="208"/>
      <c r="GG54" s="79"/>
      <c r="GH54" s="79"/>
      <c r="GI54" s="78">
        <f t="shared" si="60"/>
        <v>8198767.1188211543</v>
      </c>
      <c r="GJ54" s="78">
        <f t="shared" si="61"/>
        <v>-1202566981.8341694</v>
      </c>
      <c r="GK54" s="79"/>
      <c r="GL54" s="79"/>
      <c r="GM54" s="79"/>
      <c r="GN54" s="79">
        <v>21213022.136484977</v>
      </c>
      <c r="GO54" s="79"/>
      <c r="GP54" s="79"/>
      <c r="GQ54" s="79"/>
      <c r="GR54" s="79"/>
      <c r="GS54" s="79"/>
      <c r="GT54" s="79"/>
      <c r="GU54" s="79"/>
      <c r="GV54" s="79"/>
      <c r="GW54" s="79"/>
      <c r="GX54" s="79"/>
      <c r="GY54" s="79"/>
      <c r="GZ54" s="79"/>
      <c r="HA54" s="79"/>
      <c r="HB54" s="79"/>
      <c r="HC54" s="79"/>
      <c r="HD54" s="79"/>
      <c r="HF54" s="79"/>
      <c r="HG54" s="79">
        <v>-14555891.376195857</v>
      </c>
      <c r="HH54" s="79">
        <v>0</v>
      </c>
      <c r="HI54" s="79">
        <v>1407349.8663457436</v>
      </c>
      <c r="HJ54" s="79"/>
      <c r="HK54" s="208">
        <f>+'[21]Lead E'!$M$14+'[21]Lead E'!$M$17</f>
        <v>-169428.90374375001</v>
      </c>
      <c r="HL54" s="79"/>
      <c r="HM54" s="79">
        <v>24636688.075834513</v>
      </c>
      <c r="HN54" s="79">
        <v>0</v>
      </c>
      <c r="HO54" s="79">
        <v>-15518075.550933991</v>
      </c>
      <c r="HP54" s="79">
        <v>-455457.37</v>
      </c>
      <c r="HQ54" s="79">
        <f>-4000987.112204+'6.33 (EESD)'!G60*1000</f>
        <v>783264.78669802984</v>
      </c>
      <c r="HR54" s="79">
        <v>-6381618.9012659928</v>
      </c>
      <c r="HS54" s="79"/>
      <c r="HT54" s="79"/>
      <c r="HU54" s="79"/>
      <c r="HV54" s="79"/>
      <c r="HW54" s="79">
        <v>1275163.8902054485</v>
      </c>
      <c r="HX54" s="88">
        <v>-3196.6225958333121</v>
      </c>
      <c r="HY54" s="208">
        <f>+[23]Adjustment!$G$53*1000</f>
        <v>3879515.2358864043</v>
      </c>
      <c r="HZ54" s="79">
        <v>410317.40525804099</v>
      </c>
      <c r="IA54" s="79">
        <v>-8932371.5531249847</v>
      </c>
      <c r="IB54" s="79">
        <v>0</v>
      </c>
      <c r="IC54" s="208">
        <f>+'A1 (Elect. Adj.)'!G60*1000</f>
        <v>1087830.9126067087</v>
      </c>
      <c r="ID54" s="208"/>
      <c r="IE54" s="79"/>
      <c r="IF54" s="79"/>
      <c r="IG54" s="78">
        <f t="shared" si="62"/>
        <v>8677112.0314594582</v>
      </c>
      <c r="IH54" s="78">
        <f t="shared" si="63"/>
        <v>-1193889869.8027098</v>
      </c>
      <c r="II54" s="79"/>
      <c r="IJ54" s="79"/>
      <c r="IK54" s="79"/>
      <c r="IL54" s="79">
        <v>20837437.957287818</v>
      </c>
      <c r="IM54" s="79"/>
      <c r="IN54" s="79"/>
      <c r="IO54" s="79"/>
      <c r="IP54" s="79"/>
      <c r="IQ54" s="79"/>
      <c r="IR54" s="79"/>
      <c r="IS54" s="79"/>
      <c r="IT54" s="79"/>
      <c r="IU54" s="79"/>
      <c r="IV54" s="79"/>
      <c r="IW54" s="79"/>
      <c r="IX54" s="79"/>
      <c r="IY54" s="79"/>
      <c r="IZ54" s="79"/>
      <c r="JA54" s="79"/>
      <c r="JB54" s="79"/>
      <c r="JC54" s="79"/>
      <c r="JD54" s="79"/>
      <c r="JE54" s="79">
        <v>783130.34118146263</v>
      </c>
      <c r="JF54" s="79">
        <v>0</v>
      </c>
      <c r="JG54" s="79">
        <v>1407349.8663457434</v>
      </c>
      <c r="JH54" s="79"/>
      <c r="JI54" s="208">
        <f>+'[21]Lead E'!$O$14+'[21]Lead E'!$O$17</f>
        <v>-84714.451871874975</v>
      </c>
      <c r="JJ54" s="79"/>
      <c r="JK54" s="79">
        <v>28585508.352794528</v>
      </c>
      <c r="JL54" s="79">
        <v>0</v>
      </c>
      <c r="JM54" s="79">
        <v>-18533158.485390004</v>
      </c>
      <c r="JN54" s="79">
        <v>-518427.34000000032</v>
      </c>
      <c r="JO54" s="79">
        <v>-8440644.0930219963</v>
      </c>
      <c r="JP54" s="208">
        <f>-7974873.94192602+'6.33 (EESD)'!H60*1000+'6.33 (LWR BKR)'!H60*1000</f>
        <v>1520074.6786595774</v>
      </c>
      <c r="JQ54" s="79"/>
      <c r="JR54" s="79"/>
      <c r="JS54" s="79"/>
      <c r="JT54" s="79"/>
      <c r="JU54" s="79">
        <v>1106177.3076548791</v>
      </c>
      <c r="JV54" s="88">
        <v>0</v>
      </c>
      <c r="JW54" s="208">
        <f>+[23]Adjustment!$H$53*1000</f>
        <v>3879515.2358864034</v>
      </c>
      <c r="JX54" s="79">
        <v>410317.40525804064</v>
      </c>
      <c r="JY54" s="79">
        <v>-8137459.3442722755</v>
      </c>
      <c r="JZ54" s="79">
        <v>0</v>
      </c>
      <c r="KA54" s="208">
        <f>+'A1 (Elect. Adj.)'!H60*1000</f>
        <v>1881937.7141377348</v>
      </c>
      <c r="KB54" s="208"/>
      <c r="KC54" s="79"/>
      <c r="KD54" s="79"/>
      <c r="KE54" s="78">
        <f t="shared" si="64"/>
        <v>24697045.144650042</v>
      </c>
      <c r="KF54" s="78">
        <f t="shared" si="65"/>
        <v>-1169192824.6580598</v>
      </c>
      <c r="KG54" s="43" t="s">
        <v>34</v>
      </c>
    </row>
    <row r="55" spans="1:293" x14ac:dyDescent="0.3">
      <c r="A55" s="58">
        <f>ROW()</f>
        <v>55</v>
      </c>
      <c r="B55" s="47" t="s">
        <v>101</v>
      </c>
      <c r="C55" s="101">
        <v>190815244.39800799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>
        <v>6628145.0003628135</v>
      </c>
      <c r="W55" s="90"/>
      <c r="X55" s="90"/>
      <c r="Y55" s="90"/>
      <c r="Z55" s="90"/>
      <c r="AA55" s="90"/>
      <c r="AB55" s="90"/>
      <c r="AC55" s="90"/>
      <c r="AD55" s="90"/>
      <c r="AE55" s="90"/>
      <c r="AF55" s="90"/>
      <c r="AG55" s="90"/>
      <c r="AH55" s="90"/>
      <c r="AI55" s="90"/>
      <c r="AJ55" s="90"/>
      <c r="AK55" s="90"/>
      <c r="AL55" s="90"/>
      <c r="AM55" s="90"/>
      <c r="AN55" s="90"/>
      <c r="AO55" s="90"/>
      <c r="AP55" s="208">
        <f>+'[24]WC '!$F$26</f>
        <v>-10412255.885072351</v>
      </c>
      <c r="AQ55" s="90"/>
      <c r="AR55" s="102">
        <f t="shared" si="54"/>
        <v>-3784110.884709537</v>
      </c>
      <c r="AS55" s="78">
        <f t="shared" si="55"/>
        <v>187031133.51329845</v>
      </c>
      <c r="AT55" s="79"/>
      <c r="AU55" s="79"/>
      <c r="AV55" s="79"/>
      <c r="AW55" s="79"/>
      <c r="AX55" s="79"/>
      <c r="AY55" s="79"/>
      <c r="AZ55" s="79"/>
      <c r="BA55" s="79"/>
      <c r="BB55" s="79"/>
      <c r="BC55" s="79"/>
      <c r="BD55" s="79"/>
      <c r="BE55" s="79"/>
      <c r="BF55" s="79"/>
      <c r="BG55" s="79"/>
      <c r="BH55" s="79"/>
      <c r="BI55" s="79"/>
      <c r="BJ55" s="79"/>
      <c r="BK55" s="79"/>
      <c r="BL55" s="79"/>
      <c r="BM55" s="79"/>
      <c r="BO55" s="79"/>
      <c r="BP55" s="79"/>
      <c r="BQ55" s="79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79"/>
      <c r="CM55" s="79"/>
      <c r="CN55" s="78">
        <f t="shared" si="56"/>
        <v>0</v>
      </c>
      <c r="CO55" s="78">
        <f t="shared" si="57"/>
        <v>187031133.51329845</v>
      </c>
      <c r="CP55" s="79"/>
      <c r="CQ55" s="79"/>
      <c r="CR55" s="79"/>
      <c r="CS55" s="79"/>
      <c r="CT55" s="79"/>
      <c r="CU55" s="79"/>
      <c r="CV55" s="79"/>
      <c r="CW55" s="79"/>
      <c r="CX55" s="79"/>
      <c r="CY55" s="79"/>
      <c r="CZ55" s="79"/>
      <c r="DA55" s="79"/>
      <c r="DB55" s="79"/>
      <c r="DC55" s="79"/>
      <c r="DD55" s="79"/>
      <c r="DE55" s="79"/>
      <c r="DF55" s="79"/>
      <c r="DG55" s="79"/>
      <c r="DH55" s="79"/>
      <c r="DI55" s="79"/>
      <c r="DK55" s="79"/>
      <c r="DL55" s="79"/>
      <c r="DM55" s="79"/>
      <c r="DN55" s="79"/>
      <c r="DO55" s="79"/>
      <c r="DP55" s="208">
        <f>+'[21]Lead E'!$I$14+'[21]Lead E'!$I$17</f>
        <v>87679.634358749958</v>
      </c>
      <c r="DQ55" s="79"/>
      <c r="DR55" s="79"/>
      <c r="DS55" s="79"/>
      <c r="DT55" s="79"/>
      <c r="DU55" s="79"/>
      <c r="DV55" s="79"/>
      <c r="DW55" s="79"/>
      <c r="DX55" s="79"/>
      <c r="DY55" s="79"/>
      <c r="DZ55" s="79"/>
      <c r="EA55" s="79"/>
      <c r="EB55" s="79"/>
      <c r="EC55" s="79"/>
      <c r="ED55" s="79"/>
      <c r="EE55" s="79"/>
      <c r="EF55" s="79"/>
      <c r="EG55" s="79"/>
      <c r="EH55" s="208"/>
      <c r="EI55" s="79"/>
      <c r="EJ55" s="79"/>
      <c r="EK55" s="78">
        <f t="shared" si="58"/>
        <v>87679.634358749958</v>
      </c>
      <c r="EL55" s="78">
        <f t="shared" si="59"/>
        <v>187118813.14765722</v>
      </c>
      <c r="EM55" s="79"/>
      <c r="EN55" s="79"/>
      <c r="EO55" s="79"/>
      <c r="EP55" s="79"/>
      <c r="EQ55" s="79"/>
      <c r="ER55" s="79"/>
      <c r="ES55" s="79"/>
      <c r="ET55" s="79"/>
      <c r="EU55" s="79"/>
      <c r="EV55" s="79"/>
      <c r="EW55" s="79"/>
      <c r="EX55" s="79"/>
      <c r="EY55" s="79"/>
      <c r="EZ55" s="79"/>
      <c r="FA55" s="79"/>
      <c r="FB55" s="79"/>
      <c r="FC55" s="79"/>
      <c r="FD55" s="79"/>
      <c r="FE55" s="79"/>
      <c r="FF55" s="79"/>
      <c r="FG55" s="79"/>
      <c r="FH55" s="79"/>
      <c r="FI55" s="79"/>
      <c r="FJ55" s="79"/>
      <c r="FK55" s="79"/>
      <c r="FL55" s="79"/>
      <c r="FM55" s="79"/>
      <c r="FN55" s="79"/>
      <c r="FO55" s="79"/>
      <c r="FP55" s="79"/>
      <c r="FQ55" s="79"/>
      <c r="FR55" s="79"/>
      <c r="FS55" s="79"/>
      <c r="FT55" s="79"/>
      <c r="FU55" s="79"/>
      <c r="FV55" s="79"/>
      <c r="FW55" s="79"/>
      <c r="FX55" s="79"/>
      <c r="FY55" s="79"/>
      <c r="FZ55" s="79"/>
      <c r="GA55" s="79"/>
      <c r="GB55" s="79"/>
      <c r="GC55" s="79"/>
      <c r="GD55" s="79"/>
      <c r="GE55" s="208"/>
      <c r="GF55" s="208"/>
      <c r="GG55" s="79"/>
      <c r="GH55" s="79"/>
      <c r="GI55" s="78">
        <f t="shared" si="60"/>
        <v>0</v>
      </c>
      <c r="GJ55" s="78">
        <f t="shared" si="61"/>
        <v>187118813.14765722</v>
      </c>
      <c r="GK55" s="79"/>
      <c r="GL55" s="79"/>
      <c r="GM55" s="79"/>
      <c r="GN55" s="79"/>
      <c r="GO55" s="79"/>
      <c r="GP55" s="79"/>
      <c r="GQ55" s="79"/>
      <c r="GR55" s="79"/>
      <c r="GS55" s="79"/>
      <c r="GT55" s="79"/>
      <c r="GU55" s="79"/>
      <c r="GV55" s="79"/>
      <c r="GW55" s="79"/>
      <c r="GX55" s="79"/>
      <c r="GY55" s="79"/>
      <c r="GZ55" s="79"/>
      <c r="HA55" s="79"/>
      <c r="HB55" s="79"/>
      <c r="HC55" s="79"/>
      <c r="HD55" s="79"/>
      <c r="HF55" s="79"/>
      <c r="HG55" s="79"/>
      <c r="HH55" s="79"/>
      <c r="HI55" s="79"/>
      <c r="HJ55" s="79"/>
      <c r="HK55" s="79"/>
      <c r="HL55" s="79"/>
      <c r="HM55" s="79"/>
      <c r="HN55" s="79"/>
      <c r="HO55" s="79"/>
      <c r="HP55" s="79"/>
      <c r="HQ55" s="79"/>
      <c r="HR55" s="79"/>
      <c r="HS55" s="79"/>
      <c r="HT55" s="79"/>
      <c r="HU55" s="79"/>
      <c r="HV55" s="79"/>
      <c r="HW55" s="79"/>
      <c r="HX55" s="79"/>
      <c r="HY55" s="79"/>
      <c r="HZ55" s="79"/>
      <c r="IA55" s="79"/>
      <c r="IB55" s="79"/>
      <c r="IC55" s="208"/>
      <c r="ID55" s="208"/>
      <c r="IE55" s="79"/>
      <c r="IF55" s="79"/>
      <c r="IG55" s="78">
        <f t="shared" si="62"/>
        <v>0</v>
      </c>
      <c r="IH55" s="78">
        <f t="shared" si="63"/>
        <v>187118813.14765722</v>
      </c>
      <c r="II55" s="79"/>
      <c r="IJ55" s="79"/>
      <c r="IK55" s="79"/>
      <c r="IL55" s="79"/>
      <c r="IM55" s="79"/>
      <c r="IN55" s="79"/>
      <c r="IO55" s="79"/>
      <c r="IP55" s="79"/>
      <c r="IQ55" s="79"/>
      <c r="IR55" s="79"/>
      <c r="IS55" s="79"/>
      <c r="IT55" s="79"/>
      <c r="IU55" s="79"/>
      <c r="IV55" s="79"/>
      <c r="IW55" s="79"/>
      <c r="IX55" s="79"/>
      <c r="IY55" s="79"/>
      <c r="IZ55" s="79"/>
      <c r="JA55" s="79"/>
      <c r="JB55" s="79"/>
      <c r="JD55" s="79"/>
      <c r="JE55" s="79"/>
      <c r="JF55" s="79"/>
      <c r="JG55" s="79"/>
      <c r="JH55" s="79"/>
      <c r="JI55" s="79"/>
      <c r="JJ55" s="79"/>
      <c r="JK55" s="79"/>
      <c r="JL55" s="79"/>
      <c r="JM55" s="79"/>
      <c r="JN55" s="79"/>
      <c r="JO55" s="79"/>
      <c r="JP55" s="79"/>
      <c r="JQ55" s="79"/>
      <c r="JR55" s="79"/>
      <c r="JS55" s="79"/>
      <c r="JT55" s="79"/>
      <c r="JU55" s="79"/>
      <c r="JV55" s="79"/>
      <c r="JW55" s="79"/>
      <c r="JX55" s="79"/>
      <c r="JY55" s="79"/>
      <c r="JZ55" s="79"/>
      <c r="KA55" s="208"/>
      <c r="KB55" s="208"/>
      <c r="KC55" s="79"/>
      <c r="KD55" s="79"/>
      <c r="KE55" s="78">
        <f t="shared" si="64"/>
        <v>0</v>
      </c>
      <c r="KF55" s="78">
        <f t="shared" si="65"/>
        <v>187118813.14765722</v>
      </c>
      <c r="KG55" s="43" t="s">
        <v>34</v>
      </c>
    </row>
    <row r="56" spans="1:293" x14ac:dyDescent="0.3">
      <c r="A56" s="58">
        <f>ROW()</f>
        <v>56</v>
      </c>
      <c r="B56" s="47" t="s">
        <v>102</v>
      </c>
      <c r="C56" s="78">
        <v>-111495557.64287134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>
        <v>-2631836.9154126644</v>
      </c>
      <c r="W56" s="90"/>
      <c r="X56" s="90"/>
      <c r="Y56" s="90"/>
      <c r="Z56" s="90"/>
      <c r="AA56" s="90"/>
      <c r="AB56" s="90"/>
      <c r="AC56" s="90"/>
      <c r="AD56" s="90"/>
      <c r="AE56" s="90"/>
      <c r="AF56" s="90"/>
      <c r="AG56" s="90"/>
      <c r="AH56" s="90"/>
      <c r="AI56" s="90"/>
      <c r="AJ56" s="90"/>
      <c r="AK56" s="90"/>
      <c r="AL56" s="90"/>
      <c r="AM56" s="90"/>
      <c r="AN56" s="90"/>
      <c r="AO56" s="90"/>
      <c r="AP56" s="208"/>
      <c r="AQ56" s="90"/>
      <c r="AR56" s="78">
        <f t="shared" si="54"/>
        <v>-2631836.9154126644</v>
      </c>
      <c r="AS56" s="78">
        <f t="shared" si="55"/>
        <v>-114127394.558284</v>
      </c>
      <c r="AT56" s="79"/>
      <c r="AU56" s="79"/>
      <c r="AV56" s="79"/>
      <c r="AW56" s="79"/>
      <c r="AX56" s="79"/>
      <c r="AY56" s="79"/>
      <c r="AZ56" s="79"/>
      <c r="BA56" s="79"/>
      <c r="BB56" s="79"/>
      <c r="BC56" s="79"/>
      <c r="BD56" s="79"/>
      <c r="BE56" s="79"/>
      <c r="BF56" s="79"/>
      <c r="BG56" s="79"/>
      <c r="BH56" s="79"/>
      <c r="BI56" s="79"/>
      <c r="BJ56" s="79"/>
      <c r="BK56" s="79"/>
      <c r="BL56" s="79"/>
      <c r="BM56" s="79"/>
      <c r="BN56" s="79"/>
      <c r="BO56" s="79"/>
      <c r="BP56" s="79"/>
      <c r="BQ56" s="79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79"/>
      <c r="CM56" s="79"/>
      <c r="CN56" s="78">
        <f t="shared" si="56"/>
        <v>0</v>
      </c>
      <c r="CO56" s="78">
        <f t="shared" si="57"/>
        <v>-114127394.558284</v>
      </c>
      <c r="CP56" s="79"/>
      <c r="CQ56" s="79"/>
      <c r="CR56" s="79"/>
      <c r="CS56" s="79"/>
      <c r="CT56" s="79"/>
      <c r="CU56" s="79"/>
      <c r="CV56" s="79"/>
      <c r="CW56" s="79"/>
      <c r="CX56" s="79"/>
      <c r="CY56" s="79"/>
      <c r="CZ56" s="79"/>
      <c r="DA56" s="79"/>
      <c r="DB56" s="79"/>
      <c r="DC56" s="79"/>
      <c r="DD56" s="79"/>
      <c r="DE56" s="79"/>
      <c r="DF56" s="79"/>
      <c r="DG56" s="79"/>
      <c r="DH56" s="79"/>
      <c r="DI56" s="79"/>
      <c r="DJ56" s="79"/>
      <c r="DK56" s="79"/>
      <c r="DL56" s="79"/>
      <c r="DM56" s="79"/>
      <c r="DN56" s="79"/>
      <c r="DO56" s="79"/>
      <c r="DP56" s="79"/>
      <c r="DQ56" s="79"/>
      <c r="DR56" s="79"/>
      <c r="DS56" s="79"/>
      <c r="DT56" s="79"/>
      <c r="DU56" s="79"/>
      <c r="DV56" s="79"/>
      <c r="DW56" s="79"/>
      <c r="DX56" s="79"/>
      <c r="DY56" s="79"/>
      <c r="DZ56" s="79"/>
      <c r="EA56" s="79"/>
      <c r="EB56" s="79"/>
      <c r="EC56" s="79"/>
      <c r="ED56" s="79"/>
      <c r="EE56" s="79"/>
      <c r="EF56" s="79"/>
      <c r="EG56" s="79"/>
      <c r="EH56" s="208"/>
      <c r="EI56" s="79"/>
      <c r="EJ56" s="79"/>
      <c r="EK56" s="78">
        <f t="shared" si="58"/>
        <v>0</v>
      </c>
      <c r="EL56" s="78">
        <f t="shared" si="59"/>
        <v>-114127394.558284</v>
      </c>
      <c r="EM56" s="79"/>
      <c r="EN56" s="79"/>
      <c r="EO56" s="79"/>
      <c r="EP56" s="79"/>
      <c r="EQ56" s="79"/>
      <c r="ER56" s="79"/>
      <c r="ES56" s="79"/>
      <c r="ET56" s="79"/>
      <c r="EU56" s="79"/>
      <c r="EV56" s="79"/>
      <c r="EW56" s="79"/>
      <c r="EX56" s="79"/>
      <c r="EY56" s="79"/>
      <c r="EZ56" s="79"/>
      <c r="FA56" s="79"/>
      <c r="FB56" s="79"/>
      <c r="FC56" s="79"/>
      <c r="FD56" s="79"/>
      <c r="FE56" s="79"/>
      <c r="FF56" s="79"/>
      <c r="FG56" s="79"/>
      <c r="FH56" s="79"/>
      <c r="FI56" s="79"/>
      <c r="FJ56" s="79"/>
      <c r="FK56" s="79"/>
      <c r="FL56" s="79"/>
      <c r="FM56" s="79"/>
      <c r="FN56" s="79"/>
      <c r="FO56" s="79"/>
      <c r="FP56" s="79"/>
      <c r="FQ56" s="79"/>
      <c r="FR56" s="79"/>
      <c r="FS56" s="79"/>
      <c r="FT56" s="79"/>
      <c r="FU56" s="79"/>
      <c r="FV56" s="79"/>
      <c r="FW56" s="79"/>
      <c r="FX56" s="79"/>
      <c r="FY56" s="79"/>
      <c r="FZ56" s="79"/>
      <c r="GA56" s="79"/>
      <c r="GB56" s="79"/>
      <c r="GC56" s="79"/>
      <c r="GD56" s="79"/>
      <c r="GE56" s="208"/>
      <c r="GF56" s="208"/>
      <c r="GG56" s="79"/>
      <c r="GH56" s="79"/>
      <c r="GI56" s="78">
        <f t="shared" si="60"/>
        <v>0</v>
      </c>
      <c r="GJ56" s="78">
        <f t="shared" si="61"/>
        <v>-114127394.558284</v>
      </c>
      <c r="GK56" s="79"/>
      <c r="GL56" s="79"/>
      <c r="GM56" s="79"/>
      <c r="GN56" s="79"/>
      <c r="GO56" s="79"/>
      <c r="GP56" s="79"/>
      <c r="GQ56" s="79"/>
      <c r="GR56" s="79"/>
      <c r="GS56" s="79"/>
      <c r="GT56" s="79"/>
      <c r="GU56" s="79"/>
      <c r="GV56" s="79"/>
      <c r="GW56" s="79"/>
      <c r="GX56" s="79"/>
      <c r="GY56" s="79"/>
      <c r="GZ56" s="79"/>
      <c r="HA56" s="79"/>
      <c r="HB56" s="79"/>
      <c r="HC56" s="79"/>
      <c r="HD56" s="79"/>
      <c r="HE56" s="79"/>
      <c r="HF56" s="79"/>
      <c r="HG56" s="79"/>
      <c r="HH56" s="79"/>
      <c r="HI56" s="79"/>
      <c r="HJ56" s="79"/>
      <c r="HK56" s="79"/>
      <c r="HL56" s="79"/>
      <c r="HM56" s="79"/>
      <c r="HN56" s="79"/>
      <c r="HO56" s="79"/>
      <c r="HP56" s="79"/>
      <c r="HQ56" s="79"/>
      <c r="HR56" s="79"/>
      <c r="HS56" s="79"/>
      <c r="HT56" s="79"/>
      <c r="HU56" s="79"/>
      <c r="HV56" s="79"/>
      <c r="HW56" s="79"/>
      <c r="HX56" s="79"/>
      <c r="HY56" s="79"/>
      <c r="HZ56" s="79"/>
      <c r="IA56" s="79"/>
      <c r="IB56" s="79"/>
      <c r="IC56" s="208"/>
      <c r="ID56" s="208"/>
      <c r="IE56" s="79"/>
      <c r="IF56" s="79"/>
      <c r="IG56" s="78">
        <f t="shared" si="62"/>
        <v>0</v>
      </c>
      <c r="IH56" s="78">
        <f t="shared" si="63"/>
        <v>-114127394.558284</v>
      </c>
      <c r="II56" s="79"/>
      <c r="IJ56" s="79"/>
      <c r="IK56" s="79"/>
      <c r="IL56" s="79"/>
      <c r="IM56" s="79"/>
      <c r="IN56" s="79"/>
      <c r="IO56" s="79"/>
      <c r="IP56" s="79"/>
      <c r="IQ56" s="79"/>
      <c r="IR56" s="79"/>
      <c r="IS56" s="79"/>
      <c r="IT56" s="79"/>
      <c r="IU56" s="79"/>
      <c r="IV56" s="79"/>
      <c r="IW56" s="79"/>
      <c r="IX56" s="79"/>
      <c r="IY56" s="79"/>
      <c r="IZ56" s="79"/>
      <c r="JA56" s="79"/>
      <c r="JB56" s="79"/>
      <c r="JC56" s="79"/>
      <c r="JD56" s="79"/>
      <c r="JE56" s="79"/>
      <c r="JF56" s="79"/>
      <c r="JG56" s="79"/>
      <c r="JH56" s="79"/>
      <c r="JI56" s="79"/>
      <c r="JJ56" s="79"/>
      <c r="JK56" s="79"/>
      <c r="JL56" s="79"/>
      <c r="JM56" s="79"/>
      <c r="JN56" s="79"/>
      <c r="JO56" s="79"/>
      <c r="JP56" s="79"/>
      <c r="JQ56" s="79"/>
      <c r="JR56" s="79"/>
      <c r="JS56" s="79"/>
      <c r="JT56" s="79"/>
      <c r="JU56" s="79"/>
      <c r="JV56" s="79"/>
      <c r="JW56" s="79"/>
      <c r="JX56" s="79"/>
      <c r="JY56" s="79"/>
      <c r="JZ56" s="79"/>
      <c r="KA56" s="208"/>
      <c r="KB56" s="208"/>
      <c r="KC56" s="79"/>
      <c r="KD56" s="79"/>
      <c r="KE56" s="78">
        <f t="shared" si="64"/>
        <v>0</v>
      </c>
      <c r="KF56" s="78">
        <f t="shared" si="65"/>
        <v>-114127394.558284</v>
      </c>
      <c r="KG56" s="43" t="s">
        <v>34</v>
      </c>
    </row>
    <row r="57" spans="1:293" ht="13.5" thickBot="1" x14ac:dyDescent="0.35">
      <c r="A57" s="58">
        <f>ROW()</f>
        <v>57</v>
      </c>
      <c r="B57" s="47" t="s">
        <v>103</v>
      </c>
      <c r="C57" s="103">
        <f t="shared" ref="C57:AH57" si="66">SUM(C51:C56)</f>
        <v>5483216405.8370619</v>
      </c>
      <c r="D57" s="104">
        <f t="shared" si="66"/>
        <v>0</v>
      </c>
      <c r="E57" s="104">
        <f t="shared" si="66"/>
        <v>0</v>
      </c>
      <c r="F57" s="104">
        <f t="shared" si="66"/>
        <v>0</v>
      </c>
      <c r="G57" s="104">
        <f t="shared" si="66"/>
        <v>0</v>
      </c>
      <c r="H57" s="104">
        <f t="shared" si="66"/>
        <v>0</v>
      </c>
      <c r="I57" s="104">
        <f t="shared" si="66"/>
        <v>0</v>
      </c>
      <c r="J57" s="104">
        <f t="shared" si="66"/>
        <v>0</v>
      </c>
      <c r="K57" s="104">
        <f t="shared" si="66"/>
        <v>0</v>
      </c>
      <c r="L57" s="104">
        <f t="shared" si="66"/>
        <v>0</v>
      </c>
      <c r="M57" s="104">
        <f t="shared" si="66"/>
        <v>0</v>
      </c>
      <c r="N57" s="104">
        <f t="shared" si="66"/>
        <v>0</v>
      </c>
      <c r="O57" s="104">
        <f t="shared" si="66"/>
        <v>0</v>
      </c>
      <c r="P57" s="104">
        <f t="shared" si="66"/>
        <v>0</v>
      </c>
      <c r="Q57" s="104">
        <f t="shared" si="66"/>
        <v>0</v>
      </c>
      <c r="R57" s="104">
        <f t="shared" si="66"/>
        <v>0</v>
      </c>
      <c r="S57" s="104">
        <f t="shared" si="66"/>
        <v>0</v>
      </c>
      <c r="T57" s="104">
        <f t="shared" si="66"/>
        <v>0</v>
      </c>
      <c r="U57" s="104">
        <f t="shared" si="66"/>
        <v>0</v>
      </c>
      <c r="V57" s="104">
        <f t="shared" si="66"/>
        <v>18890706.954618394</v>
      </c>
      <c r="W57" s="104">
        <f t="shared" si="66"/>
        <v>-657625.84572865302</v>
      </c>
      <c r="X57" s="104">
        <f t="shared" si="66"/>
        <v>0</v>
      </c>
      <c r="Y57" s="104">
        <f t="shared" si="66"/>
        <v>0</v>
      </c>
      <c r="Z57" s="104">
        <f t="shared" si="66"/>
        <v>0</v>
      </c>
      <c r="AA57" s="104">
        <f t="shared" si="66"/>
        <v>-143015087.87042797</v>
      </c>
      <c r="AB57" s="104">
        <f t="shared" si="66"/>
        <v>0</v>
      </c>
      <c r="AC57" s="104">
        <f t="shared" si="66"/>
        <v>0</v>
      </c>
      <c r="AD57" s="104">
        <f t="shared" si="66"/>
        <v>0</v>
      </c>
      <c r="AE57" s="104">
        <f t="shared" si="66"/>
        <v>0</v>
      </c>
      <c r="AF57" s="104">
        <f t="shared" si="66"/>
        <v>0</v>
      </c>
      <c r="AG57" s="104">
        <f t="shared" si="66"/>
        <v>-1259296.25</v>
      </c>
      <c r="AH57" s="104">
        <f t="shared" si="66"/>
        <v>0</v>
      </c>
      <c r="AI57" s="104">
        <f t="shared" ref="AI57:BN57" si="67">SUM(AI51:AI56)</f>
        <v>0</v>
      </c>
      <c r="AJ57" s="104">
        <f t="shared" si="67"/>
        <v>-261470.68089999998</v>
      </c>
      <c r="AK57" s="104">
        <f t="shared" si="67"/>
        <v>0</v>
      </c>
      <c r="AL57" s="104">
        <f t="shared" si="67"/>
        <v>0</v>
      </c>
      <c r="AM57" s="104">
        <f t="shared" si="67"/>
        <v>0</v>
      </c>
      <c r="AN57" s="104">
        <f t="shared" si="67"/>
        <v>0</v>
      </c>
      <c r="AO57" s="104">
        <f t="shared" si="67"/>
        <v>0</v>
      </c>
      <c r="AP57" s="214">
        <f t="shared" si="67"/>
        <v>-10412255.885072351</v>
      </c>
      <c r="AQ57" s="104">
        <f t="shared" si="67"/>
        <v>0</v>
      </c>
      <c r="AR57" s="103">
        <f t="shared" si="67"/>
        <v>-136715029.5775106</v>
      </c>
      <c r="AS57" s="103">
        <f t="shared" si="67"/>
        <v>5346501376.2595491</v>
      </c>
      <c r="AT57" s="104">
        <f t="shared" si="67"/>
        <v>0</v>
      </c>
      <c r="AU57" s="104">
        <f t="shared" si="67"/>
        <v>0</v>
      </c>
      <c r="AV57" s="104">
        <f t="shared" si="67"/>
        <v>0</v>
      </c>
      <c r="AW57" s="104">
        <f t="shared" si="67"/>
        <v>10695828.339366198</v>
      </c>
      <c r="AX57" s="104">
        <f t="shared" si="67"/>
        <v>0</v>
      </c>
      <c r="AY57" s="104">
        <f t="shared" si="67"/>
        <v>0</v>
      </c>
      <c r="AZ57" s="104">
        <f t="shared" si="67"/>
        <v>0</v>
      </c>
      <c r="BA57" s="104">
        <f t="shared" si="67"/>
        <v>0</v>
      </c>
      <c r="BB57" s="104">
        <f t="shared" si="67"/>
        <v>0</v>
      </c>
      <c r="BC57" s="104">
        <f t="shared" si="67"/>
        <v>0</v>
      </c>
      <c r="BD57" s="104">
        <f t="shared" si="67"/>
        <v>0</v>
      </c>
      <c r="BE57" s="104">
        <f t="shared" si="67"/>
        <v>0</v>
      </c>
      <c r="BF57" s="104">
        <f t="shared" si="67"/>
        <v>0</v>
      </c>
      <c r="BG57" s="104">
        <f t="shared" si="67"/>
        <v>0</v>
      </c>
      <c r="BH57" s="104">
        <f t="shared" si="67"/>
        <v>0</v>
      </c>
      <c r="BI57" s="104">
        <f t="shared" si="67"/>
        <v>0</v>
      </c>
      <c r="BJ57" s="104">
        <f t="shared" si="67"/>
        <v>0</v>
      </c>
      <c r="BK57" s="104">
        <f t="shared" si="67"/>
        <v>0</v>
      </c>
      <c r="BL57" s="104">
        <f t="shared" si="67"/>
        <v>0</v>
      </c>
      <c r="BM57" s="104">
        <f t="shared" si="67"/>
        <v>0</v>
      </c>
      <c r="BN57" s="104">
        <f t="shared" si="67"/>
        <v>0</v>
      </c>
      <c r="BO57" s="104">
        <f t="shared" ref="BO57:CT57" si="68">SUM(BO51:BO56)</f>
        <v>0</v>
      </c>
      <c r="BP57" s="104">
        <f t="shared" si="68"/>
        <v>0</v>
      </c>
      <c r="BQ57" s="104">
        <f t="shared" si="68"/>
        <v>143015087.87042797</v>
      </c>
      <c r="BR57" s="104">
        <f t="shared" si="68"/>
        <v>2309809.4341880446</v>
      </c>
      <c r="BS57" s="104">
        <f t="shared" si="68"/>
        <v>0</v>
      </c>
      <c r="BT57" s="104">
        <f t="shared" si="68"/>
        <v>-659684.86803250038</v>
      </c>
      <c r="BU57" s="104">
        <f t="shared" si="68"/>
        <v>0</v>
      </c>
      <c r="BV57" s="104">
        <f t="shared" si="68"/>
        <v>-176471829.89576447</v>
      </c>
      <c r="BW57" s="104">
        <f t="shared" si="68"/>
        <v>725461.25379400025</v>
      </c>
      <c r="BX57" s="104">
        <f t="shared" si="68"/>
        <v>134447165.56129003</v>
      </c>
      <c r="BY57" s="104">
        <f t="shared" si="68"/>
        <v>35118980.799999997</v>
      </c>
      <c r="BZ57" s="104">
        <f t="shared" si="68"/>
        <v>23103389.294628005</v>
      </c>
      <c r="CA57" s="104">
        <f t="shared" si="68"/>
        <v>83418881.591735959</v>
      </c>
      <c r="CB57" s="104">
        <f t="shared" si="68"/>
        <v>0</v>
      </c>
      <c r="CC57" s="104">
        <f t="shared" si="68"/>
        <v>0</v>
      </c>
      <c r="CD57" s="104">
        <f t="shared" si="68"/>
        <v>71140.25</v>
      </c>
      <c r="CE57" s="104">
        <f t="shared" si="68"/>
        <v>0</v>
      </c>
      <c r="CF57" s="104">
        <f t="shared" si="68"/>
        <v>-6172818.6654862948</v>
      </c>
      <c r="CG57" s="104">
        <f t="shared" si="68"/>
        <v>56934.279999999977</v>
      </c>
      <c r="CH57" s="104">
        <f t="shared" si="68"/>
        <v>0</v>
      </c>
      <c r="CI57" s="104">
        <f t="shared" si="68"/>
        <v>4432284.8022039272</v>
      </c>
      <c r="CJ57" s="104">
        <f t="shared" si="68"/>
        <v>58064158.296151057</v>
      </c>
      <c r="CK57" s="104">
        <f t="shared" si="68"/>
        <v>0</v>
      </c>
      <c r="CL57" s="104">
        <f t="shared" si="68"/>
        <v>-160912337.32015103</v>
      </c>
      <c r="CM57" s="104">
        <f t="shared" si="68"/>
        <v>-4207196.5800000094</v>
      </c>
      <c r="CN57" s="103">
        <f t="shared" si="68"/>
        <v>147035254.44435084</v>
      </c>
      <c r="CO57" s="103">
        <f t="shared" si="68"/>
        <v>5493536630.7039003</v>
      </c>
      <c r="CP57" s="104">
        <f t="shared" si="68"/>
        <v>0</v>
      </c>
      <c r="CQ57" s="104">
        <f t="shared" si="68"/>
        <v>0</v>
      </c>
      <c r="CR57" s="104">
        <f t="shared" si="68"/>
        <v>0</v>
      </c>
      <c r="CS57" s="104">
        <f t="shared" si="68"/>
        <v>21526388.995392021</v>
      </c>
      <c r="CT57" s="104">
        <f t="shared" si="68"/>
        <v>0</v>
      </c>
      <c r="CU57" s="104">
        <f t="shared" ref="CU57:DZ57" si="69">SUM(CU51:CU56)</f>
        <v>0</v>
      </c>
      <c r="CV57" s="104">
        <f t="shared" si="69"/>
        <v>0</v>
      </c>
      <c r="CW57" s="104">
        <f t="shared" si="69"/>
        <v>0</v>
      </c>
      <c r="CX57" s="104">
        <f t="shared" si="69"/>
        <v>0</v>
      </c>
      <c r="CY57" s="104">
        <f t="shared" si="69"/>
        <v>0</v>
      </c>
      <c r="CZ57" s="104">
        <f t="shared" si="69"/>
        <v>0</v>
      </c>
      <c r="DA57" s="104">
        <f t="shared" si="69"/>
        <v>0</v>
      </c>
      <c r="DB57" s="104">
        <f t="shared" si="69"/>
        <v>0</v>
      </c>
      <c r="DC57" s="104">
        <f t="shared" si="69"/>
        <v>0</v>
      </c>
      <c r="DD57" s="104">
        <f t="shared" si="69"/>
        <v>0</v>
      </c>
      <c r="DE57" s="104">
        <f t="shared" si="69"/>
        <v>0</v>
      </c>
      <c r="DF57" s="104">
        <f t="shared" si="69"/>
        <v>0</v>
      </c>
      <c r="DG57" s="104">
        <f t="shared" si="69"/>
        <v>0</v>
      </c>
      <c r="DH57" s="104">
        <f t="shared" si="69"/>
        <v>0</v>
      </c>
      <c r="DI57" s="104">
        <f t="shared" si="69"/>
        <v>0</v>
      </c>
      <c r="DJ57" s="104">
        <f t="shared" si="69"/>
        <v>0</v>
      </c>
      <c r="DK57" s="104">
        <f t="shared" si="69"/>
        <v>0</v>
      </c>
      <c r="DL57" s="104">
        <f t="shared" si="69"/>
        <v>0</v>
      </c>
      <c r="DM57" s="104">
        <f t="shared" si="69"/>
        <v>0</v>
      </c>
      <c r="DN57" s="104">
        <f t="shared" si="69"/>
        <v>4198345.2148493472</v>
      </c>
      <c r="DO57" s="104">
        <f t="shared" si="69"/>
        <v>0</v>
      </c>
      <c r="DP57" s="104">
        <f t="shared" si="69"/>
        <v>-329842.43401625042</v>
      </c>
      <c r="DQ57" s="104">
        <f t="shared" si="69"/>
        <v>0</v>
      </c>
      <c r="DR57" s="104">
        <f t="shared" si="69"/>
        <v>-414160548.26198196</v>
      </c>
      <c r="DS57" s="104">
        <f t="shared" si="69"/>
        <v>6292294.7435479974</v>
      </c>
      <c r="DT57" s="104">
        <f t="shared" si="69"/>
        <v>257327359.85496002</v>
      </c>
      <c r="DU57" s="104">
        <f t="shared" si="69"/>
        <v>2321616.9599999934</v>
      </c>
      <c r="DV57" s="104">
        <f t="shared" si="69"/>
        <v>88085315.313833997</v>
      </c>
      <c r="DW57" s="104">
        <f t="shared" si="69"/>
        <v>104456521.71575001</v>
      </c>
      <c r="DX57" s="104">
        <f t="shared" si="69"/>
        <v>0</v>
      </c>
      <c r="DY57" s="104">
        <f t="shared" si="69"/>
        <v>0</v>
      </c>
      <c r="DZ57" s="104">
        <f t="shared" si="69"/>
        <v>142280</v>
      </c>
      <c r="EA57" s="104">
        <f t="shared" ref="EA57:FF57" si="70">SUM(EA51:EA56)</f>
        <v>0</v>
      </c>
      <c r="EB57" s="104">
        <f t="shared" si="70"/>
        <v>-11947081.314286396</v>
      </c>
      <c r="EC57" s="104">
        <f t="shared" si="70"/>
        <v>113868.55999999995</v>
      </c>
      <c r="ED57" s="104">
        <f t="shared" si="70"/>
        <v>0</v>
      </c>
      <c r="EE57" s="104">
        <f t="shared" si="70"/>
        <v>1742015.2007266018</v>
      </c>
      <c r="EF57" s="104">
        <f t="shared" si="70"/>
        <v>65921512.419419408</v>
      </c>
      <c r="EG57" s="104">
        <f t="shared" si="70"/>
        <v>0</v>
      </c>
      <c r="EH57" s="214">
        <f t="shared" si="70"/>
        <v>36688763.215511516</v>
      </c>
      <c r="EI57" s="104">
        <f t="shared" si="70"/>
        <v>-38618085.089419432</v>
      </c>
      <c r="EJ57" s="104">
        <f t="shared" si="70"/>
        <v>-7972251.3400000408</v>
      </c>
      <c r="EK57" s="103">
        <f t="shared" si="70"/>
        <v>115788473.75428693</v>
      </c>
      <c r="EL57" s="103">
        <f t="shared" si="70"/>
        <v>5609325104.4581881</v>
      </c>
      <c r="EM57" s="104">
        <f t="shared" si="70"/>
        <v>0</v>
      </c>
      <c r="EN57" s="104">
        <f t="shared" si="70"/>
        <v>0</v>
      </c>
      <c r="EO57" s="104">
        <f t="shared" si="70"/>
        <v>0</v>
      </c>
      <c r="EP57" s="104">
        <f t="shared" si="70"/>
        <v>10098693.721887633</v>
      </c>
      <c r="EQ57" s="104">
        <f t="shared" si="70"/>
        <v>0</v>
      </c>
      <c r="ER57" s="104">
        <f t="shared" si="70"/>
        <v>0</v>
      </c>
      <c r="ES57" s="104">
        <f t="shared" si="70"/>
        <v>0</v>
      </c>
      <c r="ET57" s="104">
        <f t="shared" si="70"/>
        <v>0</v>
      </c>
      <c r="EU57" s="104">
        <f t="shared" si="70"/>
        <v>0</v>
      </c>
      <c r="EV57" s="104">
        <f t="shared" si="70"/>
        <v>0</v>
      </c>
      <c r="EW57" s="104">
        <f t="shared" si="70"/>
        <v>0</v>
      </c>
      <c r="EX57" s="104">
        <f t="shared" si="70"/>
        <v>0</v>
      </c>
      <c r="EY57" s="104">
        <f t="shared" si="70"/>
        <v>0</v>
      </c>
      <c r="EZ57" s="104">
        <f t="shared" si="70"/>
        <v>0</v>
      </c>
      <c r="FA57" s="104">
        <f t="shared" si="70"/>
        <v>0</v>
      </c>
      <c r="FB57" s="104">
        <f t="shared" si="70"/>
        <v>0</v>
      </c>
      <c r="FC57" s="104">
        <f t="shared" si="70"/>
        <v>0</v>
      </c>
      <c r="FD57" s="104">
        <f t="shared" si="70"/>
        <v>0</v>
      </c>
      <c r="FE57" s="104">
        <f t="shared" si="70"/>
        <v>0</v>
      </c>
      <c r="FF57" s="104">
        <f t="shared" si="70"/>
        <v>0</v>
      </c>
      <c r="FG57" s="104">
        <f>SUM(FG52:FG56)</f>
        <v>0</v>
      </c>
      <c r="FH57" s="104">
        <f t="shared" ref="FH57:GM57" si="71">SUM(FH51:FH56)</f>
        <v>0</v>
      </c>
      <c r="FI57" s="104">
        <f t="shared" si="71"/>
        <v>1743384.3323934791</v>
      </c>
      <c r="FJ57" s="104">
        <f t="shared" si="71"/>
        <v>0</v>
      </c>
      <c r="FK57" s="104">
        <f t="shared" si="71"/>
        <v>-242607.00961800106</v>
      </c>
      <c r="FL57" s="104">
        <f t="shared" si="71"/>
        <v>0</v>
      </c>
      <c r="FM57" s="104">
        <f t="shared" si="71"/>
        <v>318687.69989895809</v>
      </c>
      <c r="FN57" s="104">
        <f t="shared" si="71"/>
        <v>0</v>
      </c>
      <c r="FO57" s="104">
        <f t="shared" si="71"/>
        <v>-195386564.26574242</v>
      </c>
      <c r="FP57" s="104">
        <f t="shared" si="71"/>
        <v>6185965.0190380029</v>
      </c>
      <c r="FQ57" s="104">
        <f t="shared" si="71"/>
        <v>174642002.14264983</v>
      </c>
      <c r="FR57" s="104">
        <f t="shared" si="71"/>
        <v>3146660.8700000085</v>
      </c>
      <c r="FS57" s="104">
        <f t="shared" si="71"/>
        <v>-18789697.743576486</v>
      </c>
      <c r="FT57" s="104">
        <f t="shared" si="71"/>
        <v>54806639.016327873</v>
      </c>
      <c r="FU57" s="104">
        <f t="shared" si="71"/>
        <v>0</v>
      </c>
      <c r="FV57" s="104">
        <f t="shared" si="71"/>
        <v>0</v>
      </c>
      <c r="FW57" s="104">
        <f t="shared" si="71"/>
        <v>79070.325399999972</v>
      </c>
      <c r="FX57" s="104">
        <f t="shared" si="71"/>
        <v>0</v>
      </c>
      <c r="FY57" s="104">
        <f t="shared" si="71"/>
        <v>-6069072.8816930102</v>
      </c>
      <c r="FZ57" s="104">
        <f t="shared" si="71"/>
        <v>50175.311134722244</v>
      </c>
      <c r="GA57" s="104">
        <f t="shared" si="71"/>
        <v>-8790214.1875838004</v>
      </c>
      <c r="GB57" s="104">
        <f t="shared" si="71"/>
        <v>-771787.50036631664</v>
      </c>
      <c r="GC57" s="104">
        <f t="shared" si="71"/>
        <v>10775509.003744235</v>
      </c>
      <c r="GD57" s="104">
        <f t="shared" si="71"/>
        <v>0</v>
      </c>
      <c r="GE57" s="214">
        <f t="shared" si="71"/>
        <v>-65148959.183049001</v>
      </c>
      <c r="GF57" s="214">
        <f t="shared" si="71"/>
        <v>0</v>
      </c>
      <c r="GG57" s="104">
        <f t="shared" si="71"/>
        <v>0</v>
      </c>
      <c r="GH57" s="104">
        <f t="shared" si="71"/>
        <v>-2880746.5800000094</v>
      </c>
      <c r="GI57" s="103">
        <f t="shared" si="71"/>
        <v>-36232861.909154333</v>
      </c>
      <c r="GJ57" s="103">
        <f t="shared" si="71"/>
        <v>5573092242.5490351</v>
      </c>
      <c r="GK57" s="104">
        <f t="shared" si="71"/>
        <v>0</v>
      </c>
      <c r="GL57" s="104">
        <f t="shared" si="71"/>
        <v>0</v>
      </c>
      <c r="GM57" s="104">
        <f t="shared" si="71"/>
        <v>0</v>
      </c>
      <c r="GN57" s="104">
        <f t="shared" ref="GN57:HS57" si="72">SUM(GN51:GN56)</f>
        <v>21213022.136484977</v>
      </c>
      <c r="GO57" s="104">
        <f t="shared" si="72"/>
        <v>0</v>
      </c>
      <c r="GP57" s="104">
        <f t="shared" si="72"/>
        <v>0</v>
      </c>
      <c r="GQ57" s="104">
        <f t="shared" si="72"/>
        <v>0</v>
      </c>
      <c r="GR57" s="104">
        <f t="shared" si="72"/>
        <v>0</v>
      </c>
      <c r="GS57" s="104">
        <f t="shared" si="72"/>
        <v>0</v>
      </c>
      <c r="GT57" s="104">
        <f t="shared" si="72"/>
        <v>0</v>
      </c>
      <c r="GU57" s="104">
        <f t="shared" si="72"/>
        <v>0</v>
      </c>
      <c r="GV57" s="104">
        <f t="shared" si="72"/>
        <v>0</v>
      </c>
      <c r="GW57" s="104">
        <f t="shared" si="72"/>
        <v>0</v>
      </c>
      <c r="GX57" s="104">
        <f t="shared" si="72"/>
        <v>0</v>
      </c>
      <c r="GY57" s="104">
        <f t="shared" si="72"/>
        <v>0</v>
      </c>
      <c r="GZ57" s="104">
        <f t="shared" si="72"/>
        <v>0</v>
      </c>
      <c r="HA57" s="104">
        <f t="shared" si="72"/>
        <v>0</v>
      </c>
      <c r="HB57" s="104">
        <f t="shared" si="72"/>
        <v>0</v>
      </c>
      <c r="HC57" s="104">
        <f t="shared" si="72"/>
        <v>0</v>
      </c>
      <c r="HD57" s="104">
        <f t="shared" si="72"/>
        <v>0</v>
      </c>
      <c r="HE57" s="104">
        <f t="shared" si="72"/>
        <v>0</v>
      </c>
      <c r="HF57" s="104">
        <f t="shared" si="72"/>
        <v>0</v>
      </c>
      <c r="HG57" s="104">
        <f t="shared" si="72"/>
        <v>-21401979.720287658</v>
      </c>
      <c r="HH57" s="104">
        <f t="shared" si="72"/>
        <v>0</v>
      </c>
      <c r="HI57" s="104">
        <f t="shared" si="72"/>
        <v>-5294316.163872092</v>
      </c>
      <c r="HJ57" s="104">
        <f t="shared" si="72"/>
        <v>0</v>
      </c>
      <c r="HK57" s="104">
        <f t="shared" si="72"/>
        <v>637375.39979791641</v>
      </c>
      <c r="HL57" s="104">
        <f t="shared" si="72"/>
        <v>0</v>
      </c>
      <c r="HM57" s="104">
        <f t="shared" si="72"/>
        <v>-369995483.59326911</v>
      </c>
      <c r="HN57" s="104">
        <f t="shared" si="72"/>
        <v>15530997.728948005</v>
      </c>
      <c r="HO57" s="104">
        <f t="shared" si="72"/>
        <v>504451934.22671396</v>
      </c>
      <c r="HP57" s="104">
        <f t="shared" si="72"/>
        <v>6798414.0799999991</v>
      </c>
      <c r="HQ57" s="104">
        <f t="shared" si="72"/>
        <v>36064172.252630033</v>
      </c>
      <c r="HR57" s="104">
        <f t="shared" si="72"/>
        <v>122625300.25564417</v>
      </c>
      <c r="HS57" s="104">
        <f t="shared" si="72"/>
        <v>0</v>
      </c>
      <c r="HT57" s="104">
        <f t="shared" ref="HT57:IY57" si="73">SUM(HT51:HT56)</f>
        <v>0</v>
      </c>
      <c r="HU57" s="104">
        <f t="shared" si="73"/>
        <v>158140.65079999901</v>
      </c>
      <c r="HV57" s="104">
        <f t="shared" si="73"/>
        <v>0</v>
      </c>
      <c r="HW57" s="104">
        <f t="shared" si="73"/>
        <v>-14555862.582186887</v>
      </c>
      <c r="HX57" s="104">
        <f t="shared" si="73"/>
        <v>40492.529765277883</v>
      </c>
      <c r="HY57" s="104">
        <f t="shared" si="73"/>
        <v>-17580428.375167601</v>
      </c>
      <c r="HZ57" s="104">
        <f t="shared" si="73"/>
        <v>-1543575.0007326342</v>
      </c>
      <c r="IA57" s="104">
        <f t="shared" si="73"/>
        <v>14340757.836875102</v>
      </c>
      <c r="IB57" s="104">
        <f t="shared" si="73"/>
        <v>0</v>
      </c>
      <c r="IC57" s="214">
        <f t="shared" si="73"/>
        <v>-158860227.57196862</v>
      </c>
      <c r="ID57" s="214">
        <f t="shared" si="73"/>
        <v>0</v>
      </c>
      <c r="IE57" s="104">
        <f t="shared" si="73"/>
        <v>0</v>
      </c>
      <c r="IF57" s="104">
        <f t="shared" si="73"/>
        <v>-5761493.1600000188</v>
      </c>
      <c r="IG57" s="103">
        <f t="shared" si="73"/>
        <v>126867240.93017474</v>
      </c>
      <c r="IH57" s="103">
        <f t="shared" si="73"/>
        <v>5699959483.4792099</v>
      </c>
      <c r="II57" s="104">
        <f t="shared" si="73"/>
        <v>0</v>
      </c>
      <c r="IJ57" s="104">
        <f t="shared" si="73"/>
        <v>0</v>
      </c>
      <c r="IK57" s="104">
        <f t="shared" si="73"/>
        <v>0</v>
      </c>
      <c r="IL57" s="104">
        <f t="shared" si="73"/>
        <v>20837437.957287818</v>
      </c>
      <c r="IM57" s="104">
        <f t="shared" si="73"/>
        <v>0</v>
      </c>
      <c r="IN57" s="104">
        <f t="shared" si="73"/>
        <v>0</v>
      </c>
      <c r="IO57" s="104">
        <f t="shared" si="73"/>
        <v>0</v>
      </c>
      <c r="IP57" s="104">
        <f t="shared" si="73"/>
        <v>0</v>
      </c>
      <c r="IQ57" s="104">
        <f t="shared" si="73"/>
        <v>0</v>
      </c>
      <c r="IR57" s="104">
        <f t="shared" si="73"/>
        <v>0</v>
      </c>
      <c r="IS57" s="104">
        <f t="shared" si="73"/>
        <v>0</v>
      </c>
      <c r="IT57" s="104">
        <f t="shared" si="73"/>
        <v>0</v>
      </c>
      <c r="IU57" s="104">
        <f t="shared" si="73"/>
        <v>0</v>
      </c>
      <c r="IV57" s="104">
        <f t="shared" si="73"/>
        <v>0</v>
      </c>
      <c r="IW57" s="104">
        <f t="shared" si="73"/>
        <v>0</v>
      </c>
      <c r="IX57" s="104">
        <f t="shared" si="73"/>
        <v>0</v>
      </c>
      <c r="IY57" s="104">
        <f t="shared" si="73"/>
        <v>0</v>
      </c>
      <c r="IZ57" s="104">
        <f t="shared" ref="IZ57:KE57" si="74">SUM(IZ51:IZ56)</f>
        <v>0</v>
      </c>
      <c r="JA57" s="104">
        <f t="shared" si="74"/>
        <v>0</v>
      </c>
      <c r="JB57" s="104">
        <f t="shared" si="74"/>
        <v>0</v>
      </c>
      <c r="JC57" s="104">
        <f t="shared" si="74"/>
        <v>0</v>
      </c>
      <c r="JD57" s="104">
        <f t="shared" si="74"/>
        <v>0</v>
      </c>
      <c r="JE57" s="104">
        <f t="shared" si="74"/>
        <v>-2946061.7596826805</v>
      </c>
      <c r="JF57" s="104">
        <f t="shared" si="74"/>
        <v>0</v>
      </c>
      <c r="JG57" s="104">
        <f t="shared" si="74"/>
        <v>-5294316.1638720883</v>
      </c>
      <c r="JH57" s="104">
        <f t="shared" si="74"/>
        <v>0</v>
      </c>
      <c r="JI57" s="104">
        <f t="shared" si="74"/>
        <v>318687.6998989578</v>
      </c>
      <c r="JJ57" s="104">
        <f t="shared" si="74"/>
        <v>0</v>
      </c>
      <c r="JK57" s="104">
        <f t="shared" si="74"/>
        <v>-353567888.62914097</v>
      </c>
      <c r="JL57" s="104">
        <f t="shared" si="74"/>
        <v>18862632.939278003</v>
      </c>
      <c r="JM57" s="104">
        <f t="shared" si="74"/>
        <v>434225941.39003211</v>
      </c>
      <c r="JN57" s="104">
        <f t="shared" si="74"/>
        <v>9396376.4400000051</v>
      </c>
      <c r="JO57" s="104">
        <f t="shared" si="74"/>
        <v>232425138.98714393</v>
      </c>
      <c r="JP57" s="104">
        <f t="shared" si="74"/>
        <v>-114500273.61496846</v>
      </c>
      <c r="JQ57" s="104">
        <f t="shared" si="74"/>
        <v>0</v>
      </c>
      <c r="JR57" s="104">
        <f t="shared" si="74"/>
        <v>0</v>
      </c>
      <c r="JS57" s="104">
        <f t="shared" si="74"/>
        <v>158140.65079999808</v>
      </c>
      <c r="JT57" s="104">
        <f t="shared" si="74"/>
        <v>0</v>
      </c>
      <c r="JU57" s="104">
        <f t="shared" si="74"/>
        <v>-14219006.308582447</v>
      </c>
      <c r="JV57" s="104">
        <f t="shared" si="74"/>
        <v>0</v>
      </c>
      <c r="JW57" s="104">
        <f t="shared" si="74"/>
        <v>-17580428.375167601</v>
      </c>
      <c r="JX57" s="104">
        <f t="shared" si="74"/>
        <v>-1543575.000732634</v>
      </c>
      <c r="JY57" s="104">
        <f t="shared" si="74"/>
        <v>11449840.215727881</v>
      </c>
      <c r="JZ57" s="104">
        <f t="shared" si="74"/>
        <v>0</v>
      </c>
      <c r="KA57" s="214">
        <f t="shared" si="74"/>
        <v>-146529302.70657244</v>
      </c>
      <c r="KB57" s="214">
        <f t="shared" si="74"/>
        <v>0</v>
      </c>
      <c r="KC57" s="104">
        <f t="shared" si="74"/>
        <v>0</v>
      </c>
      <c r="KD57" s="104">
        <f t="shared" si="74"/>
        <v>-5761493.1600000151</v>
      </c>
      <c r="KE57" s="103">
        <f t="shared" si="74"/>
        <v>65731850.561449312</v>
      </c>
      <c r="KF57" s="103">
        <f t="shared" ref="KF57" si="75">SUM(KF51:KF56)</f>
        <v>5765691334.0406599</v>
      </c>
      <c r="KG57" s="43" t="s">
        <v>34</v>
      </c>
    </row>
    <row r="58" spans="1:293" ht="14" thickTop="1" thickBot="1" x14ac:dyDescent="0.35">
      <c r="A58" s="58">
        <f>ROW()</f>
        <v>58</v>
      </c>
      <c r="C58" s="75"/>
      <c r="G58" s="58"/>
      <c r="AP58" s="205"/>
      <c r="AR58" s="75"/>
      <c r="AS58" s="75"/>
      <c r="CN58" s="75"/>
      <c r="CO58" s="75"/>
      <c r="EH58" s="205"/>
      <c r="EK58" s="75"/>
      <c r="EL58" s="75"/>
      <c r="GE58" s="205"/>
      <c r="GF58" s="205"/>
      <c r="GI58" s="75"/>
      <c r="GJ58" s="75"/>
      <c r="IC58" s="205"/>
      <c r="ID58" s="205"/>
      <c r="IG58" s="75"/>
      <c r="IH58" s="75"/>
      <c r="KA58" s="205"/>
      <c r="KB58" s="205"/>
      <c r="KE58" s="75"/>
      <c r="KF58" s="75"/>
      <c r="KG58" s="43" t="s">
        <v>34</v>
      </c>
    </row>
    <row r="59" spans="1:293" ht="13.5" thickBot="1" x14ac:dyDescent="0.35">
      <c r="A59" s="58">
        <f>ROW()</f>
        <v>59</v>
      </c>
      <c r="B59" s="47" t="s">
        <v>104</v>
      </c>
      <c r="C59" s="105">
        <f>+C67</f>
        <v>7.2000000000000008E-2</v>
      </c>
      <c r="D59" s="106">
        <f t="shared" ref="D59:BP59" si="76">+D67</f>
        <v>7.2000000000000008E-2</v>
      </c>
      <c r="E59" s="106">
        <f t="shared" si="76"/>
        <v>7.2000000000000008E-2</v>
      </c>
      <c r="F59" s="106">
        <f t="shared" si="76"/>
        <v>7.2000000000000008E-2</v>
      </c>
      <c r="G59" s="107">
        <f t="shared" si="76"/>
        <v>7.2000000000000008E-2</v>
      </c>
      <c r="H59" s="106">
        <f t="shared" si="76"/>
        <v>7.2000000000000008E-2</v>
      </c>
      <c r="I59" s="106">
        <f t="shared" si="76"/>
        <v>7.2000000000000008E-2</v>
      </c>
      <c r="J59" s="106">
        <f t="shared" si="76"/>
        <v>7.2000000000000008E-2</v>
      </c>
      <c r="K59" s="106">
        <f t="shared" si="76"/>
        <v>7.2000000000000008E-2</v>
      </c>
      <c r="L59" s="106">
        <f t="shared" si="76"/>
        <v>7.2000000000000008E-2</v>
      </c>
      <c r="M59" s="106">
        <f t="shared" si="76"/>
        <v>7.2000000000000008E-2</v>
      </c>
      <c r="N59" s="106">
        <f t="shared" si="76"/>
        <v>7.2000000000000008E-2</v>
      </c>
      <c r="O59" s="106">
        <f t="shared" si="76"/>
        <v>7.2000000000000008E-2</v>
      </c>
      <c r="P59" s="106">
        <f t="shared" si="76"/>
        <v>7.2000000000000008E-2</v>
      </c>
      <c r="Q59" s="106">
        <f t="shared" si="76"/>
        <v>7.2000000000000008E-2</v>
      </c>
      <c r="R59" s="106">
        <f t="shared" si="76"/>
        <v>7.2000000000000008E-2</v>
      </c>
      <c r="S59" s="106">
        <f t="shared" si="76"/>
        <v>7.2000000000000008E-2</v>
      </c>
      <c r="T59" s="106">
        <f t="shared" si="76"/>
        <v>7.2000000000000008E-2</v>
      </c>
      <c r="U59" s="106">
        <f t="shared" si="76"/>
        <v>7.2000000000000008E-2</v>
      </c>
      <c r="V59" s="106">
        <f t="shared" si="76"/>
        <v>7.2000000000000008E-2</v>
      </c>
      <c r="W59" s="106">
        <f t="shared" si="76"/>
        <v>7.2000000000000008E-2</v>
      </c>
      <c r="X59" s="106">
        <f t="shared" si="76"/>
        <v>7.2000000000000008E-2</v>
      </c>
      <c r="Y59" s="106">
        <f t="shared" si="76"/>
        <v>7.2000000000000008E-2</v>
      </c>
      <c r="Z59" s="106">
        <f t="shared" si="76"/>
        <v>7.2000000000000008E-2</v>
      </c>
      <c r="AA59" s="106">
        <f t="shared" si="76"/>
        <v>7.2000000000000008E-2</v>
      </c>
      <c r="AB59" s="106">
        <f t="shared" si="76"/>
        <v>7.2000000000000008E-2</v>
      </c>
      <c r="AC59" s="106">
        <f t="shared" si="76"/>
        <v>7.2000000000000008E-2</v>
      </c>
      <c r="AD59" s="106">
        <f t="shared" si="76"/>
        <v>7.2000000000000008E-2</v>
      </c>
      <c r="AE59" s="106">
        <f t="shared" si="76"/>
        <v>7.2000000000000008E-2</v>
      </c>
      <c r="AF59" s="106">
        <f t="shared" si="76"/>
        <v>7.2000000000000008E-2</v>
      </c>
      <c r="AG59" s="106">
        <f t="shared" si="76"/>
        <v>7.2000000000000008E-2</v>
      </c>
      <c r="AH59" s="106">
        <f t="shared" si="76"/>
        <v>7.2000000000000008E-2</v>
      </c>
      <c r="AI59" s="106">
        <f t="shared" si="76"/>
        <v>7.2000000000000008E-2</v>
      </c>
      <c r="AJ59" s="106">
        <f t="shared" si="76"/>
        <v>7.2000000000000008E-2</v>
      </c>
      <c r="AK59" s="106">
        <f t="shared" si="76"/>
        <v>7.2000000000000008E-2</v>
      </c>
      <c r="AL59" s="106">
        <f t="shared" si="76"/>
        <v>7.2000000000000008E-2</v>
      </c>
      <c r="AM59" s="106">
        <f t="shared" si="76"/>
        <v>7.2000000000000008E-2</v>
      </c>
      <c r="AN59" s="106">
        <f t="shared" si="76"/>
        <v>7.2000000000000008E-2</v>
      </c>
      <c r="AO59" s="106">
        <f t="shared" si="76"/>
        <v>7.2000000000000008E-2</v>
      </c>
      <c r="AP59" s="200">
        <f t="shared" si="76"/>
        <v>7.2000000000000008E-2</v>
      </c>
      <c r="AQ59" s="106">
        <f t="shared" si="76"/>
        <v>7.2000000000000008E-2</v>
      </c>
      <c r="AR59" s="105">
        <f t="shared" si="76"/>
        <v>7.2000000000000008E-2</v>
      </c>
      <c r="AS59" s="105">
        <f t="shared" si="76"/>
        <v>7.2000000000000008E-2</v>
      </c>
      <c r="AT59" s="106">
        <f t="shared" si="76"/>
        <v>7.2000000000000008E-2</v>
      </c>
      <c r="AU59" s="106">
        <f t="shared" si="76"/>
        <v>7.2000000000000008E-2</v>
      </c>
      <c r="AV59" s="106">
        <f t="shared" si="76"/>
        <v>7.2000000000000008E-2</v>
      </c>
      <c r="AW59" s="106">
        <f t="shared" si="76"/>
        <v>7.2000000000000008E-2</v>
      </c>
      <c r="AX59" s="106">
        <f t="shared" si="76"/>
        <v>7.2000000000000008E-2</v>
      </c>
      <c r="AY59" s="106">
        <f t="shared" si="76"/>
        <v>7.2000000000000008E-2</v>
      </c>
      <c r="AZ59" s="106">
        <f t="shared" si="76"/>
        <v>7.2000000000000008E-2</v>
      </c>
      <c r="BA59" s="106">
        <f t="shared" si="76"/>
        <v>7.2000000000000008E-2</v>
      </c>
      <c r="BB59" s="106">
        <f t="shared" si="76"/>
        <v>7.2000000000000008E-2</v>
      </c>
      <c r="BC59" s="106">
        <f t="shared" si="76"/>
        <v>7.2000000000000008E-2</v>
      </c>
      <c r="BD59" s="106">
        <f t="shared" si="76"/>
        <v>7.2000000000000008E-2</v>
      </c>
      <c r="BE59" s="106">
        <f t="shared" si="76"/>
        <v>7.2000000000000008E-2</v>
      </c>
      <c r="BF59" s="106">
        <f t="shared" si="76"/>
        <v>7.2000000000000008E-2</v>
      </c>
      <c r="BG59" s="106">
        <f t="shared" si="76"/>
        <v>7.2000000000000008E-2</v>
      </c>
      <c r="BH59" s="106">
        <f t="shared" si="76"/>
        <v>7.2000000000000008E-2</v>
      </c>
      <c r="BI59" s="106">
        <f t="shared" si="76"/>
        <v>7.2000000000000008E-2</v>
      </c>
      <c r="BJ59" s="106">
        <f t="shared" si="76"/>
        <v>7.2000000000000008E-2</v>
      </c>
      <c r="BK59" s="106">
        <f t="shared" si="76"/>
        <v>7.2000000000000008E-2</v>
      </c>
      <c r="BL59" s="106">
        <f t="shared" si="76"/>
        <v>7.2000000000000008E-2</v>
      </c>
      <c r="BM59" s="106">
        <f t="shared" si="76"/>
        <v>7.2000000000000008E-2</v>
      </c>
      <c r="BN59" s="106">
        <f t="shared" si="76"/>
        <v>7.2000000000000008E-2</v>
      </c>
      <c r="BO59" s="106">
        <f t="shared" si="76"/>
        <v>7.2000000000000008E-2</v>
      </c>
      <c r="BP59" s="106">
        <f t="shared" si="76"/>
        <v>7.2000000000000008E-2</v>
      </c>
      <c r="BQ59" s="106">
        <f t="shared" ref="BQ59:EB59" si="77">+BQ67</f>
        <v>7.2000000000000008E-2</v>
      </c>
      <c r="BR59" s="106">
        <f t="shared" si="77"/>
        <v>7.2000000000000008E-2</v>
      </c>
      <c r="BS59" s="106">
        <f t="shared" si="77"/>
        <v>7.2000000000000008E-2</v>
      </c>
      <c r="BT59" s="106">
        <f t="shared" si="77"/>
        <v>7.2000000000000008E-2</v>
      </c>
      <c r="BU59" s="106">
        <f t="shared" si="77"/>
        <v>7.2000000000000008E-2</v>
      </c>
      <c r="BV59" s="106">
        <f t="shared" si="77"/>
        <v>7.2000000000000008E-2</v>
      </c>
      <c r="BW59" s="106">
        <f t="shared" si="77"/>
        <v>7.2000000000000008E-2</v>
      </c>
      <c r="BX59" s="106">
        <f t="shared" si="77"/>
        <v>7.2000000000000008E-2</v>
      </c>
      <c r="BY59" s="106">
        <f t="shared" si="77"/>
        <v>7.2000000000000008E-2</v>
      </c>
      <c r="BZ59" s="106">
        <f t="shared" si="77"/>
        <v>7.2000000000000008E-2</v>
      </c>
      <c r="CA59" s="106">
        <f t="shared" si="77"/>
        <v>7.2000000000000008E-2</v>
      </c>
      <c r="CB59" s="106">
        <f t="shared" si="77"/>
        <v>7.2000000000000008E-2</v>
      </c>
      <c r="CC59" s="106">
        <f t="shared" si="77"/>
        <v>7.2000000000000008E-2</v>
      </c>
      <c r="CD59" s="106">
        <f t="shared" si="77"/>
        <v>7.2000000000000008E-2</v>
      </c>
      <c r="CE59" s="106">
        <f t="shared" si="77"/>
        <v>7.2000000000000008E-2</v>
      </c>
      <c r="CF59" s="106">
        <f t="shared" si="77"/>
        <v>7.2000000000000008E-2</v>
      </c>
      <c r="CG59" s="106">
        <f t="shared" si="77"/>
        <v>7.2000000000000008E-2</v>
      </c>
      <c r="CH59" s="106">
        <f t="shared" si="77"/>
        <v>7.2000000000000008E-2</v>
      </c>
      <c r="CI59" s="106">
        <f t="shared" si="77"/>
        <v>7.2000000000000008E-2</v>
      </c>
      <c r="CJ59" s="106">
        <f t="shared" si="77"/>
        <v>7.2000000000000008E-2</v>
      </c>
      <c r="CK59" s="106">
        <f t="shared" si="77"/>
        <v>7.2000000000000008E-2</v>
      </c>
      <c r="CL59" s="106">
        <f t="shared" si="77"/>
        <v>7.2000000000000008E-2</v>
      </c>
      <c r="CM59" s="106">
        <f t="shared" si="77"/>
        <v>7.2000000000000008E-2</v>
      </c>
      <c r="CN59" s="105">
        <f t="shared" si="77"/>
        <v>7.2000000000000008E-2</v>
      </c>
      <c r="CO59" s="105">
        <f t="shared" si="77"/>
        <v>7.2000000000000008E-2</v>
      </c>
      <c r="CP59" s="106">
        <f t="shared" si="77"/>
        <v>7.2000000000000008E-2</v>
      </c>
      <c r="CQ59" s="106">
        <f t="shared" si="77"/>
        <v>7.2000000000000008E-2</v>
      </c>
      <c r="CR59" s="106">
        <f t="shared" si="77"/>
        <v>7.2000000000000008E-2</v>
      </c>
      <c r="CS59" s="106">
        <f t="shared" si="77"/>
        <v>7.2000000000000008E-2</v>
      </c>
      <c r="CT59" s="106">
        <f t="shared" si="77"/>
        <v>7.2000000000000008E-2</v>
      </c>
      <c r="CU59" s="106">
        <f t="shared" si="77"/>
        <v>7.2000000000000008E-2</v>
      </c>
      <c r="CV59" s="106">
        <f t="shared" si="77"/>
        <v>7.2000000000000008E-2</v>
      </c>
      <c r="CW59" s="106">
        <f t="shared" si="77"/>
        <v>7.2000000000000008E-2</v>
      </c>
      <c r="CX59" s="106">
        <f t="shared" si="77"/>
        <v>7.2000000000000008E-2</v>
      </c>
      <c r="CY59" s="106">
        <f t="shared" si="77"/>
        <v>7.2000000000000008E-2</v>
      </c>
      <c r="CZ59" s="106">
        <f t="shared" si="77"/>
        <v>7.2000000000000008E-2</v>
      </c>
      <c r="DA59" s="106">
        <f t="shared" si="77"/>
        <v>7.2000000000000008E-2</v>
      </c>
      <c r="DB59" s="106">
        <f t="shared" si="77"/>
        <v>7.2000000000000008E-2</v>
      </c>
      <c r="DC59" s="106">
        <f t="shared" si="77"/>
        <v>7.2000000000000008E-2</v>
      </c>
      <c r="DD59" s="106">
        <f t="shared" si="77"/>
        <v>7.2000000000000008E-2</v>
      </c>
      <c r="DE59" s="106">
        <f t="shared" si="77"/>
        <v>7.2000000000000008E-2</v>
      </c>
      <c r="DF59" s="106">
        <f t="shared" si="77"/>
        <v>7.2000000000000008E-2</v>
      </c>
      <c r="DG59" s="106">
        <f t="shared" si="77"/>
        <v>7.2000000000000008E-2</v>
      </c>
      <c r="DH59" s="106">
        <f t="shared" si="77"/>
        <v>7.2000000000000008E-2</v>
      </c>
      <c r="DI59" s="106">
        <f t="shared" si="77"/>
        <v>7.2000000000000008E-2</v>
      </c>
      <c r="DJ59" s="106">
        <f t="shared" si="77"/>
        <v>7.2000000000000008E-2</v>
      </c>
      <c r="DK59" s="106">
        <f t="shared" si="77"/>
        <v>7.2000000000000008E-2</v>
      </c>
      <c r="DL59" s="106">
        <f t="shared" si="77"/>
        <v>7.2000000000000008E-2</v>
      </c>
      <c r="DM59" s="106">
        <f t="shared" si="77"/>
        <v>7.2000000000000008E-2</v>
      </c>
      <c r="DN59" s="106">
        <f t="shared" si="77"/>
        <v>7.2000000000000008E-2</v>
      </c>
      <c r="DO59" s="106">
        <f t="shared" si="77"/>
        <v>7.2000000000000008E-2</v>
      </c>
      <c r="DP59" s="106">
        <f t="shared" si="77"/>
        <v>7.2000000000000008E-2</v>
      </c>
      <c r="DQ59" s="106">
        <f t="shared" si="77"/>
        <v>7.2000000000000008E-2</v>
      </c>
      <c r="DR59" s="106">
        <f t="shared" si="77"/>
        <v>7.2000000000000008E-2</v>
      </c>
      <c r="DS59" s="106">
        <f t="shared" si="77"/>
        <v>7.2000000000000008E-2</v>
      </c>
      <c r="DT59" s="106">
        <f t="shared" si="77"/>
        <v>7.2000000000000008E-2</v>
      </c>
      <c r="DU59" s="106">
        <f t="shared" si="77"/>
        <v>7.2000000000000008E-2</v>
      </c>
      <c r="DV59" s="106">
        <f t="shared" si="77"/>
        <v>7.2000000000000008E-2</v>
      </c>
      <c r="DW59" s="106">
        <f t="shared" si="77"/>
        <v>7.2000000000000008E-2</v>
      </c>
      <c r="DX59" s="106">
        <f t="shared" si="77"/>
        <v>7.2000000000000008E-2</v>
      </c>
      <c r="DY59" s="106">
        <f t="shared" si="77"/>
        <v>7.2000000000000008E-2</v>
      </c>
      <c r="DZ59" s="106">
        <f t="shared" si="77"/>
        <v>7.2000000000000008E-2</v>
      </c>
      <c r="EA59" s="106">
        <f t="shared" si="77"/>
        <v>7.2000000000000008E-2</v>
      </c>
      <c r="EB59" s="106">
        <f t="shared" si="77"/>
        <v>7.2000000000000008E-2</v>
      </c>
      <c r="EC59" s="106">
        <f t="shared" ref="EC59:GO59" si="78">+EC67</f>
        <v>7.2000000000000008E-2</v>
      </c>
      <c r="ED59" s="106">
        <f t="shared" si="78"/>
        <v>7.2000000000000008E-2</v>
      </c>
      <c r="EE59" s="106">
        <f t="shared" si="78"/>
        <v>7.2000000000000008E-2</v>
      </c>
      <c r="EF59" s="106">
        <f t="shared" si="78"/>
        <v>7.2000000000000008E-2</v>
      </c>
      <c r="EG59" s="106">
        <f t="shared" si="78"/>
        <v>7.2000000000000008E-2</v>
      </c>
      <c r="EH59" s="200">
        <f t="shared" si="78"/>
        <v>7.2000000000000008E-2</v>
      </c>
      <c r="EI59" s="106">
        <f t="shared" si="78"/>
        <v>7.2000000000000008E-2</v>
      </c>
      <c r="EJ59" s="106">
        <f t="shared" si="78"/>
        <v>7.2000000000000008E-2</v>
      </c>
      <c r="EK59" s="105">
        <f t="shared" si="78"/>
        <v>7.2000000000000008E-2</v>
      </c>
      <c r="EL59" s="105">
        <f t="shared" si="78"/>
        <v>7.2000000000000008E-2</v>
      </c>
      <c r="EM59" s="106">
        <f t="shared" si="78"/>
        <v>7.2000000000000008E-2</v>
      </c>
      <c r="EN59" s="106">
        <f t="shared" si="78"/>
        <v>7.2000000000000008E-2</v>
      </c>
      <c r="EO59" s="106">
        <f t="shared" si="78"/>
        <v>7.2000000000000008E-2</v>
      </c>
      <c r="EP59" s="106">
        <f t="shared" si="78"/>
        <v>7.2000000000000008E-2</v>
      </c>
      <c r="EQ59" s="106">
        <f t="shared" si="78"/>
        <v>7.2000000000000008E-2</v>
      </c>
      <c r="ER59" s="106">
        <f t="shared" si="78"/>
        <v>7.2000000000000008E-2</v>
      </c>
      <c r="ES59" s="106">
        <f t="shared" si="78"/>
        <v>7.2000000000000008E-2</v>
      </c>
      <c r="ET59" s="106">
        <f t="shared" si="78"/>
        <v>7.2000000000000008E-2</v>
      </c>
      <c r="EU59" s="106">
        <f t="shared" si="78"/>
        <v>7.2000000000000008E-2</v>
      </c>
      <c r="EV59" s="106">
        <f t="shared" si="78"/>
        <v>7.2000000000000008E-2</v>
      </c>
      <c r="EW59" s="106">
        <f t="shared" si="78"/>
        <v>7.2000000000000008E-2</v>
      </c>
      <c r="EX59" s="106">
        <f t="shared" si="78"/>
        <v>7.2000000000000008E-2</v>
      </c>
      <c r="EY59" s="106">
        <f t="shared" si="78"/>
        <v>7.2000000000000008E-2</v>
      </c>
      <c r="EZ59" s="106">
        <f t="shared" si="78"/>
        <v>7.2000000000000008E-2</v>
      </c>
      <c r="FA59" s="106">
        <f t="shared" si="78"/>
        <v>7.2000000000000008E-2</v>
      </c>
      <c r="FB59" s="106">
        <f t="shared" si="78"/>
        <v>7.2000000000000008E-2</v>
      </c>
      <c r="FC59" s="106">
        <f t="shared" si="78"/>
        <v>7.2000000000000008E-2</v>
      </c>
      <c r="FD59" s="106">
        <f t="shared" si="78"/>
        <v>7.2000000000000008E-2</v>
      </c>
      <c r="FE59" s="106">
        <f t="shared" si="78"/>
        <v>7.2000000000000008E-2</v>
      </c>
      <c r="FF59" s="106">
        <f t="shared" si="78"/>
        <v>7.2000000000000008E-2</v>
      </c>
      <c r="FG59" s="106">
        <f t="shared" si="78"/>
        <v>7.2000000000000008E-2</v>
      </c>
      <c r="FH59" s="106">
        <f t="shared" si="78"/>
        <v>7.2000000000000008E-2</v>
      </c>
      <c r="FI59" s="106">
        <f t="shared" si="78"/>
        <v>7.2000000000000008E-2</v>
      </c>
      <c r="FJ59" s="106">
        <f t="shared" si="78"/>
        <v>7.2000000000000008E-2</v>
      </c>
      <c r="FK59" s="106">
        <f t="shared" si="78"/>
        <v>7.2000000000000008E-2</v>
      </c>
      <c r="FL59" s="106">
        <f t="shared" si="78"/>
        <v>7.2000000000000008E-2</v>
      </c>
      <c r="FM59" s="106">
        <f t="shared" si="78"/>
        <v>7.2000000000000008E-2</v>
      </c>
      <c r="FN59" s="106">
        <f t="shared" si="78"/>
        <v>7.2000000000000008E-2</v>
      </c>
      <c r="FO59" s="106">
        <f t="shared" si="78"/>
        <v>7.2000000000000008E-2</v>
      </c>
      <c r="FP59" s="106">
        <f t="shared" si="78"/>
        <v>7.2000000000000008E-2</v>
      </c>
      <c r="FQ59" s="106">
        <f t="shared" si="78"/>
        <v>7.2000000000000008E-2</v>
      </c>
      <c r="FR59" s="106">
        <f t="shared" si="78"/>
        <v>7.2000000000000008E-2</v>
      </c>
      <c r="FS59" s="106">
        <f t="shared" si="78"/>
        <v>7.2000000000000008E-2</v>
      </c>
      <c r="FT59" s="106">
        <f t="shared" si="78"/>
        <v>7.2000000000000008E-2</v>
      </c>
      <c r="FU59" s="106">
        <f t="shared" si="78"/>
        <v>7.2000000000000008E-2</v>
      </c>
      <c r="FV59" s="106">
        <f t="shared" si="78"/>
        <v>7.2000000000000008E-2</v>
      </c>
      <c r="FW59" s="106">
        <f t="shared" si="78"/>
        <v>7.2000000000000008E-2</v>
      </c>
      <c r="FX59" s="106">
        <f t="shared" si="78"/>
        <v>7.2000000000000008E-2</v>
      </c>
      <c r="FY59" s="106">
        <f t="shared" si="78"/>
        <v>7.2000000000000008E-2</v>
      </c>
      <c r="FZ59" s="106">
        <f t="shared" si="78"/>
        <v>7.2000000000000008E-2</v>
      </c>
      <c r="GA59" s="106">
        <f t="shared" si="78"/>
        <v>7.2000000000000008E-2</v>
      </c>
      <c r="GB59" s="106">
        <f t="shared" si="78"/>
        <v>7.2000000000000008E-2</v>
      </c>
      <c r="GC59" s="106">
        <f t="shared" si="78"/>
        <v>7.2000000000000008E-2</v>
      </c>
      <c r="GD59" s="106">
        <f t="shared" si="78"/>
        <v>7.2000000000000008E-2</v>
      </c>
      <c r="GE59" s="200">
        <f t="shared" si="78"/>
        <v>7.2000000000000008E-2</v>
      </c>
      <c r="GF59" s="200">
        <f t="shared" si="78"/>
        <v>7.2000000000000008E-2</v>
      </c>
      <c r="GG59" s="106">
        <f t="shared" si="78"/>
        <v>7.2000000000000008E-2</v>
      </c>
      <c r="GH59" s="106">
        <f t="shared" si="78"/>
        <v>7.2000000000000008E-2</v>
      </c>
      <c r="GI59" s="105">
        <f t="shared" si="78"/>
        <v>7.2000000000000008E-2</v>
      </c>
      <c r="GJ59" s="105">
        <f t="shared" si="78"/>
        <v>7.2000000000000008E-2</v>
      </c>
      <c r="GK59" s="106">
        <f t="shared" si="78"/>
        <v>7.2000000000000008E-2</v>
      </c>
      <c r="GL59" s="106">
        <f t="shared" si="78"/>
        <v>7.2000000000000008E-2</v>
      </c>
      <c r="GM59" s="106">
        <f t="shared" si="78"/>
        <v>7.2000000000000008E-2</v>
      </c>
      <c r="GN59" s="106">
        <f t="shared" si="78"/>
        <v>7.2000000000000008E-2</v>
      </c>
      <c r="GO59" s="106">
        <f t="shared" si="78"/>
        <v>7.2000000000000008E-2</v>
      </c>
      <c r="GP59" s="106">
        <f t="shared" ref="GP59:JB59" si="79">+GP67</f>
        <v>7.2000000000000008E-2</v>
      </c>
      <c r="GQ59" s="106">
        <f t="shared" si="79"/>
        <v>7.2000000000000008E-2</v>
      </c>
      <c r="GR59" s="106">
        <f t="shared" si="79"/>
        <v>7.2000000000000008E-2</v>
      </c>
      <c r="GS59" s="106">
        <f t="shared" si="79"/>
        <v>7.2000000000000008E-2</v>
      </c>
      <c r="GT59" s="106">
        <f t="shared" si="79"/>
        <v>7.2000000000000008E-2</v>
      </c>
      <c r="GU59" s="106">
        <f t="shared" si="79"/>
        <v>7.2000000000000008E-2</v>
      </c>
      <c r="GV59" s="106">
        <f t="shared" si="79"/>
        <v>7.2000000000000008E-2</v>
      </c>
      <c r="GW59" s="106">
        <f t="shared" si="79"/>
        <v>7.2000000000000008E-2</v>
      </c>
      <c r="GX59" s="106">
        <f t="shared" si="79"/>
        <v>7.2000000000000008E-2</v>
      </c>
      <c r="GY59" s="106">
        <f t="shared" si="79"/>
        <v>7.2000000000000008E-2</v>
      </c>
      <c r="GZ59" s="106">
        <f t="shared" si="79"/>
        <v>7.2000000000000008E-2</v>
      </c>
      <c r="HA59" s="106">
        <f t="shared" si="79"/>
        <v>7.2000000000000008E-2</v>
      </c>
      <c r="HB59" s="106">
        <f t="shared" si="79"/>
        <v>7.2000000000000008E-2</v>
      </c>
      <c r="HC59" s="106">
        <f t="shared" si="79"/>
        <v>7.2000000000000008E-2</v>
      </c>
      <c r="HD59" s="106">
        <f t="shared" si="79"/>
        <v>7.2000000000000008E-2</v>
      </c>
      <c r="HE59" s="106">
        <f t="shared" si="79"/>
        <v>7.2000000000000008E-2</v>
      </c>
      <c r="HF59" s="106">
        <f t="shared" si="79"/>
        <v>7.2000000000000008E-2</v>
      </c>
      <c r="HG59" s="106">
        <f t="shared" si="79"/>
        <v>7.2000000000000008E-2</v>
      </c>
      <c r="HH59" s="106">
        <f t="shared" si="79"/>
        <v>7.2000000000000008E-2</v>
      </c>
      <c r="HI59" s="106">
        <f t="shared" si="79"/>
        <v>7.2000000000000008E-2</v>
      </c>
      <c r="HJ59" s="106">
        <f t="shared" si="79"/>
        <v>7.2000000000000008E-2</v>
      </c>
      <c r="HK59" s="106">
        <f t="shared" si="79"/>
        <v>7.2000000000000008E-2</v>
      </c>
      <c r="HL59" s="106">
        <f t="shared" si="79"/>
        <v>7.2000000000000008E-2</v>
      </c>
      <c r="HM59" s="106">
        <f t="shared" si="79"/>
        <v>7.2000000000000008E-2</v>
      </c>
      <c r="HN59" s="106">
        <f t="shared" si="79"/>
        <v>7.2000000000000008E-2</v>
      </c>
      <c r="HO59" s="106">
        <f t="shared" si="79"/>
        <v>7.2000000000000008E-2</v>
      </c>
      <c r="HP59" s="106">
        <f t="shared" si="79"/>
        <v>7.2000000000000008E-2</v>
      </c>
      <c r="HQ59" s="106">
        <f t="shared" si="79"/>
        <v>7.2000000000000008E-2</v>
      </c>
      <c r="HR59" s="106">
        <f t="shared" si="79"/>
        <v>7.2000000000000008E-2</v>
      </c>
      <c r="HS59" s="106">
        <f t="shared" si="79"/>
        <v>7.2000000000000008E-2</v>
      </c>
      <c r="HT59" s="106">
        <f t="shared" si="79"/>
        <v>7.2000000000000008E-2</v>
      </c>
      <c r="HU59" s="106">
        <f t="shared" si="79"/>
        <v>7.2000000000000008E-2</v>
      </c>
      <c r="HV59" s="106">
        <f t="shared" si="79"/>
        <v>7.2000000000000008E-2</v>
      </c>
      <c r="HW59" s="106">
        <f t="shared" si="79"/>
        <v>7.2000000000000008E-2</v>
      </c>
      <c r="HX59" s="106">
        <f t="shared" si="79"/>
        <v>7.2000000000000008E-2</v>
      </c>
      <c r="HY59" s="106">
        <f t="shared" si="79"/>
        <v>7.2000000000000008E-2</v>
      </c>
      <c r="HZ59" s="106">
        <f t="shared" si="79"/>
        <v>7.2000000000000008E-2</v>
      </c>
      <c r="IA59" s="106">
        <f t="shared" si="79"/>
        <v>7.2000000000000008E-2</v>
      </c>
      <c r="IB59" s="106">
        <f t="shared" si="79"/>
        <v>7.2000000000000008E-2</v>
      </c>
      <c r="IC59" s="200">
        <f t="shared" si="79"/>
        <v>7.2000000000000008E-2</v>
      </c>
      <c r="ID59" s="200">
        <f t="shared" si="79"/>
        <v>7.2000000000000008E-2</v>
      </c>
      <c r="IE59" s="106">
        <f t="shared" si="79"/>
        <v>7.2000000000000008E-2</v>
      </c>
      <c r="IF59" s="106">
        <f t="shared" si="79"/>
        <v>7.2000000000000008E-2</v>
      </c>
      <c r="IG59" s="105">
        <f t="shared" si="79"/>
        <v>7.2000000000000008E-2</v>
      </c>
      <c r="IH59" s="105">
        <f t="shared" si="79"/>
        <v>7.2000000000000008E-2</v>
      </c>
      <c r="II59" s="106">
        <f t="shared" si="79"/>
        <v>7.2000000000000008E-2</v>
      </c>
      <c r="IJ59" s="106">
        <f t="shared" si="79"/>
        <v>7.2000000000000008E-2</v>
      </c>
      <c r="IK59" s="106">
        <f t="shared" si="79"/>
        <v>7.2000000000000008E-2</v>
      </c>
      <c r="IL59" s="106">
        <f t="shared" si="79"/>
        <v>7.2000000000000008E-2</v>
      </c>
      <c r="IM59" s="106">
        <f t="shared" si="79"/>
        <v>7.2000000000000008E-2</v>
      </c>
      <c r="IN59" s="106">
        <f t="shared" si="79"/>
        <v>7.2000000000000008E-2</v>
      </c>
      <c r="IO59" s="106">
        <f t="shared" si="79"/>
        <v>7.2000000000000008E-2</v>
      </c>
      <c r="IP59" s="106">
        <f t="shared" si="79"/>
        <v>7.2000000000000008E-2</v>
      </c>
      <c r="IQ59" s="106">
        <f t="shared" si="79"/>
        <v>7.2000000000000008E-2</v>
      </c>
      <c r="IR59" s="106">
        <f t="shared" si="79"/>
        <v>7.2000000000000008E-2</v>
      </c>
      <c r="IS59" s="106">
        <f t="shared" si="79"/>
        <v>7.2000000000000008E-2</v>
      </c>
      <c r="IT59" s="106">
        <f t="shared" si="79"/>
        <v>7.2000000000000008E-2</v>
      </c>
      <c r="IU59" s="106">
        <f t="shared" si="79"/>
        <v>7.2000000000000008E-2</v>
      </c>
      <c r="IV59" s="106">
        <f t="shared" si="79"/>
        <v>7.2000000000000008E-2</v>
      </c>
      <c r="IW59" s="106">
        <f t="shared" si="79"/>
        <v>7.2000000000000008E-2</v>
      </c>
      <c r="IX59" s="106">
        <f t="shared" si="79"/>
        <v>7.2000000000000008E-2</v>
      </c>
      <c r="IY59" s="106">
        <f t="shared" si="79"/>
        <v>7.2000000000000008E-2</v>
      </c>
      <c r="IZ59" s="106">
        <f t="shared" si="79"/>
        <v>7.2000000000000008E-2</v>
      </c>
      <c r="JA59" s="106">
        <f t="shared" si="79"/>
        <v>7.2000000000000008E-2</v>
      </c>
      <c r="JB59" s="106">
        <f t="shared" si="79"/>
        <v>7.2000000000000008E-2</v>
      </c>
      <c r="JC59" s="106">
        <f t="shared" ref="JC59:KF59" si="80">+JC67</f>
        <v>7.2000000000000008E-2</v>
      </c>
      <c r="JD59" s="106">
        <f t="shared" si="80"/>
        <v>7.2000000000000008E-2</v>
      </c>
      <c r="JE59" s="106">
        <f t="shared" si="80"/>
        <v>7.2000000000000008E-2</v>
      </c>
      <c r="JF59" s="106">
        <f t="shared" si="80"/>
        <v>7.2000000000000008E-2</v>
      </c>
      <c r="JG59" s="106">
        <f t="shared" si="80"/>
        <v>7.2000000000000008E-2</v>
      </c>
      <c r="JH59" s="106">
        <f t="shared" si="80"/>
        <v>7.2000000000000008E-2</v>
      </c>
      <c r="JI59" s="106">
        <f t="shared" si="80"/>
        <v>7.2000000000000008E-2</v>
      </c>
      <c r="JJ59" s="106">
        <f t="shared" si="80"/>
        <v>7.2000000000000008E-2</v>
      </c>
      <c r="JK59" s="106">
        <f t="shared" si="80"/>
        <v>7.2000000000000008E-2</v>
      </c>
      <c r="JL59" s="106">
        <f t="shared" si="80"/>
        <v>7.2000000000000008E-2</v>
      </c>
      <c r="JM59" s="106">
        <f t="shared" si="80"/>
        <v>7.2000000000000008E-2</v>
      </c>
      <c r="JN59" s="106">
        <f t="shared" si="80"/>
        <v>7.2000000000000008E-2</v>
      </c>
      <c r="JO59" s="106">
        <f t="shared" si="80"/>
        <v>7.2000000000000008E-2</v>
      </c>
      <c r="JP59" s="106">
        <f t="shared" si="80"/>
        <v>7.2000000000000008E-2</v>
      </c>
      <c r="JQ59" s="106">
        <f t="shared" si="80"/>
        <v>7.2000000000000008E-2</v>
      </c>
      <c r="JR59" s="106">
        <f t="shared" si="80"/>
        <v>7.2000000000000008E-2</v>
      </c>
      <c r="JS59" s="106">
        <f t="shared" si="80"/>
        <v>7.2000000000000008E-2</v>
      </c>
      <c r="JT59" s="106">
        <f t="shared" si="80"/>
        <v>7.2000000000000008E-2</v>
      </c>
      <c r="JU59" s="106">
        <f t="shared" si="80"/>
        <v>7.2000000000000008E-2</v>
      </c>
      <c r="JV59" s="106">
        <f t="shared" si="80"/>
        <v>7.2000000000000008E-2</v>
      </c>
      <c r="JW59" s="106">
        <f t="shared" si="80"/>
        <v>7.2000000000000008E-2</v>
      </c>
      <c r="JX59" s="106">
        <f t="shared" si="80"/>
        <v>7.2000000000000008E-2</v>
      </c>
      <c r="JY59" s="106">
        <f t="shared" si="80"/>
        <v>7.2000000000000008E-2</v>
      </c>
      <c r="JZ59" s="106">
        <f t="shared" si="80"/>
        <v>7.2000000000000008E-2</v>
      </c>
      <c r="KA59" s="200">
        <f t="shared" si="80"/>
        <v>7.2000000000000008E-2</v>
      </c>
      <c r="KB59" s="200">
        <f t="shared" ref="KB59" si="81">+KB67</f>
        <v>7.2000000000000008E-2</v>
      </c>
      <c r="KC59" s="106">
        <f t="shared" si="80"/>
        <v>7.2000000000000008E-2</v>
      </c>
      <c r="KD59" s="106">
        <f t="shared" si="80"/>
        <v>7.2000000000000008E-2</v>
      </c>
      <c r="KE59" s="105">
        <f t="shared" si="80"/>
        <v>7.2000000000000008E-2</v>
      </c>
      <c r="KF59" s="105">
        <f t="shared" si="80"/>
        <v>7.2000000000000008E-2</v>
      </c>
      <c r="KG59" s="43" t="s">
        <v>34</v>
      </c>
    </row>
    <row r="60" spans="1:293" x14ac:dyDescent="0.3">
      <c r="A60" s="58">
        <f>ROW()</f>
        <v>60</v>
      </c>
      <c r="B60" s="47" t="s">
        <v>105</v>
      </c>
      <c r="C60" s="108">
        <v>0.752355</v>
      </c>
      <c r="D60" s="109">
        <v>0.752355</v>
      </c>
      <c r="E60" s="109">
        <v>0.752355</v>
      </c>
      <c r="F60" s="109">
        <v>0.752355</v>
      </c>
      <c r="G60" s="109">
        <v>0.752355</v>
      </c>
      <c r="H60" s="109">
        <v>0.752355</v>
      </c>
      <c r="I60" s="109">
        <v>0.752355</v>
      </c>
      <c r="J60" s="109">
        <v>0.752355</v>
      </c>
      <c r="K60" s="109">
        <v>0.752355</v>
      </c>
      <c r="L60" s="109">
        <v>0.752355</v>
      </c>
      <c r="M60" s="109">
        <v>0.752355</v>
      </c>
      <c r="N60" s="109">
        <v>0.752355</v>
      </c>
      <c r="O60" s="109">
        <v>0.752355</v>
      </c>
      <c r="P60" s="109">
        <v>0.752355</v>
      </c>
      <c r="Q60" s="109">
        <v>0.752355</v>
      </c>
      <c r="R60" s="109">
        <v>0.752355</v>
      </c>
      <c r="S60" s="109">
        <v>0.752355</v>
      </c>
      <c r="T60" s="109">
        <v>0.752355</v>
      </c>
      <c r="U60" s="109">
        <v>0.752355</v>
      </c>
      <c r="V60" s="109">
        <v>0.752355</v>
      </c>
      <c r="W60" s="109">
        <v>0.752355</v>
      </c>
      <c r="X60" s="109">
        <v>0.752355</v>
      </c>
      <c r="Y60" s="109">
        <v>0.752355</v>
      </c>
      <c r="Z60" s="109">
        <v>0.752355</v>
      </c>
      <c r="AA60" s="109">
        <v>0.752355</v>
      </c>
      <c r="AB60" s="109">
        <v>0.752355</v>
      </c>
      <c r="AC60" s="109">
        <v>0.752355</v>
      </c>
      <c r="AD60" s="109">
        <v>0.752355</v>
      </c>
      <c r="AE60" s="109">
        <v>0.752355</v>
      </c>
      <c r="AF60" s="109">
        <v>0.752355</v>
      </c>
      <c r="AG60" s="109">
        <v>0.752355</v>
      </c>
      <c r="AH60" s="109">
        <v>0.752355</v>
      </c>
      <c r="AI60" s="109">
        <v>0.752355</v>
      </c>
      <c r="AJ60" s="109">
        <v>0.752355</v>
      </c>
      <c r="AK60" s="109">
        <v>0.752355</v>
      </c>
      <c r="AL60" s="109">
        <v>0.752355</v>
      </c>
      <c r="AM60" s="109">
        <v>0.752355</v>
      </c>
      <c r="AN60" s="109">
        <v>0.752355</v>
      </c>
      <c r="AO60" s="109">
        <v>0.752355</v>
      </c>
      <c r="AP60" s="215">
        <v>0.752355</v>
      </c>
      <c r="AQ60" s="109">
        <v>0.752355</v>
      </c>
      <c r="AR60" s="108">
        <v>0.752355</v>
      </c>
      <c r="AS60" s="108">
        <v>0.752355</v>
      </c>
      <c r="AT60" s="109">
        <v>0.752355</v>
      </c>
      <c r="AU60" s="109">
        <v>0.752355</v>
      </c>
      <c r="AV60" s="109">
        <v>0.752355</v>
      </c>
      <c r="AW60" s="109">
        <v>0.752355</v>
      </c>
      <c r="AX60" s="109">
        <v>0.752355</v>
      </c>
      <c r="AY60" s="109">
        <v>0.752355</v>
      </c>
      <c r="AZ60" s="109">
        <v>0.752355</v>
      </c>
      <c r="BA60" s="109">
        <v>0.752355</v>
      </c>
      <c r="BB60" s="109">
        <v>0.752355</v>
      </c>
      <c r="BC60" s="109">
        <v>0.752355</v>
      </c>
      <c r="BD60" s="109">
        <v>0.752355</v>
      </c>
      <c r="BE60" s="109">
        <v>0.752355</v>
      </c>
      <c r="BF60" s="109">
        <v>0.752355</v>
      </c>
      <c r="BG60" s="109">
        <v>0.752355</v>
      </c>
      <c r="BH60" s="109">
        <v>0.752355</v>
      </c>
      <c r="BI60" s="109">
        <v>0.752355</v>
      </c>
      <c r="BJ60" s="109">
        <v>0.752355</v>
      </c>
      <c r="BK60" s="109">
        <v>0.752355</v>
      </c>
      <c r="BL60" s="109">
        <v>0.752355</v>
      </c>
      <c r="BM60" s="109">
        <v>0.752355</v>
      </c>
      <c r="BN60" s="109">
        <v>0.752355</v>
      </c>
      <c r="BO60" s="109">
        <v>0.752355</v>
      </c>
      <c r="BP60" s="109">
        <v>0.752355</v>
      </c>
      <c r="BQ60" s="109">
        <v>0.752355</v>
      </c>
      <c r="BR60" s="109">
        <v>0.752355</v>
      </c>
      <c r="BS60" s="109">
        <v>0.752355</v>
      </c>
      <c r="BT60" s="109">
        <v>0.752355</v>
      </c>
      <c r="BU60" s="109">
        <v>0.752355</v>
      </c>
      <c r="BV60" s="109">
        <v>0.752355</v>
      </c>
      <c r="BW60" s="109">
        <v>0.752355</v>
      </c>
      <c r="BX60" s="109">
        <v>0.752355</v>
      </c>
      <c r="BY60" s="109">
        <v>0.752355</v>
      </c>
      <c r="BZ60" s="109">
        <v>0.752355</v>
      </c>
      <c r="CA60" s="109">
        <v>0.752355</v>
      </c>
      <c r="CB60" s="109">
        <v>0.752355</v>
      </c>
      <c r="CC60" s="109">
        <v>0.752355</v>
      </c>
      <c r="CD60" s="109">
        <v>0.752355</v>
      </c>
      <c r="CE60" s="109">
        <v>0.752355</v>
      </c>
      <c r="CF60" s="109">
        <v>0.752355</v>
      </c>
      <c r="CG60" s="109">
        <v>0.752355</v>
      </c>
      <c r="CH60" s="109">
        <v>0.752355</v>
      </c>
      <c r="CI60" s="109">
        <v>0.752355</v>
      </c>
      <c r="CJ60" s="109">
        <v>0.752355</v>
      </c>
      <c r="CK60" s="109">
        <v>0.752355</v>
      </c>
      <c r="CL60" s="109">
        <v>0.752355</v>
      </c>
      <c r="CM60" s="109">
        <v>0.752355</v>
      </c>
      <c r="CN60" s="108">
        <v>0.752355</v>
      </c>
      <c r="CO60" s="108">
        <v>0.752355</v>
      </c>
      <c r="CP60" s="109">
        <v>0.752355</v>
      </c>
      <c r="CQ60" s="109">
        <v>0.752355</v>
      </c>
      <c r="CR60" s="109">
        <v>0.752355</v>
      </c>
      <c r="CS60" s="109">
        <v>0.752355</v>
      </c>
      <c r="CT60" s="109">
        <v>0.752355</v>
      </c>
      <c r="CU60" s="109">
        <v>0.752355</v>
      </c>
      <c r="CV60" s="109">
        <v>0.752355</v>
      </c>
      <c r="CW60" s="109">
        <v>0.752355</v>
      </c>
      <c r="CX60" s="109">
        <v>0.752355</v>
      </c>
      <c r="CY60" s="109">
        <v>0.752355</v>
      </c>
      <c r="CZ60" s="109">
        <v>0.752355</v>
      </c>
      <c r="DA60" s="109">
        <v>0.752355</v>
      </c>
      <c r="DB60" s="109">
        <v>0.752355</v>
      </c>
      <c r="DC60" s="109">
        <v>0.752355</v>
      </c>
      <c r="DD60" s="109">
        <v>0.752355</v>
      </c>
      <c r="DE60" s="109">
        <v>0.752355</v>
      </c>
      <c r="DF60" s="109">
        <v>0.752355</v>
      </c>
      <c r="DG60" s="109">
        <v>0.752355</v>
      </c>
      <c r="DH60" s="109">
        <v>0.752355</v>
      </c>
      <c r="DI60" s="109">
        <v>0.752355</v>
      </c>
      <c r="DJ60" s="109">
        <v>0.752355</v>
      </c>
      <c r="DK60" s="109">
        <v>0.752355</v>
      </c>
      <c r="DL60" s="109">
        <v>0.752355</v>
      </c>
      <c r="DM60" s="109">
        <v>0.752355</v>
      </c>
      <c r="DN60" s="109">
        <v>0.752355</v>
      </c>
      <c r="DO60" s="109">
        <v>0.752355</v>
      </c>
      <c r="DP60" s="109">
        <v>0.752355</v>
      </c>
      <c r="DQ60" s="109">
        <v>0.752355</v>
      </c>
      <c r="DR60" s="109">
        <v>0.752355</v>
      </c>
      <c r="DS60" s="109">
        <v>0.752355</v>
      </c>
      <c r="DT60" s="109">
        <v>0.752355</v>
      </c>
      <c r="DU60" s="109">
        <v>0.752355</v>
      </c>
      <c r="DV60" s="109">
        <v>0.752355</v>
      </c>
      <c r="DW60" s="109">
        <v>0.752355</v>
      </c>
      <c r="DX60" s="109">
        <v>0.752355</v>
      </c>
      <c r="DY60" s="109">
        <v>0.752355</v>
      </c>
      <c r="DZ60" s="109">
        <v>0.752355</v>
      </c>
      <c r="EA60" s="109">
        <v>0.752355</v>
      </c>
      <c r="EB60" s="109">
        <v>0.752355</v>
      </c>
      <c r="EC60" s="109">
        <v>0.752355</v>
      </c>
      <c r="ED60" s="109">
        <v>0.752355</v>
      </c>
      <c r="EE60" s="109">
        <v>0.752355</v>
      </c>
      <c r="EF60" s="109">
        <v>0.752355</v>
      </c>
      <c r="EG60" s="109">
        <v>0.752355</v>
      </c>
      <c r="EH60" s="215">
        <v>0.752355</v>
      </c>
      <c r="EI60" s="109">
        <v>0.752355</v>
      </c>
      <c r="EJ60" s="109">
        <v>0.752355</v>
      </c>
      <c r="EK60" s="108">
        <v>0.752355</v>
      </c>
      <c r="EL60" s="108">
        <v>0.752355</v>
      </c>
      <c r="EM60" s="109">
        <v>0.752355</v>
      </c>
      <c r="EN60" s="109">
        <v>0.752355</v>
      </c>
      <c r="EO60" s="109">
        <v>0.752355</v>
      </c>
      <c r="EP60" s="109">
        <v>0.752355</v>
      </c>
      <c r="EQ60" s="109">
        <v>0.752355</v>
      </c>
      <c r="ER60" s="109">
        <v>0.752355</v>
      </c>
      <c r="ES60" s="109">
        <v>0.752355</v>
      </c>
      <c r="ET60" s="109">
        <v>0.752355</v>
      </c>
      <c r="EU60" s="109">
        <v>0.752355</v>
      </c>
      <c r="EV60" s="109">
        <v>0.752355</v>
      </c>
      <c r="EW60" s="109">
        <v>0.752355</v>
      </c>
      <c r="EX60" s="109">
        <v>0.752355</v>
      </c>
      <c r="EY60" s="109">
        <v>0.752355</v>
      </c>
      <c r="EZ60" s="109">
        <v>0.752355</v>
      </c>
      <c r="FA60" s="109">
        <v>0.752355</v>
      </c>
      <c r="FB60" s="109">
        <v>0.752355</v>
      </c>
      <c r="FC60" s="109">
        <v>0.752355</v>
      </c>
      <c r="FD60" s="109">
        <v>0.752355</v>
      </c>
      <c r="FE60" s="109">
        <v>0.752355</v>
      </c>
      <c r="FF60" s="109">
        <v>0.752355</v>
      </c>
      <c r="FG60" s="109">
        <v>0.752355</v>
      </c>
      <c r="FH60" s="109">
        <v>0.752355</v>
      </c>
      <c r="FI60" s="109">
        <v>0.752355</v>
      </c>
      <c r="FJ60" s="109">
        <v>0.752355</v>
      </c>
      <c r="FK60" s="109">
        <v>0.752355</v>
      </c>
      <c r="FL60" s="109">
        <v>0.752355</v>
      </c>
      <c r="FM60" s="109">
        <v>0.752355</v>
      </c>
      <c r="FN60" s="109">
        <v>0.752355</v>
      </c>
      <c r="FO60" s="109">
        <v>0.752355</v>
      </c>
      <c r="FP60" s="109">
        <v>0.752355</v>
      </c>
      <c r="FQ60" s="109">
        <v>0.752355</v>
      </c>
      <c r="FR60" s="109">
        <v>0.752355</v>
      </c>
      <c r="FS60" s="109">
        <v>0.752355</v>
      </c>
      <c r="FT60" s="109">
        <v>0.752355</v>
      </c>
      <c r="FU60" s="109">
        <v>0.752355</v>
      </c>
      <c r="FV60" s="109">
        <v>0.752355</v>
      </c>
      <c r="FW60" s="109">
        <v>0.752355</v>
      </c>
      <c r="FX60" s="109">
        <v>0.752355</v>
      </c>
      <c r="FY60" s="109">
        <v>0.752355</v>
      </c>
      <c r="FZ60" s="109">
        <v>0.752355</v>
      </c>
      <c r="GA60" s="109">
        <v>0.752355</v>
      </c>
      <c r="GB60" s="109">
        <v>0.752355</v>
      </c>
      <c r="GC60" s="109">
        <v>0.752355</v>
      </c>
      <c r="GD60" s="109">
        <v>0.752355</v>
      </c>
      <c r="GE60" s="215">
        <v>0.752355</v>
      </c>
      <c r="GF60" s="215">
        <v>0.752355</v>
      </c>
      <c r="GG60" s="109">
        <v>0.752355</v>
      </c>
      <c r="GH60" s="109">
        <v>0.752355</v>
      </c>
      <c r="GI60" s="108">
        <v>0.752355</v>
      </c>
      <c r="GJ60" s="108">
        <v>0.752355</v>
      </c>
      <c r="GK60" s="109">
        <v>0.752355</v>
      </c>
      <c r="GL60" s="109">
        <v>0.752355</v>
      </c>
      <c r="GM60" s="109">
        <v>0.752355</v>
      </c>
      <c r="GN60" s="109">
        <v>0.752355</v>
      </c>
      <c r="GO60" s="109">
        <v>0.752355</v>
      </c>
      <c r="GP60" s="109">
        <v>0.752355</v>
      </c>
      <c r="GQ60" s="109">
        <v>0.752355</v>
      </c>
      <c r="GR60" s="109">
        <v>0.752355</v>
      </c>
      <c r="GS60" s="109">
        <v>0.752355</v>
      </c>
      <c r="GT60" s="109">
        <v>0.752355</v>
      </c>
      <c r="GU60" s="109">
        <v>0.752355</v>
      </c>
      <c r="GV60" s="109">
        <v>0.752355</v>
      </c>
      <c r="GW60" s="109">
        <v>0.752355</v>
      </c>
      <c r="GX60" s="109">
        <v>0.752355</v>
      </c>
      <c r="GY60" s="109">
        <v>0.752355</v>
      </c>
      <c r="GZ60" s="109">
        <v>0.752355</v>
      </c>
      <c r="HA60" s="109">
        <v>0.752355</v>
      </c>
      <c r="HB60" s="109">
        <v>0.752355</v>
      </c>
      <c r="HC60" s="109">
        <v>0.752355</v>
      </c>
      <c r="HD60" s="109">
        <v>0.752355</v>
      </c>
      <c r="HE60" s="109">
        <v>0.752355</v>
      </c>
      <c r="HF60" s="109">
        <v>0.752355</v>
      </c>
      <c r="HG60" s="109">
        <v>0.752355</v>
      </c>
      <c r="HH60" s="109">
        <v>0.752355</v>
      </c>
      <c r="HI60" s="109">
        <v>0.752355</v>
      </c>
      <c r="HJ60" s="109">
        <v>0.752355</v>
      </c>
      <c r="HK60" s="109">
        <v>0.752355</v>
      </c>
      <c r="HL60" s="109">
        <v>0.752355</v>
      </c>
      <c r="HM60" s="109">
        <v>0.752355</v>
      </c>
      <c r="HN60" s="109">
        <v>0.752355</v>
      </c>
      <c r="HO60" s="109">
        <v>0.752355</v>
      </c>
      <c r="HP60" s="109">
        <v>0.752355</v>
      </c>
      <c r="HQ60" s="109">
        <v>0.752355</v>
      </c>
      <c r="HR60" s="109">
        <v>0.752355</v>
      </c>
      <c r="HS60" s="109">
        <v>0.752355</v>
      </c>
      <c r="HT60" s="109">
        <v>0.752355</v>
      </c>
      <c r="HU60" s="109">
        <v>0.752355</v>
      </c>
      <c r="HV60" s="109">
        <v>0.752355</v>
      </c>
      <c r="HW60" s="109">
        <v>0.752355</v>
      </c>
      <c r="HX60" s="109">
        <v>0.752355</v>
      </c>
      <c r="HY60" s="109">
        <v>0.752355</v>
      </c>
      <c r="HZ60" s="109">
        <v>0.752355</v>
      </c>
      <c r="IA60" s="109">
        <v>0.752355</v>
      </c>
      <c r="IB60" s="109">
        <v>0.752355</v>
      </c>
      <c r="IC60" s="215">
        <v>0.752355</v>
      </c>
      <c r="ID60" s="215">
        <v>0.752355</v>
      </c>
      <c r="IE60" s="109">
        <v>0.752355</v>
      </c>
      <c r="IF60" s="109">
        <v>0.752355</v>
      </c>
      <c r="IG60" s="108">
        <v>0.752355</v>
      </c>
      <c r="IH60" s="108">
        <v>0.752355</v>
      </c>
      <c r="II60" s="109">
        <v>0.752355</v>
      </c>
      <c r="IJ60" s="109">
        <v>0.752355</v>
      </c>
      <c r="IK60" s="109">
        <v>0.752355</v>
      </c>
      <c r="IL60" s="109">
        <v>0.752355</v>
      </c>
      <c r="IM60" s="109">
        <v>0.752355</v>
      </c>
      <c r="IN60" s="109">
        <v>0.752355</v>
      </c>
      <c r="IO60" s="109">
        <v>0.752355</v>
      </c>
      <c r="IP60" s="109">
        <v>0.752355</v>
      </c>
      <c r="IQ60" s="109">
        <v>0.752355</v>
      </c>
      <c r="IR60" s="109">
        <v>0.752355</v>
      </c>
      <c r="IS60" s="109">
        <v>0.752355</v>
      </c>
      <c r="IT60" s="109">
        <v>0.752355</v>
      </c>
      <c r="IU60" s="109">
        <v>0.752355</v>
      </c>
      <c r="IV60" s="109">
        <v>0.752355</v>
      </c>
      <c r="IW60" s="109">
        <v>0.752355</v>
      </c>
      <c r="IX60" s="109">
        <v>0.752355</v>
      </c>
      <c r="IY60" s="109">
        <v>0.752355</v>
      </c>
      <c r="IZ60" s="109">
        <v>0.752355</v>
      </c>
      <c r="JA60" s="109">
        <v>0.752355</v>
      </c>
      <c r="JB60" s="109">
        <v>0.752355</v>
      </c>
      <c r="JC60" s="109">
        <v>0.752355</v>
      </c>
      <c r="JD60" s="109">
        <v>0.752355</v>
      </c>
      <c r="JE60" s="109">
        <v>0.752355</v>
      </c>
      <c r="JF60" s="109">
        <v>0.752355</v>
      </c>
      <c r="JG60" s="109">
        <v>0.752355</v>
      </c>
      <c r="JH60" s="109">
        <v>0.752355</v>
      </c>
      <c r="JI60" s="109">
        <v>0.752355</v>
      </c>
      <c r="JJ60" s="109">
        <v>0.752355</v>
      </c>
      <c r="JK60" s="109">
        <v>0.752355</v>
      </c>
      <c r="JL60" s="109">
        <v>0.752355</v>
      </c>
      <c r="JM60" s="109">
        <v>0.752355</v>
      </c>
      <c r="JN60" s="109">
        <v>0.752355</v>
      </c>
      <c r="JO60" s="109">
        <v>0.752355</v>
      </c>
      <c r="JP60" s="109">
        <v>0.752355</v>
      </c>
      <c r="JQ60" s="109">
        <v>0.752355</v>
      </c>
      <c r="JR60" s="109">
        <v>0.752355</v>
      </c>
      <c r="JS60" s="109">
        <v>0.752355</v>
      </c>
      <c r="JT60" s="109">
        <v>0.752355</v>
      </c>
      <c r="JU60" s="109">
        <v>0.752355</v>
      </c>
      <c r="JV60" s="109">
        <v>0.752355</v>
      </c>
      <c r="JW60" s="109">
        <v>0.752355</v>
      </c>
      <c r="JX60" s="109">
        <v>0.752355</v>
      </c>
      <c r="JY60" s="109">
        <v>0.752355</v>
      </c>
      <c r="JZ60" s="109">
        <v>0.752355</v>
      </c>
      <c r="KA60" s="215">
        <v>0.752355</v>
      </c>
      <c r="KB60" s="215">
        <v>0.752355</v>
      </c>
      <c r="KC60" s="109">
        <v>0.752355</v>
      </c>
      <c r="KD60" s="109">
        <v>0.752355</v>
      </c>
      <c r="KE60" s="108">
        <v>0.752355</v>
      </c>
      <c r="KF60" s="108">
        <v>0.752355</v>
      </c>
      <c r="KG60" s="43" t="s">
        <v>34</v>
      </c>
    </row>
    <row r="61" spans="1:293" x14ac:dyDescent="0.3">
      <c r="A61" s="58">
        <f>ROW()</f>
        <v>61</v>
      </c>
      <c r="B61" s="47" t="s">
        <v>106</v>
      </c>
      <c r="C61" s="78">
        <f>+C44-(C57*C67)</f>
        <v>-97511305.050268412</v>
      </c>
      <c r="D61" s="88">
        <f t="shared" ref="D61:AQ61" si="82">+D44-(D57*D59)</f>
        <v>27715008.083816297</v>
      </c>
      <c r="E61" s="88">
        <f t="shared" si="82"/>
        <v>984321.82894507051</v>
      </c>
      <c r="F61" s="88">
        <f t="shared" si="82"/>
        <v>829813.62078860006</v>
      </c>
      <c r="G61" s="88">
        <f t="shared" si="82"/>
        <v>36730076.987808421</v>
      </c>
      <c r="H61" s="88">
        <f t="shared" si="82"/>
        <v>29473738.80405971</v>
      </c>
      <c r="I61" s="88">
        <f t="shared" si="82"/>
        <v>2975709.7977257613</v>
      </c>
      <c r="J61" s="88">
        <f t="shared" si="82"/>
        <v>139378.00489226007</v>
      </c>
      <c r="K61" s="88">
        <f t="shared" si="82"/>
        <v>1744.5848380158841</v>
      </c>
      <c r="L61" s="88">
        <f t="shared" si="82"/>
        <v>34454.191186003947</v>
      </c>
      <c r="M61" s="88">
        <f t="shared" si="82"/>
        <v>-70788.642846595074</v>
      </c>
      <c r="N61" s="88">
        <f t="shared" si="82"/>
        <v>-4368173.7026213948</v>
      </c>
      <c r="O61" s="88">
        <f t="shared" si="82"/>
        <v>-122822.85124517528</v>
      </c>
      <c r="P61" s="88">
        <f t="shared" si="82"/>
        <v>-17521.863852870072</v>
      </c>
      <c r="Q61" s="88">
        <f t="shared" si="82"/>
        <v>-816673.3893978541</v>
      </c>
      <c r="R61" s="88">
        <f t="shared" si="82"/>
        <v>1302726.7716999999</v>
      </c>
      <c r="S61" s="88">
        <f t="shared" si="82"/>
        <v>66097.118360055465</v>
      </c>
      <c r="T61" s="88">
        <f t="shared" si="82"/>
        <v>1576182.6872538861</v>
      </c>
      <c r="U61" s="88">
        <f t="shared" si="82"/>
        <v>-2262436.406464857</v>
      </c>
      <c r="V61" s="88">
        <f t="shared" si="82"/>
        <v>-1360130.9007325245</v>
      </c>
      <c r="W61" s="88">
        <f t="shared" si="82"/>
        <v>-610276.78483619052</v>
      </c>
      <c r="X61" s="88">
        <f t="shared" si="82"/>
        <v>-69587.980321600218</v>
      </c>
      <c r="Y61" s="88">
        <f t="shared" si="82"/>
        <v>0</v>
      </c>
      <c r="Z61" s="88">
        <f t="shared" si="82"/>
        <v>0</v>
      </c>
      <c r="AA61" s="88">
        <f t="shared" si="82"/>
        <v>10297086.326670814</v>
      </c>
      <c r="AB61" s="88">
        <f t="shared" si="82"/>
        <v>0</v>
      </c>
      <c r="AC61" s="88">
        <f t="shared" si="82"/>
        <v>142029.36432510396</v>
      </c>
      <c r="AD61" s="88">
        <f t="shared" si="82"/>
        <v>0</v>
      </c>
      <c r="AE61" s="88">
        <f t="shared" si="82"/>
        <v>-8137368.974306412</v>
      </c>
      <c r="AF61" s="88">
        <f t="shared" si="82"/>
        <v>-77236.935274999967</v>
      </c>
      <c r="AG61" s="88">
        <f t="shared" si="82"/>
        <v>258199.89</v>
      </c>
      <c r="AH61" s="88">
        <f t="shared" si="82"/>
        <v>-745895.0162666667</v>
      </c>
      <c r="AI61" s="88">
        <f t="shared" si="82"/>
        <v>0</v>
      </c>
      <c r="AJ61" s="88">
        <f t="shared" si="82"/>
        <v>97083.660324799988</v>
      </c>
      <c r="AK61" s="88">
        <f t="shared" si="82"/>
        <v>789966.53717999777</v>
      </c>
      <c r="AL61" s="88">
        <f t="shared" si="82"/>
        <v>0</v>
      </c>
      <c r="AM61" s="88">
        <f t="shared" si="82"/>
        <v>0</v>
      </c>
      <c r="AN61" s="88">
        <f t="shared" si="82"/>
        <v>0</v>
      </c>
      <c r="AO61" s="88">
        <f t="shared" si="82"/>
        <v>0</v>
      </c>
      <c r="AP61" s="216">
        <f t="shared" si="82"/>
        <v>749682.42372520932</v>
      </c>
      <c r="AQ61" s="88">
        <f t="shared" si="82"/>
        <v>0</v>
      </c>
      <c r="AR61" s="78">
        <f>SUM(D61:AQ61)</f>
        <v>95504387.235432848</v>
      </c>
      <c r="AS61" s="78">
        <f>+AS44-(AS57*AS67)</f>
        <v>-2006917.814835608</v>
      </c>
      <c r="AT61" s="88">
        <f t="shared" ref="AT61:CM61" si="83">+AT44-(AT57*AT59)</f>
        <v>-5900349.9228287628</v>
      </c>
      <c r="AU61" s="88">
        <f t="shared" si="83"/>
        <v>0</v>
      </c>
      <c r="AV61" s="88">
        <f t="shared" si="83"/>
        <v>0</v>
      </c>
      <c r="AW61" s="88">
        <f t="shared" si="83"/>
        <v>-315675.44077924232</v>
      </c>
      <c r="AX61" s="88">
        <f t="shared" si="83"/>
        <v>809137.34002525103</v>
      </c>
      <c r="AY61" s="88">
        <f t="shared" si="83"/>
        <v>0</v>
      </c>
      <c r="AZ61" s="88">
        <f t="shared" si="83"/>
        <v>0</v>
      </c>
      <c r="BA61" s="88">
        <f t="shared" si="83"/>
        <v>0</v>
      </c>
      <c r="BB61" s="88">
        <f t="shared" si="83"/>
        <v>-88453.097947868329</v>
      </c>
      <c r="BC61" s="88">
        <f t="shared" si="83"/>
        <v>0</v>
      </c>
      <c r="BD61" s="88">
        <f t="shared" si="83"/>
        <v>1541476.0708844375</v>
      </c>
      <c r="BE61" s="88">
        <f t="shared" si="83"/>
        <v>0</v>
      </c>
      <c r="BF61" s="88">
        <f t="shared" si="83"/>
        <v>0</v>
      </c>
      <c r="BG61" s="88">
        <f t="shared" si="83"/>
        <v>-748484.50773254456</v>
      </c>
      <c r="BH61" s="88">
        <f t="shared" si="83"/>
        <v>0</v>
      </c>
      <c r="BI61" s="88">
        <f t="shared" si="83"/>
        <v>0</v>
      </c>
      <c r="BJ61" s="88">
        <f t="shared" si="83"/>
        <v>-1224537.0157488291</v>
      </c>
      <c r="BK61" s="88">
        <f t="shared" si="83"/>
        <v>0</v>
      </c>
      <c r="BL61" s="88">
        <f t="shared" si="83"/>
        <v>0</v>
      </c>
      <c r="BM61" s="88">
        <f t="shared" si="83"/>
        <v>0</v>
      </c>
      <c r="BN61" s="88">
        <f t="shared" si="83"/>
        <v>0</v>
      </c>
      <c r="BO61" s="88">
        <f t="shared" si="83"/>
        <v>0</v>
      </c>
      <c r="BP61" s="88">
        <f t="shared" si="83"/>
        <v>0</v>
      </c>
      <c r="BQ61" s="88">
        <f t="shared" si="83"/>
        <v>-15248961.743370814</v>
      </c>
      <c r="BR61" s="88">
        <f t="shared" si="83"/>
        <v>-9112247.1370875388</v>
      </c>
      <c r="BS61" s="88">
        <f t="shared" si="83"/>
        <v>1.9374896149383859E-2</v>
      </c>
      <c r="BT61" s="88">
        <f t="shared" si="83"/>
        <v>47497.310498340034</v>
      </c>
      <c r="BU61" s="88">
        <f t="shared" si="83"/>
        <v>0</v>
      </c>
      <c r="BV61" s="88">
        <f t="shared" si="83"/>
        <v>15750119.241185242</v>
      </c>
      <c r="BW61" s="88">
        <f t="shared" si="83"/>
        <v>520881.18022409221</v>
      </c>
      <c r="BX61" s="88">
        <f t="shared" si="83"/>
        <v>-11033119.665620143</v>
      </c>
      <c r="BY61" s="88">
        <f t="shared" si="83"/>
        <v>-2739940.9057</v>
      </c>
      <c r="BZ61" s="88">
        <f t="shared" si="83"/>
        <v>-1729499.6505824765</v>
      </c>
      <c r="CA61" s="88">
        <f t="shared" si="83"/>
        <v>-7063066.0480481889</v>
      </c>
      <c r="CB61" s="88">
        <f t="shared" si="83"/>
        <v>0</v>
      </c>
      <c r="CC61" s="88">
        <f t="shared" si="83"/>
        <v>0</v>
      </c>
      <c r="CD61" s="88">
        <f t="shared" si="83"/>
        <v>-5122.0980000000009</v>
      </c>
      <c r="CE61" s="88">
        <f t="shared" si="83"/>
        <v>0</v>
      </c>
      <c r="CF61" s="88">
        <f t="shared" si="83"/>
        <v>1746625.1758574871</v>
      </c>
      <c r="CG61" s="88">
        <f t="shared" si="83"/>
        <v>29634.292739999983</v>
      </c>
      <c r="CH61" s="88">
        <f t="shared" si="83"/>
        <v>0</v>
      </c>
      <c r="CI61" s="88">
        <f t="shared" si="83"/>
        <v>-1816940.2922586829</v>
      </c>
      <c r="CJ61" s="88">
        <f t="shared" si="83"/>
        <v>47755336.85092485</v>
      </c>
      <c r="CK61" s="88">
        <f t="shared" si="83"/>
        <v>0</v>
      </c>
      <c r="CL61" s="88">
        <f t="shared" si="83"/>
        <v>11585688.287050875</v>
      </c>
      <c r="CM61" s="88">
        <f t="shared" si="83"/>
        <v>302918.15376000071</v>
      </c>
      <c r="CN61" s="78">
        <f>SUM(AT61:CM61)</f>
        <v>23062916.396820381</v>
      </c>
      <c r="CO61" s="78">
        <f>+CO44-(CO57*CO67)</f>
        <v>21055998.581984878</v>
      </c>
      <c r="CP61" s="88">
        <f t="shared" ref="CP61:EJ61" si="84">+CP44-(CP57*CP59)</f>
        <v>-41008047.891153216</v>
      </c>
      <c r="CQ61" s="88">
        <f t="shared" si="84"/>
        <v>0</v>
      </c>
      <c r="CR61" s="88">
        <f t="shared" si="84"/>
        <v>0</v>
      </c>
      <c r="CS61" s="88">
        <f t="shared" si="84"/>
        <v>-1150126.3264822231</v>
      </c>
      <c r="CT61" s="88">
        <f t="shared" si="84"/>
        <v>631151.54481271701</v>
      </c>
      <c r="CU61" s="88">
        <f t="shared" si="84"/>
        <v>0</v>
      </c>
      <c r="CV61" s="88">
        <f t="shared" si="84"/>
        <v>0</v>
      </c>
      <c r="CW61" s="88">
        <f t="shared" si="84"/>
        <v>0</v>
      </c>
      <c r="CX61" s="88">
        <f t="shared" si="84"/>
        <v>0</v>
      </c>
      <c r="CY61" s="88">
        <f t="shared" si="84"/>
        <v>0</v>
      </c>
      <c r="CZ61" s="88">
        <f t="shared" si="84"/>
        <v>-306311.14921122277</v>
      </c>
      <c r="DA61" s="88">
        <f t="shared" si="84"/>
        <v>0</v>
      </c>
      <c r="DB61" s="88">
        <f t="shared" si="84"/>
        <v>0</v>
      </c>
      <c r="DC61" s="88">
        <f t="shared" si="84"/>
        <v>0</v>
      </c>
      <c r="DD61" s="88">
        <f t="shared" si="84"/>
        <v>-1163573.5173000004</v>
      </c>
      <c r="DE61" s="88">
        <f t="shared" si="84"/>
        <v>0</v>
      </c>
      <c r="DF61" s="88">
        <f t="shared" si="84"/>
        <v>0</v>
      </c>
      <c r="DG61" s="88">
        <f t="shared" si="84"/>
        <v>0</v>
      </c>
      <c r="DH61" s="88">
        <f t="shared" si="84"/>
        <v>0</v>
      </c>
      <c r="DI61" s="88">
        <f t="shared" si="84"/>
        <v>0</v>
      </c>
      <c r="DJ61" s="88">
        <f t="shared" si="84"/>
        <v>0</v>
      </c>
      <c r="DK61" s="88">
        <f t="shared" si="84"/>
        <v>0</v>
      </c>
      <c r="DL61" s="88">
        <f t="shared" si="84"/>
        <v>0</v>
      </c>
      <c r="DM61" s="88">
        <f t="shared" si="84"/>
        <v>0</v>
      </c>
      <c r="DN61" s="88">
        <f t="shared" si="84"/>
        <v>-302280.85546915303</v>
      </c>
      <c r="DO61" s="88">
        <f t="shared" si="84"/>
        <v>0</v>
      </c>
      <c r="DP61" s="88">
        <f t="shared" si="84"/>
        <v>23748.655249170035</v>
      </c>
      <c r="DQ61" s="88">
        <f t="shared" si="84"/>
        <v>0</v>
      </c>
      <c r="DR61" s="88">
        <f t="shared" si="84"/>
        <v>44559059.297000401</v>
      </c>
      <c r="DS61" s="88">
        <f t="shared" si="84"/>
        <v>3944753.2353702052</v>
      </c>
      <c r="DT61" s="88">
        <f t="shared" si="84"/>
        <v>-29521032.504107721</v>
      </c>
      <c r="DU61" s="88">
        <f t="shared" si="84"/>
        <v>-959308.7682199995</v>
      </c>
      <c r="DV61" s="88">
        <f t="shared" si="84"/>
        <v>-8102841.6078067888</v>
      </c>
      <c r="DW61" s="88">
        <f t="shared" si="84"/>
        <v>-15986313.571342222</v>
      </c>
      <c r="DX61" s="88">
        <f t="shared" si="84"/>
        <v>0</v>
      </c>
      <c r="DY61" s="88">
        <f t="shared" si="84"/>
        <v>0</v>
      </c>
      <c r="DZ61" s="88">
        <f t="shared" si="84"/>
        <v>-10244.160000000002</v>
      </c>
      <c r="EA61" s="88">
        <f t="shared" si="84"/>
        <v>0</v>
      </c>
      <c r="EB61" s="88">
        <f t="shared" si="84"/>
        <v>618167.54227570724</v>
      </c>
      <c r="EC61" s="88">
        <f t="shared" si="84"/>
        <v>-8198.5363199999974</v>
      </c>
      <c r="ED61" s="88">
        <f t="shared" si="84"/>
        <v>0</v>
      </c>
      <c r="EE61" s="88">
        <f t="shared" si="84"/>
        <v>-125425.09445231534</v>
      </c>
      <c r="EF61" s="88">
        <f t="shared" si="84"/>
        <v>-4786004.2780709434</v>
      </c>
      <c r="EG61" s="88">
        <f t="shared" si="84"/>
        <v>0</v>
      </c>
      <c r="EH61" s="216">
        <f t="shared" si="84"/>
        <v>-3746219.2781285467</v>
      </c>
      <c r="EI61" s="88">
        <f t="shared" si="84"/>
        <v>2780502.1264381995</v>
      </c>
      <c r="EJ61" s="88">
        <f t="shared" si="84"/>
        <v>923294.13427998556</v>
      </c>
      <c r="EK61" s="78">
        <f>SUM(CP61:EJ61)</f>
        <v>-53695251.00263796</v>
      </c>
      <c r="EL61" s="78">
        <f>+EL44-(EL57*EL67)</f>
        <v>-32639252.42065233</v>
      </c>
      <c r="EM61" s="88">
        <f t="shared" ref="EM61:GH61" si="85">+EM44-(EM57*EM59)</f>
        <v>15909781.89594581</v>
      </c>
      <c r="EN61" s="88">
        <f t="shared" si="85"/>
        <v>0</v>
      </c>
      <c r="EO61" s="88">
        <f t="shared" si="85"/>
        <v>0</v>
      </c>
      <c r="EP61" s="88">
        <f t="shared" si="85"/>
        <v>-58263.033099908731</v>
      </c>
      <c r="EQ61" s="88">
        <f t="shared" si="85"/>
        <v>-1131614.694250165</v>
      </c>
      <c r="ER61" s="88">
        <f t="shared" si="85"/>
        <v>0</v>
      </c>
      <c r="ES61" s="88">
        <f t="shared" si="85"/>
        <v>0</v>
      </c>
      <c r="ET61" s="88">
        <f t="shared" si="85"/>
        <v>0</v>
      </c>
      <c r="EU61" s="88">
        <f t="shared" si="85"/>
        <v>0</v>
      </c>
      <c r="EV61" s="88">
        <f t="shared" si="85"/>
        <v>0</v>
      </c>
      <c r="EW61" s="88">
        <f t="shared" si="85"/>
        <v>-564801.47031854209</v>
      </c>
      <c r="EX61" s="88">
        <f t="shared" si="85"/>
        <v>0</v>
      </c>
      <c r="EY61" s="88">
        <f t="shared" si="85"/>
        <v>0</v>
      </c>
      <c r="EZ61" s="88">
        <f t="shared" si="85"/>
        <v>0</v>
      </c>
      <c r="FA61" s="88">
        <f t="shared" si="85"/>
        <v>-3468351.8046000004</v>
      </c>
      <c r="FB61" s="88">
        <f t="shared" si="85"/>
        <v>0</v>
      </c>
      <c r="FC61" s="88">
        <f t="shared" si="85"/>
        <v>0</v>
      </c>
      <c r="FD61" s="88">
        <f t="shared" si="85"/>
        <v>0</v>
      </c>
      <c r="FE61" s="88">
        <f t="shared" si="85"/>
        <v>0</v>
      </c>
      <c r="FF61" s="88">
        <f t="shared" si="85"/>
        <v>0</v>
      </c>
      <c r="FG61" s="88">
        <f t="shared" si="85"/>
        <v>0</v>
      </c>
      <c r="FH61" s="88">
        <f t="shared" si="85"/>
        <v>-11010328.998507787</v>
      </c>
      <c r="FI61" s="88">
        <f t="shared" si="85"/>
        <v>-371028.81857255311</v>
      </c>
      <c r="FJ61" s="88">
        <f t="shared" si="85"/>
        <v>-6591984.3532083482</v>
      </c>
      <c r="FK61" s="88">
        <f t="shared" si="85"/>
        <v>-5488927.3101298269</v>
      </c>
      <c r="FL61" s="88">
        <f t="shared" si="85"/>
        <v>-80037.032855528465</v>
      </c>
      <c r="FM61" s="88">
        <f t="shared" si="85"/>
        <v>614429.88540519145</v>
      </c>
      <c r="FN61" s="88">
        <f t="shared" si="85"/>
        <v>0</v>
      </c>
      <c r="FO61" s="88">
        <f t="shared" si="85"/>
        <v>35723234.60558632</v>
      </c>
      <c r="FP61" s="88">
        <f t="shared" si="85"/>
        <v>5080351.9684287962</v>
      </c>
      <c r="FQ61" s="88">
        <f t="shared" si="85"/>
        <v>-25902275.928501286</v>
      </c>
      <c r="FR61" s="88">
        <f t="shared" si="85"/>
        <v>-351643.86134000082</v>
      </c>
      <c r="FS61" s="88">
        <f t="shared" si="85"/>
        <v>-415117.38816249301</v>
      </c>
      <c r="FT61" s="88">
        <f t="shared" si="85"/>
        <v>-14163351.599440446</v>
      </c>
      <c r="FU61" s="88">
        <f t="shared" si="85"/>
        <v>-122038245.99038979</v>
      </c>
      <c r="FV61" s="88">
        <f t="shared" si="85"/>
        <v>-139468.69547499999</v>
      </c>
      <c r="FW61" s="88">
        <f t="shared" si="85"/>
        <v>6836.8507032000034</v>
      </c>
      <c r="FX61" s="88">
        <f t="shared" si="85"/>
        <v>827173.50134999724</v>
      </c>
      <c r="FY61" s="88">
        <f t="shared" si="85"/>
        <v>2694540.308058654</v>
      </c>
      <c r="FZ61" s="88">
        <f t="shared" si="85"/>
        <v>-14857.142701700053</v>
      </c>
      <c r="GA61" s="88">
        <f t="shared" si="85"/>
        <v>938220.28339337185</v>
      </c>
      <c r="GB61" s="88">
        <f t="shared" si="85"/>
        <v>-1652005.5477761626</v>
      </c>
      <c r="GC61" s="88">
        <f t="shared" si="85"/>
        <v>-8976657.7258612402</v>
      </c>
      <c r="GD61" s="88">
        <f t="shared" si="85"/>
        <v>0</v>
      </c>
      <c r="GE61" s="216">
        <f t="shared" si="85"/>
        <v>6593423.0854197107</v>
      </c>
      <c r="GF61" s="216">
        <f t="shared" si="85"/>
        <v>399846.61577827268</v>
      </c>
      <c r="GG61" s="88">
        <f t="shared" si="85"/>
        <v>0</v>
      </c>
      <c r="GH61" s="88">
        <f t="shared" si="85"/>
        <v>1953912.7159600181</v>
      </c>
      <c r="GI61" s="78">
        <f>SUM(EM61:GH61)</f>
        <v>-131677209.67916144</v>
      </c>
      <c r="GJ61" s="78">
        <f>+GJ44-(GJ57*GJ67)</f>
        <v>-164316462.09981447</v>
      </c>
      <c r="GK61" s="88">
        <f t="shared" ref="GK61:IF61" si="86">+GK44-(GK57*GK59)</f>
        <v>16230699.011550086</v>
      </c>
      <c r="GL61" s="88">
        <f t="shared" si="86"/>
        <v>0</v>
      </c>
      <c r="GM61" s="88">
        <f t="shared" si="86"/>
        <v>0</v>
      </c>
      <c r="GN61" s="88">
        <f t="shared" si="86"/>
        <v>-1994741.5915449301</v>
      </c>
      <c r="GO61" s="88">
        <f t="shared" si="86"/>
        <v>676709.86312155868</v>
      </c>
      <c r="GP61" s="88">
        <f t="shared" si="86"/>
        <v>0</v>
      </c>
      <c r="GQ61" s="88">
        <f t="shared" si="86"/>
        <v>0</v>
      </c>
      <c r="GR61" s="88">
        <f t="shared" si="86"/>
        <v>0</v>
      </c>
      <c r="GS61" s="88">
        <f t="shared" si="86"/>
        <v>0</v>
      </c>
      <c r="GT61" s="88">
        <f t="shared" si="86"/>
        <v>0</v>
      </c>
      <c r="GU61" s="88">
        <f t="shared" si="86"/>
        <v>-1312687.165039951</v>
      </c>
      <c r="GV61" s="88">
        <f t="shared" si="86"/>
        <v>0</v>
      </c>
      <c r="GW61" s="88">
        <f t="shared" si="86"/>
        <v>0</v>
      </c>
      <c r="GX61" s="88">
        <f t="shared" si="86"/>
        <v>0</v>
      </c>
      <c r="GY61" s="88">
        <f t="shared" si="86"/>
        <v>0</v>
      </c>
      <c r="GZ61" s="88">
        <f t="shared" si="86"/>
        <v>0</v>
      </c>
      <c r="HA61" s="88">
        <f t="shared" si="86"/>
        <v>0</v>
      </c>
      <c r="HB61" s="88">
        <f t="shared" si="86"/>
        <v>0</v>
      </c>
      <c r="HC61" s="88">
        <f t="shared" si="86"/>
        <v>0</v>
      </c>
      <c r="HD61" s="88">
        <f t="shared" si="86"/>
        <v>0</v>
      </c>
      <c r="HE61" s="88">
        <f t="shared" si="86"/>
        <v>0</v>
      </c>
      <c r="HF61" s="88">
        <f t="shared" si="86"/>
        <v>-8744029.496464882</v>
      </c>
      <c r="HG61" s="88">
        <f t="shared" si="86"/>
        <v>-1159614.073181737</v>
      </c>
      <c r="HH61" s="88">
        <f t="shared" si="86"/>
        <v>0</v>
      </c>
      <c r="HI61" s="88">
        <f t="shared" si="86"/>
        <v>381190.76379879069</v>
      </c>
      <c r="HJ61" s="88">
        <f t="shared" si="86"/>
        <v>0</v>
      </c>
      <c r="HK61" s="88">
        <f t="shared" si="86"/>
        <v>-45891.028785449984</v>
      </c>
      <c r="HL61" s="88">
        <f t="shared" si="86"/>
        <v>0</v>
      </c>
      <c r="HM61" s="88">
        <f t="shared" si="86"/>
        <v>42393142.131918453</v>
      </c>
      <c r="HN61" s="88">
        <f t="shared" si="86"/>
        <v>2067895.710067183</v>
      </c>
      <c r="HO61" s="88">
        <f t="shared" si="86"/>
        <v>-60467268.269514129</v>
      </c>
      <c r="HP61" s="88">
        <f t="shared" si="86"/>
        <v>-737158.38986000023</v>
      </c>
      <c r="HQ61" s="88">
        <f t="shared" si="86"/>
        <v>-3856620.2139475625</v>
      </c>
      <c r="HR61" s="88">
        <f t="shared" si="86"/>
        <v>-22467260.883621957</v>
      </c>
      <c r="HS61" s="88">
        <f t="shared" si="86"/>
        <v>-12414641.257064261</v>
      </c>
      <c r="HT61" s="88">
        <f t="shared" si="86"/>
        <v>47877.97567499998</v>
      </c>
      <c r="HU61" s="88">
        <f t="shared" si="86"/>
        <v>-11386.126857599931</v>
      </c>
      <c r="HV61" s="88">
        <f t="shared" si="86"/>
        <v>0</v>
      </c>
      <c r="HW61" s="88">
        <f t="shared" si="86"/>
        <v>8765419.4265895896</v>
      </c>
      <c r="HX61" s="88">
        <f t="shared" si="86"/>
        <v>-81627.104243099951</v>
      </c>
      <c r="HY61" s="88">
        <f t="shared" si="86"/>
        <v>1265790.8430120675</v>
      </c>
      <c r="HZ61" s="88">
        <f t="shared" si="86"/>
        <v>-30003.390099386233</v>
      </c>
      <c r="IA61" s="88">
        <f t="shared" si="86"/>
        <v>1610129.8624699945</v>
      </c>
      <c r="IB61" s="88">
        <f t="shared" si="86"/>
        <v>0</v>
      </c>
      <c r="IC61" s="216">
        <f t="shared" si="86"/>
        <v>16282391.090409871</v>
      </c>
      <c r="ID61" s="216">
        <f t="shared" si="86"/>
        <v>383.94</v>
      </c>
      <c r="IE61" s="88">
        <f t="shared" si="86"/>
        <v>0</v>
      </c>
      <c r="IF61" s="88">
        <f t="shared" si="86"/>
        <v>414827.50752000138</v>
      </c>
      <c r="IG61" s="78">
        <f>SUM(GK61:IF61)</f>
        <v>-23186470.864092354</v>
      </c>
      <c r="IH61" s="78">
        <f>+IH44-(IH57*IH67)</f>
        <v>-187502932.96390647</v>
      </c>
      <c r="II61" s="88">
        <f t="shared" ref="II61:KD61" si="87">+II44-(II57*II59)</f>
        <v>4769409.0190590601</v>
      </c>
      <c r="IJ61" s="88">
        <f t="shared" si="87"/>
        <v>0</v>
      </c>
      <c r="IK61" s="88">
        <f t="shared" si="87"/>
        <v>0</v>
      </c>
      <c r="IL61" s="88">
        <f t="shared" si="87"/>
        <v>-946477.08037672006</v>
      </c>
      <c r="IM61" s="88">
        <f t="shared" si="87"/>
        <v>350613.69089476718</v>
      </c>
      <c r="IN61" s="88">
        <f t="shared" si="87"/>
        <v>0</v>
      </c>
      <c r="IO61" s="88">
        <f t="shared" si="87"/>
        <v>0</v>
      </c>
      <c r="IP61" s="88">
        <f t="shared" si="87"/>
        <v>0</v>
      </c>
      <c r="IQ61" s="88">
        <f t="shared" si="87"/>
        <v>0</v>
      </c>
      <c r="IR61" s="88">
        <f t="shared" si="87"/>
        <v>0</v>
      </c>
      <c r="IS61" s="88">
        <f t="shared" si="87"/>
        <v>-1982533.4266663087</v>
      </c>
      <c r="IT61" s="88">
        <f t="shared" si="87"/>
        <v>0</v>
      </c>
      <c r="IU61" s="88">
        <f t="shared" si="87"/>
        <v>0</v>
      </c>
      <c r="IV61" s="88">
        <f t="shared" si="87"/>
        <v>0</v>
      </c>
      <c r="IW61" s="88">
        <f t="shared" si="87"/>
        <v>0</v>
      </c>
      <c r="IX61" s="88">
        <f t="shared" si="87"/>
        <v>0</v>
      </c>
      <c r="IY61" s="88">
        <f t="shared" si="87"/>
        <v>0</v>
      </c>
      <c r="IZ61" s="88">
        <f t="shared" si="87"/>
        <v>0</v>
      </c>
      <c r="JA61" s="88">
        <f t="shared" si="87"/>
        <v>0</v>
      </c>
      <c r="JB61" s="88">
        <f t="shared" si="87"/>
        <v>0</v>
      </c>
      <c r="JC61" s="88">
        <f t="shared" si="87"/>
        <v>0</v>
      </c>
      <c r="JD61" s="88">
        <f t="shared" si="87"/>
        <v>-8971063.5343158171</v>
      </c>
      <c r="JE61" s="88">
        <f t="shared" si="87"/>
        <v>212116.44669715301</v>
      </c>
      <c r="JF61" s="88">
        <f t="shared" si="87"/>
        <v>0</v>
      </c>
      <c r="JG61" s="88">
        <f t="shared" si="87"/>
        <v>381190.7637987904</v>
      </c>
      <c r="JH61" s="88">
        <f t="shared" si="87"/>
        <v>239304.78550000006</v>
      </c>
      <c r="JI61" s="88">
        <f t="shared" si="87"/>
        <v>-660320.91419064137</v>
      </c>
      <c r="JJ61" s="88">
        <f t="shared" si="87"/>
        <v>0</v>
      </c>
      <c r="JK61" s="88">
        <f t="shared" si="87"/>
        <v>32045556.48909957</v>
      </c>
      <c r="JL61" s="88">
        <f t="shared" si="87"/>
        <v>1079286.7059234232</v>
      </c>
      <c r="JM61" s="88">
        <f t="shared" si="87"/>
        <v>-50992905.095826246</v>
      </c>
      <c r="JN61" s="88">
        <f t="shared" si="87"/>
        <v>-998771.43737999769</v>
      </c>
      <c r="JO61" s="88">
        <f t="shared" si="87"/>
        <v>-23194757.590834767</v>
      </c>
      <c r="JP61" s="88">
        <f t="shared" si="87"/>
        <v>4660338.6524962671</v>
      </c>
      <c r="JQ61" s="88">
        <f t="shared" si="87"/>
        <v>44494077.295159809</v>
      </c>
      <c r="JR61" s="88">
        <f t="shared" si="87"/>
        <v>4512.3792750000439</v>
      </c>
      <c r="JS61" s="88">
        <f t="shared" si="87"/>
        <v>-11386.126857599864</v>
      </c>
      <c r="JT61" s="88">
        <f t="shared" si="87"/>
        <v>0</v>
      </c>
      <c r="JU61" s="88">
        <f t="shared" si="87"/>
        <v>2864491.0679503139</v>
      </c>
      <c r="JV61" s="88">
        <f t="shared" si="87"/>
        <v>0</v>
      </c>
      <c r="JW61" s="88">
        <f t="shared" si="87"/>
        <v>1265790.8430120675</v>
      </c>
      <c r="JX61" s="88">
        <f t="shared" si="87"/>
        <v>-133478.08064024575</v>
      </c>
      <c r="JY61" s="88">
        <f t="shared" si="87"/>
        <v>4681142.0240425849</v>
      </c>
      <c r="JZ61" s="88">
        <f t="shared" si="87"/>
        <v>0</v>
      </c>
      <c r="KA61" s="216">
        <f t="shared" si="87"/>
        <v>15231899.20533983</v>
      </c>
      <c r="KB61" s="216">
        <f t="shared" si="87"/>
        <v>391.84000000000003</v>
      </c>
      <c r="KC61" s="88">
        <f t="shared" si="87"/>
        <v>0</v>
      </c>
      <c r="KD61" s="88">
        <f t="shared" si="87"/>
        <v>414827.50752000115</v>
      </c>
      <c r="KE61" s="78">
        <f>SUM(II61:KD61)</f>
        <v>24803255.428680293</v>
      </c>
      <c r="KF61" s="78">
        <f>+KF44-(KF57*KF67)</f>
        <v>-162699677.535227</v>
      </c>
      <c r="KG61" s="43" t="s">
        <v>34</v>
      </c>
    </row>
    <row r="62" spans="1:293" x14ac:dyDescent="0.3">
      <c r="A62" s="58">
        <f>ROW()</f>
        <v>62</v>
      </c>
      <c r="B62" s="47" t="s">
        <v>107</v>
      </c>
      <c r="C62" s="78">
        <f t="shared" ref="C62:AH62" si="88">-C61/C60</f>
        <v>129608103.95394251</v>
      </c>
      <c r="D62" s="88">
        <f t="shared" si="88"/>
        <v>-36837673.815972909</v>
      </c>
      <c r="E62" s="88">
        <f t="shared" si="88"/>
        <v>-1308320.9773910861</v>
      </c>
      <c r="F62" s="88">
        <f t="shared" si="88"/>
        <v>-1102954.8827197268</v>
      </c>
      <c r="G62" s="88">
        <f t="shared" si="88"/>
        <v>-48820140.741815262</v>
      </c>
      <c r="H62" s="88">
        <f t="shared" si="88"/>
        <v>-39175307.938486099</v>
      </c>
      <c r="I62" s="88">
        <f t="shared" si="88"/>
        <v>-3955193.7552428856</v>
      </c>
      <c r="J62" s="88">
        <f t="shared" si="88"/>
        <v>-185255.63715567792</v>
      </c>
      <c r="K62" s="88">
        <f t="shared" si="88"/>
        <v>-2318.8319849218574</v>
      </c>
      <c r="L62" s="88">
        <f t="shared" si="88"/>
        <v>-45795.124889186554</v>
      </c>
      <c r="M62" s="88">
        <f t="shared" si="88"/>
        <v>94089.416361418582</v>
      </c>
      <c r="N62" s="88">
        <f t="shared" si="88"/>
        <v>5806000.7611053223</v>
      </c>
      <c r="O62" s="88">
        <f t="shared" si="88"/>
        <v>163251.19291448224</v>
      </c>
      <c r="P62" s="88">
        <f t="shared" si="88"/>
        <v>23289.356557569328</v>
      </c>
      <c r="Q62" s="88">
        <f t="shared" si="88"/>
        <v>1085489.4157649702</v>
      </c>
      <c r="R62" s="88">
        <f t="shared" si="88"/>
        <v>-1731532.018395571</v>
      </c>
      <c r="S62" s="88">
        <f t="shared" si="88"/>
        <v>-87853.630746197567</v>
      </c>
      <c r="T62" s="88">
        <f t="shared" si="88"/>
        <v>-2094998.6206696122</v>
      </c>
      <c r="U62" s="88">
        <f t="shared" si="88"/>
        <v>3007139.4573902707</v>
      </c>
      <c r="V62" s="88">
        <f t="shared" si="88"/>
        <v>1807831.2774322287</v>
      </c>
      <c r="W62" s="88">
        <f t="shared" si="88"/>
        <v>811155.3519763815</v>
      </c>
      <c r="X62" s="88">
        <f t="shared" si="88"/>
        <v>92493.544033867278</v>
      </c>
      <c r="Y62" s="88">
        <f t="shared" si="88"/>
        <v>0</v>
      </c>
      <c r="Z62" s="88">
        <f t="shared" si="88"/>
        <v>0</v>
      </c>
      <c r="AA62" s="88">
        <f t="shared" si="88"/>
        <v>-13686472.910621734</v>
      </c>
      <c r="AB62" s="88">
        <f t="shared" si="88"/>
        <v>0</v>
      </c>
      <c r="AC62" s="88">
        <f t="shared" si="88"/>
        <v>-188779.71745399974</v>
      </c>
      <c r="AD62" s="88">
        <f t="shared" si="88"/>
        <v>0</v>
      </c>
      <c r="AE62" s="88">
        <f t="shared" si="88"/>
        <v>10815863.487723764</v>
      </c>
      <c r="AF62" s="88">
        <f t="shared" si="88"/>
        <v>102660.22725309191</v>
      </c>
      <c r="AG62" s="88">
        <f t="shared" si="88"/>
        <v>-343188.90683254582</v>
      </c>
      <c r="AH62" s="88">
        <f t="shared" si="88"/>
        <v>991413.64949613775</v>
      </c>
      <c r="AI62" s="88">
        <f t="shared" ref="AI62:BN62" si="89">-AI61/AI60</f>
        <v>0</v>
      </c>
      <c r="AJ62" s="88">
        <f t="shared" si="89"/>
        <v>-129039.69578829141</v>
      </c>
      <c r="AK62" s="88">
        <f t="shared" si="89"/>
        <v>-1049991.7421695846</v>
      </c>
      <c r="AL62" s="88">
        <f t="shared" si="89"/>
        <v>0</v>
      </c>
      <c r="AM62" s="88">
        <f t="shared" si="89"/>
        <v>0</v>
      </c>
      <c r="AN62" s="88">
        <f t="shared" si="89"/>
        <v>0</v>
      </c>
      <c r="AO62" s="88">
        <f t="shared" si="89"/>
        <v>0</v>
      </c>
      <c r="AP62" s="216">
        <f t="shared" si="89"/>
        <v>-996447.71912888112</v>
      </c>
      <c r="AQ62" s="88">
        <f t="shared" si="89"/>
        <v>0</v>
      </c>
      <c r="AR62" s="78">
        <f t="shared" si="89"/>
        <v>-126940589.52945465</v>
      </c>
      <c r="AS62" s="78">
        <f t="shared" si="89"/>
        <v>2667514.4244879186</v>
      </c>
      <c r="AT62" s="88">
        <f t="shared" si="89"/>
        <v>7842507.7560842456</v>
      </c>
      <c r="AU62" s="88">
        <f t="shared" si="89"/>
        <v>0</v>
      </c>
      <c r="AV62" s="88">
        <f t="shared" si="89"/>
        <v>0</v>
      </c>
      <c r="AW62" s="88">
        <f t="shared" si="89"/>
        <v>419583.09678176168</v>
      </c>
      <c r="AX62" s="88">
        <f t="shared" si="89"/>
        <v>-1075472.8021017353</v>
      </c>
      <c r="AY62" s="88">
        <f t="shared" si="89"/>
        <v>0</v>
      </c>
      <c r="AZ62" s="88">
        <f t="shared" si="89"/>
        <v>0</v>
      </c>
      <c r="BA62" s="88">
        <f t="shared" si="89"/>
        <v>0</v>
      </c>
      <c r="BB62" s="88">
        <f t="shared" si="89"/>
        <v>117568.29947015482</v>
      </c>
      <c r="BC62" s="88">
        <f t="shared" si="89"/>
        <v>0</v>
      </c>
      <c r="BD62" s="88">
        <f t="shared" si="89"/>
        <v>-2048867.9823812395</v>
      </c>
      <c r="BE62" s="88">
        <f t="shared" si="89"/>
        <v>0</v>
      </c>
      <c r="BF62" s="88">
        <f t="shared" si="89"/>
        <v>0</v>
      </c>
      <c r="BG62" s="88">
        <f t="shared" si="89"/>
        <v>994855.49738161452</v>
      </c>
      <c r="BH62" s="88">
        <f t="shared" si="89"/>
        <v>0</v>
      </c>
      <c r="BI62" s="88">
        <f t="shared" si="89"/>
        <v>0</v>
      </c>
      <c r="BJ62" s="88">
        <f t="shared" si="89"/>
        <v>1627605.3402301162</v>
      </c>
      <c r="BK62" s="88">
        <f t="shared" si="89"/>
        <v>0</v>
      </c>
      <c r="BL62" s="88">
        <f t="shared" si="89"/>
        <v>0</v>
      </c>
      <c r="BM62" s="88">
        <f t="shared" si="89"/>
        <v>0</v>
      </c>
      <c r="BN62" s="88">
        <f t="shared" si="89"/>
        <v>0</v>
      </c>
      <c r="BO62" s="88">
        <f t="shared" ref="BO62:CM62" si="90">-BO61/BO60</f>
        <v>0</v>
      </c>
      <c r="BP62" s="88">
        <f t="shared" si="90"/>
        <v>0</v>
      </c>
      <c r="BQ62" s="88">
        <f t="shared" si="90"/>
        <v>20268306.508723695</v>
      </c>
      <c r="BR62" s="88">
        <f t="shared" si="90"/>
        <v>12111632.323952841</v>
      </c>
      <c r="BS62" s="88">
        <f t="shared" si="90"/>
        <v>-2.575233254166432E-2</v>
      </c>
      <c r="BT62" s="88">
        <f t="shared" si="90"/>
        <v>-63131.514375979466</v>
      </c>
      <c r="BU62" s="88">
        <f t="shared" si="90"/>
        <v>0</v>
      </c>
      <c r="BV62" s="88">
        <f t="shared" si="90"/>
        <v>-20934424.894079581</v>
      </c>
      <c r="BW62" s="88">
        <f t="shared" si="90"/>
        <v>-692334.31056361983</v>
      </c>
      <c r="BX62" s="88">
        <f t="shared" si="90"/>
        <v>14664778.815346668</v>
      </c>
      <c r="BY62" s="88">
        <f t="shared" si="90"/>
        <v>3641819.2285556686</v>
      </c>
      <c r="BZ62" s="88">
        <f t="shared" si="90"/>
        <v>2298781.3606375665</v>
      </c>
      <c r="CA62" s="88">
        <f t="shared" si="90"/>
        <v>9387943.2555750795</v>
      </c>
      <c r="CB62" s="88">
        <f t="shared" si="90"/>
        <v>0</v>
      </c>
      <c r="CC62" s="88">
        <f t="shared" si="90"/>
        <v>0</v>
      </c>
      <c r="CD62" s="88">
        <f t="shared" si="90"/>
        <v>6808.0866080507221</v>
      </c>
      <c r="CE62" s="88">
        <f t="shared" si="90"/>
        <v>0</v>
      </c>
      <c r="CF62" s="88">
        <f t="shared" si="90"/>
        <v>-2321543.9199014921</v>
      </c>
      <c r="CG62" s="88">
        <f t="shared" si="90"/>
        <v>-39388.709771318041</v>
      </c>
      <c r="CH62" s="88">
        <f t="shared" si="90"/>
        <v>0</v>
      </c>
      <c r="CI62" s="88">
        <f t="shared" si="90"/>
        <v>2415003.9439608734</v>
      </c>
      <c r="CJ62" s="88">
        <f t="shared" si="90"/>
        <v>-63474472.623860873</v>
      </c>
      <c r="CK62" s="88">
        <f t="shared" si="90"/>
        <v>0</v>
      </c>
      <c r="CL62" s="88">
        <f t="shared" si="90"/>
        <v>-15399230.798028691</v>
      </c>
      <c r="CM62" s="88">
        <f t="shared" si="90"/>
        <v>-402626.62408038852</v>
      </c>
      <c r="CN62" s="78">
        <f>SUM(AT62:CM62)</f>
        <v>-30654300.691588916</v>
      </c>
      <c r="CO62" s="78">
        <f t="shared" ref="CO62:EJ62" si="91">-CO61/CO60</f>
        <v>-27986786.267101139</v>
      </c>
      <c r="CP62" s="88">
        <f t="shared" si="91"/>
        <v>54506247.57083188</v>
      </c>
      <c r="CQ62" s="88">
        <f t="shared" si="91"/>
        <v>0</v>
      </c>
      <c r="CR62" s="88">
        <f t="shared" si="91"/>
        <v>0</v>
      </c>
      <c r="CS62" s="88">
        <f t="shared" si="91"/>
        <v>1528701.645476169</v>
      </c>
      <c r="CT62" s="88">
        <f t="shared" si="91"/>
        <v>-838901.24318003736</v>
      </c>
      <c r="CU62" s="88">
        <f t="shared" si="91"/>
        <v>0</v>
      </c>
      <c r="CV62" s="88">
        <f t="shared" si="91"/>
        <v>0</v>
      </c>
      <c r="CW62" s="88">
        <f t="shared" si="91"/>
        <v>0</v>
      </c>
      <c r="CX62" s="88">
        <f t="shared" si="91"/>
        <v>0</v>
      </c>
      <c r="CY62" s="88">
        <f t="shared" si="91"/>
        <v>0</v>
      </c>
      <c r="CZ62" s="88">
        <f t="shared" si="91"/>
        <v>407136.45713954553</v>
      </c>
      <c r="DA62" s="88">
        <f t="shared" si="91"/>
        <v>0</v>
      </c>
      <c r="DB62" s="88">
        <f t="shared" si="91"/>
        <v>0</v>
      </c>
      <c r="DC62" s="88">
        <f t="shared" si="91"/>
        <v>0</v>
      </c>
      <c r="DD62" s="88">
        <f t="shared" si="91"/>
        <v>1546575.1105528646</v>
      </c>
      <c r="DE62" s="88">
        <f t="shared" si="91"/>
        <v>0</v>
      </c>
      <c r="DF62" s="88">
        <f t="shared" si="91"/>
        <v>0</v>
      </c>
      <c r="DG62" s="88">
        <f t="shared" si="91"/>
        <v>0</v>
      </c>
      <c r="DH62" s="88">
        <f t="shared" si="91"/>
        <v>0</v>
      </c>
      <c r="DI62" s="88">
        <f t="shared" si="91"/>
        <v>0</v>
      </c>
      <c r="DJ62" s="88">
        <f t="shared" si="91"/>
        <v>0</v>
      </c>
      <c r="DK62" s="88">
        <f t="shared" si="91"/>
        <v>0</v>
      </c>
      <c r="DL62" s="88">
        <f t="shared" si="91"/>
        <v>0</v>
      </c>
      <c r="DM62" s="88">
        <f t="shared" si="91"/>
        <v>0</v>
      </c>
      <c r="DN62" s="88">
        <f t="shared" si="91"/>
        <v>401779.55282965227</v>
      </c>
      <c r="DO62" s="88">
        <f t="shared" si="91"/>
        <v>0</v>
      </c>
      <c r="DP62" s="88">
        <f t="shared" si="91"/>
        <v>-31565.757187989759</v>
      </c>
      <c r="DQ62" s="88">
        <f t="shared" si="91"/>
        <v>0</v>
      </c>
      <c r="DR62" s="88">
        <f t="shared" si="91"/>
        <v>-59226109.080155514</v>
      </c>
      <c r="DS62" s="88">
        <f t="shared" si="91"/>
        <v>-5243207.3095416464</v>
      </c>
      <c r="DT62" s="88">
        <f t="shared" si="91"/>
        <v>39238168.822042413</v>
      </c>
      <c r="DU62" s="88">
        <f t="shared" si="91"/>
        <v>1275074.6233094742</v>
      </c>
      <c r="DV62" s="88">
        <f t="shared" si="91"/>
        <v>10769971.101151437</v>
      </c>
      <c r="DW62" s="88">
        <f t="shared" si="91"/>
        <v>21248364.89601614</v>
      </c>
      <c r="DX62" s="88">
        <f t="shared" si="91"/>
        <v>0</v>
      </c>
      <c r="DY62" s="88">
        <f t="shared" si="91"/>
        <v>0</v>
      </c>
      <c r="DZ62" s="88">
        <f t="shared" si="91"/>
        <v>13616.125366349665</v>
      </c>
      <c r="EA62" s="88">
        <f t="shared" si="91"/>
        <v>0</v>
      </c>
      <c r="EB62" s="88">
        <f t="shared" si="91"/>
        <v>-821643.42933283793</v>
      </c>
      <c r="EC62" s="88">
        <f t="shared" si="91"/>
        <v>10897.164662958308</v>
      </c>
      <c r="ED62" s="88">
        <f t="shared" si="91"/>
        <v>0</v>
      </c>
      <c r="EE62" s="88">
        <f t="shared" si="91"/>
        <v>166709.98990146321</v>
      </c>
      <c r="EF62" s="88">
        <f t="shared" si="91"/>
        <v>6361364.3533583796</v>
      </c>
      <c r="EG62" s="88">
        <f t="shared" si="91"/>
        <v>0</v>
      </c>
      <c r="EH62" s="216">
        <f t="shared" si="91"/>
        <v>4979323.9602694828</v>
      </c>
      <c r="EI62" s="88">
        <f t="shared" si="91"/>
        <v>-3695731.5714499136</v>
      </c>
      <c r="EJ62" s="88">
        <f t="shared" si="91"/>
        <v>-1227205.4206856943</v>
      </c>
      <c r="EK62" s="78">
        <f>SUM(CP62:EJ62)</f>
        <v>71369567.56137456</v>
      </c>
      <c r="EL62" s="78">
        <f t="shared" ref="EL62:FQ62" si="92">-EL61/EL60</f>
        <v>43382781.294272423</v>
      </c>
      <c r="EM62" s="88">
        <f t="shared" si="92"/>
        <v>-21146642.071822226</v>
      </c>
      <c r="EN62" s="88">
        <f t="shared" si="92"/>
        <v>0</v>
      </c>
      <c r="EO62" s="88">
        <f t="shared" si="92"/>
        <v>0</v>
      </c>
      <c r="EP62" s="88">
        <f t="shared" si="92"/>
        <v>77440.879770731539</v>
      </c>
      <c r="EQ62" s="88">
        <f t="shared" si="92"/>
        <v>1504096.7286057314</v>
      </c>
      <c r="ER62" s="88">
        <f t="shared" si="92"/>
        <v>0</v>
      </c>
      <c r="ES62" s="88">
        <f t="shared" si="92"/>
        <v>0</v>
      </c>
      <c r="ET62" s="88">
        <f t="shared" si="92"/>
        <v>0</v>
      </c>
      <c r="EU62" s="88">
        <f t="shared" si="92"/>
        <v>0</v>
      </c>
      <c r="EV62" s="88">
        <f t="shared" si="92"/>
        <v>0</v>
      </c>
      <c r="EW62" s="88">
        <f t="shared" si="92"/>
        <v>750711.39331637602</v>
      </c>
      <c r="EX62" s="88">
        <f t="shared" si="92"/>
        <v>0</v>
      </c>
      <c r="EY62" s="88">
        <f t="shared" si="92"/>
        <v>0</v>
      </c>
      <c r="EZ62" s="88">
        <f t="shared" si="92"/>
        <v>0</v>
      </c>
      <c r="FA62" s="88">
        <f t="shared" si="92"/>
        <v>4609993.6926052198</v>
      </c>
      <c r="FB62" s="88">
        <f t="shared" si="92"/>
        <v>0</v>
      </c>
      <c r="FC62" s="88">
        <f t="shared" si="92"/>
        <v>0</v>
      </c>
      <c r="FD62" s="88">
        <f t="shared" si="92"/>
        <v>0</v>
      </c>
      <c r="FE62" s="88">
        <f t="shared" si="92"/>
        <v>0</v>
      </c>
      <c r="FF62" s="88">
        <f t="shared" si="92"/>
        <v>0</v>
      </c>
      <c r="FG62" s="88">
        <f t="shared" si="92"/>
        <v>0</v>
      </c>
      <c r="FH62" s="88">
        <f t="shared" si="92"/>
        <v>14634486.37745185</v>
      </c>
      <c r="FI62" s="88">
        <f t="shared" si="92"/>
        <v>493156.5797695943</v>
      </c>
      <c r="FJ62" s="88">
        <f t="shared" si="92"/>
        <v>8761800.4176330958</v>
      </c>
      <c r="FK62" s="88">
        <f t="shared" si="92"/>
        <v>7295661.3701375369</v>
      </c>
      <c r="FL62" s="88">
        <f t="shared" si="92"/>
        <v>106382.00431382588</v>
      </c>
      <c r="FM62" s="88">
        <f t="shared" si="92"/>
        <v>-816675.48618031573</v>
      </c>
      <c r="FN62" s="88">
        <f t="shared" si="92"/>
        <v>0</v>
      </c>
      <c r="FO62" s="88">
        <f t="shared" si="92"/>
        <v>-47481886.35097304</v>
      </c>
      <c r="FP62" s="88">
        <f t="shared" si="92"/>
        <v>-6752599.4622602314</v>
      </c>
      <c r="FQ62" s="88">
        <f t="shared" si="92"/>
        <v>34428263.158351161</v>
      </c>
      <c r="FR62" s="88">
        <f t="shared" ref="FR62:GH62" si="93">-FR61/FR60</f>
        <v>467390.87444092327</v>
      </c>
      <c r="FS62" s="88">
        <f t="shared" si="93"/>
        <v>551757.33285814943</v>
      </c>
      <c r="FT62" s="88">
        <f t="shared" si="93"/>
        <v>18825357.177715901</v>
      </c>
      <c r="FU62" s="88">
        <f t="shared" si="93"/>
        <v>162208327.1731959</v>
      </c>
      <c r="FV62" s="88">
        <f t="shared" si="93"/>
        <v>185376.17942992336</v>
      </c>
      <c r="FW62" s="88">
        <f t="shared" si="93"/>
        <v>-9087.2669194728605</v>
      </c>
      <c r="FX62" s="88">
        <f t="shared" si="93"/>
        <v>-1099445.7421695839</v>
      </c>
      <c r="FY62" s="88">
        <f t="shared" si="93"/>
        <v>-3581474.5805619075</v>
      </c>
      <c r="FZ62" s="88">
        <f t="shared" si="93"/>
        <v>19747.516400768327</v>
      </c>
      <c r="GA62" s="88">
        <f t="shared" si="93"/>
        <v>-1247044.657632862</v>
      </c>
      <c r="GB62" s="88">
        <f t="shared" si="93"/>
        <v>2195779.3166472777</v>
      </c>
      <c r="GC62" s="88">
        <f t="shared" si="93"/>
        <v>11931412.333089087</v>
      </c>
      <c r="GD62" s="88">
        <f t="shared" si="93"/>
        <v>0</v>
      </c>
      <c r="GE62" s="216">
        <f t="shared" si="93"/>
        <v>-8763712.7226106171</v>
      </c>
      <c r="GF62" s="216">
        <f t="shared" si="93"/>
        <v>-531460.03652301466</v>
      </c>
      <c r="GG62" s="88">
        <f t="shared" si="93"/>
        <v>0</v>
      </c>
      <c r="GH62" s="88">
        <f t="shared" si="93"/>
        <v>-2597062.1793701351</v>
      </c>
      <c r="GI62" s="78">
        <f>SUM(EM62:GH62)</f>
        <v>175020049.94870964</v>
      </c>
      <c r="GJ62" s="78">
        <f t="shared" ref="GJ62:HO62" si="94">-GJ61/GJ60</f>
        <v>218402831.24298301</v>
      </c>
      <c r="GK62" s="88">
        <f t="shared" si="94"/>
        <v>-21573192.191917494</v>
      </c>
      <c r="GL62" s="88">
        <f t="shared" si="94"/>
        <v>0</v>
      </c>
      <c r="GM62" s="88">
        <f t="shared" si="94"/>
        <v>0</v>
      </c>
      <c r="GN62" s="88">
        <f t="shared" si="94"/>
        <v>2651330.2783193174</v>
      </c>
      <c r="GO62" s="88">
        <f t="shared" si="94"/>
        <v>-899455.52714019141</v>
      </c>
      <c r="GP62" s="88">
        <f t="shared" si="94"/>
        <v>0</v>
      </c>
      <c r="GQ62" s="88">
        <f t="shared" si="94"/>
        <v>0</v>
      </c>
      <c r="GR62" s="88">
        <f t="shared" si="94"/>
        <v>0</v>
      </c>
      <c r="GS62" s="88">
        <f t="shared" si="94"/>
        <v>0</v>
      </c>
      <c r="GT62" s="88">
        <f t="shared" si="94"/>
        <v>0</v>
      </c>
      <c r="GU62" s="88">
        <f t="shared" si="94"/>
        <v>1744770.9725328481</v>
      </c>
      <c r="GV62" s="88">
        <f t="shared" si="94"/>
        <v>0</v>
      </c>
      <c r="GW62" s="88">
        <f t="shared" si="94"/>
        <v>0</v>
      </c>
      <c r="GX62" s="88">
        <f t="shared" si="94"/>
        <v>0</v>
      </c>
      <c r="GY62" s="88">
        <f t="shared" si="94"/>
        <v>0</v>
      </c>
      <c r="GZ62" s="88">
        <f t="shared" si="94"/>
        <v>0</v>
      </c>
      <c r="HA62" s="88">
        <f t="shared" si="94"/>
        <v>0</v>
      </c>
      <c r="HB62" s="88">
        <f t="shared" si="94"/>
        <v>0</v>
      </c>
      <c r="HC62" s="88">
        <f t="shared" si="94"/>
        <v>0</v>
      </c>
      <c r="HD62" s="88">
        <f t="shared" si="94"/>
        <v>0</v>
      </c>
      <c r="HE62" s="88">
        <f t="shared" si="94"/>
        <v>0</v>
      </c>
      <c r="HF62" s="88">
        <f t="shared" si="94"/>
        <v>11622212.248825198</v>
      </c>
      <c r="HG62" s="88">
        <f t="shared" si="94"/>
        <v>1541312.3767127711</v>
      </c>
      <c r="HH62" s="88">
        <f t="shared" si="94"/>
        <v>0</v>
      </c>
      <c r="HI62" s="88">
        <f t="shared" si="94"/>
        <v>-506663.42856602359</v>
      </c>
      <c r="HJ62" s="88">
        <f t="shared" si="94"/>
        <v>0</v>
      </c>
      <c r="HK62" s="88">
        <f t="shared" si="94"/>
        <v>60996.509341268393</v>
      </c>
      <c r="HL62" s="88">
        <f t="shared" si="94"/>
        <v>0</v>
      </c>
      <c r="HM62" s="88">
        <f t="shared" si="94"/>
        <v>-56347259.115601614</v>
      </c>
      <c r="HN62" s="88">
        <f t="shared" si="94"/>
        <v>-2748563.789789638</v>
      </c>
      <c r="HO62" s="88">
        <f t="shared" si="94"/>
        <v>80370660.485427931</v>
      </c>
      <c r="HP62" s="88">
        <f t="shared" ref="HP62:IF62" si="95">-HP61/HP60</f>
        <v>979801.27713645855</v>
      </c>
      <c r="HQ62" s="88">
        <f t="shared" si="95"/>
        <v>5126064.4429126708</v>
      </c>
      <c r="HR62" s="88">
        <f t="shared" si="95"/>
        <v>29862579.345683828</v>
      </c>
      <c r="HS62" s="88">
        <f t="shared" si="95"/>
        <v>16501041.738360561</v>
      </c>
      <c r="HT62" s="88">
        <f t="shared" si="95"/>
        <v>-63637.479215264044</v>
      </c>
      <c r="HU62" s="88">
        <f t="shared" si="95"/>
        <v>15133.981774029457</v>
      </c>
      <c r="HV62" s="88">
        <f t="shared" si="95"/>
        <v>0</v>
      </c>
      <c r="HW62" s="88">
        <f t="shared" si="95"/>
        <v>-11650642.883465372</v>
      </c>
      <c r="HX62" s="88">
        <f t="shared" si="95"/>
        <v>108495.46323623815</v>
      </c>
      <c r="HY62" s="88">
        <f t="shared" si="95"/>
        <v>-1682438.2678550251</v>
      </c>
      <c r="HZ62" s="88">
        <f t="shared" si="95"/>
        <v>39879.299133236615</v>
      </c>
      <c r="IA62" s="88">
        <f t="shared" si="95"/>
        <v>-2140119.8403280294</v>
      </c>
      <c r="IB62" s="88">
        <f t="shared" si="95"/>
        <v>0</v>
      </c>
      <c r="IC62" s="216">
        <f t="shared" si="95"/>
        <v>-21641899.223650899</v>
      </c>
      <c r="ID62" s="216">
        <f t="shared" si="95"/>
        <v>-510.31760272743583</v>
      </c>
      <c r="IE62" s="88">
        <f t="shared" si="95"/>
        <v>0</v>
      </c>
      <c r="IF62" s="88">
        <f t="shared" si="95"/>
        <v>-551372.03516956943</v>
      </c>
      <c r="IG62" s="78">
        <f>SUM(GK62:IF62)</f>
        <v>30818524.319094505</v>
      </c>
      <c r="IH62" s="78">
        <f t="shared" ref="IH62:JM62" si="96">-IH61/IH60</f>
        <v>249221355.56207705</v>
      </c>
      <c r="II62" s="88">
        <f t="shared" si="96"/>
        <v>-6339306.6026796661</v>
      </c>
      <c r="IJ62" s="88">
        <f t="shared" si="96"/>
        <v>0</v>
      </c>
      <c r="IK62" s="88">
        <f t="shared" si="96"/>
        <v>0</v>
      </c>
      <c r="IL62" s="88">
        <f t="shared" si="96"/>
        <v>1258019.2600258123</v>
      </c>
      <c r="IM62" s="88">
        <f t="shared" si="96"/>
        <v>-466021.61332717555</v>
      </c>
      <c r="IN62" s="88">
        <f t="shared" si="96"/>
        <v>0</v>
      </c>
      <c r="IO62" s="88">
        <f t="shared" si="96"/>
        <v>0</v>
      </c>
      <c r="IP62" s="88">
        <f t="shared" si="96"/>
        <v>0</v>
      </c>
      <c r="IQ62" s="88">
        <f t="shared" si="96"/>
        <v>0</v>
      </c>
      <c r="IR62" s="88">
        <f t="shared" si="96"/>
        <v>0</v>
      </c>
      <c r="IS62" s="88">
        <f t="shared" si="96"/>
        <v>2635103.6766769793</v>
      </c>
      <c r="IT62" s="88">
        <f t="shared" si="96"/>
        <v>0</v>
      </c>
      <c r="IU62" s="88">
        <f t="shared" si="96"/>
        <v>0</v>
      </c>
      <c r="IV62" s="88">
        <f t="shared" si="96"/>
        <v>0</v>
      </c>
      <c r="IW62" s="88">
        <f t="shared" si="96"/>
        <v>0</v>
      </c>
      <c r="IX62" s="88">
        <f t="shared" si="96"/>
        <v>0</v>
      </c>
      <c r="IY62" s="88">
        <f t="shared" si="96"/>
        <v>0</v>
      </c>
      <c r="IZ62" s="88">
        <f t="shared" si="96"/>
        <v>0</v>
      </c>
      <c r="JA62" s="88">
        <f t="shared" si="96"/>
        <v>0</v>
      </c>
      <c r="JB62" s="88">
        <f t="shared" si="96"/>
        <v>0</v>
      </c>
      <c r="JC62" s="88">
        <f t="shared" si="96"/>
        <v>0</v>
      </c>
      <c r="JD62" s="88">
        <f t="shared" si="96"/>
        <v>11923976.758732004</v>
      </c>
      <c r="JE62" s="88">
        <f t="shared" si="96"/>
        <v>-281936.64785527176</v>
      </c>
      <c r="JF62" s="88">
        <f t="shared" si="96"/>
        <v>0</v>
      </c>
      <c r="JG62" s="88">
        <f t="shared" si="96"/>
        <v>-506663.42856602324</v>
      </c>
      <c r="JH62" s="88">
        <f t="shared" si="96"/>
        <v>-318074.29405001638</v>
      </c>
      <c r="JI62" s="88">
        <f t="shared" si="96"/>
        <v>877671.99552158406</v>
      </c>
      <c r="JJ62" s="88">
        <f t="shared" si="96"/>
        <v>0</v>
      </c>
      <c r="JK62" s="88">
        <f t="shared" si="96"/>
        <v>-42593664.545460016</v>
      </c>
      <c r="JL62" s="88">
        <f t="shared" si="96"/>
        <v>-1434544.471590437</v>
      </c>
      <c r="JM62" s="88">
        <f t="shared" si="96"/>
        <v>67777718.092956439</v>
      </c>
      <c r="JN62" s="88">
        <f t="shared" ref="JN62:KD62" si="97">-JN61/JN60</f>
        <v>1327526.8156388907</v>
      </c>
      <c r="JO62" s="88">
        <f t="shared" si="97"/>
        <v>30829538.702919189</v>
      </c>
      <c r="JP62" s="88">
        <f t="shared" si="97"/>
        <v>-6194334.6591652436</v>
      </c>
      <c r="JQ62" s="88">
        <f t="shared" si="97"/>
        <v>-59139737.617427692</v>
      </c>
      <c r="JR62" s="88">
        <f t="shared" si="97"/>
        <v>-5997.673006758836</v>
      </c>
      <c r="JS62" s="88">
        <f t="shared" si="97"/>
        <v>15133.981774029366</v>
      </c>
      <c r="JT62" s="88">
        <f t="shared" si="97"/>
        <v>0</v>
      </c>
      <c r="JU62" s="88">
        <f t="shared" si="97"/>
        <v>-3807366.2937713098</v>
      </c>
      <c r="JV62" s="88">
        <f t="shared" si="97"/>
        <v>0</v>
      </c>
      <c r="JW62" s="88">
        <f t="shared" si="97"/>
        <v>-1682438.2678550251</v>
      </c>
      <c r="JX62" s="88">
        <f t="shared" si="97"/>
        <v>177413.69518411622</v>
      </c>
      <c r="JY62" s="88">
        <f t="shared" si="97"/>
        <v>-6221985.663739305</v>
      </c>
      <c r="JZ62" s="88">
        <f t="shared" si="97"/>
        <v>0</v>
      </c>
      <c r="KA62" s="216">
        <f t="shared" si="97"/>
        <v>-20245627.669570655</v>
      </c>
      <c r="KB62" s="216">
        <f t="shared" si="97"/>
        <v>-520.81796492347371</v>
      </c>
      <c r="KC62" s="88">
        <f t="shared" si="97"/>
        <v>0</v>
      </c>
      <c r="KD62" s="88">
        <f t="shared" si="97"/>
        <v>-551372.03516956908</v>
      </c>
      <c r="KE62" s="78">
        <f>SUM(II62:KD62)</f>
        <v>-32967489.321770042</v>
      </c>
      <c r="KF62" s="78">
        <f>-KF61/KF60</f>
        <v>216253866.24030811</v>
      </c>
      <c r="KG62" s="43" t="s">
        <v>34</v>
      </c>
    </row>
    <row r="63" spans="1:293" x14ac:dyDescent="0.3">
      <c r="A63" s="58">
        <f>ROW()</f>
        <v>63</v>
      </c>
      <c r="B63" s="47" t="s">
        <v>108</v>
      </c>
      <c r="C63" s="7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88"/>
      <c r="AJ63" s="88"/>
      <c r="AK63" s="88"/>
      <c r="AL63" s="88"/>
      <c r="AM63" s="88"/>
      <c r="AN63" s="88"/>
      <c r="AO63" s="88"/>
      <c r="AP63" s="216"/>
      <c r="AQ63" s="88"/>
      <c r="AR63" s="78"/>
      <c r="AS63" s="7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88"/>
      <c r="BX63" s="88"/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78"/>
      <c r="CO63" s="78">
        <v>-19456401.790058553</v>
      </c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216"/>
      <c r="EI63" s="88"/>
      <c r="EJ63" s="88"/>
      <c r="EK63" s="78"/>
      <c r="EL63" s="78">
        <f>CO63</f>
        <v>-19456401.790058553</v>
      </c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88"/>
      <c r="EX63" s="88"/>
      <c r="EY63" s="88"/>
      <c r="EZ63" s="88"/>
      <c r="FA63" s="88"/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216"/>
      <c r="GF63" s="216"/>
      <c r="GG63" s="88"/>
      <c r="GH63" s="88"/>
      <c r="GI63" s="78"/>
      <c r="GJ63" s="78">
        <f>EL63</f>
        <v>-19456401.790058553</v>
      </c>
      <c r="GK63" s="88"/>
      <c r="GL63" s="88"/>
      <c r="GM63" s="88"/>
      <c r="GN63" s="88"/>
      <c r="GO63" s="88"/>
      <c r="GP63" s="88"/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  <c r="HG63" s="88"/>
      <c r="HH63" s="88"/>
      <c r="HI63" s="88"/>
      <c r="HJ63" s="88"/>
      <c r="HK63" s="88"/>
      <c r="HL63" s="88"/>
      <c r="HM63" s="88"/>
      <c r="HN63" s="88"/>
      <c r="HO63" s="88"/>
      <c r="HP63" s="88"/>
      <c r="HQ63" s="88"/>
      <c r="HR63" s="88"/>
      <c r="HS63" s="88"/>
      <c r="HT63" s="88"/>
      <c r="HU63" s="88"/>
      <c r="HV63" s="88"/>
      <c r="HW63" s="88"/>
      <c r="HX63" s="88"/>
      <c r="HY63" s="88"/>
      <c r="HZ63" s="88"/>
      <c r="IA63" s="88"/>
      <c r="IB63" s="88"/>
      <c r="IC63" s="216"/>
      <c r="ID63" s="216"/>
      <c r="IE63" s="88"/>
      <c r="IF63" s="88"/>
      <c r="IG63" s="78"/>
      <c r="IH63" s="78">
        <f>GJ63</f>
        <v>-19456401.790058553</v>
      </c>
      <c r="II63" s="88"/>
      <c r="IJ63" s="88"/>
      <c r="IK63" s="88"/>
      <c r="IL63" s="88"/>
      <c r="IM63" s="88"/>
      <c r="IN63" s="88"/>
      <c r="IO63" s="88"/>
      <c r="IP63" s="88"/>
      <c r="IQ63" s="88"/>
      <c r="IR63" s="88"/>
      <c r="IS63" s="88"/>
      <c r="IT63" s="88"/>
      <c r="IU63" s="88"/>
      <c r="IV63" s="88"/>
      <c r="IW63" s="88"/>
      <c r="IX63" s="88"/>
      <c r="IY63" s="88"/>
      <c r="IZ63" s="88"/>
      <c r="JA63" s="88"/>
      <c r="JB63" s="88"/>
      <c r="JC63" s="88"/>
      <c r="JD63" s="88"/>
      <c r="JE63" s="88"/>
      <c r="JF63" s="88"/>
      <c r="JG63" s="88"/>
      <c r="JH63" s="88"/>
      <c r="JI63" s="88"/>
      <c r="JJ63" s="88"/>
      <c r="JK63" s="88"/>
      <c r="JL63" s="88"/>
      <c r="JM63" s="88"/>
      <c r="JN63" s="88"/>
      <c r="JO63" s="88"/>
      <c r="JP63" s="88"/>
      <c r="JQ63" s="88"/>
      <c r="JR63" s="88"/>
      <c r="JS63" s="88"/>
      <c r="JT63" s="88"/>
      <c r="JU63" s="88"/>
      <c r="JV63" s="88"/>
      <c r="JW63" s="88"/>
      <c r="JX63" s="88"/>
      <c r="JY63" s="88"/>
      <c r="JZ63" s="88"/>
      <c r="KA63" s="216"/>
      <c r="KB63" s="216"/>
      <c r="KC63" s="88"/>
      <c r="KD63" s="88"/>
      <c r="KE63" s="78"/>
      <c r="KF63" s="78">
        <f>IH63</f>
        <v>-19456401.790058553</v>
      </c>
      <c r="KG63" s="43" t="s">
        <v>34</v>
      </c>
    </row>
    <row r="64" spans="1:293" x14ac:dyDescent="0.3">
      <c r="A64" s="58">
        <f>ROW()</f>
        <v>64</v>
      </c>
      <c r="B64" s="47" t="s">
        <v>109</v>
      </c>
      <c r="C64" s="7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216"/>
      <c r="AQ64" s="88"/>
      <c r="AR64" s="78"/>
      <c r="AS64" s="7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88"/>
      <c r="BX64" s="88"/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78"/>
      <c r="CO64" s="110">
        <f>SUM(CO62:CO63)</f>
        <v>-47443188.057159692</v>
      </c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216"/>
      <c r="EI64" s="88"/>
      <c r="EJ64" s="88"/>
      <c r="EK64" s="78"/>
      <c r="EL64" s="110">
        <f>SUM(EL62:EL63)</f>
        <v>23926379.50421387</v>
      </c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88"/>
      <c r="EX64" s="88"/>
      <c r="EY64" s="88"/>
      <c r="EZ64" s="88"/>
      <c r="FA64" s="88"/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216"/>
      <c r="GF64" s="216"/>
      <c r="GG64" s="88"/>
      <c r="GH64" s="88"/>
      <c r="GI64" s="78"/>
      <c r="GJ64" s="111">
        <f>SUM(GJ62:GJ63)</f>
        <v>198946429.45292446</v>
      </c>
      <c r="GK64" s="88"/>
      <c r="GL64" s="88"/>
      <c r="GM64" s="88"/>
      <c r="GN64" s="88"/>
      <c r="GO64" s="88"/>
      <c r="GP64" s="88"/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  <c r="HB64" s="88"/>
      <c r="HC64" s="88"/>
      <c r="HD64" s="88"/>
      <c r="HE64" s="88"/>
      <c r="HF64" s="88"/>
      <c r="HG64" s="88"/>
      <c r="HH64" s="88"/>
      <c r="HI64" s="88"/>
      <c r="HJ64" s="88"/>
      <c r="HK64" s="88"/>
      <c r="HL64" s="88"/>
      <c r="HM64" s="88"/>
      <c r="HN64" s="88"/>
      <c r="HO64" s="88"/>
      <c r="HP64" s="88"/>
      <c r="HQ64" s="88"/>
      <c r="HR64" s="88"/>
      <c r="HS64" s="88"/>
      <c r="HT64" s="88"/>
      <c r="HU64" s="88"/>
      <c r="HV64" s="88"/>
      <c r="HW64" s="88"/>
      <c r="HX64" s="88"/>
      <c r="HY64" s="88"/>
      <c r="HZ64" s="88"/>
      <c r="IA64" s="88"/>
      <c r="IB64" s="88"/>
      <c r="IC64" s="216"/>
      <c r="ID64" s="216"/>
      <c r="IE64" s="88"/>
      <c r="IF64" s="88"/>
      <c r="IG64" s="78"/>
      <c r="IH64" s="111">
        <f>SUM(IH62:IH63)</f>
        <v>229764953.77201849</v>
      </c>
      <c r="II64" s="88"/>
      <c r="IJ64" s="88"/>
      <c r="IK64" s="88"/>
      <c r="IL64" s="88"/>
      <c r="IM64" s="88"/>
      <c r="IN64" s="88"/>
      <c r="IO64" s="88"/>
      <c r="IP64" s="88"/>
      <c r="IQ64" s="88"/>
      <c r="IR64" s="88"/>
      <c r="IS64" s="88"/>
      <c r="IT64" s="88"/>
      <c r="IU64" s="88"/>
      <c r="IV64" s="88"/>
      <c r="IW64" s="88"/>
      <c r="IX64" s="88"/>
      <c r="IY64" s="88"/>
      <c r="IZ64" s="88"/>
      <c r="JA64" s="88"/>
      <c r="JB64" s="88"/>
      <c r="JC64" s="88"/>
      <c r="JD64" s="88"/>
      <c r="JE64" s="88"/>
      <c r="JF64" s="88"/>
      <c r="JG64" s="88"/>
      <c r="JH64" s="88"/>
      <c r="JI64" s="88"/>
      <c r="JJ64" s="88"/>
      <c r="JK64" s="88"/>
      <c r="JL64" s="88"/>
      <c r="JM64" s="88"/>
      <c r="JN64" s="88"/>
      <c r="JO64" s="88"/>
      <c r="JP64" s="88"/>
      <c r="JQ64" s="88"/>
      <c r="JR64" s="88"/>
      <c r="JS64" s="88"/>
      <c r="JT64" s="88"/>
      <c r="JU64" s="88"/>
      <c r="JV64" s="88"/>
      <c r="JW64" s="88"/>
      <c r="JX64" s="88"/>
      <c r="JY64" s="88"/>
      <c r="JZ64" s="88"/>
      <c r="KA64" s="216"/>
      <c r="KB64" s="216"/>
      <c r="KC64" s="88"/>
      <c r="KD64" s="88"/>
      <c r="KE64" s="78"/>
      <c r="KF64" s="111">
        <f>SUM(KF62:KF63)</f>
        <v>196797464.45024955</v>
      </c>
      <c r="KG64" s="43" t="s">
        <v>34</v>
      </c>
    </row>
    <row r="65" spans="1:293" x14ac:dyDescent="0.3">
      <c r="A65" s="58"/>
      <c r="C65" s="112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216"/>
      <c r="AQ65" s="88"/>
      <c r="AR65" s="112"/>
      <c r="AS65" s="112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88"/>
      <c r="BX65" s="88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112"/>
      <c r="CO65" s="112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216"/>
      <c r="EI65" s="88"/>
      <c r="EJ65" s="88"/>
      <c r="EK65" s="112"/>
      <c r="EL65" s="112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88"/>
      <c r="EX65" s="88"/>
      <c r="EY65" s="88"/>
      <c r="EZ65" s="88"/>
      <c r="FA65" s="88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216"/>
      <c r="GF65" s="216"/>
      <c r="GG65" s="88"/>
      <c r="GH65" s="88"/>
      <c r="GI65" s="112"/>
      <c r="GJ65" s="112"/>
      <c r="GK65" s="88"/>
      <c r="GL65" s="88"/>
      <c r="GM65" s="88"/>
      <c r="GN65" s="88"/>
      <c r="GO65" s="88"/>
      <c r="GP65" s="88"/>
      <c r="GQ65" s="88"/>
      <c r="GR65" s="88"/>
      <c r="GS65" s="88"/>
      <c r="GT65" s="88"/>
      <c r="GU65" s="88"/>
      <c r="GV65" s="88"/>
      <c r="GW65" s="88"/>
      <c r="GX65" s="88"/>
      <c r="GY65" s="88"/>
      <c r="GZ65" s="88"/>
      <c r="HA65" s="88"/>
      <c r="HB65" s="88"/>
      <c r="HC65" s="88"/>
      <c r="HD65" s="88"/>
      <c r="HE65" s="88"/>
      <c r="HF65" s="88"/>
      <c r="HG65" s="88"/>
      <c r="HH65" s="88"/>
      <c r="HI65" s="88"/>
      <c r="HJ65" s="88"/>
      <c r="HK65" s="88"/>
      <c r="HL65" s="88"/>
      <c r="HM65" s="88"/>
      <c r="HN65" s="88"/>
      <c r="HO65" s="88"/>
      <c r="HP65" s="88"/>
      <c r="HQ65" s="88"/>
      <c r="HR65" s="88"/>
      <c r="HS65" s="88"/>
      <c r="HT65" s="88"/>
      <c r="HU65" s="88"/>
      <c r="HV65" s="88"/>
      <c r="HW65" s="88"/>
      <c r="HX65" s="88"/>
      <c r="HY65" s="88"/>
      <c r="HZ65" s="88"/>
      <c r="IA65" s="88"/>
      <c r="IB65" s="88"/>
      <c r="IC65" s="216"/>
      <c r="ID65" s="216"/>
      <c r="IE65" s="88"/>
      <c r="IF65" s="88"/>
      <c r="IG65" s="112"/>
      <c r="IH65" s="112"/>
      <c r="II65" s="88"/>
      <c r="IJ65" s="88"/>
      <c r="IK65" s="88"/>
      <c r="IL65" s="88"/>
      <c r="IM65" s="88"/>
      <c r="IN65" s="88"/>
      <c r="IO65" s="88"/>
      <c r="IP65" s="88"/>
      <c r="IQ65" s="88"/>
      <c r="IR65" s="88"/>
      <c r="IS65" s="88"/>
      <c r="IT65" s="88"/>
      <c r="IU65" s="88"/>
      <c r="IV65" s="88"/>
      <c r="IW65" s="88"/>
      <c r="IX65" s="88"/>
      <c r="IY65" s="88"/>
      <c r="IZ65" s="88"/>
      <c r="JA65" s="88"/>
      <c r="JB65" s="88"/>
      <c r="JC65" s="88"/>
      <c r="JD65" s="88"/>
      <c r="JE65" s="88"/>
      <c r="JF65" s="88"/>
      <c r="JG65" s="88"/>
      <c r="JH65" s="88"/>
      <c r="JI65" s="88"/>
      <c r="JJ65" s="88"/>
      <c r="JK65" s="88"/>
      <c r="JL65" s="88"/>
      <c r="JM65" s="88"/>
      <c r="JN65" s="88"/>
      <c r="JO65" s="88"/>
      <c r="JP65" s="88"/>
      <c r="JQ65" s="88"/>
      <c r="JR65" s="88"/>
      <c r="JS65" s="88"/>
      <c r="JT65" s="88"/>
      <c r="JU65" s="88"/>
      <c r="JV65" s="88"/>
      <c r="JW65" s="88"/>
      <c r="JX65" s="88"/>
      <c r="JY65" s="88"/>
      <c r="JZ65" s="88"/>
      <c r="KA65" s="216"/>
      <c r="KB65" s="216"/>
      <c r="KC65" s="88"/>
      <c r="KD65" s="88"/>
      <c r="KE65" s="112"/>
      <c r="KF65" s="112"/>
      <c r="KG65" s="43" t="s">
        <v>34</v>
      </c>
    </row>
    <row r="66" spans="1:293" x14ac:dyDescent="0.3">
      <c r="H66" s="113"/>
      <c r="AP66" s="205"/>
      <c r="EH66" s="205"/>
      <c r="GE66" s="205"/>
      <c r="GF66" s="205"/>
      <c r="IC66" s="205"/>
      <c r="ID66" s="205"/>
      <c r="KA66" s="205"/>
      <c r="KB66" s="205"/>
      <c r="KG66" s="43" t="s">
        <v>34</v>
      </c>
    </row>
    <row r="67" spans="1:293" x14ac:dyDescent="0.3">
      <c r="B67" s="47" t="s">
        <v>110</v>
      </c>
      <c r="C67" s="200">
        <f>+'Exh. BGM-3 (1)'!$AL$16</f>
        <v>7.2000000000000008E-2</v>
      </c>
      <c r="D67" s="200">
        <f>+'Exh. BGM-3 (1)'!$AL$16</f>
        <v>7.2000000000000008E-2</v>
      </c>
      <c r="E67" s="200">
        <f>+'Exh. BGM-3 (1)'!$AL$16</f>
        <v>7.2000000000000008E-2</v>
      </c>
      <c r="F67" s="200">
        <f>+'Exh. BGM-3 (1)'!$AL$16</f>
        <v>7.2000000000000008E-2</v>
      </c>
      <c r="G67" s="200">
        <f>+'Exh. BGM-3 (1)'!$AL$16</f>
        <v>7.2000000000000008E-2</v>
      </c>
      <c r="H67" s="200">
        <f>+'Exh. BGM-3 (1)'!$AL$16</f>
        <v>7.2000000000000008E-2</v>
      </c>
      <c r="I67" s="200">
        <f>+'Exh. BGM-3 (1)'!$AL$16</f>
        <v>7.2000000000000008E-2</v>
      </c>
      <c r="J67" s="200">
        <f>+'Exh. BGM-3 (1)'!$AL$16</f>
        <v>7.2000000000000008E-2</v>
      </c>
      <c r="K67" s="200">
        <f>+'Exh. BGM-3 (1)'!$AL$16</f>
        <v>7.2000000000000008E-2</v>
      </c>
      <c r="L67" s="200">
        <f>+'Exh. BGM-3 (1)'!$AL$16</f>
        <v>7.2000000000000008E-2</v>
      </c>
      <c r="M67" s="200">
        <f>+'Exh. BGM-3 (1)'!$AL$16</f>
        <v>7.2000000000000008E-2</v>
      </c>
      <c r="N67" s="200">
        <f>+'Exh. BGM-3 (1)'!$AL$16</f>
        <v>7.2000000000000008E-2</v>
      </c>
      <c r="O67" s="200">
        <f>+'Exh. BGM-3 (1)'!$AL$16</f>
        <v>7.2000000000000008E-2</v>
      </c>
      <c r="P67" s="200">
        <f>+'Exh. BGM-3 (1)'!$AL$16</f>
        <v>7.2000000000000008E-2</v>
      </c>
      <c r="Q67" s="200">
        <f>+'Exh. BGM-3 (1)'!$AL$16</f>
        <v>7.2000000000000008E-2</v>
      </c>
      <c r="R67" s="200">
        <f>+'Exh. BGM-3 (1)'!$AL$16</f>
        <v>7.2000000000000008E-2</v>
      </c>
      <c r="S67" s="200">
        <f>+'Exh. BGM-3 (1)'!$AL$16</f>
        <v>7.2000000000000008E-2</v>
      </c>
      <c r="T67" s="200">
        <f>+'Exh. BGM-3 (1)'!$AL$16</f>
        <v>7.2000000000000008E-2</v>
      </c>
      <c r="U67" s="200">
        <f>+'Exh. BGM-3 (1)'!$AL$16</f>
        <v>7.2000000000000008E-2</v>
      </c>
      <c r="V67" s="200">
        <f>+'Exh. BGM-3 (1)'!$AL$16</f>
        <v>7.2000000000000008E-2</v>
      </c>
      <c r="W67" s="200">
        <f>+'Exh. BGM-3 (1)'!$AL$16</f>
        <v>7.2000000000000008E-2</v>
      </c>
      <c r="X67" s="200">
        <f>+'Exh. BGM-3 (1)'!$AL$16</f>
        <v>7.2000000000000008E-2</v>
      </c>
      <c r="Y67" s="200">
        <f>+'Exh. BGM-3 (1)'!$AL$16</f>
        <v>7.2000000000000008E-2</v>
      </c>
      <c r="Z67" s="200">
        <f>+'Exh. BGM-3 (1)'!$AL$16</f>
        <v>7.2000000000000008E-2</v>
      </c>
      <c r="AA67" s="200">
        <f>+'Exh. BGM-3 (1)'!$AL$16</f>
        <v>7.2000000000000008E-2</v>
      </c>
      <c r="AB67" s="200">
        <f>+'Exh. BGM-3 (1)'!$AL$16</f>
        <v>7.2000000000000008E-2</v>
      </c>
      <c r="AC67" s="200">
        <f>+'Exh. BGM-3 (1)'!$AL$16</f>
        <v>7.2000000000000008E-2</v>
      </c>
      <c r="AD67" s="200">
        <f>+'Exh. BGM-3 (1)'!$AL$16</f>
        <v>7.2000000000000008E-2</v>
      </c>
      <c r="AE67" s="200">
        <f>+'Exh. BGM-3 (1)'!$AL$16</f>
        <v>7.2000000000000008E-2</v>
      </c>
      <c r="AF67" s="200">
        <f>+'Exh. BGM-3 (1)'!$AL$16</f>
        <v>7.2000000000000008E-2</v>
      </c>
      <c r="AG67" s="200">
        <f>+'Exh. BGM-3 (1)'!$AL$16</f>
        <v>7.2000000000000008E-2</v>
      </c>
      <c r="AH67" s="200">
        <f>+'Exh. BGM-3 (1)'!$AL$16</f>
        <v>7.2000000000000008E-2</v>
      </c>
      <c r="AI67" s="200">
        <f>+'Exh. BGM-3 (1)'!$AL$16</f>
        <v>7.2000000000000008E-2</v>
      </c>
      <c r="AJ67" s="200">
        <f>+'Exh. BGM-3 (1)'!$AL$16</f>
        <v>7.2000000000000008E-2</v>
      </c>
      <c r="AK67" s="200">
        <f>+'Exh. BGM-3 (1)'!$AL$16</f>
        <v>7.2000000000000008E-2</v>
      </c>
      <c r="AL67" s="200">
        <f>+'Exh. BGM-3 (1)'!$AL$16</f>
        <v>7.2000000000000008E-2</v>
      </c>
      <c r="AM67" s="200">
        <f>+'Exh. BGM-3 (1)'!$AL$16</f>
        <v>7.2000000000000008E-2</v>
      </c>
      <c r="AN67" s="200">
        <f>+'Exh. BGM-3 (1)'!$AL$16</f>
        <v>7.2000000000000008E-2</v>
      </c>
      <c r="AO67" s="200">
        <f>+'Exh. BGM-3 (1)'!$AL$16</f>
        <v>7.2000000000000008E-2</v>
      </c>
      <c r="AP67" s="200">
        <f>+'Exh. BGM-3 (1)'!$AL$16</f>
        <v>7.2000000000000008E-2</v>
      </c>
      <c r="AQ67" s="200">
        <f>+'Exh. BGM-3 (1)'!$AL$16</f>
        <v>7.2000000000000008E-2</v>
      </c>
      <c r="AR67" s="200">
        <f>+'Exh. BGM-3 (1)'!$AL$16</f>
        <v>7.2000000000000008E-2</v>
      </c>
      <c r="AS67" s="200">
        <f>+'Exh. BGM-3 (1)'!$AL$16</f>
        <v>7.2000000000000008E-2</v>
      </c>
      <c r="AT67" s="200">
        <f>+'Exh. BGM-3 (1)'!$AL$16</f>
        <v>7.2000000000000008E-2</v>
      </c>
      <c r="AU67" s="200">
        <f>+'Exh. BGM-3 (1)'!$AL$16</f>
        <v>7.2000000000000008E-2</v>
      </c>
      <c r="AV67" s="200">
        <f>+'Exh. BGM-3 (1)'!$AL$16</f>
        <v>7.2000000000000008E-2</v>
      </c>
      <c r="AW67" s="200">
        <f>+'Exh. BGM-3 (1)'!$AL$16</f>
        <v>7.2000000000000008E-2</v>
      </c>
      <c r="AX67" s="200">
        <f>+'Exh. BGM-3 (1)'!$AL$16</f>
        <v>7.2000000000000008E-2</v>
      </c>
      <c r="AY67" s="200">
        <f>+'Exh. BGM-3 (1)'!$AL$16</f>
        <v>7.2000000000000008E-2</v>
      </c>
      <c r="AZ67" s="200">
        <f>+'Exh. BGM-3 (1)'!$AL$16</f>
        <v>7.2000000000000008E-2</v>
      </c>
      <c r="BA67" s="200">
        <f>+'Exh. BGM-3 (1)'!$AL$16</f>
        <v>7.2000000000000008E-2</v>
      </c>
      <c r="BB67" s="200">
        <f>+'Exh. BGM-3 (1)'!$AL$16</f>
        <v>7.2000000000000008E-2</v>
      </c>
      <c r="BC67" s="200">
        <f>+'Exh. BGM-3 (1)'!$AL$16</f>
        <v>7.2000000000000008E-2</v>
      </c>
      <c r="BD67" s="200">
        <f>+'Exh. BGM-3 (1)'!$AL$16</f>
        <v>7.2000000000000008E-2</v>
      </c>
      <c r="BE67" s="200">
        <f>+'Exh. BGM-3 (1)'!$AL$16</f>
        <v>7.2000000000000008E-2</v>
      </c>
      <c r="BF67" s="200">
        <f>+'Exh. BGM-3 (1)'!$AL$16</f>
        <v>7.2000000000000008E-2</v>
      </c>
      <c r="BG67" s="200">
        <f>+'Exh. BGM-3 (1)'!$AL$16</f>
        <v>7.2000000000000008E-2</v>
      </c>
      <c r="BH67" s="200">
        <f>+'Exh. BGM-3 (1)'!$AL$16</f>
        <v>7.2000000000000008E-2</v>
      </c>
      <c r="BI67" s="200">
        <f>+'Exh. BGM-3 (1)'!$AL$16</f>
        <v>7.2000000000000008E-2</v>
      </c>
      <c r="BJ67" s="200">
        <f>+'Exh. BGM-3 (1)'!$AL$16</f>
        <v>7.2000000000000008E-2</v>
      </c>
      <c r="BK67" s="200">
        <f>+'Exh. BGM-3 (1)'!$AL$16</f>
        <v>7.2000000000000008E-2</v>
      </c>
      <c r="BL67" s="200">
        <f>+'Exh. BGM-3 (1)'!$AL$16</f>
        <v>7.2000000000000008E-2</v>
      </c>
      <c r="BM67" s="200">
        <f>+'Exh. BGM-3 (1)'!$AL$16</f>
        <v>7.2000000000000008E-2</v>
      </c>
      <c r="BN67" s="200">
        <f>+'Exh. BGM-3 (1)'!$AL$16</f>
        <v>7.2000000000000008E-2</v>
      </c>
      <c r="BO67" s="200">
        <f>+'Exh. BGM-3 (1)'!$AL$16</f>
        <v>7.2000000000000008E-2</v>
      </c>
      <c r="BP67" s="200">
        <f>+'Exh. BGM-3 (1)'!$AL$16</f>
        <v>7.2000000000000008E-2</v>
      </c>
      <c r="BQ67" s="200">
        <f>+'Exh. BGM-3 (1)'!$AL$16</f>
        <v>7.2000000000000008E-2</v>
      </c>
      <c r="BR67" s="200">
        <f>+'Exh. BGM-3 (1)'!$AL$16</f>
        <v>7.2000000000000008E-2</v>
      </c>
      <c r="BS67" s="200">
        <f>+'Exh. BGM-3 (1)'!$AL$16</f>
        <v>7.2000000000000008E-2</v>
      </c>
      <c r="BT67" s="200">
        <f>+'Exh. BGM-3 (1)'!$AL$16</f>
        <v>7.2000000000000008E-2</v>
      </c>
      <c r="BU67" s="200">
        <f>+'Exh. BGM-3 (1)'!$AL$16</f>
        <v>7.2000000000000008E-2</v>
      </c>
      <c r="BV67" s="200">
        <f>+'Exh. BGM-3 (1)'!$AL$16</f>
        <v>7.2000000000000008E-2</v>
      </c>
      <c r="BW67" s="200">
        <f>+'Exh. BGM-3 (1)'!$AL$16</f>
        <v>7.2000000000000008E-2</v>
      </c>
      <c r="BX67" s="200">
        <f>+'Exh. BGM-3 (1)'!$AL$16</f>
        <v>7.2000000000000008E-2</v>
      </c>
      <c r="BY67" s="200">
        <f>+'Exh. BGM-3 (1)'!$AL$16</f>
        <v>7.2000000000000008E-2</v>
      </c>
      <c r="BZ67" s="200">
        <f>+'Exh. BGM-3 (1)'!$AL$16</f>
        <v>7.2000000000000008E-2</v>
      </c>
      <c r="CA67" s="200">
        <f>+'Exh. BGM-3 (1)'!$AL$16</f>
        <v>7.2000000000000008E-2</v>
      </c>
      <c r="CB67" s="200">
        <f>+'Exh. BGM-3 (1)'!$AL$16</f>
        <v>7.2000000000000008E-2</v>
      </c>
      <c r="CC67" s="200">
        <f>+'Exh. BGM-3 (1)'!$AL$16</f>
        <v>7.2000000000000008E-2</v>
      </c>
      <c r="CD67" s="200">
        <f>+'Exh. BGM-3 (1)'!$AL$16</f>
        <v>7.2000000000000008E-2</v>
      </c>
      <c r="CE67" s="200">
        <f>+'Exh. BGM-3 (1)'!$AL$16</f>
        <v>7.2000000000000008E-2</v>
      </c>
      <c r="CF67" s="200">
        <f>+'Exh. BGM-3 (1)'!$AL$16</f>
        <v>7.2000000000000008E-2</v>
      </c>
      <c r="CG67" s="200">
        <f>+'Exh. BGM-3 (1)'!$AL$16</f>
        <v>7.2000000000000008E-2</v>
      </c>
      <c r="CH67" s="200">
        <f>+'Exh. BGM-3 (1)'!$AL$16</f>
        <v>7.2000000000000008E-2</v>
      </c>
      <c r="CI67" s="200">
        <f>+'Exh. BGM-3 (1)'!$AL$16</f>
        <v>7.2000000000000008E-2</v>
      </c>
      <c r="CJ67" s="200">
        <f>+'Exh. BGM-3 (1)'!$AL$16</f>
        <v>7.2000000000000008E-2</v>
      </c>
      <c r="CK67" s="200">
        <f>+'Exh. BGM-3 (1)'!$AL$16</f>
        <v>7.2000000000000008E-2</v>
      </c>
      <c r="CL67" s="200">
        <f>+'Exh. BGM-3 (1)'!$AL$16</f>
        <v>7.2000000000000008E-2</v>
      </c>
      <c r="CM67" s="200">
        <f>+'Exh. BGM-3 (1)'!$AL$16</f>
        <v>7.2000000000000008E-2</v>
      </c>
      <c r="CN67" s="200">
        <f>+'Exh. BGM-3 (1)'!$AL$16</f>
        <v>7.2000000000000008E-2</v>
      </c>
      <c r="CO67" s="200">
        <f>+'Exh. BGM-3 (1)'!$AL$16</f>
        <v>7.2000000000000008E-2</v>
      </c>
      <c r="CP67" s="200">
        <f>+'Exh. BGM-3 (1)'!$AL$16</f>
        <v>7.2000000000000008E-2</v>
      </c>
      <c r="CQ67" s="200">
        <f>+'Exh. BGM-3 (1)'!$AL$16</f>
        <v>7.2000000000000008E-2</v>
      </c>
      <c r="CR67" s="200">
        <f>+'Exh. BGM-3 (1)'!$AL$16</f>
        <v>7.2000000000000008E-2</v>
      </c>
      <c r="CS67" s="200">
        <f>+'Exh. BGM-3 (1)'!$AL$16</f>
        <v>7.2000000000000008E-2</v>
      </c>
      <c r="CT67" s="200">
        <f>+'Exh. BGM-3 (1)'!$AL$16</f>
        <v>7.2000000000000008E-2</v>
      </c>
      <c r="CU67" s="200">
        <f>+'Exh. BGM-3 (1)'!$AL$16</f>
        <v>7.2000000000000008E-2</v>
      </c>
      <c r="CV67" s="200">
        <f>+'Exh. BGM-3 (1)'!$AL$16</f>
        <v>7.2000000000000008E-2</v>
      </c>
      <c r="CW67" s="200">
        <f>+'Exh. BGM-3 (1)'!$AL$16</f>
        <v>7.2000000000000008E-2</v>
      </c>
      <c r="CX67" s="200">
        <f>+'Exh. BGM-3 (1)'!$AL$16</f>
        <v>7.2000000000000008E-2</v>
      </c>
      <c r="CY67" s="200">
        <f>+'Exh. BGM-3 (1)'!$AL$16</f>
        <v>7.2000000000000008E-2</v>
      </c>
      <c r="CZ67" s="200">
        <f>+'Exh. BGM-3 (1)'!$AL$16</f>
        <v>7.2000000000000008E-2</v>
      </c>
      <c r="DA67" s="200">
        <f>+'Exh. BGM-3 (1)'!$AL$16</f>
        <v>7.2000000000000008E-2</v>
      </c>
      <c r="DB67" s="200">
        <f>+'Exh. BGM-3 (1)'!$AL$16</f>
        <v>7.2000000000000008E-2</v>
      </c>
      <c r="DC67" s="200">
        <f>+'Exh. BGM-3 (1)'!$AL$16</f>
        <v>7.2000000000000008E-2</v>
      </c>
      <c r="DD67" s="200">
        <f>+'Exh. BGM-3 (1)'!$AL$16</f>
        <v>7.2000000000000008E-2</v>
      </c>
      <c r="DE67" s="200">
        <f>+'Exh. BGM-3 (1)'!$AL$16</f>
        <v>7.2000000000000008E-2</v>
      </c>
      <c r="DF67" s="200">
        <f>+'Exh. BGM-3 (1)'!$AL$16</f>
        <v>7.2000000000000008E-2</v>
      </c>
      <c r="DG67" s="200">
        <f>+'Exh. BGM-3 (1)'!$AL$16</f>
        <v>7.2000000000000008E-2</v>
      </c>
      <c r="DH67" s="200">
        <f>+'Exh. BGM-3 (1)'!$AL$16</f>
        <v>7.2000000000000008E-2</v>
      </c>
      <c r="DI67" s="200">
        <f>+'Exh. BGM-3 (1)'!$AL$16</f>
        <v>7.2000000000000008E-2</v>
      </c>
      <c r="DJ67" s="200">
        <f>+'Exh. BGM-3 (1)'!$AL$16</f>
        <v>7.2000000000000008E-2</v>
      </c>
      <c r="DK67" s="200">
        <f>+'Exh. BGM-3 (1)'!$AL$16</f>
        <v>7.2000000000000008E-2</v>
      </c>
      <c r="DL67" s="200">
        <f>+'Exh. BGM-3 (1)'!$AL$16</f>
        <v>7.2000000000000008E-2</v>
      </c>
      <c r="DM67" s="200">
        <f>+'Exh. BGM-3 (1)'!$AL$16</f>
        <v>7.2000000000000008E-2</v>
      </c>
      <c r="DN67" s="200">
        <f>+'Exh. BGM-3 (1)'!$AL$16</f>
        <v>7.2000000000000008E-2</v>
      </c>
      <c r="DO67" s="200">
        <f>+'Exh. BGM-3 (1)'!$AL$16</f>
        <v>7.2000000000000008E-2</v>
      </c>
      <c r="DP67" s="200">
        <f>+'Exh. BGM-3 (1)'!$AL$16</f>
        <v>7.2000000000000008E-2</v>
      </c>
      <c r="DQ67" s="200">
        <f>+'Exh. BGM-3 (1)'!$AL$16</f>
        <v>7.2000000000000008E-2</v>
      </c>
      <c r="DR67" s="200">
        <f>+'Exh. BGM-3 (1)'!$AL$16</f>
        <v>7.2000000000000008E-2</v>
      </c>
      <c r="DS67" s="200">
        <f>+'Exh. BGM-3 (1)'!$AL$16</f>
        <v>7.2000000000000008E-2</v>
      </c>
      <c r="DT67" s="200">
        <f>+'Exh. BGM-3 (1)'!$AL$16</f>
        <v>7.2000000000000008E-2</v>
      </c>
      <c r="DU67" s="200">
        <f>+'Exh. BGM-3 (1)'!$AL$16</f>
        <v>7.2000000000000008E-2</v>
      </c>
      <c r="DV67" s="200">
        <f>+'Exh. BGM-3 (1)'!$AL$16</f>
        <v>7.2000000000000008E-2</v>
      </c>
      <c r="DW67" s="200">
        <f>+'Exh. BGM-3 (1)'!$AL$16</f>
        <v>7.2000000000000008E-2</v>
      </c>
      <c r="DX67" s="200">
        <f>+'Exh. BGM-3 (1)'!$AL$16</f>
        <v>7.2000000000000008E-2</v>
      </c>
      <c r="DY67" s="200">
        <f>+'Exh. BGM-3 (1)'!$AL$16</f>
        <v>7.2000000000000008E-2</v>
      </c>
      <c r="DZ67" s="200">
        <f>+'Exh. BGM-3 (1)'!$AL$16</f>
        <v>7.2000000000000008E-2</v>
      </c>
      <c r="EA67" s="200">
        <f>+'Exh. BGM-3 (1)'!$AL$16</f>
        <v>7.2000000000000008E-2</v>
      </c>
      <c r="EB67" s="200">
        <f>+'Exh. BGM-3 (1)'!$AL$16</f>
        <v>7.2000000000000008E-2</v>
      </c>
      <c r="EC67" s="200">
        <f>+'Exh. BGM-3 (1)'!$AL$16</f>
        <v>7.2000000000000008E-2</v>
      </c>
      <c r="ED67" s="200">
        <f>+'Exh. BGM-3 (1)'!$AL$16</f>
        <v>7.2000000000000008E-2</v>
      </c>
      <c r="EE67" s="200">
        <f>+'Exh. BGM-3 (1)'!$AL$16</f>
        <v>7.2000000000000008E-2</v>
      </c>
      <c r="EF67" s="200">
        <f>+'Exh. BGM-3 (1)'!$AL$16</f>
        <v>7.2000000000000008E-2</v>
      </c>
      <c r="EG67" s="200">
        <f>+'Exh. BGM-3 (1)'!$AL$16</f>
        <v>7.2000000000000008E-2</v>
      </c>
      <c r="EH67" s="200">
        <f>+'Exh. BGM-3 (1)'!$AL$16</f>
        <v>7.2000000000000008E-2</v>
      </c>
      <c r="EI67" s="200">
        <f>+'Exh. BGM-3 (1)'!$AL$16</f>
        <v>7.2000000000000008E-2</v>
      </c>
      <c r="EJ67" s="200">
        <f>+'Exh. BGM-3 (1)'!$AL$16</f>
        <v>7.2000000000000008E-2</v>
      </c>
      <c r="EK67" s="200">
        <f>+'Exh. BGM-3 (1)'!$AL$16</f>
        <v>7.2000000000000008E-2</v>
      </c>
      <c r="EL67" s="200">
        <f>+'Exh. BGM-3 (1)'!$AL$16</f>
        <v>7.2000000000000008E-2</v>
      </c>
      <c r="EM67" s="200">
        <f>+'Exh. BGM-3 (1)'!$AL$16</f>
        <v>7.2000000000000008E-2</v>
      </c>
      <c r="EN67" s="200">
        <f>+'Exh. BGM-3 (1)'!$AL$16</f>
        <v>7.2000000000000008E-2</v>
      </c>
      <c r="EO67" s="200">
        <f>+'Exh. BGM-3 (1)'!$AL$16</f>
        <v>7.2000000000000008E-2</v>
      </c>
      <c r="EP67" s="200">
        <f>+'Exh. BGM-3 (1)'!$AL$16</f>
        <v>7.2000000000000008E-2</v>
      </c>
      <c r="EQ67" s="200">
        <f>+'Exh. BGM-3 (1)'!$AL$16</f>
        <v>7.2000000000000008E-2</v>
      </c>
      <c r="ER67" s="200">
        <f>+'Exh. BGM-3 (1)'!$AL$16</f>
        <v>7.2000000000000008E-2</v>
      </c>
      <c r="ES67" s="200">
        <f>+'Exh. BGM-3 (1)'!$AL$16</f>
        <v>7.2000000000000008E-2</v>
      </c>
      <c r="ET67" s="200">
        <f>+'Exh. BGM-3 (1)'!$AL$16</f>
        <v>7.2000000000000008E-2</v>
      </c>
      <c r="EU67" s="200">
        <f>+'Exh. BGM-3 (1)'!$AL$16</f>
        <v>7.2000000000000008E-2</v>
      </c>
      <c r="EV67" s="200">
        <f>+'Exh. BGM-3 (1)'!$AL$16</f>
        <v>7.2000000000000008E-2</v>
      </c>
      <c r="EW67" s="200">
        <f>+'Exh. BGM-3 (1)'!$AL$16</f>
        <v>7.2000000000000008E-2</v>
      </c>
      <c r="EX67" s="200">
        <f>+'Exh. BGM-3 (1)'!$AL$16</f>
        <v>7.2000000000000008E-2</v>
      </c>
      <c r="EY67" s="200">
        <f>+'Exh. BGM-3 (1)'!$AL$16</f>
        <v>7.2000000000000008E-2</v>
      </c>
      <c r="EZ67" s="200">
        <f>+'Exh. BGM-3 (1)'!$AL$16</f>
        <v>7.2000000000000008E-2</v>
      </c>
      <c r="FA67" s="200">
        <f>+'Exh. BGM-3 (1)'!$AL$16</f>
        <v>7.2000000000000008E-2</v>
      </c>
      <c r="FB67" s="200">
        <f>+'Exh. BGM-3 (1)'!$AL$16</f>
        <v>7.2000000000000008E-2</v>
      </c>
      <c r="FC67" s="200">
        <f>+'Exh. BGM-3 (1)'!$AL$16</f>
        <v>7.2000000000000008E-2</v>
      </c>
      <c r="FD67" s="200">
        <f>+'Exh. BGM-3 (1)'!$AL$16</f>
        <v>7.2000000000000008E-2</v>
      </c>
      <c r="FE67" s="200">
        <f>+'Exh. BGM-3 (1)'!$AL$16</f>
        <v>7.2000000000000008E-2</v>
      </c>
      <c r="FF67" s="200">
        <f>+'Exh. BGM-3 (1)'!$AL$16</f>
        <v>7.2000000000000008E-2</v>
      </c>
      <c r="FG67" s="200">
        <f>+'Exh. BGM-3 (1)'!$AL$16</f>
        <v>7.2000000000000008E-2</v>
      </c>
      <c r="FH67" s="200">
        <f>+'Exh. BGM-3 (1)'!$AL$16</f>
        <v>7.2000000000000008E-2</v>
      </c>
      <c r="FI67" s="200">
        <f>+'Exh. BGM-3 (1)'!$AL$16</f>
        <v>7.2000000000000008E-2</v>
      </c>
      <c r="FJ67" s="200">
        <f>+'Exh. BGM-3 (1)'!$AL$16</f>
        <v>7.2000000000000008E-2</v>
      </c>
      <c r="FK67" s="200">
        <f>+'Exh. BGM-3 (1)'!$AL$16</f>
        <v>7.2000000000000008E-2</v>
      </c>
      <c r="FL67" s="200">
        <f>+'Exh. BGM-3 (1)'!$AL$16</f>
        <v>7.2000000000000008E-2</v>
      </c>
      <c r="FM67" s="200">
        <f>+'Exh. BGM-3 (1)'!$AL$16</f>
        <v>7.2000000000000008E-2</v>
      </c>
      <c r="FN67" s="200">
        <f>+'Exh. BGM-3 (1)'!$AL$16</f>
        <v>7.2000000000000008E-2</v>
      </c>
      <c r="FO67" s="200">
        <f>+'Exh. BGM-3 (1)'!$AL$16</f>
        <v>7.2000000000000008E-2</v>
      </c>
      <c r="FP67" s="200">
        <f>+'Exh. BGM-3 (1)'!$AL$16</f>
        <v>7.2000000000000008E-2</v>
      </c>
      <c r="FQ67" s="200">
        <f>+'Exh. BGM-3 (1)'!$AL$16</f>
        <v>7.2000000000000008E-2</v>
      </c>
      <c r="FR67" s="200">
        <f>+'Exh. BGM-3 (1)'!$AL$16</f>
        <v>7.2000000000000008E-2</v>
      </c>
      <c r="FS67" s="200">
        <f>+'Exh. BGM-3 (1)'!$AL$16</f>
        <v>7.2000000000000008E-2</v>
      </c>
      <c r="FT67" s="200">
        <f>+'Exh. BGM-3 (1)'!$AL$16</f>
        <v>7.2000000000000008E-2</v>
      </c>
      <c r="FU67" s="200">
        <f>+'Exh. BGM-3 (1)'!$AL$16</f>
        <v>7.2000000000000008E-2</v>
      </c>
      <c r="FV67" s="200">
        <f>+'Exh. BGM-3 (1)'!$AL$16</f>
        <v>7.2000000000000008E-2</v>
      </c>
      <c r="FW67" s="200">
        <f>+'Exh. BGM-3 (1)'!$AL$16</f>
        <v>7.2000000000000008E-2</v>
      </c>
      <c r="FX67" s="200">
        <f>+'Exh. BGM-3 (1)'!$AL$16</f>
        <v>7.2000000000000008E-2</v>
      </c>
      <c r="FY67" s="200">
        <f>+'Exh. BGM-3 (1)'!$AL$16</f>
        <v>7.2000000000000008E-2</v>
      </c>
      <c r="FZ67" s="200">
        <f>+'Exh. BGM-3 (1)'!$AL$16</f>
        <v>7.2000000000000008E-2</v>
      </c>
      <c r="GA67" s="200">
        <f>+'Exh. BGM-3 (1)'!$AL$16</f>
        <v>7.2000000000000008E-2</v>
      </c>
      <c r="GB67" s="200">
        <f>+'Exh. BGM-3 (1)'!$AL$16</f>
        <v>7.2000000000000008E-2</v>
      </c>
      <c r="GC67" s="200">
        <f>+'Exh. BGM-3 (1)'!$AL$16</f>
        <v>7.2000000000000008E-2</v>
      </c>
      <c r="GD67" s="200">
        <f>+'Exh. BGM-3 (1)'!$AL$16</f>
        <v>7.2000000000000008E-2</v>
      </c>
      <c r="GE67" s="200">
        <f>+'Exh. BGM-3 (1)'!$AL$16</f>
        <v>7.2000000000000008E-2</v>
      </c>
      <c r="GF67" s="200">
        <f>+'Exh. BGM-3 (1)'!$AL$16</f>
        <v>7.2000000000000008E-2</v>
      </c>
      <c r="GG67" s="200">
        <f>+'Exh. BGM-3 (1)'!$AL$16</f>
        <v>7.2000000000000008E-2</v>
      </c>
      <c r="GH67" s="200">
        <f>+'Exh. BGM-3 (1)'!$AL$16</f>
        <v>7.2000000000000008E-2</v>
      </c>
      <c r="GI67" s="200">
        <f>+'Exh. BGM-3 (1)'!$AL$16</f>
        <v>7.2000000000000008E-2</v>
      </c>
      <c r="GJ67" s="200">
        <f>+'Exh. BGM-3 (1)'!$AL$16</f>
        <v>7.2000000000000008E-2</v>
      </c>
      <c r="GK67" s="200">
        <f>+'Exh. BGM-3 (1)'!$AL$16</f>
        <v>7.2000000000000008E-2</v>
      </c>
      <c r="GL67" s="200">
        <f>+'Exh. BGM-3 (1)'!$AL$16</f>
        <v>7.2000000000000008E-2</v>
      </c>
      <c r="GM67" s="200">
        <f>+'Exh. BGM-3 (1)'!$AL$16</f>
        <v>7.2000000000000008E-2</v>
      </c>
      <c r="GN67" s="200">
        <f>+'Exh. BGM-3 (1)'!$AL$16</f>
        <v>7.2000000000000008E-2</v>
      </c>
      <c r="GO67" s="200">
        <f>+'Exh. BGM-3 (1)'!$AL$16</f>
        <v>7.2000000000000008E-2</v>
      </c>
      <c r="GP67" s="200">
        <f>+'Exh. BGM-3 (1)'!$AL$16</f>
        <v>7.2000000000000008E-2</v>
      </c>
      <c r="GQ67" s="200">
        <f>+'Exh. BGM-3 (1)'!$AL$16</f>
        <v>7.2000000000000008E-2</v>
      </c>
      <c r="GR67" s="200">
        <f>+'Exh. BGM-3 (1)'!$AL$16</f>
        <v>7.2000000000000008E-2</v>
      </c>
      <c r="GS67" s="200">
        <f>+'Exh. BGM-3 (1)'!$AL$16</f>
        <v>7.2000000000000008E-2</v>
      </c>
      <c r="GT67" s="200">
        <f>+'Exh. BGM-3 (1)'!$AL$16</f>
        <v>7.2000000000000008E-2</v>
      </c>
      <c r="GU67" s="200">
        <f>+'Exh. BGM-3 (1)'!$AL$16</f>
        <v>7.2000000000000008E-2</v>
      </c>
      <c r="GV67" s="200">
        <f>+'Exh. BGM-3 (1)'!$AL$16</f>
        <v>7.2000000000000008E-2</v>
      </c>
      <c r="GW67" s="200">
        <f>+'Exh. BGM-3 (1)'!$AL$16</f>
        <v>7.2000000000000008E-2</v>
      </c>
      <c r="GX67" s="200">
        <f>+'Exh. BGM-3 (1)'!$AL$16</f>
        <v>7.2000000000000008E-2</v>
      </c>
      <c r="GY67" s="200">
        <f>+'Exh. BGM-3 (1)'!$AL$16</f>
        <v>7.2000000000000008E-2</v>
      </c>
      <c r="GZ67" s="200">
        <f>+'Exh. BGM-3 (1)'!$AL$16</f>
        <v>7.2000000000000008E-2</v>
      </c>
      <c r="HA67" s="200">
        <f>+'Exh. BGM-3 (1)'!$AL$16</f>
        <v>7.2000000000000008E-2</v>
      </c>
      <c r="HB67" s="200">
        <f>+'Exh. BGM-3 (1)'!$AL$16</f>
        <v>7.2000000000000008E-2</v>
      </c>
      <c r="HC67" s="200">
        <f>+'Exh. BGM-3 (1)'!$AL$16</f>
        <v>7.2000000000000008E-2</v>
      </c>
      <c r="HD67" s="200">
        <f>+'Exh. BGM-3 (1)'!$AL$16</f>
        <v>7.2000000000000008E-2</v>
      </c>
      <c r="HE67" s="200">
        <f>+'Exh. BGM-3 (1)'!$AL$16</f>
        <v>7.2000000000000008E-2</v>
      </c>
      <c r="HF67" s="200">
        <f>+'Exh. BGM-3 (1)'!$AL$16</f>
        <v>7.2000000000000008E-2</v>
      </c>
      <c r="HG67" s="200">
        <f>+'Exh. BGM-3 (1)'!$AL$16</f>
        <v>7.2000000000000008E-2</v>
      </c>
      <c r="HH67" s="200">
        <f>+'Exh. BGM-3 (1)'!$AL$16</f>
        <v>7.2000000000000008E-2</v>
      </c>
      <c r="HI67" s="200">
        <f>+'Exh. BGM-3 (1)'!$AL$16</f>
        <v>7.2000000000000008E-2</v>
      </c>
      <c r="HJ67" s="200">
        <f>+'Exh. BGM-3 (1)'!$AL$16</f>
        <v>7.2000000000000008E-2</v>
      </c>
      <c r="HK67" s="200">
        <f>+'Exh. BGM-3 (1)'!$AL$16</f>
        <v>7.2000000000000008E-2</v>
      </c>
      <c r="HL67" s="200">
        <f>+'Exh. BGM-3 (1)'!$AL$16</f>
        <v>7.2000000000000008E-2</v>
      </c>
      <c r="HM67" s="200">
        <f>+'Exh. BGM-3 (1)'!$AL$16</f>
        <v>7.2000000000000008E-2</v>
      </c>
      <c r="HN67" s="200">
        <f>+'Exh. BGM-3 (1)'!$AL$16</f>
        <v>7.2000000000000008E-2</v>
      </c>
      <c r="HO67" s="200">
        <f>+'Exh. BGM-3 (1)'!$AL$16</f>
        <v>7.2000000000000008E-2</v>
      </c>
      <c r="HP67" s="200">
        <f>+'Exh. BGM-3 (1)'!$AL$16</f>
        <v>7.2000000000000008E-2</v>
      </c>
      <c r="HQ67" s="200">
        <f>+'Exh. BGM-3 (1)'!$AL$16</f>
        <v>7.2000000000000008E-2</v>
      </c>
      <c r="HR67" s="200">
        <f>+'Exh. BGM-3 (1)'!$AL$16</f>
        <v>7.2000000000000008E-2</v>
      </c>
      <c r="HS67" s="200">
        <f>+'Exh. BGM-3 (1)'!$AL$16</f>
        <v>7.2000000000000008E-2</v>
      </c>
      <c r="HT67" s="200">
        <f>+'Exh. BGM-3 (1)'!$AL$16</f>
        <v>7.2000000000000008E-2</v>
      </c>
      <c r="HU67" s="200">
        <f>+'Exh. BGM-3 (1)'!$AL$16</f>
        <v>7.2000000000000008E-2</v>
      </c>
      <c r="HV67" s="200">
        <f>+'Exh. BGM-3 (1)'!$AL$16</f>
        <v>7.2000000000000008E-2</v>
      </c>
      <c r="HW67" s="200">
        <f>+'Exh. BGM-3 (1)'!$AL$16</f>
        <v>7.2000000000000008E-2</v>
      </c>
      <c r="HX67" s="200">
        <f>+'Exh. BGM-3 (1)'!$AL$16</f>
        <v>7.2000000000000008E-2</v>
      </c>
      <c r="HY67" s="200">
        <f>+'Exh. BGM-3 (1)'!$AL$16</f>
        <v>7.2000000000000008E-2</v>
      </c>
      <c r="HZ67" s="200">
        <f>+'Exh. BGM-3 (1)'!$AL$16</f>
        <v>7.2000000000000008E-2</v>
      </c>
      <c r="IA67" s="200">
        <f>+'Exh. BGM-3 (1)'!$AL$16</f>
        <v>7.2000000000000008E-2</v>
      </c>
      <c r="IB67" s="200">
        <f>+'Exh. BGM-3 (1)'!$AL$16</f>
        <v>7.2000000000000008E-2</v>
      </c>
      <c r="IC67" s="200">
        <f>+'Exh. BGM-3 (1)'!$AL$16</f>
        <v>7.2000000000000008E-2</v>
      </c>
      <c r="ID67" s="200">
        <f>+'Exh. BGM-3 (1)'!$AL$16</f>
        <v>7.2000000000000008E-2</v>
      </c>
      <c r="IE67" s="200">
        <f>+'Exh. BGM-3 (1)'!$AL$16</f>
        <v>7.2000000000000008E-2</v>
      </c>
      <c r="IF67" s="200">
        <f>+'Exh. BGM-3 (1)'!$AL$16</f>
        <v>7.2000000000000008E-2</v>
      </c>
      <c r="IG67" s="200">
        <f>+'Exh. BGM-3 (1)'!$AL$16</f>
        <v>7.2000000000000008E-2</v>
      </c>
      <c r="IH67" s="200">
        <f>+'Exh. BGM-3 (1)'!$AL$16</f>
        <v>7.2000000000000008E-2</v>
      </c>
      <c r="II67" s="200">
        <f>+'Exh. BGM-3 (1)'!$AL$16</f>
        <v>7.2000000000000008E-2</v>
      </c>
      <c r="IJ67" s="200">
        <f>+'Exh. BGM-3 (1)'!$AL$16</f>
        <v>7.2000000000000008E-2</v>
      </c>
      <c r="IK67" s="200">
        <f>+'Exh. BGM-3 (1)'!$AL$16</f>
        <v>7.2000000000000008E-2</v>
      </c>
      <c r="IL67" s="200">
        <f>+'Exh. BGM-3 (1)'!$AL$16</f>
        <v>7.2000000000000008E-2</v>
      </c>
      <c r="IM67" s="200">
        <f>+'Exh. BGM-3 (1)'!$AL$16</f>
        <v>7.2000000000000008E-2</v>
      </c>
      <c r="IN67" s="200">
        <f>+'Exh. BGM-3 (1)'!$AL$16</f>
        <v>7.2000000000000008E-2</v>
      </c>
      <c r="IO67" s="200">
        <f>+'Exh. BGM-3 (1)'!$AL$16</f>
        <v>7.2000000000000008E-2</v>
      </c>
      <c r="IP67" s="200">
        <f>+'Exh. BGM-3 (1)'!$AL$16</f>
        <v>7.2000000000000008E-2</v>
      </c>
      <c r="IQ67" s="200">
        <f>+'Exh. BGM-3 (1)'!$AL$16</f>
        <v>7.2000000000000008E-2</v>
      </c>
      <c r="IR67" s="200">
        <f>+'Exh. BGM-3 (1)'!$AL$16</f>
        <v>7.2000000000000008E-2</v>
      </c>
      <c r="IS67" s="200">
        <f>+'Exh. BGM-3 (1)'!$AL$16</f>
        <v>7.2000000000000008E-2</v>
      </c>
      <c r="IT67" s="200">
        <f>+'Exh. BGM-3 (1)'!$AL$16</f>
        <v>7.2000000000000008E-2</v>
      </c>
      <c r="IU67" s="200">
        <f>+'Exh. BGM-3 (1)'!$AL$16</f>
        <v>7.2000000000000008E-2</v>
      </c>
      <c r="IV67" s="200">
        <f>+'Exh. BGM-3 (1)'!$AL$16</f>
        <v>7.2000000000000008E-2</v>
      </c>
      <c r="IW67" s="200">
        <f>+'Exh. BGM-3 (1)'!$AL$16</f>
        <v>7.2000000000000008E-2</v>
      </c>
      <c r="IX67" s="200">
        <f>+'Exh. BGM-3 (1)'!$AL$16</f>
        <v>7.2000000000000008E-2</v>
      </c>
      <c r="IY67" s="200">
        <f>+'Exh. BGM-3 (1)'!$AL$16</f>
        <v>7.2000000000000008E-2</v>
      </c>
      <c r="IZ67" s="200">
        <f>+'Exh. BGM-3 (1)'!$AL$16</f>
        <v>7.2000000000000008E-2</v>
      </c>
      <c r="JA67" s="200">
        <f>+'Exh. BGM-3 (1)'!$AL$16</f>
        <v>7.2000000000000008E-2</v>
      </c>
      <c r="JB67" s="200">
        <f>+'Exh. BGM-3 (1)'!$AL$16</f>
        <v>7.2000000000000008E-2</v>
      </c>
      <c r="JC67" s="200">
        <f>+'Exh. BGM-3 (1)'!$AL$16</f>
        <v>7.2000000000000008E-2</v>
      </c>
      <c r="JD67" s="200">
        <f>+'Exh. BGM-3 (1)'!$AL$16</f>
        <v>7.2000000000000008E-2</v>
      </c>
      <c r="JE67" s="200">
        <f>+'Exh. BGM-3 (1)'!$AL$16</f>
        <v>7.2000000000000008E-2</v>
      </c>
      <c r="JF67" s="200">
        <f>+'Exh. BGM-3 (1)'!$AL$16</f>
        <v>7.2000000000000008E-2</v>
      </c>
      <c r="JG67" s="200">
        <f>+'Exh. BGM-3 (1)'!$AL$16</f>
        <v>7.2000000000000008E-2</v>
      </c>
      <c r="JH67" s="200">
        <f>+'Exh. BGM-3 (1)'!$AL$16</f>
        <v>7.2000000000000008E-2</v>
      </c>
      <c r="JI67" s="200">
        <f>+'Exh. BGM-3 (1)'!$AL$16</f>
        <v>7.2000000000000008E-2</v>
      </c>
      <c r="JJ67" s="200">
        <f>+'Exh. BGM-3 (1)'!$AL$16</f>
        <v>7.2000000000000008E-2</v>
      </c>
      <c r="JK67" s="200">
        <f>+'Exh. BGM-3 (1)'!$AL$16</f>
        <v>7.2000000000000008E-2</v>
      </c>
      <c r="JL67" s="200">
        <f>+'Exh. BGM-3 (1)'!$AL$16</f>
        <v>7.2000000000000008E-2</v>
      </c>
      <c r="JM67" s="200">
        <f>+'Exh. BGM-3 (1)'!$AL$16</f>
        <v>7.2000000000000008E-2</v>
      </c>
      <c r="JN67" s="200">
        <f>+'Exh. BGM-3 (1)'!$AL$16</f>
        <v>7.2000000000000008E-2</v>
      </c>
      <c r="JO67" s="200">
        <f>+'Exh. BGM-3 (1)'!$AL$16</f>
        <v>7.2000000000000008E-2</v>
      </c>
      <c r="JP67" s="200">
        <f>+'Exh. BGM-3 (1)'!$AL$16</f>
        <v>7.2000000000000008E-2</v>
      </c>
      <c r="JQ67" s="200">
        <f>+'Exh. BGM-3 (1)'!$AL$16</f>
        <v>7.2000000000000008E-2</v>
      </c>
      <c r="JR67" s="200">
        <f>+'Exh. BGM-3 (1)'!$AL$16</f>
        <v>7.2000000000000008E-2</v>
      </c>
      <c r="JS67" s="200">
        <f>+'Exh. BGM-3 (1)'!$AL$16</f>
        <v>7.2000000000000008E-2</v>
      </c>
      <c r="JT67" s="200">
        <f>+'Exh. BGM-3 (1)'!$AL$16</f>
        <v>7.2000000000000008E-2</v>
      </c>
      <c r="JU67" s="200">
        <f>+'Exh. BGM-3 (1)'!$AL$16</f>
        <v>7.2000000000000008E-2</v>
      </c>
      <c r="JV67" s="200">
        <f>+'Exh. BGM-3 (1)'!$AL$16</f>
        <v>7.2000000000000008E-2</v>
      </c>
      <c r="JW67" s="200">
        <f>+'Exh. BGM-3 (1)'!$AL$16</f>
        <v>7.2000000000000008E-2</v>
      </c>
      <c r="JX67" s="200">
        <f>+'Exh. BGM-3 (1)'!$AL$16</f>
        <v>7.2000000000000008E-2</v>
      </c>
      <c r="JY67" s="200">
        <f>+'Exh. BGM-3 (1)'!$AL$16</f>
        <v>7.2000000000000008E-2</v>
      </c>
      <c r="JZ67" s="200">
        <f>+'Exh. BGM-3 (1)'!$AL$16</f>
        <v>7.2000000000000008E-2</v>
      </c>
      <c r="KA67" s="200">
        <f>+'Exh. BGM-3 (1)'!$AL$16</f>
        <v>7.2000000000000008E-2</v>
      </c>
      <c r="KB67" s="200">
        <f>+'Exh. BGM-3 (1)'!$AL$16</f>
        <v>7.2000000000000008E-2</v>
      </c>
      <c r="KC67" s="200">
        <f>+'Exh. BGM-3 (1)'!$AL$16</f>
        <v>7.2000000000000008E-2</v>
      </c>
      <c r="KD67" s="200">
        <f>+'Exh. BGM-3 (1)'!$AL$16</f>
        <v>7.2000000000000008E-2</v>
      </c>
      <c r="KE67" s="200">
        <f>+'Exh. BGM-3 (1)'!$AL$16</f>
        <v>7.2000000000000008E-2</v>
      </c>
      <c r="KF67" s="200">
        <f>+'Exh. BGM-3 (1)'!$AL$16</f>
        <v>7.2000000000000008E-2</v>
      </c>
      <c r="KG67" s="43" t="s">
        <v>34</v>
      </c>
    </row>
    <row r="68" spans="1:293" x14ac:dyDescent="0.3">
      <c r="B68" s="47" t="s">
        <v>111</v>
      </c>
      <c r="C68" s="109">
        <v>0.752355</v>
      </c>
      <c r="D68" s="109">
        <v>0.752355</v>
      </c>
      <c r="E68" s="109">
        <v>0.752355</v>
      </c>
      <c r="F68" s="109">
        <v>0.752355</v>
      </c>
      <c r="G68" s="109">
        <v>0.752355</v>
      </c>
      <c r="H68" s="109">
        <v>0.752355</v>
      </c>
      <c r="I68" s="109">
        <v>0.752355</v>
      </c>
      <c r="J68" s="109">
        <v>0.752355</v>
      </c>
      <c r="K68" s="109">
        <v>0.752355</v>
      </c>
      <c r="L68" s="109">
        <v>0.752355</v>
      </c>
      <c r="M68" s="109">
        <v>0.752355</v>
      </c>
      <c r="N68" s="109">
        <v>0.752355</v>
      </c>
      <c r="O68" s="109">
        <v>0.752355</v>
      </c>
      <c r="P68" s="109">
        <v>0.752355</v>
      </c>
      <c r="Q68" s="109">
        <v>0.752355</v>
      </c>
      <c r="R68" s="109">
        <v>0.752355</v>
      </c>
      <c r="S68" s="109">
        <v>0.752355</v>
      </c>
      <c r="T68" s="109">
        <v>0.752355</v>
      </c>
      <c r="U68" s="109">
        <v>0.752355</v>
      </c>
      <c r="V68" s="109">
        <v>0.752355</v>
      </c>
      <c r="W68" s="109">
        <v>0.752355</v>
      </c>
      <c r="X68" s="109">
        <v>0.752355</v>
      </c>
      <c r="Y68" s="109">
        <v>0.752355</v>
      </c>
      <c r="Z68" s="109">
        <v>0.752355</v>
      </c>
      <c r="AA68" s="109">
        <v>0.752355</v>
      </c>
      <c r="AB68" s="109">
        <v>0.752355</v>
      </c>
      <c r="AC68" s="109">
        <v>0.752355</v>
      </c>
      <c r="AD68" s="109">
        <v>0.752355</v>
      </c>
      <c r="AE68" s="109">
        <v>0.752355</v>
      </c>
      <c r="AF68" s="109">
        <v>0.752355</v>
      </c>
      <c r="AG68" s="109">
        <v>0.752355</v>
      </c>
      <c r="AH68" s="109">
        <v>0.752355</v>
      </c>
      <c r="AI68" s="109">
        <v>0.752355</v>
      </c>
      <c r="AJ68" s="109">
        <v>0.752355</v>
      </c>
      <c r="AK68" s="109">
        <v>0.752355</v>
      </c>
      <c r="AL68" s="109">
        <v>0.752355</v>
      </c>
      <c r="AM68" s="109">
        <v>0.752355</v>
      </c>
      <c r="AN68" s="109">
        <v>0.752355</v>
      </c>
      <c r="AO68" s="109">
        <v>0.752355</v>
      </c>
      <c r="AP68" s="109">
        <v>2.7523550000000001</v>
      </c>
      <c r="AQ68" s="109">
        <v>0.752355</v>
      </c>
      <c r="AR68" s="109">
        <v>0.752355</v>
      </c>
      <c r="AS68" s="109">
        <v>0.752355</v>
      </c>
      <c r="AT68" s="109">
        <v>0.752355</v>
      </c>
      <c r="AU68" s="109">
        <v>0.752355</v>
      </c>
      <c r="AV68" s="109">
        <v>0.752355</v>
      </c>
      <c r="AW68" s="109">
        <v>0.752355</v>
      </c>
      <c r="AX68" s="109">
        <v>0.752355</v>
      </c>
      <c r="AY68" s="109">
        <v>0.752355</v>
      </c>
      <c r="AZ68" s="109">
        <v>0.752355</v>
      </c>
      <c r="BA68" s="109">
        <v>0.752355</v>
      </c>
      <c r="BB68" s="109">
        <v>0.752355</v>
      </c>
      <c r="BC68" s="109">
        <v>0.752355</v>
      </c>
      <c r="BD68" s="109">
        <v>0.752355</v>
      </c>
      <c r="BE68" s="109">
        <v>0.752355</v>
      </c>
      <c r="BF68" s="109">
        <v>0.752355</v>
      </c>
      <c r="BG68" s="109">
        <v>0.752355</v>
      </c>
      <c r="BH68" s="109">
        <v>0.752355</v>
      </c>
      <c r="BI68" s="109">
        <v>0.752355</v>
      </c>
      <c r="BJ68" s="109">
        <v>0.752355</v>
      </c>
      <c r="BK68" s="109">
        <v>0.752355</v>
      </c>
      <c r="BL68" s="109">
        <v>0.752355</v>
      </c>
      <c r="BM68" s="109">
        <v>0.752355</v>
      </c>
      <c r="BN68" s="109">
        <v>0.752355</v>
      </c>
      <c r="BO68" s="109">
        <v>0.752355</v>
      </c>
      <c r="BP68" s="109">
        <v>0.752355</v>
      </c>
      <c r="BQ68" s="109">
        <v>0.752355</v>
      </c>
      <c r="BR68" s="109">
        <v>0.752355</v>
      </c>
      <c r="BS68" s="109">
        <v>0.752355</v>
      </c>
      <c r="BT68" s="109">
        <v>0.752355</v>
      </c>
      <c r="BU68" s="109">
        <v>0.752355</v>
      </c>
      <c r="BV68" s="109">
        <v>0.752355</v>
      </c>
      <c r="BW68" s="109">
        <v>0.752355</v>
      </c>
      <c r="BX68" s="109">
        <v>0.752355</v>
      </c>
      <c r="BY68" s="109">
        <v>0.752355</v>
      </c>
      <c r="BZ68" s="109">
        <v>0.752355</v>
      </c>
      <c r="CA68" s="109">
        <v>0.752355</v>
      </c>
      <c r="CB68" s="109">
        <v>0.752355</v>
      </c>
      <c r="CC68" s="109">
        <v>0.752355</v>
      </c>
      <c r="CD68" s="109">
        <v>0.752355</v>
      </c>
      <c r="CE68" s="109">
        <v>0.752355</v>
      </c>
      <c r="CF68" s="109">
        <v>0.752355</v>
      </c>
      <c r="CG68" s="109">
        <v>0.752355</v>
      </c>
      <c r="CH68" s="109">
        <v>0.752355</v>
      </c>
      <c r="CI68" s="109">
        <v>0.752355</v>
      </c>
      <c r="CJ68" s="109">
        <v>0.752355</v>
      </c>
      <c r="CK68" s="109">
        <v>0.752355</v>
      </c>
      <c r="CL68" s="109">
        <v>0.752355</v>
      </c>
      <c r="CM68" s="109">
        <v>0.752355</v>
      </c>
      <c r="CN68" s="109">
        <v>0.752355</v>
      </c>
      <c r="CO68" s="109">
        <v>0.752355</v>
      </c>
      <c r="CP68" s="109">
        <v>0.752355</v>
      </c>
      <c r="CQ68" s="109">
        <v>0.752355</v>
      </c>
      <c r="CR68" s="109">
        <v>0.752355</v>
      </c>
      <c r="CS68" s="109">
        <v>0.752355</v>
      </c>
      <c r="CT68" s="109">
        <v>0.752355</v>
      </c>
      <c r="CU68" s="109">
        <v>0.752355</v>
      </c>
      <c r="CV68" s="109">
        <v>0.752355</v>
      </c>
      <c r="CW68" s="109">
        <v>0.752355</v>
      </c>
      <c r="CX68" s="109">
        <v>0.752355</v>
      </c>
      <c r="CY68" s="109">
        <v>0.752355</v>
      </c>
      <c r="CZ68" s="109">
        <v>0.752355</v>
      </c>
      <c r="DA68" s="109">
        <v>0.752355</v>
      </c>
      <c r="DB68" s="109">
        <v>0.752355</v>
      </c>
      <c r="DC68" s="109">
        <v>0.752355</v>
      </c>
      <c r="DD68" s="109">
        <v>0.752355</v>
      </c>
      <c r="DE68" s="109">
        <v>0.752355</v>
      </c>
      <c r="DF68" s="109">
        <v>0.752355</v>
      </c>
      <c r="DG68" s="109">
        <v>0.752355</v>
      </c>
      <c r="DH68" s="109">
        <v>0.752355</v>
      </c>
      <c r="DI68" s="109">
        <v>0.752355</v>
      </c>
      <c r="DJ68" s="109">
        <v>0.752355</v>
      </c>
      <c r="DK68" s="109">
        <v>0.752355</v>
      </c>
      <c r="DL68" s="109">
        <v>0.752355</v>
      </c>
      <c r="DM68" s="109">
        <v>0.752355</v>
      </c>
      <c r="DN68" s="109">
        <v>0.752355</v>
      </c>
      <c r="DO68" s="109">
        <v>0.752355</v>
      </c>
      <c r="DP68" s="109">
        <v>0.752355</v>
      </c>
      <c r="DQ68" s="109">
        <v>0.752355</v>
      </c>
      <c r="DR68" s="109">
        <v>0.752355</v>
      </c>
      <c r="DS68" s="109">
        <v>0.752355</v>
      </c>
      <c r="DT68" s="109">
        <v>0.752355</v>
      </c>
      <c r="DU68" s="109">
        <v>0.752355</v>
      </c>
      <c r="DV68" s="109">
        <v>0.752355</v>
      </c>
      <c r="DW68" s="109">
        <v>0.752355</v>
      </c>
      <c r="DX68" s="109">
        <v>0.752355</v>
      </c>
      <c r="DY68" s="109">
        <v>0.752355</v>
      </c>
      <c r="DZ68" s="109">
        <v>0.752355</v>
      </c>
      <c r="EA68" s="109">
        <v>0.752355</v>
      </c>
      <c r="EB68" s="109">
        <v>0.752355</v>
      </c>
      <c r="EC68" s="109">
        <v>0.752355</v>
      </c>
      <c r="ED68" s="109">
        <v>0.752355</v>
      </c>
      <c r="EE68" s="109">
        <v>0.752355</v>
      </c>
      <c r="EF68" s="109">
        <v>0.752355</v>
      </c>
      <c r="EG68" s="109">
        <v>0.752355</v>
      </c>
      <c r="EH68" s="109">
        <v>0.752355</v>
      </c>
      <c r="EI68" s="109">
        <v>0.752355</v>
      </c>
      <c r="EJ68" s="109">
        <v>0.752355</v>
      </c>
      <c r="EK68" s="109">
        <v>0.752355</v>
      </c>
      <c r="EL68" s="109">
        <v>0.752355</v>
      </c>
      <c r="EM68" s="109">
        <v>0.752355</v>
      </c>
      <c r="EN68" s="109">
        <v>0.752355</v>
      </c>
      <c r="EO68" s="109">
        <v>0.752355</v>
      </c>
      <c r="EP68" s="109">
        <v>0.752355</v>
      </c>
      <c r="EQ68" s="109">
        <v>0.752355</v>
      </c>
      <c r="ER68" s="109">
        <v>0.752355</v>
      </c>
      <c r="ES68" s="109">
        <v>0.752355</v>
      </c>
      <c r="ET68" s="109">
        <v>0.752355</v>
      </c>
      <c r="EU68" s="109">
        <v>0.752355</v>
      </c>
      <c r="EV68" s="109">
        <v>0.752355</v>
      </c>
      <c r="EW68" s="109">
        <v>0.752355</v>
      </c>
      <c r="EX68" s="109">
        <v>0.752355</v>
      </c>
      <c r="EY68" s="109">
        <v>0.752355</v>
      </c>
      <c r="EZ68" s="109">
        <v>0.752355</v>
      </c>
      <c r="FA68" s="109">
        <v>0.752355</v>
      </c>
      <c r="FB68" s="109">
        <v>0.752355</v>
      </c>
      <c r="FC68" s="109">
        <v>0.752355</v>
      </c>
      <c r="FD68" s="109">
        <v>0.752355</v>
      </c>
      <c r="FE68" s="109">
        <v>0.752355</v>
      </c>
      <c r="FF68" s="109">
        <v>0.752355</v>
      </c>
      <c r="FG68" s="109">
        <v>0.752355</v>
      </c>
      <c r="FH68" s="109">
        <v>0.752355</v>
      </c>
      <c r="FI68" s="109">
        <v>0.752355</v>
      </c>
      <c r="FJ68" s="109">
        <v>0.752355</v>
      </c>
      <c r="FK68" s="109">
        <v>0.752355</v>
      </c>
      <c r="FL68" s="109">
        <v>0.752355</v>
      </c>
      <c r="FM68" s="109">
        <v>0.752355</v>
      </c>
      <c r="FN68" s="109">
        <v>0.752355</v>
      </c>
      <c r="FO68" s="109">
        <v>0.752355</v>
      </c>
      <c r="FP68" s="109">
        <v>0.752355</v>
      </c>
      <c r="FQ68" s="109">
        <v>0.752355</v>
      </c>
      <c r="FR68" s="109">
        <v>0.752355</v>
      </c>
      <c r="FS68" s="109">
        <v>0.752355</v>
      </c>
      <c r="FT68" s="109">
        <v>0.752355</v>
      </c>
      <c r="FU68" s="109">
        <v>0.752355</v>
      </c>
      <c r="FV68" s="109">
        <v>0.752355</v>
      </c>
      <c r="FW68" s="109">
        <v>0.752355</v>
      </c>
      <c r="FX68" s="109">
        <v>0.752355</v>
      </c>
      <c r="FY68" s="109">
        <v>0.752355</v>
      </c>
      <c r="FZ68" s="109">
        <v>0.752355</v>
      </c>
      <c r="GA68" s="109">
        <v>0.752355</v>
      </c>
      <c r="GB68" s="109">
        <v>0.752355</v>
      </c>
      <c r="GC68" s="109">
        <v>0.752355</v>
      </c>
      <c r="GD68" s="109">
        <v>1.7523550000000001</v>
      </c>
      <c r="GE68" s="109">
        <v>2.7523550000000001</v>
      </c>
      <c r="GF68" s="109">
        <v>2.7523550000000001</v>
      </c>
      <c r="GG68" s="109">
        <v>0.752355</v>
      </c>
      <c r="GH68" s="109">
        <v>0.752355</v>
      </c>
      <c r="GI68" s="109">
        <v>0.752355</v>
      </c>
      <c r="GJ68" s="109">
        <v>0.752355</v>
      </c>
      <c r="GK68" s="109">
        <v>0.752355</v>
      </c>
      <c r="GL68" s="109">
        <v>0.752355</v>
      </c>
      <c r="GM68" s="109">
        <v>0.752355</v>
      </c>
      <c r="GN68" s="109">
        <v>0.752355</v>
      </c>
      <c r="GO68" s="109">
        <v>0.752355</v>
      </c>
      <c r="GP68" s="109">
        <v>0.752355</v>
      </c>
      <c r="GQ68" s="109">
        <v>0.752355</v>
      </c>
      <c r="GR68" s="109">
        <v>0.752355</v>
      </c>
      <c r="GS68" s="109">
        <v>0.752355</v>
      </c>
      <c r="GT68" s="109">
        <v>0.752355</v>
      </c>
      <c r="GU68" s="109">
        <v>0.752355</v>
      </c>
      <c r="GV68" s="109">
        <v>0.752355</v>
      </c>
      <c r="GW68" s="109">
        <v>0.752355</v>
      </c>
      <c r="GX68" s="109">
        <v>0.752355</v>
      </c>
      <c r="GY68" s="109">
        <v>0.752355</v>
      </c>
      <c r="GZ68" s="109">
        <v>0.752355</v>
      </c>
      <c r="HA68" s="109">
        <v>0.752355</v>
      </c>
      <c r="HB68" s="109">
        <v>0.752355</v>
      </c>
      <c r="HC68" s="109">
        <v>0.752355</v>
      </c>
      <c r="HD68" s="109">
        <v>0.752355</v>
      </c>
      <c r="HE68" s="109">
        <v>0.752355</v>
      </c>
      <c r="HF68" s="109">
        <v>0.752355</v>
      </c>
      <c r="HG68" s="109">
        <v>0.752355</v>
      </c>
      <c r="HH68" s="109">
        <v>0.752355</v>
      </c>
      <c r="HI68" s="109">
        <v>0.752355</v>
      </c>
      <c r="HJ68" s="109">
        <v>0.752355</v>
      </c>
      <c r="HK68" s="109">
        <v>0.752355</v>
      </c>
      <c r="HL68" s="109">
        <v>0.752355</v>
      </c>
      <c r="HM68" s="109">
        <v>0.752355</v>
      </c>
      <c r="HN68" s="109">
        <v>0.752355</v>
      </c>
      <c r="HO68" s="109">
        <v>0.752355</v>
      </c>
      <c r="HP68" s="109">
        <v>0.752355</v>
      </c>
      <c r="HQ68" s="109">
        <v>0.752355</v>
      </c>
      <c r="HR68" s="109">
        <v>0.752355</v>
      </c>
      <c r="HS68" s="109">
        <v>0.752355</v>
      </c>
      <c r="HT68" s="109">
        <v>0.752355</v>
      </c>
      <c r="HU68" s="109">
        <v>0.752355</v>
      </c>
      <c r="HV68" s="109">
        <v>0.752355</v>
      </c>
      <c r="HW68" s="109">
        <v>0.752355</v>
      </c>
      <c r="HX68" s="109">
        <v>0.752355</v>
      </c>
      <c r="HY68" s="109">
        <v>0.752355</v>
      </c>
      <c r="HZ68" s="109">
        <v>0.752355</v>
      </c>
      <c r="IA68" s="109">
        <v>0.752355</v>
      </c>
      <c r="IB68" s="109">
        <v>0.752355</v>
      </c>
      <c r="IC68" s="109">
        <v>2.7523550000000001</v>
      </c>
      <c r="ID68" s="109">
        <v>2.7523550000000001</v>
      </c>
      <c r="IE68" s="109">
        <v>0.752355</v>
      </c>
      <c r="IF68" s="109">
        <v>0.752355</v>
      </c>
      <c r="IG68" s="109">
        <v>0.752355</v>
      </c>
      <c r="IH68" s="109">
        <v>0.752355</v>
      </c>
      <c r="II68" s="109">
        <v>0.752355</v>
      </c>
      <c r="IJ68" s="109">
        <v>0.752355</v>
      </c>
      <c r="IK68" s="109">
        <v>0.752355</v>
      </c>
      <c r="IL68" s="109">
        <v>0.752355</v>
      </c>
      <c r="IM68" s="109">
        <v>0.752355</v>
      </c>
      <c r="IN68" s="109">
        <v>0.752355</v>
      </c>
      <c r="IO68" s="109">
        <v>0.752355</v>
      </c>
      <c r="IP68" s="109">
        <v>0.752355</v>
      </c>
      <c r="IQ68" s="109">
        <v>0.752355</v>
      </c>
      <c r="IR68" s="109">
        <v>0.752355</v>
      </c>
      <c r="IS68" s="109">
        <v>0.752355</v>
      </c>
      <c r="IT68" s="109">
        <v>0.752355</v>
      </c>
      <c r="IU68" s="109">
        <v>0.752355</v>
      </c>
      <c r="IV68" s="109">
        <v>0.752355</v>
      </c>
      <c r="IW68" s="109">
        <v>0.752355</v>
      </c>
      <c r="IX68" s="109">
        <v>0.752355</v>
      </c>
      <c r="IY68" s="109">
        <v>0.752355</v>
      </c>
      <c r="IZ68" s="109">
        <v>0.752355</v>
      </c>
      <c r="JA68" s="109">
        <v>0.752355</v>
      </c>
      <c r="JB68" s="109">
        <v>0.752355</v>
      </c>
      <c r="JC68" s="109">
        <v>0.752355</v>
      </c>
      <c r="JD68" s="109">
        <v>0.752355</v>
      </c>
      <c r="JE68" s="109">
        <v>0.752355</v>
      </c>
      <c r="JF68" s="109">
        <v>0.752355</v>
      </c>
      <c r="JG68" s="109">
        <v>0.752355</v>
      </c>
      <c r="JH68" s="109">
        <v>0.752355</v>
      </c>
      <c r="JI68" s="109">
        <v>0.752355</v>
      </c>
      <c r="JJ68" s="109">
        <v>0.752355</v>
      </c>
      <c r="JK68" s="109">
        <v>0.752355</v>
      </c>
      <c r="JL68" s="109">
        <v>0.752355</v>
      </c>
      <c r="JM68" s="109">
        <v>0.752355</v>
      </c>
      <c r="JN68" s="109">
        <v>0.752355</v>
      </c>
      <c r="JO68" s="109">
        <v>0.752355</v>
      </c>
      <c r="JP68" s="109">
        <v>0.752355</v>
      </c>
      <c r="JQ68" s="109">
        <v>0.752355</v>
      </c>
      <c r="JR68" s="109">
        <v>0.752355</v>
      </c>
      <c r="JS68" s="109">
        <v>0.752355</v>
      </c>
      <c r="JT68" s="109">
        <v>0.752355</v>
      </c>
      <c r="JU68" s="109">
        <v>0.752355</v>
      </c>
      <c r="JV68" s="109">
        <v>0.752355</v>
      </c>
      <c r="JW68" s="109">
        <v>0.752355</v>
      </c>
      <c r="JX68" s="109">
        <v>0.752355</v>
      </c>
      <c r="JY68" s="109">
        <v>0.752355</v>
      </c>
      <c r="JZ68" s="109">
        <v>0.752355</v>
      </c>
      <c r="KA68" s="109">
        <v>2.7523550000000001</v>
      </c>
      <c r="KB68" s="109">
        <v>2.7523550000000001</v>
      </c>
      <c r="KC68" s="109">
        <v>0.752355</v>
      </c>
      <c r="KD68" s="109">
        <v>0.752355</v>
      </c>
      <c r="KE68" s="109">
        <v>0.752355</v>
      </c>
      <c r="KF68" s="109">
        <v>0.752355</v>
      </c>
      <c r="KG68" s="43" t="s">
        <v>34</v>
      </c>
    </row>
    <row r="69" spans="1:293" x14ac:dyDescent="0.3">
      <c r="B69" s="47" t="s">
        <v>112</v>
      </c>
      <c r="C69" s="88">
        <f t="shared" ref="C69:AO69" si="98">+C44-(C57*C67)</f>
        <v>-97511305.050268412</v>
      </c>
      <c r="D69" s="88">
        <f t="shared" si="98"/>
        <v>27715008.083816297</v>
      </c>
      <c r="E69" s="88">
        <f t="shared" si="98"/>
        <v>984321.82894507051</v>
      </c>
      <c r="F69" s="88">
        <f t="shared" si="98"/>
        <v>829813.62078860006</v>
      </c>
      <c r="G69" s="88">
        <f t="shared" si="98"/>
        <v>36730076.987808421</v>
      </c>
      <c r="H69" s="88">
        <f t="shared" si="98"/>
        <v>29473738.80405971</v>
      </c>
      <c r="I69" s="88">
        <f t="shared" si="98"/>
        <v>2975709.7977257613</v>
      </c>
      <c r="J69" s="88">
        <f t="shared" si="98"/>
        <v>139378.00489226007</v>
      </c>
      <c r="K69" s="88">
        <f t="shared" si="98"/>
        <v>1744.5848380158841</v>
      </c>
      <c r="L69" s="88">
        <f t="shared" si="98"/>
        <v>34454.191186003947</v>
      </c>
      <c r="M69" s="88">
        <f t="shared" si="98"/>
        <v>-70788.642846595074</v>
      </c>
      <c r="N69" s="88">
        <f t="shared" si="98"/>
        <v>-4368173.7026213948</v>
      </c>
      <c r="O69" s="88">
        <f t="shared" si="98"/>
        <v>-122822.85124517528</v>
      </c>
      <c r="P69" s="88">
        <f t="shared" si="98"/>
        <v>-17521.863852870072</v>
      </c>
      <c r="Q69" s="88">
        <f t="shared" si="98"/>
        <v>-816673.3893978541</v>
      </c>
      <c r="R69" s="88">
        <f t="shared" si="98"/>
        <v>1302726.7716999999</v>
      </c>
      <c r="S69" s="88">
        <f t="shared" si="98"/>
        <v>66097.118360055465</v>
      </c>
      <c r="T69" s="88">
        <f t="shared" si="98"/>
        <v>1576182.6872538861</v>
      </c>
      <c r="U69" s="88">
        <f t="shared" si="98"/>
        <v>-2262436.406464857</v>
      </c>
      <c r="V69" s="88">
        <f t="shared" si="98"/>
        <v>-1360130.9007325245</v>
      </c>
      <c r="W69" s="88">
        <f t="shared" si="98"/>
        <v>-610276.78483619052</v>
      </c>
      <c r="X69" s="88">
        <f t="shared" si="98"/>
        <v>-69587.980321600218</v>
      </c>
      <c r="Y69" s="88">
        <f t="shared" si="98"/>
        <v>0</v>
      </c>
      <c r="Z69" s="88">
        <f t="shared" si="98"/>
        <v>0</v>
      </c>
      <c r="AA69" s="88">
        <f t="shared" si="98"/>
        <v>10297086.326670814</v>
      </c>
      <c r="AB69" s="88">
        <f t="shared" si="98"/>
        <v>0</v>
      </c>
      <c r="AC69" s="88">
        <f t="shared" si="98"/>
        <v>142029.36432510396</v>
      </c>
      <c r="AD69" s="88">
        <f t="shared" si="98"/>
        <v>0</v>
      </c>
      <c r="AE69" s="88">
        <f t="shared" si="98"/>
        <v>-8137368.974306412</v>
      </c>
      <c r="AF69" s="88">
        <f t="shared" si="98"/>
        <v>-77236.935274999967</v>
      </c>
      <c r="AG69" s="88">
        <f t="shared" si="98"/>
        <v>258199.89</v>
      </c>
      <c r="AH69" s="88">
        <f t="shared" si="98"/>
        <v>-745895.0162666667</v>
      </c>
      <c r="AI69" s="88">
        <f t="shared" si="98"/>
        <v>0</v>
      </c>
      <c r="AJ69" s="88">
        <f t="shared" si="98"/>
        <v>97083.660324799988</v>
      </c>
      <c r="AK69" s="88">
        <f t="shared" si="98"/>
        <v>789966.53717999777</v>
      </c>
      <c r="AL69" s="88">
        <f t="shared" si="98"/>
        <v>0</v>
      </c>
      <c r="AM69" s="88">
        <f t="shared" si="98"/>
        <v>0</v>
      </c>
      <c r="AN69" s="88">
        <f t="shared" si="98"/>
        <v>0</v>
      </c>
      <c r="AO69" s="88">
        <f t="shared" si="98"/>
        <v>0</v>
      </c>
      <c r="AP69" s="88">
        <f t="shared" ref="AP69" si="99">+AP44-(AP57*AP67)</f>
        <v>749682.42372520932</v>
      </c>
      <c r="AQ69" s="88">
        <f t="shared" ref="AQ69:BV69" si="100">+AQ44-(AQ57*AQ67)</f>
        <v>0</v>
      </c>
      <c r="AR69" s="88">
        <f t="shared" si="100"/>
        <v>95504387.235432804</v>
      </c>
      <c r="AS69" s="88">
        <f t="shared" si="100"/>
        <v>-2006917.814835608</v>
      </c>
      <c r="AT69" s="88">
        <f t="shared" si="100"/>
        <v>-5900349.9228287628</v>
      </c>
      <c r="AU69" s="88">
        <f t="shared" si="100"/>
        <v>0</v>
      </c>
      <c r="AV69" s="88">
        <f t="shared" si="100"/>
        <v>0</v>
      </c>
      <c r="AW69" s="88">
        <f t="shared" si="100"/>
        <v>-315675.44077924232</v>
      </c>
      <c r="AX69" s="88">
        <f t="shared" si="100"/>
        <v>809137.34002525103</v>
      </c>
      <c r="AY69" s="88">
        <f t="shared" si="100"/>
        <v>0</v>
      </c>
      <c r="AZ69" s="88">
        <f t="shared" si="100"/>
        <v>0</v>
      </c>
      <c r="BA69" s="88">
        <f t="shared" si="100"/>
        <v>0</v>
      </c>
      <c r="BB69" s="88">
        <f t="shared" si="100"/>
        <v>-88453.097947868329</v>
      </c>
      <c r="BC69" s="88">
        <f t="shared" si="100"/>
        <v>0</v>
      </c>
      <c r="BD69" s="88">
        <f t="shared" si="100"/>
        <v>1541476.0708844375</v>
      </c>
      <c r="BE69" s="88">
        <f t="shared" si="100"/>
        <v>0</v>
      </c>
      <c r="BF69" s="88">
        <f t="shared" si="100"/>
        <v>0</v>
      </c>
      <c r="BG69" s="88">
        <f t="shared" si="100"/>
        <v>-748484.50773254456</v>
      </c>
      <c r="BH69" s="88">
        <f t="shared" si="100"/>
        <v>0</v>
      </c>
      <c r="BI69" s="88">
        <f t="shared" si="100"/>
        <v>0</v>
      </c>
      <c r="BJ69" s="88">
        <f t="shared" si="100"/>
        <v>-1224537.0157488291</v>
      </c>
      <c r="BK69" s="88">
        <f t="shared" si="100"/>
        <v>0</v>
      </c>
      <c r="BL69" s="88">
        <f t="shared" si="100"/>
        <v>0</v>
      </c>
      <c r="BM69" s="88">
        <f t="shared" si="100"/>
        <v>0</v>
      </c>
      <c r="BN69" s="88">
        <f t="shared" si="100"/>
        <v>0</v>
      </c>
      <c r="BO69" s="88">
        <f t="shared" si="100"/>
        <v>0</v>
      </c>
      <c r="BP69" s="88">
        <f t="shared" si="100"/>
        <v>0</v>
      </c>
      <c r="BQ69" s="88">
        <f t="shared" si="100"/>
        <v>-15248961.743370814</v>
      </c>
      <c r="BR69" s="88">
        <f t="shared" si="100"/>
        <v>-9112247.1370875388</v>
      </c>
      <c r="BS69" s="88">
        <f t="shared" si="100"/>
        <v>1.9374896149383859E-2</v>
      </c>
      <c r="BT69" s="88">
        <f t="shared" si="100"/>
        <v>47497.310498340034</v>
      </c>
      <c r="BU69" s="88">
        <f t="shared" si="100"/>
        <v>0</v>
      </c>
      <c r="BV69" s="88">
        <f t="shared" si="100"/>
        <v>15750119.241185242</v>
      </c>
      <c r="BW69" s="88">
        <f t="shared" ref="BW69:DB69" si="101">+BW44-(BW57*BW67)</f>
        <v>520881.18022409221</v>
      </c>
      <c r="BX69" s="88">
        <f t="shared" si="101"/>
        <v>-11033119.665620143</v>
      </c>
      <c r="BY69" s="88">
        <f t="shared" si="101"/>
        <v>-2739940.9057</v>
      </c>
      <c r="BZ69" s="88">
        <f t="shared" si="101"/>
        <v>-1729499.6505824765</v>
      </c>
      <c r="CA69" s="88">
        <f t="shared" si="101"/>
        <v>-7063066.0480481889</v>
      </c>
      <c r="CB69" s="88">
        <f t="shared" si="101"/>
        <v>0</v>
      </c>
      <c r="CC69" s="88">
        <f t="shared" si="101"/>
        <v>0</v>
      </c>
      <c r="CD69" s="88">
        <f t="shared" si="101"/>
        <v>-5122.0980000000009</v>
      </c>
      <c r="CE69" s="88">
        <f t="shared" si="101"/>
        <v>0</v>
      </c>
      <c r="CF69" s="88">
        <f t="shared" si="101"/>
        <v>1746625.1758574871</v>
      </c>
      <c r="CG69" s="88">
        <f t="shared" si="101"/>
        <v>29634.292739999983</v>
      </c>
      <c r="CH69" s="88">
        <f t="shared" si="101"/>
        <v>0</v>
      </c>
      <c r="CI69" s="88">
        <f t="shared" si="101"/>
        <v>-1816940.2922586829</v>
      </c>
      <c r="CJ69" s="88">
        <f t="shared" si="101"/>
        <v>47755336.85092485</v>
      </c>
      <c r="CK69" s="88">
        <f t="shared" si="101"/>
        <v>0</v>
      </c>
      <c r="CL69" s="88">
        <f t="shared" si="101"/>
        <v>11585688.287050875</v>
      </c>
      <c r="CM69" s="88">
        <f t="shared" si="101"/>
        <v>302918.15376000071</v>
      </c>
      <c r="CN69" s="88">
        <f t="shared" si="101"/>
        <v>23062916.396820392</v>
      </c>
      <c r="CO69" s="88">
        <f t="shared" si="101"/>
        <v>21055998.581984878</v>
      </c>
      <c r="CP69" s="88">
        <f t="shared" si="101"/>
        <v>-41008047.891153216</v>
      </c>
      <c r="CQ69" s="88">
        <f t="shared" si="101"/>
        <v>0</v>
      </c>
      <c r="CR69" s="88">
        <f t="shared" si="101"/>
        <v>0</v>
      </c>
      <c r="CS69" s="88">
        <f t="shared" si="101"/>
        <v>-1150126.3264822231</v>
      </c>
      <c r="CT69" s="88">
        <f t="shared" si="101"/>
        <v>631151.54481271701</v>
      </c>
      <c r="CU69" s="88">
        <f t="shared" si="101"/>
        <v>0</v>
      </c>
      <c r="CV69" s="88">
        <f t="shared" si="101"/>
        <v>0</v>
      </c>
      <c r="CW69" s="88">
        <f t="shared" si="101"/>
        <v>0</v>
      </c>
      <c r="CX69" s="88">
        <f t="shared" si="101"/>
        <v>0</v>
      </c>
      <c r="CY69" s="88">
        <f t="shared" si="101"/>
        <v>0</v>
      </c>
      <c r="CZ69" s="88">
        <f t="shared" si="101"/>
        <v>-306311.14921122277</v>
      </c>
      <c r="DA69" s="88">
        <f t="shared" si="101"/>
        <v>0</v>
      </c>
      <c r="DB69" s="88">
        <f t="shared" si="101"/>
        <v>0</v>
      </c>
      <c r="DC69" s="88">
        <f t="shared" ref="DC69:EH69" si="102">+DC44-(DC57*DC67)</f>
        <v>0</v>
      </c>
      <c r="DD69" s="88">
        <f t="shared" si="102"/>
        <v>-1163573.5173000004</v>
      </c>
      <c r="DE69" s="88">
        <f t="shared" si="102"/>
        <v>0</v>
      </c>
      <c r="DF69" s="88">
        <f t="shared" si="102"/>
        <v>0</v>
      </c>
      <c r="DG69" s="88">
        <f t="shared" si="102"/>
        <v>0</v>
      </c>
      <c r="DH69" s="88">
        <f t="shared" si="102"/>
        <v>0</v>
      </c>
      <c r="DI69" s="88">
        <f t="shared" si="102"/>
        <v>0</v>
      </c>
      <c r="DJ69" s="88">
        <f t="shared" si="102"/>
        <v>0</v>
      </c>
      <c r="DK69" s="88">
        <f t="shared" si="102"/>
        <v>0</v>
      </c>
      <c r="DL69" s="88">
        <f t="shared" si="102"/>
        <v>0</v>
      </c>
      <c r="DM69" s="88">
        <f t="shared" si="102"/>
        <v>0</v>
      </c>
      <c r="DN69" s="88">
        <f t="shared" si="102"/>
        <v>-302280.85546915303</v>
      </c>
      <c r="DO69" s="88">
        <f t="shared" si="102"/>
        <v>0</v>
      </c>
      <c r="DP69" s="88">
        <f t="shared" si="102"/>
        <v>23748.655249170035</v>
      </c>
      <c r="DQ69" s="88">
        <f t="shared" si="102"/>
        <v>0</v>
      </c>
      <c r="DR69" s="88">
        <f t="shared" si="102"/>
        <v>44559059.297000401</v>
      </c>
      <c r="DS69" s="88">
        <f t="shared" si="102"/>
        <v>3944753.2353702052</v>
      </c>
      <c r="DT69" s="88">
        <f t="shared" si="102"/>
        <v>-29521032.504107721</v>
      </c>
      <c r="DU69" s="88">
        <f t="shared" si="102"/>
        <v>-959308.7682199995</v>
      </c>
      <c r="DV69" s="88">
        <f t="shared" si="102"/>
        <v>-8102841.6078067888</v>
      </c>
      <c r="DW69" s="88">
        <f t="shared" si="102"/>
        <v>-15986313.571342222</v>
      </c>
      <c r="DX69" s="88">
        <f t="shared" si="102"/>
        <v>0</v>
      </c>
      <c r="DY69" s="88">
        <f t="shared" si="102"/>
        <v>0</v>
      </c>
      <c r="DZ69" s="88">
        <f t="shared" si="102"/>
        <v>-10244.160000000002</v>
      </c>
      <c r="EA69" s="88">
        <f t="shared" si="102"/>
        <v>0</v>
      </c>
      <c r="EB69" s="88">
        <f t="shared" si="102"/>
        <v>618167.54227570724</v>
      </c>
      <c r="EC69" s="88">
        <f t="shared" si="102"/>
        <v>-8198.5363199999974</v>
      </c>
      <c r="ED69" s="88">
        <f t="shared" si="102"/>
        <v>0</v>
      </c>
      <c r="EE69" s="88">
        <f t="shared" si="102"/>
        <v>-125425.09445231534</v>
      </c>
      <c r="EF69" s="88">
        <f t="shared" si="102"/>
        <v>-4786004.2780709434</v>
      </c>
      <c r="EG69" s="88">
        <f t="shared" si="102"/>
        <v>0</v>
      </c>
      <c r="EH69" s="88">
        <f t="shared" si="102"/>
        <v>-3746219.2781285467</v>
      </c>
      <c r="EI69" s="88">
        <f t="shared" ref="EI69:FN69" si="103">+EI44-(EI57*EI67)</f>
        <v>2780502.1264381995</v>
      </c>
      <c r="EJ69" s="88">
        <f t="shared" si="103"/>
        <v>923294.13427998556</v>
      </c>
      <c r="EK69" s="88">
        <f t="shared" si="103"/>
        <v>-53695251.002637975</v>
      </c>
      <c r="EL69" s="88">
        <f t="shared" si="103"/>
        <v>-32639252.42065233</v>
      </c>
      <c r="EM69" s="88">
        <f t="shared" si="103"/>
        <v>15909781.89594581</v>
      </c>
      <c r="EN69" s="88">
        <f t="shared" si="103"/>
        <v>0</v>
      </c>
      <c r="EO69" s="88">
        <f t="shared" si="103"/>
        <v>0</v>
      </c>
      <c r="EP69" s="88">
        <f t="shared" si="103"/>
        <v>-58263.033099908731</v>
      </c>
      <c r="EQ69" s="88">
        <f t="shared" si="103"/>
        <v>-1131614.694250165</v>
      </c>
      <c r="ER69" s="88">
        <f t="shared" si="103"/>
        <v>0</v>
      </c>
      <c r="ES69" s="88">
        <f t="shared" si="103"/>
        <v>0</v>
      </c>
      <c r="ET69" s="88">
        <f t="shared" si="103"/>
        <v>0</v>
      </c>
      <c r="EU69" s="88">
        <f t="shared" si="103"/>
        <v>0</v>
      </c>
      <c r="EV69" s="88">
        <f t="shared" si="103"/>
        <v>0</v>
      </c>
      <c r="EW69" s="88">
        <f t="shared" si="103"/>
        <v>-564801.47031854209</v>
      </c>
      <c r="EX69" s="88">
        <f t="shared" si="103"/>
        <v>0</v>
      </c>
      <c r="EY69" s="88">
        <f t="shared" si="103"/>
        <v>0</v>
      </c>
      <c r="EZ69" s="88">
        <f t="shared" si="103"/>
        <v>0</v>
      </c>
      <c r="FA69" s="88">
        <f t="shared" si="103"/>
        <v>-3468351.8046000004</v>
      </c>
      <c r="FB69" s="88">
        <f t="shared" si="103"/>
        <v>0</v>
      </c>
      <c r="FC69" s="88">
        <f t="shared" si="103"/>
        <v>0</v>
      </c>
      <c r="FD69" s="88">
        <f t="shared" si="103"/>
        <v>0</v>
      </c>
      <c r="FE69" s="88">
        <f t="shared" si="103"/>
        <v>0</v>
      </c>
      <c r="FF69" s="88">
        <f t="shared" si="103"/>
        <v>0</v>
      </c>
      <c r="FG69" s="88">
        <f t="shared" si="103"/>
        <v>0</v>
      </c>
      <c r="FH69" s="88">
        <f t="shared" si="103"/>
        <v>-11010328.998507787</v>
      </c>
      <c r="FI69" s="88">
        <f t="shared" si="103"/>
        <v>-371028.81857255311</v>
      </c>
      <c r="FJ69" s="88">
        <f t="shared" si="103"/>
        <v>-6591984.3532083482</v>
      </c>
      <c r="FK69" s="88">
        <f t="shared" si="103"/>
        <v>-5488927.3101298269</v>
      </c>
      <c r="FL69" s="88">
        <f t="shared" si="103"/>
        <v>-80037.032855528465</v>
      </c>
      <c r="FM69" s="88">
        <f t="shared" si="103"/>
        <v>614429.88540519145</v>
      </c>
      <c r="FN69" s="88">
        <f t="shared" si="103"/>
        <v>0</v>
      </c>
      <c r="FO69" s="88">
        <f t="shared" ref="FO69:GC69" si="104">+FO44-(FO57*FO67)</f>
        <v>35723234.60558632</v>
      </c>
      <c r="FP69" s="88">
        <f t="shared" si="104"/>
        <v>5080351.9684287962</v>
      </c>
      <c r="FQ69" s="88">
        <f t="shared" si="104"/>
        <v>-25902275.928501286</v>
      </c>
      <c r="FR69" s="88">
        <f t="shared" si="104"/>
        <v>-351643.86134000082</v>
      </c>
      <c r="FS69" s="88">
        <f t="shared" si="104"/>
        <v>-415117.38816249301</v>
      </c>
      <c r="FT69" s="88">
        <f t="shared" si="104"/>
        <v>-14163351.599440446</v>
      </c>
      <c r="FU69" s="88">
        <f t="shared" si="104"/>
        <v>-122038245.99038979</v>
      </c>
      <c r="FV69" s="88">
        <f t="shared" si="104"/>
        <v>-139468.69547499999</v>
      </c>
      <c r="FW69" s="88">
        <f t="shared" si="104"/>
        <v>6836.8507032000034</v>
      </c>
      <c r="FX69" s="88">
        <f t="shared" si="104"/>
        <v>827173.50134999724</v>
      </c>
      <c r="FY69" s="88">
        <f t="shared" si="104"/>
        <v>2694540.308058654</v>
      </c>
      <c r="FZ69" s="88">
        <f t="shared" si="104"/>
        <v>-14857.142701700053</v>
      </c>
      <c r="GA69" s="88">
        <f t="shared" si="104"/>
        <v>938220.28339337185</v>
      </c>
      <c r="GB69" s="88">
        <f t="shared" si="104"/>
        <v>-1652005.5477761626</v>
      </c>
      <c r="GC69" s="88">
        <f t="shared" si="104"/>
        <v>-8976657.7258612402</v>
      </c>
      <c r="GD69" s="88">
        <f t="shared" ref="GD69:GF69" si="105">+GD44-(GD57*GD67)</f>
        <v>0</v>
      </c>
      <c r="GE69" s="88">
        <f t="shared" si="105"/>
        <v>6593423.0854197107</v>
      </c>
      <c r="GF69" s="88">
        <f t="shared" si="105"/>
        <v>399846.61577827268</v>
      </c>
      <c r="GG69" s="88">
        <f t="shared" ref="GG69:IB69" si="106">+GG44-(GG57*GG67)</f>
        <v>0</v>
      </c>
      <c r="GH69" s="88">
        <f t="shared" si="106"/>
        <v>1953912.7159600181</v>
      </c>
      <c r="GI69" s="88">
        <f t="shared" si="106"/>
        <v>-131677209.6791614</v>
      </c>
      <c r="GJ69" s="88">
        <f t="shared" si="106"/>
        <v>-164316462.09981447</v>
      </c>
      <c r="GK69" s="88">
        <f t="shared" si="106"/>
        <v>16230699.011550086</v>
      </c>
      <c r="GL69" s="88">
        <f t="shared" si="106"/>
        <v>0</v>
      </c>
      <c r="GM69" s="88">
        <f t="shared" si="106"/>
        <v>0</v>
      </c>
      <c r="GN69" s="88">
        <f t="shared" si="106"/>
        <v>-1994741.5915449301</v>
      </c>
      <c r="GO69" s="88">
        <f t="shared" si="106"/>
        <v>676709.86312155868</v>
      </c>
      <c r="GP69" s="88">
        <f t="shared" si="106"/>
        <v>0</v>
      </c>
      <c r="GQ69" s="88">
        <f t="shared" si="106"/>
        <v>0</v>
      </c>
      <c r="GR69" s="88">
        <f t="shared" si="106"/>
        <v>0</v>
      </c>
      <c r="GS69" s="88">
        <f t="shared" si="106"/>
        <v>0</v>
      </c>
      <c r="GT69" s="88">
        <f t="shared" si="106"/>
        <v>0</v>
      </c>
      <c r="GU69" s="88">
        <f t="shared" si="106"/>
        <v>-1312687.165039951</v>
      </c>
      <c r="GV69" s="88">
        <f t="shared" si="106"/>
        <v>0</v>
      </c>
      <c r="GW69" s="88">
        <f t="shared" si="106"/>
        <v>0</v>
      </c>
      <c r="GX69" s="88">
        <f t="shared" si="106"/>
        <v>0</v>
      </c>
      <c r="GY69" s="88">
        <f t="shared" si="106"/>
        <v>0</v>
      </c>
      <c r="GZ69" s="88">
        <f t="shared" si="106"/>
        <v>0</v>
      </c>
      <c r="HA69" s="88">
        <f t="shared" si="106"/>
        <v>0</v>
      </c>
      <c r="HB69" s="88">
        <f t="shared" si="106"/>
        <v>0</v>
      </c>
      <c r="HC69" s="88">
        <f t="shared" si="106"/>
        <v>0</v>
      </c>
      <c r="HD69" s="88">
        <f t="shared" si="106"/>
        <v>0</v>
      </c>
      <c r="HE69" s="88">
        <f t="shared" si="106"/>
        <v>0</v>
      </c>
      <c r="HF69" s="88">
        <f t="shared" si="106"/>
        <v>-8744029.496464882</v>
      </c>
      <c r="HG69" s="88">
        <f t="shared" si="106"/>
        <v>-1159614.073181737</v>
      </c>
      <c r="HH69" s="88">
        <f t="shared" si="106"/>
        <v>0</v>
      </c>
      <c r="HI69" s="88">
        <f t="shared" si="106"/>
        <v>381190.76379879069</v>
      </c>
      <c r="HJ69" s="88">
        <f t="shared" si="106"/>
        <v>0</v>
      </c>
      <c r="HK69" s="88">
        <f t="shared" si="106"/>
        <v>-45891.028785449984</v>
      </c>
      <c r="HL69" s="88">
        <f t="shared" si="106"/>
        <v>0</v>
      </c>
      <c r="HM69" s="88">
        <f t="shared" si="106"/>
        <v>42393142.131918453</v>
      </c>
      <c r="HN69" s="88">
        <f t="shared" si="106"/>
        <v>2067895.710067183</v>
      </c>
      <c r="HO69" s="88">
        <f t="shared" si="106"/>
        <v>-60467268.269514129</v>
      </c>
      <c r="HP69" s="88">
        <f t="shared" si="106"/>
        <v>-737158.38986000023</v>
      </c>
      <c r="HQ69" s="88">
        <f t="shared" si="106"/>
        <v>-3856620.2139475625</v>
      </c>
      <c r="HR69" s="88">
        <f t="shared" si="106"/>
        <v>-22467260.883621957</v>
      </c>
      <c r="HS69" s="88">
        <f t="shared" si="106"/>
        <v>-12414641.257064261</v>
      </c>
      <c r="HT69" s="88">
        <f t="shared" si="106"/>
        <v>47877.97567499998</v>
      </c>
      <c r="HU69" s="88">
        <f t="shared" si="106"/>
        <v>-11386.126857599931</v>
      </c>
      <c r="HV69" s="88">
        <f t="shared" si="106"/>
        <v>0</v>
      </c>
      <c r="HW69" s="88">
        <f t="shared" si="106"/>
        <v>8765419.4265895896</v>
      </c>
      <c r="HX69" s="88">
        <f t="shared" si="106"/>
        <v>-81627.104243099951</v>
      </c>
      <c r="HY69" s="88">
        <f t="shared" si="106"/>
        <v>1265790.8430120675</v>
      </c>
      <c r="HZ69" s="88">
        <f t="shared" si="106"/>
        <v>-30003.390099386233</v>
      </c>
      <c r="IA69" s="88">
        <f t="shared" si="106"/>
        <v>1610129.8624699945</v>
      </c>
      <c r="IB69" s="88">
        <f t="shared" si="106"/>
        <v>0</v>
      </c>
      <c r="IC69" s="88">
        <f t="shared" ref="IC69:ID69" si="107">+IC44-(IC57*IC67)</f>
        <v>16282391.090409871</v>
      </c>
      <c r="ID69" s="88">
        <f t="shared" si="107"/>
        <v>383.94</v>
      </c>
      <c r="IE69" s="88">
        <f t="shared" ref="IE69:JZ69" si="108">+IE44-(IE57*IE67)</f>
        <v>0</v>
      </c>
      <c r="IF69" s="88">
        <f t="shared" si="108"/>
        <v>414827.50752000138</v>
      </c>
      <c r="IG69" s="88">
        <f t="shared" si="108"/>
        <v>-23186470.864092343</v>
      </c>
      <c r="IH69" s="88">
        <f t="shared" si="108"/>
        <v>-187502932.96390647</v>
      </c>
      <c r="II69" s="88">
        <f t="shared" si="108"/>
        <v>4769409.0190590601</v>
      </c>
      <c r="IJ69" s="88">
        <f t="shared" si="108"/>
        <v>0</v>
      </c>
      <c r="IK69" s="88">
        <f t="shared" si="108"/>
        <v>0</v>
      </c>
      <c r="IL69" s="88">
        <f t="shared" si="108"/>
        <v>-946477.08037672006</v>
      </c>
      <c r="IM69" s="88">
        <f t="shared" si="108"/>
        <v>350613.69089476718</v>
      </c>
      <c r="IN69" s="88">
        <f t="shared" si="108"/>
        <v>0</v>
      </c>
      <c r="IO69" s="88">
        <f t="shared" si="108"/>
        <v>0</v>
      </c>
      <c r="IP69" s="88">
        <f t="shared" si="108"/>
        <v>0</v>
      </c>
      <c r="IQ69" s="88">
        <f t="shared" si="108"/>
        <v>0</v>
      </c>
      <c r="IR69" s="88">
        <f t="shared" si="108"/>
        <v>0</v>
      </c>
      <c r="IS69" s="88">
        <f t="shared" si="108"/>
        <v>-1982533.4266663087</v>
      </c>
      <c r="IT69" s="88">
        <f t="shared" si="108"/>
        <v>0</v>
      </c>
      <c r="IU69" s="88">
        <f t="shared" si="108"/>
        <v>0</v>
      </c>
      <c r="IV69" s="88">
        <f t="shared" si="108"/>
        <v>0</v>
      </c>
      <c r="IW69" s="88">
        <f t="shared" si="108"/>
        <v>0</v>
      </c>
      <c r="IX69" s="88">
        <f t="shared" si="108"/>
        <v>0</v>
      </c>
      <c r="IY69" s="88">
        <f t="shared" si="108"/>
        <v>0</v>
      </c>
      <c r="IZ69" s="88">
        <f t="shared" si="108"/>
        <v>0</v>
      </c>
      <c r="JA69" s="88">
        <f t="shared" si="108"/>
        <v>0</v>
      </c>
      <c r="JB69" s="88">
        <f t="shared" si="108"/>
        <v>0</v>
      </c>
      <c r="JC69" s="88">
        <f t="shared" si="108"/>
        <v>0</v>
      </c>
      <c r="JD69" s="88">
        <f t="shared" si="108"/>
        <v>-8971063.5343158171</v>
      </c>
      <c r="JE69" s="88">
        <f t="shared" si="108"/>
        <v>212116.44669715301</v>
      </c>
      <c r="JF69" s="88">
        <f t="shared" si="108"/>
        <v>0</v>
      </c>
      <c r="JG69" s="88">
        <f t="shared" si="108"/>
        <v>381190.7637987904</v>
      </c>
      <c r="JH69" s="88">
        <f t="shared" si="108"/>
        <v>239304.78550000006</v>
      </c>
      <c r="JI69" s="88">
        <f t="shared" si="108"/>
        <v>-660320.91419064137</v>
      </c>
      <c r="JJ69" s="88">
        <f t="shared" si="108"/>
        <v>0</v>
      </c>
      <c r="JK69" s="88">
        <f t="shared" si="108"/>
        <v>32045556.48909957</v>
      </c>
      <c r="JL69" s="88">
        <f t="shared" si="108"/>
        <v>1079286.7059234232</v>
      </c>
      <c r="JM69" s="88">
        <f t="shared" si="108"/>
        <v>-50992905.095826246</v>
      </c>
      <c r="JN69" s="88">
        <f t="shared" si="108"/>
        <v>-998771.43737999769</v>
      </c>
      <c r="JO69" s="88">
        <f t="shared" si="108"/>
        <v>-23194757.590834767</v>
      </c>
      <c r="JP69" s="88">
        <f t="shared" si="108"/>
        <v>4660338.6524962671</v>
      </c>
      <c r="JQ69" s="88">
        <f t="shared" si="108"/>
        <v>44494077.295159809</v>
      </c>
      <c r="JR69" s="88">
        <f t="shared" si="108"/>
        <v>4512.3792750000439</v>
      </c>
      <c r="JS69" s="88">
        <f t="shared" si="108"/>
        <v>-11386.126857599864</v>
      </c>
      <c r="JT69" s="88">
        <f t="shared" si="108"/>
        <v>0</v>
      </c>
      <c r="JU69" s="88">
        <f t="shared" si="108"/>
        <v>2864491.0679503139</v>
      </c>
      <c r="JV69" s="88">
        <f t="shared" si="108"/>
        <v>0</v>
      </c>
      <c r="JW69" s="88">
        <f t="shared" si="108"/>
        <v>1265790.8430120675</v>
      </c>
      <c r="JX69" s="88">
        <f t="shared" si="108"/>
        <v>-133478.08064024575</v>
      </c>
      <c r="JY69" s="88">
        <f t="shared" si="108"/>
        <v>4681142.0240425849</v>
      </c>
      <c r="JZ69" s="88">
        <f t="shared" si="108"/>
        <v>0</v>
      </c>
      <c r="KA69" s="88">
        <f t="shared" ref="KA69:KB69" si="109">+KA44-(KA57*KA67)</f>
        <v>15231899.20533983</v>
      </c>
      <c r="KB69" s="88">
        <f t="shared" si="109"/>
        <v>391.84000000000003</v>
      </c>
      <c r="KC69" s="88">
        <f>+KC44-(KC57*KC67)</f>
        <v>0</v>
      </c>
      <c r="KD69" s="88">
        <f>+KD44-(KD57*KD67)</f>
        <v>414827.50752000115</v>
      </c>
      <c r="KE69" s="88">
        <f>+KE44-(KE57*KE67)</f>
        <v>24803255.428680304</v>
      </c>
      <c r="KF69" s="88">
        <f>+KF44-(KF57*KF67)</f>
        <v>-162699677.535227</v>
      </c>
      <c r="KG69" s="43" t="s">
        <v>34</v>
      </c>
    </row>
    <row r="70" spans="1:293" x14ac:dyDescent="0.3">
      <c r="B70" s="47" t="s">
        <v>113</v>
      </c>
      <c r="C70" s="88">
        <f t="shared" ref="C70:AO70" si="110">-C69/C68</f>
        <v>129608103.95394251</v>
      </c>
      <c r="D70" s="88">
        <f t="shared" si="110"/>
        <v>-36837673.815972909</v>
      </c>
      <c r="E70" s="88">
        <f t="shared" si="110"/>
        <v>-1308320.9773910861</v>
      </c>
      <c r="F70" s="88">
        <f t="shared" si="110"/>
        <v>-1102954.8827197268</v>
      </c>
      <c r="G70" s="88">
        <f t="shared" si="110"/>
        <v>-48820140.741815262</v>
      </c>
      <c r="H70" s="88">
        <f t="shared" si="110"/>
        <v>-39175307.938486099</v>
      </c>
      <c r="I70" s="88">
        <f t="shared" si="110"/>
        <v>-3955193.7552428856</v>
      </c>
      <c r="J70" s="88">
        <f t="shared" si="110"/>
        <v>-185255.63715567792</v>
      </c>
      <c r="K70" s="88">
        <f t="shared" si="110"/>
        <v>-2318.8319849218574</v>
      </c>
      <c r="L70" s="88">
        <f t="shared" si="110"/>
        <v>-45795.124889186554</v>
      </c>
      <c r="M70" s="88">
        <f t="shared" si="110"/>
        <v>94089.416361418582</v>
      </c>
      <c r="N70" s="88">
        <f t="shared" si="110"/>
        <v>5806000.7611053223</v>
      </c>
      <c r="O70" s="88">
        <f t="shared" si="110"/>
        <v>163251.19291448224</v>
      </c>
      <c r="P70" s="88">
        <f t="shared" si="110"/>
        <v>23289.356557569328</v>
      </c>
      <c r="Q70" s="88">
        <f t="shared" si="110"/>
        <v>1085489.4157649702</v>
      </c>
      <c r="R70" s="88">
        <f t="shared" si="110"/>
        <v>-1731532.018395571</v>
      </c>
      <c r="S70" s="88">
        <f t="shared" si="110"/>
        <v>-87853.630746197567</v>
      </c>
      <c r="T70" s="88">
        <f t="shared" si="110"/>
        <v>-2094998.6206696122</v>
      </c>
      <c r="U70" s="88">
        <f t="shared" si="110"/>
        <v>3007139.4573902707</v>
      </c>
      <c r="V70" s="88">
        <f t="shared" si="110"/>
        <v>1807831.2774322287</v>
      </c>
      <c r="W70" s="88">
        <f t="shared" si="110"/>
        <v>811155.3519763815</v>
      </c>
      <c r="X70" s="88">
        <f t="shared" si="110"/>
        <v>92493.544033867278</v>
      </c>
      <c r="Y70" s="88">
        <f t="shared" si="110"/>
        <v>0</v>
      </c>
      <c r="Z70" s="88">
        <f t="shared" si="110"/>
        <v>0</v>
      </c>
      <c r="AA70" s="88">
        <f t="shared" si="110"/>
        <v>-13686472.910621734</v>
      </c>
      <c r="AB70" s="88">
        <f t="shared" si="110"/>
        <v>0</v>
      </c>
      <c r="AC70" s="88">
        <f t="shared" si="110"/>
        <v>-188779.71745399974</v>
      </c>
      <c r="AD70" s="88">
        <f t="shared" si="110"/>
        <v>0</v>
      </c>
      <c r="AE70" s="88">
        <f t="shared" si="110"/>
        <v>10815863.487723764</v>
      </c>
      <c r="AF70" s="88">
        <f t="shared" si="110"/>
        <v>102660.22725309191</v>
      </c>
      <c r="AG70" s="88">
        <f t="shared" si="110"/>
        <v>-343188.90683254582</v>
      </c>
      <c r="AH70" s="88">
        <f t="shared" si="110"/>
        <v>991413.64949613775</v>
      </c>
      <c r="AI70" s="88">
        <f t="shared" si="110"/>
        <v>0</v>
      </c>
      <c r="AJ70" s="88">
        <f t="shared" si="110"/>
        <v>-129039.69578829141</v>
      </c>
      <c r="AK70" s="88">
        <f t="shared" si="110"/>
        <v>-1049991.7421695846</v>
      </c>
      <c r="AL70" s="88">
        <f t="shared" si="110"/>
        <v>0</v>
      </c>
      <c r="AM70" s="88">
        <f t="shared" si="110"/>
        <v>0</v>
      </c>
      <c r="AN70" s="88">
        <f t="shared" si="110"/>
        <v>0</v>
      </c>
      <c r="AO70" s="88">
        <f t="shared" si="110"/>
        <v>0</v>
      </c>
      <c r="AP70" s="88">
        <f t="shared" ref="AP70" si="111">-AP69/AP68</f>
        <v>-272378.53537251166</v>
      </c>
      <c r="AQ70" s="88">
        <f t="shared" ref="AQ70:BV70" si="112">-AQ69/AQ68</f>
        <v>0</v>
      </c>
      <c r="AR70" s="88">
        <f t="shared" si="112"/>
        <v>-126940589.52945459</v>
      </c>
      <c r="AS70" s="88">
        <f t="shared" si="112"/>
        <v>2667514.4244879186</v>
      </c>
      <c r="AT70" s="88">
        <f t="shared" si="112"/>
        <v>7842507.7560842456</v>
      </c>
      <c r="AU70" s="88">
        <f t="shared" si="112"/>
        <v>0</v>
      </c>
      <c r="AV70" s="88">
        <f t="shared" si="112"/>
        <v>0</v>
      </c>
      <c r="AW70" s="88">
        <f t="shared" si="112"/>
        <v>419583.09678176168</v>
      </c>
      <c r="AX70" s="88">
        <f t="shared" si="112"/>
        <v>-1075472.8021017353</v>
      </c>
      <c r="AY70" s="88">
        <f t="shared" si="112"/>
        <v>0</v>
      </c>
      <c r="AZ70" s="88">
        <f t="shared" si="112"/>
        <v>0</v>
      </c>
      <c r="BA70" s="88">
        <f t="shared" si="112"/>
        <v>0</v>
      </c>
      <c r="BB70" s="88">
        <f t="shared" si="112"/>
        <v>117568.29947015482</v>
      </c>
      <c r="BC70" s="88">
        <f t="shared" si="112"/>
        <v>0</v>
      </c>
      <c r="BD70" s="88">
        <f t="shared" si="112"/>
        <v>-2048867.9823812395</v>
      </c>
      <c r="BE70" s="88">
        <f t="shared" si="112"/>
        <v>0</v>
      </c>
      <c r="BF70" s="88">
        <f t="shared" si="112"/>
        <v>0</v>
      </c>
      <c r="BG70" s="88">
        <f t="shared" si="112"/>
        <v>994855.49738161452</v>
      </c>
      <c r="BH70" s="88">
        <f t="shared" si="112"/>
        <v>0</v>
      </c>
      <c r="BI70" s="88">
        <f t="shared" si="112"/>
        <v>0</v>
      </c>
      <c r="BJ70" s="88">
        <f t="shared" si="112"/>
        <v>1627605.3402301162</v>
      </c>
      <c r="BK70" s="88">
        <f t="shared" si="112"/>
        <v>0</v>
      </c>
      <c r="BL70" s="88">
        <f t="shared" si="112"/>
        <v>0</v>
      </c>
      <c r="BM70" s="88">
        <f t="shared" si="112"/>
        <v>0</v>
      </c>
      <c r="BN70" s="88">
        <f t="shared" si="112"/>
        <v>0</v>
      </c>
      <c r="BO70" s="88">
        <f t="shared" si="112"/>
        <v>0</v>
      </c>
      <c r="BP70" s="88">
        <f t="shared" si="112"/>
        <v>0</v>
      </c>
      <c r="BQ70" s="88">
        <f t="shared" si="112"/>
        <v>20268306.508723695</v>
      </c>
      <c r="BR70" s="88">
        <f t="shared" si="112"/>
        <v>12111632.323952841</v>
      </c>
      <c r="BS70" s="88">
        <f t="shared" si="112"/>
        <v>-2.575233254166432E-2</v>
      </c>
      <c r="BT70" s="88">
        <f t="shared" si="112"/>
        <v>-63131.514375979466</v>
      </c>
      <c r="BU70" s="88">
        <f t="shared" si="112"/>
        <v>0</v>
      </c>
      <c r="BV70" s="88">
        <f t="shared" si="112"/>
        <v>-20934424.894079581</v>
      </c>
      <c r="BW70" s="88">
        <f t="shared" ref="BW70:DB70" si="113">-BW69/BW68</f>
        <v>-692334.31056361983</v>
      </c>
      <c r="BX70" s="88">
        <f t="shared" si="113"/>
        <v>14664778.815346668</v>
      </c>
      <c r="BY70" s="88">
        <f t="shared" si="113"/>
        <v>3641819.2285556686</v>
      </c>
      <c r="BZ70" s="88">
        <f t="shared" si="113"/>
        <v>2298781.3606375665</v>
      </c>
      <c r="CA70" s="88">
        <f t="shared" si="113"/>
        <v>9387943.2555750795</v>
      </c>
      <c r="CB70" s="88">
        <f t="shared" si="113"/>
        <v>0</v>
      </c>
      <c r="CC70" s="88">
        <f t="shared" si="113"/>
        <v>0</v>
      </c>
      <c r="CD70" s="88">
        <f t="shared" si="113"/>
        <v>6808.0866080507221</v>
      </c>
      <c r="CE70" s="88">
        <f t="shared" si="113"/>
        <v>0</v>
      </c>
      <c r="CF70" s="88">
        <f t="shared" si="113"/>
        <v>-2321543.9199014921</v>
      </c>
      <c r="CG70" s="88">
        <f t="shared" si="113"/>
        <v>-39388.709771318041</v>
      </c>
      <c r="CH70" s="88">
        <f t="shared" si="113"/>
        <v>0</v>
      </c>
      <c r="CI70" s="88">
        <f t="shared" si="113"/>
        <v>2415003.9439608734</v>
      </c>
      <c r="CJ70" s="88">
        <f t="shared" si="113"/>
        <v>-63474472.623860873</v>
      </c>
      <c r="CK70" s="88">
        <f t="shared" si="113"/>
        <v>0</v>
      </c>
      <c r="CL70" s="88">
        <f t="shared" si="113"/>
        <v>-15399230.798028691</v>
      </c>
      <c r="CM70" s="88">
        <f t="shared" si="113"/>
        <v>-402626.62408038852</v>
      </c>
      <c r="CN70" s="88">
        <f t="shared" si="113"/>
        <v>-30654300.691588935</v>
      </c>
      <c r="CO70" s="88">
        <f t="shared" si="113"/>
        <v>-27986786.267101139</v>
      </c>
      <c r="CP70" s="88">
        <f t="shared" si="113"/>
        <v>54506247.57083188</v>
      </c>
      <c r="CQ70" s="88">
        <f t="shared" si="113"/>
        <v>0</v>
      </c>
      <c r="CR70" s="88">
        <f t="shared" si="113"/>
        <v>0</v>
      </c>
      <c r="CS70" s="88">
        <f t="shared" si="113"/>
        <v>1528701.645476169</v>
      </c>
      <c r="CT70" s="88">
        <f t="shared" si="113"/>
        <v>-838901.24318003736</v>
      </c>
      <c r="CU70" s="88">
        <f t="shared" si="113"/>
        <v>0</v>
      </c>
      <c r="CV70" s="88">
        <f t="shared" si="113"/>
        <v>0</v>
      </c>
      <c r="CW70" s="88">
        <f t="shared" si="113"/>
        <v>0</v>
      </c>
      <c r="CX70" s="88">
        <f t="shared" si="113"/>
        <v>0</v>
      </c>
      <c r="CY70" s="88">
        <f t="shared" si="113"/>
        <v>0</v>
      </c>
      <c r="CZ70" s="88">
        <f t="shared" si="113"/>
        <v>407136.45713954553</v>
      </c>
      <c r="DA70" s="88">
        <f t="shared" si="113"/>
        <v>0</v>
      </c>
      <c r="DB70" s="88">
        <f t="shared" si="113"/>
        <v>0</v>
      </c>
      <c r="DC70" s="88">
        <f t="shared" ref="DC70:EH70" si="114">-DC69/DC68</f>
        <v>0</v>
      </c>
      <c r="DD70" s="88">
        <f t="shared" si="114"/>
        <v>1546575.1105528646</v>
      </c>
      <c r="DE70" s="88">
        <f t="shared" si="114"/>
        <v>0</v>
      </c>
      <c r="DF70" s="88">
        <f t="shared" si="114"/>
        <v>0</v>
      </c>
      <c r="DG70" s="88">
        <f t="shared" si="114"/>
        <v>0</v>
      </c>
      <c r="DH70" s="88">
        <f t="shared" si="114"/>
        <v>0</v>
      </c>
      <c r="DI70" s="88">
        <f t="shared" si="114"/>
        <v>0</v>
      </c>
      <c r="DJ70" s="88">
        <f t="shared" si="114"/>
        <v>0</v>
      </c>
      <c r="DK70" s="88">
        <f t="shared" si="114"/>
        <v>0</v>
      </c>
      <c r="DL70" s="88">
        <f t="shared" si="114"/>
        <v>0</v>
      </c>
      <c r="DM70" s="88">
        <f t="shared" si="114"/>
        <v>0</v>
      </c>
      <c r="DN70" s="88">
        <f t="shared" si="114"/>
        <v>401779.55282965227</v>
      </c>
      <c r="DO70" s="88">
        <f t="shared" si="114"/>
        <v>0</v>
      </c>
      <c r="DP70" s="88">
        <f t="shared" si="114"/>
        <v>-31565.757187989759</v>
      </c>
      <c r="DQ70" s="88">
        <f t="shared" si="114"/>
        <v>0</v>
      </c>
      <c r="DR70" s="88">
        <f t="shared" si="114"/>
        <v>-59226109.080155514</v>
      </c>
      <c r="DS70" s="88">
        <f t="shared" si="114"/>
        <v>-5243207.3095416464</v>
      </c>
      <c r="DT70" s="88">
        <f t="shared" si="114"/>
        <v>39238168.822042413</v>
      </c>
      <c r="DU70" s="88">
        <f t="shared" si="114"/>
        <v>1275074.6233094742</v>
      </c>
      <c r="DV70" s="88">
        <f t="shared" si="114"/>
        <v>10769971.101151437</v>
      </c>
      <c r="DW70" s="88">
        <f t="shared" si="114"/>
        <v>21248364.89601614</v>
      </c>
      <c r="DX70" s="88">
        <f t="shared" si="114"/>
        <v>0</v>
      </c>
      <c r="DY70" s="88">
        <f t="shared" si="114"/>
        <v>0</v>
      </c>
      <c r="DZ70" s="88">
        <f t="shared" si="114"/>
        <v>13616.125366349665</v>
      </c>
      <c r="EA70" s="88">
        <f t="shared" si="114"/>
        <v>0</v>
      </c>
      <c r="EB70" s="88">
        <f t="shared" si="114"/>
        <v>-821643.42933283793</v>
      </c>
      <c r="EC70" s="88">
        <f t="shared" si="114"/>
        <v>10897.164662958308</v>
      </c>
      <c r="ED70" s="88">
        <f t="shared" si="114"/>
        <v>0</v>
      </c>
      <c r="EE70" s="88">
        <f t="shared" si="114"/>
        <v>166709.98990146321</v>
      </c>
      <c r="EF70" s="88">
        <f t="shared" si="114"/>
        <v>6361364.3533583796</v>
      </c>
      <c r="EG70" s="88">
        <f t="shared" si="114"/>
        <v>0</v>
      </c>
      <c r="EH70" s="88">
        <f t="shared" si="114"/>
        <v>4979323.9602694828</v>
      </c>
      <c r="EI70" s="88">
        <f t="shared" ref="EI70:FN70" si="115">-EI69/EI68</f>
        <v>-3695731.5714499136</v>
      </c>
      <c r="EJ70" s="88">
        <f t="shared" si="115"/>
        <v>-1227205.4206856943</v>
      </c>
      <c r="EK70" s="88">
        <f t="shared" si="115"/>
        <v>71369567.56137459</v>
      </c>
      <c r="EL70" s="88">
        <f t="shared" si="115"/>
        <v>43382781.294272423</v>
      </c>
      <c r="EM70" s="88">
        <f t="shared" si="115"/>
        <v>-21146642.071822226</v>
      </c>
      <c r="EN70" s="88">
        <f t="shared" si="115"/>
        <v>0</v>
      </c>
      <c r="EO70" s="88">
        <f t="shared" si="115"/>
        <v>0</v>
      </c>
      <c r="EP70" s="88">
        <f t="shared" si="115"/>
        <v>77440.879770731539</v>
      </c>
      <c r="EQ70" s="88">
        <f t="shared" si="115"/>
        <v>1504096.7286057314</v>
      </c>
      <c r="ER70" s="88">
        <f t="shared" si="115"/>
        <v>0</v>
      </c>
      <c r="ES70" s="88">
        <f t="shared" si="115"/>
        <v>0</v>
      </c>
      <c r="ET70" s="88">
        <f t="shared" si="115"/>
        <v>0</v>
      </c>
      <c r="EU70" s="88">
        <f t="shared" si="115"/>
        <v>0</v>
      </c>
      <c r="EV70" s="88">
        <f t="shared" si="115"/>
        <v>0</v>
      </c>
      <c r="EW70" s="88">
        <f t="shared" si="115"/>
        <v>750711.39331637602</v>
      </c>
      <c r="EX70" s="88">
        <f t="shared" si="115"/>
        <v>0</v>
      </c>
      <c r="EY70" s="88">
        <f t="shared" si="115"/>
        <v>0</v>
      </c>
      <c r="EZ70" s="88">
        <f t="shared" si="115"/>
        <v>0</v>
      </c>
      <c r="FA70" s="88">
        <f t="shared" si="115"/>
        <v>4609993.6926052198</v>
      </c>
      <c r="FB70" s="88">
        <f t="shared" si="115"/>
        <v>0</v>
      </c>
      <c r="FC70" s="88">
        <f t="shared" si="115"/>
        <v>0</v>
      </c>
      <c r="FD70" s="88">
        <f t="shared" si="115"/>
        <v>0</v>
      </c>
      <c r="FE70" s="88">
        <f t="shared" si="115"/>
        <v>0</v>
      </c>
      <c r="FF70" s="88">
        <f t="shared" si="115"/>
        <v>0</v>
      </c>
      <c r="FG70" s="88">
        <f t="shared" si="115"/>
        <v>0</v>
      </c>
      <c r="FH70" s="88">
        <f t="shared" si="115"/>
        <v>14634486.37745185</v>
      </c>
      <c r="FI70" s="88">
        <f t="shared" si="115"/>
        <v>493156.5797695943</v>
      </c>
      <c r="FJ70" s="88">
        <f t="shared" si="115"/>
        <v>8761800.4176330958</v>
      </c>
      <c r="FK70" s="88">
        <f t="shared" si="115"/>
        <v>7295661.3701375369</v>
      </c>
      <c r="FL70" s="88">
        <f t="shared" si="115"/>
        <v>106382.00431382588</v>
      </c>
      <c r="FM70" s="88">
        <f t="shared" si="115"/>
        <v>-816675.48618031573</v>
      </c>
      <c r="FN70" s="88">
        <f t="shared" si="115"/>
        <v>0</v>
      </c>
      <c r="FO70" s="88">
        <f t="shared" ref="FO70:GC70" si="116">-FO69/FO68</f>
        <v>-47481886.35097304</v>
      </c>
      <c r="FP70" s="88">
        <f t="shared" si="116"/>
        <v>-6752599.4622602314</v>
      </c>
      <c r="FQ70" s="88">
        <f t="shared" si="116"/>
        <v>34428263.158351161</v>
      </c>
      <c r="FR70" s="88">
        <f t="shared" si="116"/>
        <v>467390.87444092327</v>
      </c>
      <c r="FS70" s="88">
        <f t="shared" si="116"/>
        <v>551757.33285814943</v>
      </c>
      <c r="FT70" s="88">
        <f t="shared" si="116"/>
        <v>18825357.177715901</v>
      </c>
      <c r="FU70" s="88">
        <f t="shared" si="116"/>
        <v>162208327.1731959</v>
      </c>
      <c r="FV70" s="88">
        <f t="shared" si="116"/>
        <v>185376.17942992336</v>
      </c>
      <c r="FW70" s="88">
        <f t="shared" si="116"/>
        <v>-9087.2669194728605</v>
      </c>
      <c r="FX70" s="88">
        <f t="shared" si="116"/>
        <v>-1099445.7421695839</v>
      </c>
      <c r="FY70" s="88">
        <f t="shared" si="116"/>
        <v>-3581474.5805619075</v>
      </c>
      <c r="FZ70" s="88">
        <f t="shared" si="116"/>
        <v>19747.516400768327</v>
      </c>
      <c r="GA70" s="88">
        <f t="shared" si="116"/>
        <v>-1247044.657632862</v>
      </c>
      <c r="GB70" s="88">
        <f t="shared" si="116"/>
        <v>2195779.3166472777</v>
      </c>
      <c r="GC70" s="88">
        <f t="shared" si="116"/>
        <v>11931412.333089087</v>
      </c>
      <c r="GD70" s="88">
        <f t="shared" ref="GD70:GF70" si="117">-GD69/GD68</f>
        <v>0</v>
      </c>
      <c r="GE70" s="88">
        <f t="shared" si="117"/>
        <v>-2395556.9268570771</v>
      </c>
      <c r="GF70" s="88">
        <f t="shared" si="117"/>
        <v>-145274.36169326727</v>
      </c>
      <c r="GG70" s="88">
        <f t="shared" ref="GG70:IB70" si="118">-GG69/GG68</f>
        <v>0</v>
      </c>
      <c r="GH70" s="88">
        <f t="shared" si="118"/>
        <v>-2597062.1793701351</v>
      </c>
      <c r="GI70" s="88">
        <f t="shared" si="118"/>
        <v>175020049.94870958</v>
      </c>
      <c r="GJ70" s="88">
        <f t="shared" si="118"/>
        <v>218402831.24298301</v>
      </c>
      <c r="GK70" s="88">
        <f t="shared" si="118"/>
        <v>-21573192.191917494</v>
      </c>
      <c r="GL70" s="88">
        <f t="shared" si="118"/>
        <v>0</v>
      </c>
      <c r="GM70" s="88">
        <f t="shared" si="118"/>
        <v>0</v>
      </c>
      <c r="GN70" s="88">
        <f t="shared" si="118"/>
        <v>2651330.2783193174</v>
      </c>
      <c r="GO70" s="88">
        <f t="shared" si="118"/>
        <v>-899455.52714019141</v>
      </c>
      <c r="GP70" s="88">
        <f t="shared" si="118"/>
        <v>0</v>
      </c>
      <c r="GQ70" s="88">
        <f t="shared" si="118"/>
        <v>0</v>
      </c>
      <c r="GR70" s="88">
        <f t="shared" si="118"/>
        <v>0</v>
      </c>
      <c r="GS70" s="88">
        <f t="shared" si="118"/>
        <v>0</v>
      </c>
      <c r="GT70" s="88">
        <f t="shared" si="118"/>
        <v>0</v>
      </c>
      <c r="GU70" s="88">
        <f t="shared" si="118"/>
        <v>1744770.9725328481</v>
      </c>
      <c r="GV70" s="88">
        <f t="shared" si="118"/>
        <v>0</v>
      </c>
      <c r="GW70" s="88">
        <f t="shared" si="118"/>
        <v>0</v>
      </c>
      <c r="GX70" s="88">
        <f t="shared" si="118"/>
        <v>0</v>
      </c>
      <c r="GY70" s="88">
        <f t="shared" si="118"/>
        <v>0</v>
      </c>
      <c r="GZ70" s="88">
        <f t="shared" si="118"/>
        <v>0</v>
      </c>
      <c r="HA70" s="88">
        <f t="shared" si="118"/>
        <v>0</v>
      </c>
      <c r="HB70" s="88">
        <f t="shared" si="118"/>
        <v>0</v>
      </c>
      <c r="HC70" s="88">
        <f t="shared" si="118"/>
        <v>0</v>
      </c>
      <c r="HD70" s="88">
        <f t="shared" si="118"/>
        <v>0</v>
      </c>
      <c r="HE70" s="88">
        <f t="shared" si="118"/>
        <v>0</v>
      </c>
      <c r="HF70" s="88">
        <f t="shared" si="118"/>
        <v>11622212.248825198</v>
      </c>
      <c r="HG70" s="88">
        <f t="shared" si="118"/>
        <v>1541312.3767127711</v>
      </c>
      <c r="HH70" s="88">
        <f t="shared" si="118"/>
        <v>0</v>
      </c>
      <c r="HI70" s="88">
        <f t="shared" si="118"/>
        <v>-506663.42856602359</v>
      </c>
      <c r="HJ70" s="88">
        <f t="shared" si="118"/>
        <v>0</v>
      </c>
      <c r="HK70" s="88">
        <f t="shared" si="118"/>
        <v>60996.509341268393</v>
      </c>
      <c r="HL70" s="88">
        <f t="shared" si="118"/>
        <v>0</v>
      </c>
      <c r="HM70" s="88">
        <f t="shared" si="118"/>
        <v>-56347259.115601614</v>
      </c>
      <c r="HN70" s="88">
        <f t="shared" si="118"/>
        <v>-2748563.789789638</v>
      </c>
      <c r="HO70" s="88">
        <f t="shared" si="118"/>
        <v>80370660.485427931</v>
      </c>
      <c r="HP70" s="88">
        <f t="shared" si="118"/>
        <v>979801.27713645855</v>
      </c>
      <c r="HQ70" s="88">
        <f t="shared" si="118"/>
        <v>5126064.4429126708</v>
      </c>
      <c r="HR70" s="88">
        <f t="shared" si="118"/>
        <v>29862579.345683828</v>
      </c>
      <c r="HS70" s="88">
        <f t="shared" si="118"/>
        <v>16501041.738360561</v>
      </c>
      <c r="HT70" s="88">
        <f t="shared" si="118"/>
        <v>-63637.479215264044</v>
      </c>
      <c r="HU70" s="88">
        <f t="shared" si="118"/>
        <v>15133.981774029457</v>
      </c>
      <c r="HV70" s="88">
        <f t="shared" si="118"/>
        <v>0</v>
      </c>
      <c r="HW70" s="88">
        <f t="shared" si="118"/>
        <v>-11650642.883465372</v>
      </c>
      <c r="HX70" s="88">
        <f t="shared" si="118"/>
        <v>108495.46323623815</v>
      </c>
      <c r="HY70" s="88">
        <f t="shared" si="118"/>
        <v>-1682438.2678550251</v>
      </c>
      <c r="HZ70" s="88">
        <f t="shared" si="118"/>
        <v>39879.299133236615</v>
      </c>
      <c r="IA70" s="88">
        <f t="shared" si="118"/>
        <v>-2140119.8403280294</v>
      </c>
      <c r="IB70" s="88">
        <f t="shared" si="118"/>
        <v>0</v>
      </c>
      <c r="IC70" s="88">
        <f t="shared" ref="IC70:ID70" si="119">-IC69/IC68</f>
        <v>-5915803.4085028535</v>
      </c>
      <c r="ID70" s="88">
        <f t="shared" si="119"/>
        <v>-139.49508693464324</v>
      </c>
      <c r="IE70" s="88">
        <f t="shared" ref="IE70:JZ70" si="120">-IE69/IE68</f>
        <v>0</v>
      </c>
      <c r="IF70" s="88">
        <f t="shared" si="120"/>
        <v>-551372.03516956943</v>
      </c>
      <c r="IG70" s="88">
        <f t="shared" si="120"/>
        <v>30818524.319094501</v>
      </c>
      <c r="IH70" s="88">
        <f t="shared" si="120"/>
        <v>249221355.56207705</v>
      </c>
      <c r="II70" s="88">
        <f t="shared" si="120"/>
        <v>-6339306.6026796661</v>
      </c>
      <c r="IJ70" s="88">
        <f t="shared" si="120"/>
        <v>0</v>
      </c>
      <c r="IK70" s="88">
        <f t="shared" si="120"/>
        <v>0</v>
      </c>
      <c r="IL70" s="88">
        <f t="shared" si="120"/>
        <v>1258019.2600258123</v>
      </c>
      <c r="IM70" s="88">
        <f t="shared" si="120"/>
        <v>-466021.61332717555</v>
      </c>
      <c r="IN70" s="88">
        <f t="shared" si="120"/>
        <v>0</v>
      </c>
      <c r="IO70" s="88">
        <f t="shared" si="120"/>
        <v>0</v>
      </c>
      <c r="IP70" s="88">
        <f t="shared" si="120"/>
        <v>0</v>
      </c>
      <c r="IQ70" s="88">
        <f t="shared" si="120"/>
        <v>0</v>
      </c>
      <c r="IR70" s="88">
        <f t="shared" si="120"/>
        <v>0</v>
      </c>
      <c r="IS70" s="88">
        <f t="shared" si="120"/>
        <v>2635103.6766769793</v>
      </c>
      <c r="IT70" s="88">
        <f t="shared" si="120"/>
        <v>0</v>
      </c>
      <c r="IU70" s="88">
        <f t="shared" si="120"/>
        <v>0</v>
      </c>
      <c r="IV70" s="88">
        <f t="shared" si="120"/>
        <v>0</v>
      </c>
      <c r="IW70" s="88">
        <f t="shared" si="120"/>
        <v>0</v>
      </c>
      <c r="IX70" s="88">
        <f t="shared" si="120"/>
        <v>0</v>
      </c>
      <c r="IY70" s="88">
        <f t="shared" si="120"/>
        <v>0</v>
      </c>
      <c r="IZ70" s="88">
        <f t="shared" si="120"/>
        <v>0</v>
      </c>
      <c r="JA70" s="88">
        <f t="shared" si="120"/>
        <v>0</v>
      </c>
      <c r="JB70" s="88">
        <f t="shared" si="120"/>
        <v>0</v>
      </c>
      <c r="JC70" s="88">
        <f t="shared" si="120"/>
        <v>0</v>
      </c>
      <c r="JD70" s="88">
        <f t="shared" si="120"/>
        <v>11923976.758732004</v>
      </c>
      <c r="JE70" s="88">
        <f t="shared" si="120"/>
        <v>-281936.64785527176</v>
      </c>
      <c r="JF70" s="88">
        <f t="shared" si="120"/>
        <v>0</v>
      </c>
      <c r="JG70" s="88">
        <f t="shared" si="120"/>
        <v>-506663.42856602324</v>
      </c>
      <c r="JH70" s="88">
        <f t="shared" si="120"/>
        <v>-318074.29405001638</v>
      </c>
      <c r="JI70" s="88">
        <f t="shared" si="120"/>
        <v>877671.99552158406</v>
      </c>
      <c r="JJ70" s="88">
        <f t="shared" si="120"/>
        <v>0</v>
      </c>
      <c r="JK70" s="88">
        <f t="shared" si="120"/>
        <v>-42593664.545460016</v>
      </c>
      <c r="JL70" s="88">
        <f t="shared" si="120"/>
        <v>-1434544.471590437</v>
      </c>
      <c r="JM70" s="88">
        <f t="shared" si="120"/>
        <v>67777718.092956439</v>
      </c>
      <c r="JN70" s="88">
        <f t="shared" si="120"/>
        <v>1327526.8156388907</v>
      </c>
      <c r="JO70" s="88">
        <f t="shared" si="120"/>
        <v>30829538.702919189</v>
      </c>
      <c r="JP70" s="88">
        <f t="shared" si="120"/>
        <v>-6194334.6591652436</v>
      </c>
      <c r="JQ70" s="88">
        <f t="shared" si="120"/>
        <v>-59139737.617427692</v>
      </c>
      <c r="JR70" s="88">
        <f t="shared" si="120"/>
        <v>-5997.673006758836</v>
      </c>
      <c r="JS70" s="88">
        <f t="shared" si="120"/>
        <v>15133.981774029366</v>
      </c>
      <c r="JT70" s="88">
        <f t="shared" si="120"/>
        <v>0</v>
      </c>
      <c r="JU70" s="88">
        <f t="shared" si="120"/>
        <v>-3807366.2937713098</v>
      </c>
      <c r="JV70" s="88">
        <f t="shared" si="120"/>
        <v>0</v>
      </c>
      <c r="JW70" s="88">
        <f t="shared" si="120"/>
        <v>-1682438.2678550251</v>
      </c>
      <c r="JX70" s="88">
        <f t="shared" si="120"/>
        <v>177413.69518411622</v>
      </c>
      <c r="JY70" s="88">
        <f t="shared" si="120"/>
        <v>-6221985.663739305</v>
      </c>
      <c r="JZ70" s="88">
        <f t="shared" si="120"/>
        <v>0</v>
      </c>
      <c r="KA70" s="88">
        <f t="shared" ref="KA70:KB70" si="121">-KA69/KA68</f>
        <v>-5534133.207867383</v>
      </c>
      <c r="KB70" s="88">
        <f t="shared" si="121"/>
        <v>-142.36535621313385</v>
      </c>
      <c r="KC70" s="88">
        <f>-KC69/KC68</f>
        <v>0</v>
      </c>
      <c r="KD70" s="88">
        <f>-KD69/KD68</f>
        <v>-551372.03516956908</v>
      </c>
      <c r="KE70" s="88">
        <f>-KE69/KE68</f>
        <v>-32967489.32177005</v>
      </c>
      <c r="KF70" s="88">
        <f>-KF69/KF68</f>
        <v>216253866.24030811</v>
      </c>
      <c r="KG70" s="43" t="s">
        <v>34</v>
      </c>
    </row>
    <row r="71" spans="1:293" x14ac:dyDescent="0.3">
      <c r="C71" s="90">
        <f t="shared" ref="C71:AO71" si="122">+C62-C70</f>
        <v>0</v>
      </c>
      <c r="D71" s="90">
        <f t="shared" si="122"/>
        <v>0</v>
      </c>
      <c r="E71" s="90">
        <f t="shared" si="122"/>
        <v>0</v>
      </c>
      <c r="F71" s="90">
        <f t="shared" si="122"/>
        <v>0</v>
      </c>
      <c r="G71" s="90">
        <f t="shared" si="122"/>
        <v>0</v>
      </c>
      <c r="H71" s="90">
        <f t="shared" si="122"/>
        <v>0</v>
      </c>
      <c r="I71" s="90">
        <f t="shared" si="122"/>
        <v>0</v>
      </c>
      <c r="J71" s="90">
        <f t="shared" si="122"/>
        <v>0</v>
      </c>
      <c r="K71" s="90">
        <f t="shared" si="122"/>
        <v>0</v>
      </c>
      <c r="L71" s="90">
        <f t="shared" si="122"/>
        <v>0</v>
      </c>
      <c r="M71" s="90">
        <f t="shared" si="122"/>
        <v>0</v>
      </c>
      <c r="N71" s="90">
        <f t="shared" si="122"/>
        <v>0</v>
      </c>
      <c r="O71" s="90">
        <f t="shared" si="122"/>
        <v>0</v>
      </c>
      <c r="P71" s="90">
        <f t="shared" si="122"/>
        <v>0</v>
      </c>
      <c r="Q71" s="90">
        <f t="shared" si="122"/>
        <v>0</v>
      </c>
      <c r="R71" s="90">
        <f t="shared" si="122"/>
        <v>0</v>
      </c>
      <c r="S71" s="90">
        <f t="shared" si="122"/>
        <v>0</v>
      </c>
      <c r="T71" s="90">
        <f t="shared" si="122"/>
        <v>0</v>
      </c>
      <c r="U71" s="90">
        <f t="shared" si="122"/>
        <v>0</v>
      </c>
      <c r="V71" s="90">
        <f t="shared" si="122"/>
        <v>0</v>
      </c>
      <c r="W71" s="90">
        <f t="shared" si="122"/>
        <v>0</v>
      </c>
      <c r="X71" s="90">
        <f t="shared" si="122"/>
        <v>0</v>
      </c>
      <c r="Y71" s="90">
        <f t="shared" si="122"/>
        <v>0</v>
      </c>
      <c r="Z71" s="90">
        <f t="shared" si="122"/>
        <v>0</v>
      </c>
      <c r="AA71" s="90">
        <f t="shared" si="122"/>
        <v>0</v>
      </c>
      <c r="AB71" s="90">
        <f t="shared" si="122"/>
        <v>0</v>
      </c>
      <c r="AC71" s="90">
        <f t="shared" si="122"/>
        <v>0</v>
      </c>
      <c r="AD71" s="90">
        <f t="shared" si="122"/>
        <v>0</v>
      </c>
      <c r="AE71" s="90">
        <f t="shared" si="122"/>
        <v>0</v>
      </c>
      <c r="AF71" s="90">
        <f t="shared" si="122"/>
        <v>0</v>
      </c>
      <c r="AG71" s="90">
        <f t="shared" si="122"/>
        <v>0</v>
      </c>
      <c r="AH71" s="90">
        <f t="shared" si="122"/>
        <v>0</v>
      </c>
      <c r="AI71" s="90">
        <f t="shared" si="122"/>
        <v>0</v>
      </c>
      <c r="AJ71" s="90">
        <f t="shared" si="122"/>
        <v>0</v>
      </c>
      <c r="AK71" s="90">
        <f t="shared" si="122"/>
        <v>0</v>
      </c>
      <c r="AL71" s="90">
        <f t="shared" si="122"/>
        <v>0</v>
      </c>
      <c r="AM71" s="90">
        <f t="shared" si="122"/>
        <v>0</v>
      </c>
      <c r="AN71" s="90">
        <f t="shared" si="122"/>
        <v>0</v>
      </c>
      <c r="AO71" s="90">
        <f t="shared" si="122"/>
        <v>0</v>
      </c>
      <c r="AP71" s="90">
        <f t="shared" ref="AP71" si="123">+AP62-AP70</f>
        <v>-724069.1837563694</v>
      </c>
      <c r="AQ71" s="90">
        <f t="shared" ref="AQ71:BV71" si="124">+AQ62-AQ70</f>
        <v>0</v>
      </c>
      <c r="AR71" s="90">
        <f t="shared" si="124"/>
        <v>0</v>
      </c>
      <c r="AS71" s="90">
        <f t="shared" si="124"/>
        <v>0</v>
      </c>
      <c r="AT71" s="90">
        <f t="shared" si="124"/>
        <v>0</v>
      </c>
      <c r="AU71" s="90">
        <f t="shared" si="124"/>
        <v>0</v>
      </c>
      <c r="AV71" s="90">
        <f t="shared" si="124"/>
        <v>0</v>
      </c>
      <c r="AW71" s="90">
        <f t="shared" si="124"/>
        <v>0</v>
      </c>
      <c r="AX71" s="90">
        <f t="shared" si="124"/>
        <v>0</v>
      </c>
      <c r="AY71" s="90">
        <f t="shared" si="124"/>
        <v>0</v>
      </c>
      <c r="AZ71" s="90">
        <f t="shared" si="124"/>
        <v>0</v>
      </c>
      <c r="BA71" s="90">
        <f t="shared" si="124"/>
        <v>0</v>
      </c>
      <c r="BB71" s="90">
        <f t="shared" si="124"/>
        <v>0</v>
      </c>
      <c r="BC71" s="90">
        <f t="shared" si="124"/>
        <v>0</v>
      </c>
      <c r="BD71" s="90">
        <f t="shared" si="124"/>
        <v>0</v>
      </c>
      <c r="BE71" s="90">
        <f t="shared" si="124"/>
        <v>0</v>
      </c>
      <c r="BF71" s="90">
        <f t="shared" si="124"/>
        <v>0</v>
      </c>
      <c r="BG71" s="90">
        <f t="shared" si="124"/>
        <v>0</v>
      </c>
      <c r="BH71" s="90">
        <f t="shared" si="124"/>
        <v>0</v>
      </c>
      <c r="BI71" s="90">
        <f t="shared" si="124"/>
        <v>0</v>
      </c>
      <c r="BJ71" s="90">
        <f t="shared" si="124"/>
        <v>0</v>
      </c>
      <c r="BK71" s="90">
        <f t="shared" si="124"/>
        <v>0</v>
      </c>
      <c r="BL71" s="90">
        <f t="shared" si="124"/>
        <v>0</v>
      </c>
      <c r="BM71" s="90">
        <f t="shared" si="124"/>
        <v>0</v>
      </c>
      <c r="BN71" s="90">
        <f t="shared" si="124"/>
        <v>0</v>
      </c>
      <c r="BO71" s="90">
        <f t="shared" si="124"/>
        <v>0</v>
      </c>
      <c r="BP71" s="90">
        <f t="shared" si="124"/>
        <v>0</v>
      </c>
      <c r="BQ71" s="90">
        <f t="shared" si="124"/>
        <v>0</v>
      </c>
      <c r="BR71" s="90">
        <f t="shared" si="124"/>
        <v>0</v>
      </c>
      <c r="BS71" s="90">
        <f t="shared" si="124"/>
        <v>0</v>
      </c>
      <c r="BT71" s="90">
        <f t="shared" si="124"/>
        <v>0</v>
      </c>
      <c r="BU71" s="90">
        <f t="shared" si="124"/>
        <v>0</v>
      </c>
      <c r="BV71" s="90">
        <f t="shared" si="124"/>
        <v>0</v>
      </c>
      <c r="BW71" s="90">
        <f t="shared" ref="BW71:DB71" si="125">+BW62-BW70</f>
        <v>0</v>
      </c>
      <c r="BX71" s="90">
        <f t="shared" si="125"/>
        <v>0</v>
      </c>
      <c r="BY71" s="90">
        <f t="shared" si="125"/>
        <v>0</v>
      </c>
      <c r="BZ71" s="90">
        <f t="shared" si="125"/>
        <v>0</v>
      </c>
      <c r="CA71" s="90">
        <f t="shared" si="125"/>
        <v>0</v>
      </c>
      <c r="CB71" s="90">
        <f t="shared" si="125"/>
        <v>0</v>
      </c>
      <c r="CC71" s="90">
        <f t="shared" si="125"/>
        <v>0</v>
      </c>
      <c r="CD71" s="90">
        <f t="shared" si="125"/>
        <v>0</v>
      </c>
      <c r="CE71" s="90">
        <f t="shared" si="125"/>
        <v>0</v>
      </c>
      <c r="CF71" s="90">
        <f t="shared" si="125"/>
        <v>0</v>
      </c>
      <c r="CG71" s="90">
        <f t="shared" si="125"/>
        <v>0</v>
      </c>
      <c r="CH71" s="90">
        <f t="shared" si="125"/>
        <v>0</v>
      </c>
      <c r="CI71" s="90">
        <f t="shared" si="125"/>
        <v>0</v>
      </c>
      <c r="CJ71" s="90">
        <f t="shared" si="125"/>
        <v>0</v>
      </c>
      <c r="CK71" s="90">
        <f t="shared" si="125"/>
        <v>0</v>
      </c>
      <c r="CL71" s="90">
        <f t="shared" si="125"/>
        <v>0</v>
      </c>
      <c r="CM71" s="90">
        <f t="shared" si="125"/>
        <v>0</v>
      </c>
      <c r="CN71" s="90">
        <f t="shared" si="125"/>
        <v>0</v>
      </c>
      <c r="CO71" s="90">
        <f t="shared" si="125"/>
        <v>0</v>
      </c>
      <c r="CP71" s="90">
        <f t="shared" si="125"/>
        <v>0</v>
      </c>
      <c r="CQ71" s="90">
        <f t="shared" si="125"/>
        <v>0</v>
      </c>
      <c r="CR71" s="90">
        <f t="shared" si="125"/>
        <v>0</v>
      </c>
      <c r="CS71" s="90">
        <f t="shared" si="125"/>
        <v>0</v>
      </c>
      <c r="CT71" s="90">
        <f t="shared" si="125"/>
        <v>0</v>
      </c>
      <c r="CU71" s="90">
        <f t="shared" si="125"/>
        <v>0</v>
      </c>
      <c r="CV71" s="90">
        <f t="shared" si="125"/>
        <v>0</v>
      </c>
      <c r="CW71" s="90">
        <f t="shared" si="125"/>
        <v>0</v>
      </c>
      <c r="CX71" s="90">
        <f t="shared" si="125"/>
        <v>0</v>
      </c>
      <c r="CY71" s="90">
        <f t="shared" si="125"/>
        <v>0</v>
      </c>
      <c r="CZ71" s="90">
        <f t="shared" si="125"/>
        <v>0</v>
      </c>
      <c r="DA71" s="90">
        <f t="shared" si="125"/>
        <v>0</v>
      </c>
      <c r="DB71" s="90">
        <f t="shared" si="125"/>
        <v>0</v>
      </c>
      <c r="DC71" s="90">
        <f t="shared" ref="DC71:EH71" si="126">+DC62-DC70</f>
        <v>0</v>
      </c>
      <c r="DD71" s="90">
        <f t="shared" si="126"/>
        <v>0</v>
      </c>
      <c r="DE71" s="90">
        <f t="shared" si="126"/>
        <v>0</v>
      </c>
      <c r="DF71" s="90">
        <f t="shared" si="126"/>
        <v>0</v>
      </c>
      <c r="DG71" s="90">
        <f t="shared" si="126"/>
        <v>0</v>
      </c>
      <c r="DH71" s="90">
        <f t="shared" si="126"/>
        <v>0</v>
      </c>
      <c r="DI71" s="90">
        <f t="shared" si="126"/>
        <v>0</v>
      </c>
      <c r="DJ71" s="90">
        <f t="shared" si="126"/>
        <v>0</v>
      </c>
      <c r="DK71" s="90">
        <f t="shared" si="126"/>
        <v>0</v>
      </c>
      <c r="DL71" s="90">
        <f t="shared" si="126"/>
        <v>0</v>
      </c>
      <c r="DM71" s="90">
        <f t="shared" si="126"/>
        <v>0</v>
      </c>
      <c r="DN71" s="90">
        <f t="shared" si="126"/>
        <v>0</v>
      </c>
      <c r="DO71" s="90">
        <f t="shared" si="126"/>
        <v>0</v>
      </c>
      <c r="DP71" s="90">
        <f t="shared" si="126"/>
        <v>0</v>
      </c>
      <c r="DQ71" s="90">
        <f t="shared" si="126"/>
        <v>0</v>
      </c>
      <c r="DR71" s="90">
        <f t="shared" si="126"/>
        <v>0</v>
      </c>
      <c r="DS71" s="90">
        <f t="shared" si="126"/>
        <v>0</v>
      </c>
      <c r="DT71" s="90">
        <f t="shared" si="126"/>
        <v>0</v>
      </c>
      <c r="DU71" s="90">
        <f t="shared" si="126"/>
        <v>0</v>
      </c>
      <c r="DV71" s="90">
        <f t="shared" si="126"/>
        <v>0</v>
      </c>
      <c r="DW71" s="90">
        <f t="shared" si="126"/>
        <v>0</v>
      </c>
      <c r="DX71" s="90">
        <f t="shared" si="126"/>
        <v>0</v>
      </c>
      <c r="DY71" s="90">
        <f t="shared" si="126"/>
        <v>0</v>
      </c>
      <c r="DZ71" s="90">
        <f t="shared" si="126"/>
        <v>0</v>
      </c>
      <c r="EA71" s="90">
        <f t="shared" si="126"/>
        <v>0</v>
      </c>
      <c r="EB71" s="90">
        <f t="shared" si="126"/>
        <v>0</v>
      </c>
      <c r="EC71" s="90">
        <f t="shared" si="126"/>
        <v>0</v>
      </c>
      <c r="ED71" s="90">
        <f t="shared" si="126"/>
        <v>0</v>
      </c>
      <c r="EE71" s="90">
        <f t="shared" si="126"/>
        <v>0</v>
      </c>
      <c r="EF71" s="90">
        <f t="shared" si="126"/>
        <v>0</v>
      </c>
      <c r="EG71" s="90">
        <f t="shared" si="126"/>
        <v>0</v>
      </c>
      <c r="EH71" s="90">
        <f t="shared" si="126"/>
        <v>0</v>
      </c>
      <c r="EI71" s="90">
        <f t="shared" ref="EI71:FN71" si="127">+EI62-EI70</f>
        <v>0</v>
      </c>
      <c r="EJ71" s="90">
        <f t="shared" si="127"/>
        <v>0</v>
      </c>
      <c r="EK71" s="90">
        <f t="shared" si="127"/>
        <v>0</v>
      </c>
      <c r="EL71" s="90">
        <f t="shared" si="127"/>
        <v>0</v>
      </c>
      <c r="EM71" s="90">
        <f t="shared" si="127"/>
        <v>0</v>
      </c>
      <c r="EN71" s="90">
        <f t="shared" si="127"/>
        <v>0</v>
      </c>
      <c r="EO71" s="90">
        <f t="shared" si="127"/>
        <v>0</v>
      </c>
      <c r="EP71" s="90">
        <f t="shared" si="127"/>
        <v>0</v>
      </c>
      <c r="EQ71" s="90">
        <f t="shared" si="127"/>
        <v>0</v>
      </c>
      <c r="ER71" s="90">
        <f t="shared" si="127"/>
        <v>0</v>
      </c>
      <c r="ES71" s="90">
        <f t="shared" si="127"/>
        <v>0</v>
      </c>
      <c r="ET71" s="90">
        <f t="shared" si="127"/>
        <v>0</v>
      </c>
      <c r="EU71" s="90">
        <f t="shared" si="127"/>
        <v>0</v>
      </c>
      <c r="EV71" s="90">
        <f t="shared" si="127"/>
        <v>0</v>
      </c>
      <c r="EW71" s="90">
        <f t="shared" si="127"/>
        <v>0</v>
      </c>
      <c r="EX71" s="90">
        <f t="shared" si="127"/>
        <v>0</v>
      </c>
      <c r="EY71" s="90">
        <f t="shared" si="127"/>
        <v>0</v>
      </c>
      <c r="EZ71" s="90">
        <f t="shared" si="127"/>
        <v>0</v>
      </c>
      <c r="FA71" s="90">
        <f t="shared" si="127"/>
        <v>0</v>
      </c>
      <c r="FB71" s="90">
        <f t="shared" si="127"/>
        <v>0</v>
      </c>
      <c r="FC71" s="90">
        <f t="shared" si="127"/>
        <v>0</v>
      </c>
      <c r="FD71" s="90">
        <f t="shared" si="127"/>
        <v>0</v>
      </c>
      <c r="FE71" s="90">
        <f t="shared" si="127"/>
        <v>0</v>
      </c>
      <c r="FF71" s="90">
        <f t="shared" si="127"/>
        <v>0</v>
      </c>
      <c r="FG71" s="90">
        <f t="shared" si="127"/>
        <v>0</v>
      </c>
      <c r="FH71" s="90">
        <f t="shared" si="127"/>
        <v>0</v>
      </c>
      <c r="FI71" s="90">
        <f t="shared" si="127"/>
        <v>0</v>
      </c>
      <c r="FJ71" s="90">
        <f t="shared" si="127"/>
        <v>0</v>
      </c>
      <c r="FK71" s="90">
        <f t="shared" si="127"/>
        <v>0</v>
      </c>
      <c r="FL71" s="90">
        <f t="shared" si="127"/>
        <v>0</v>
      </c>
      <c r="FM71" s="90">
        <f t="shared" si="127"/>
        <v>0</v>
      </c>
      <c r="FN71" s="90">
        <f t="shared" si="127"/>
        <v>0</v>
      </c>
      <c r="FO71" s="90">
        <f t="shared" ref="FO71:GC71" si="128">+FO62-FO70</f>
        <v>0</v>
      </c>
      <c r="FP71" s="90">
        <f t="shared" si="128"/>
        <v>0</v>
      </c>
      <c r="FQ71" s="90">
        <f t="shared" si="128"/>
        <v>0</v>
      </c>
      <c r="FR71" s="90">
        <f t="shared" si="128"/>
        <v>0</v>
      </c>
      <c r="FS71" s="90">
        <f t="shared" si="128"/>
        <v>0</v>
      </c>
      <c r="FT71" s="90">
        <f t="shared" si="128"/>
        <v>0</v>
      </c>
      <c r="FU71" s="90">
        <f t="shared" si="128"/>
        <v>0</v>
      </c>
      <c r="FV71" s="90">
        <f t="shared" si="128"/>
        <v>0</v>
      </c>
      <c r="FW71" s="90">
        <f t="shared" si="128"/>
        <v>0</v>
      </c>
      <c r="FX71" s="90">
        <f t="shared" si="128"/>
        <v>0</v>
      </c>
      <c r="FY71" s="90">
        <f t="shared" si="128"/>
        <v>0</v>
      </c>
      <c r="FZ71" s="90">
        <f t="shared" si="128"/>
        <v>0</v>
      </c>
      <c r="GA71" s="90">
        <f t="shared" si="128"/>
        <v>0</v>
      </c>
      <c r="GB71" s="90">
        <f t="shared" si="128"/>
        <v>0</v>
      </c>
      <c r="GC71" s="90">
        <f t="shared" si="128"/>
        <v>0</v>
      </c>
      <c r="GD71" s="90">
        <f t="shared" ref="GD71:GF71" si="129">+GD62-GD70</f>
        <v>0</v>
      </c>
      <c r="GE71" s="90">
        <f t="shared" si="129"/>
        <v>-6368155.7957535405</v>
      </c>
      <c r="GF71" s="90">
        <f t="shared" si="129"/>
        <v>-386185.67482974741</v>
      </c>
      <c r="GG71" s="90">
        <f t="shared" ref="GG71:IB71" si="130">+GG62-GG70</f>
        <v>0</v>
      </c>
      <c r="GH71" s="90">
        <f t="shared" si="130"/>
        <v>0</v>
      </c>
      <c r="GI71" s="90">
        <f t="shared" si="130"/>
        <v>0</v>
      </c>
      <c r="GJ71" s="90">
        <f t="shared" si="130"/>
        <v>0</v>
      </c>
      <c r="GK71" s="90">
        <f t="shared" si="130"/>
        <v>0</v>
      </c>
      <c r="GL71" s="90">
        <f t="shared" si="130"/>
        <v>0</v>
      </c>
      <c r="GM71" s="90">
        <f t="shared" si="130"/>
        <v>0</v>
      </c>
      <c r="GN71" s="90">
        <f t="shared" si="130"/>
        <v>0</v>
      </c>
      <c r="GO71" s="90">
        <f t="shared" si="130"/>
        <v>0</v>
      </c>
      <c r="GP71" s="90">
        <f t="shared" si="130"/>
        <v>0</v>
      </c>
      <c r="GQ71" s="90">
        <f t="shared" si="130"/>
        <v>0</v>
      </c>
      <c r="GR71" s="90">
        <f t="shared" si="130"/>
        <v>0</v>
      </c>
      <c r="GS71" s="90">
        <f t="shared" si="130"/>
        <v>0</v>
      </c>
      <c r="GT71" s="90">
        <f t="shared" si="130"/>
        <v>0</v>
      </c>
      <c r="GU71" s="90">
        <f t="shared" si="130"/>
        <v>0</v>
      </c>
      <c r="GV71" s="90">
        <f t="shared" si="130"/>
        <v>0</v>
      </c>
      <c r="GW71" s="90">
        <f t="shared" si="130"/>
        <v>0</v>
      </c>
      <c r="GX71" s="90">
        <f t="shared" si="130"/>
        <v>0</v>
      </c>
      <c r="GY71" s="90">
        <f t="shared" si="130"/>
        <v>0</v>
      </c>
      <c r="GZ71" s="90">
        <f t="shared" si="130"/>
        <v>0</v>
      </c>
      <c r="HA71" s="90">
        <f t="shared" si="130"/>
        <v>0</v>
      </c>
      <c r="HB71" s="90">
        <f t="shared" si="130"/>
        <v>0</v>
      </c>
      <c r="HC71" s="90">
        <f t="shared" si="130"/>
        <v>0</v>
      </c>
      <c r="HD71" s="90">
        <f t="shared" si="130"/>
        <v>0</v>
      </c>
      <c r="HE71" s="90">
        <f t="shared" si="130"/>
        <v>0</v>
      </c>
      <c r="HF71" s="90">
        <f t="shared" si="130"/>
        <v>0</v>
      </c>
      <c r="HG71" s="90">
        <f t="shared" si="130"/>
        <v>0</v>
      </c>
      <c r="HH71" s="90">
        <f t="shared" si="130"/>
        <v>0</v>
      </c>
      <c r="HI71" s="90">
        <f t="shared" si="130"/>
        <v>0</v>
      </c>
      <c r="HJ71" s="90">
        <f t="shared" si="130"/>
        <v>0</v>
      </c>
      <c r="HK71" s="90">
        <f t="shared" si="130"/>
        <v>0</v>
      </c>
      <c r="HL71" s="90">
        <f t="shared" si="130"/>
        <v>0</v>
      </c>
      <c r="HM71" s="90">
        <f t="shared" si="130"/>
        <v>0</v>
      </c>
      <c r="HN71" s="90">
        <f t="shared" si="130"/>
        <v>0</v>
      </c>
      <c r="HO71" s="90">
        <f t="shared" si="130"/>
        <v>0</v>
      </c>
      <c r="HP71" s="90">
        <f t="shared" si="130"/>
        <v>0</v>
      </c>
      <c r="HQ71" s="90">
        <f t="shared" si="130"/>
        <v>0</v>
      </c>
      <c r="HR71" s="90">
        <f t="shared" si="130"/>
        <v>0</v>
      </c>
      <c r="HS71" s="90">
        <f t="shared" si="130"/>
        <v>0</v>
      </c>
      <c r="HT71" s="90">
        <f t="shared" si="130"/>
        <v>0</v>
      </c>
      <c r="HU71" s="90">
        <f t="shared" si="130"/>
        <v>0</v>
      </c>
      <c r="HV71" s="90">
        <f t="shared" si="130"/>
        <v>0</v>
      </c>
      <c r="HW71" s="90">
        <f t="shared" si="130"/>
        <v>0</v>
      </c>
      <c r="HX71" s="90">
        <f t="shared" si="130"/>
        <v>0</v>
      </c>
      <c r="HY71" s="90">
        <f t="shared" si="130"/>
        <v>0</v>
      </c>
      <c r="HZ71" s="90">
        <f t="shared" si="130"/>
        <v>0</v>
      </c>
      <c r="IA71" s="90">
        <f t="shared" si="130"/>
        <v>0</v>
      </c>
      <c r="IB71" s="90">
        <f t="shared" si="130"/>
        <v>0</v>
      </c>
      <c r="IC71" s="90">
        <f t="shared" ref="IC71:ID71" si="131">+IC62-IC70</f>
        <v>-15726095.815148044</v>
      </c>
      <c r="ID71" s="90">
        <f t="shared" si="131"/>
        <v>-370.82251579279261</v>
      </c>
      <c r="IE71" s="90">
        <f t="shared" ref="IE71:JZ71" si="132">+IE62-IE70</f>
        <v>0</v>
      </c>
      <c r="IF71" s="90">
        <f t="shared" si="132"/>
        <v>0</v>
      </c>
      <c r="IG71" s="90">
        <f t="shared" si="132"/>
        <v>0</v>
      </c>
      <c r="IH71" s="90">
        <f t="shared" si="132"/>
        <v>0</v>
      </c>
      <c r="II71" s="90">
        <f t="shared" si="132"/>
        <v>0</v>
      </c>
      <c r="IJ71" s="90">
        <f t="shared" si="132"/>
        <v>0</v>
      </c>
      <c r="IK71" s="90">
        <f t="shared" si="132"/>
        <v>0</v>
      </c>
      <c r="IL71" s="90">
        <f t="shared" si="132"/>
        <v>0</v>
      </c>
      <c r="IM71" s="90">
        <f t="shared" si="132"/>
        <v>0</v>
      </c>
      <c r="IN71" s="90">
        <f t="shared" si="132"/>
        <v>0</v>
      </c>
      <c r="IO71" s="90">
        <f t="shared" si="132"/>
        <v>0</v>
      </c>
      <c r="IP71" s="90">
        <f t="shared" si="132"/>
        <v>0</v>
      </c>
      <c r="IQ71" s="90">
        <f t="shared" si="132"/>
        <v>0</v>
      </c>
      <c r="IR71" s="90">
        <f t="shared" si="132"/>
        <v>0</v>
      </c>
      <c r="IS71" s="90">
        <f t="shared" si="132"/>
        <v>0</v>
      </c>
      <c r="IT71" s="90">
        <f t="shared" si="132"/>
        <v>0</v>
      </c>
      <c r="IU71" s="90">
        <f t="shared" si="132"/>
        <v>0</v>
      </c>
      <c r="IV71" s="90">
        <f t="shared" si="132"/>
        <v>0</v>
      </c>
      <c r="IW71" s="90">
        <f t="shared" si="132"/>
        <v>0</v>
      </c>
      <c r="IX71" s="90">
        <f t="shared" si="132"/>
        <v>0</v>
      </c>
      <c r="IY71" s="90">
        <f t="shared" si="132"/>
        <v>0</v>
      </c>
      <c r="IZ71" s="90">
        <f t="shared" si="132"/>
        <v>0</v>
      </c>
      <c r="JA71" s="90">
        <f t="shared" si="132"/>
        <v>0</v>
      </c>
      <c r="JB71" s="90">
        <f t="shared" si="132"/>
        <v>0</v>
      </c>
      <c r="JC71" s="90">
        <f t="shared" si="132"/>
        <v>0</v>
      </c>
      <c r="JD71" s="90">
        <f t="shared" si="132"/>
        <v>0</v>
      </c>
      <c r="JE71" s="90">
        <f t="shared" si="132"/>
        <v>0</v>
      </c>
      <c r="JF71" s="90">
        <f t="shared" si="132"/>
        <v>0</v>
      </c>
      <c r="JG71" s="90">
        <f t="shared" si="132"/>
        <v>0</v>
      </c>
      <c r="JH71" s="90">
        <f t="shared" si="132"/>
        <v>0</v>
      </c>
      <c r="JI71" s="90">
        <f t="shared" si="132"/>
        <v>0</v>
      </c>
      <c r="JJ71" s="90">
        <f t="shared" si="132"/>
        <v>0</v>
      </c>
      <c r="JK71" s="90">
        <f t="shared" si="132"/>
        <v>0</v>
      </c>
      <c r="JL71" s="90">
        <f t="shared" si="132"/>
        <v>0</v>
      </c>
      <c r="JM71" s="90">
        <f t="shared" si="132"/>
        <v>0</v>
      </c>
      <c r="JN71" s="90">
        <f t="shared" si="132"/>
        <v>0</v>
      </c>
      <c r="JO71" s="90">
        <f t="shared" si="132"/>
        <v>0</v>
      </c>
      <c r="JP71" s="90">
        <f t="shared" si="132"/>
        <v>0</v>
      </c>
      <c r="JQ71" s="90">
        <f t="shared" si="132"/>
        <v>0</v>
      </c>
      <c r="JR71" s="90">
        <f t="shared" si="132"/>
        <v>0</v>
      </c>
      <c r="JS71" s="90">
        <f t="shared" si="132"/>
        <v>0</v>
      </c>
      <c r="JT71" s="90">
        <f t="shared" si="132"/>
        <v>0</v>
      </c>
      <c r="JU71" s="90">
        <f t="shared" si="132"/>
        <v>0</v>
      </c>
      <c r="JV71" s="90">
        <f t="shared" si="132"/>
        <v>0</v>
      </c>
      <c r="JW71" s="90">
        <f t="shared" si="132"/>
        <v>0</v>
      </c>
      <c r="JX71" s="90">
        <f t="shared" si="132"/>
        <v>0</v>
      </c>
      <c r="JY71" s="90">
        <f t="shared" si="132"/>
        <v>0</v>
      </c>
      <c r="JZ71" s="90">
        <f t="shared" si="132"/>
        <v>0</v>
      </c>
      <c r="KA71" s="90">
        <f t="shared" ref="KA71:KB71" si="133">+KA62-KA70</f>
        <v>-14711494.461703271</v>
      </c>
      <c r="KB71" s="90">
        <f t="shared" si="133"/>
        <v>-378.45260871033986</v>
      </c>
      <c r="KC71" s="90">
        <f>+KC62-KC70</f>
        <v>0</v>
      </c>
      <c r="KD71" s="90">
        <f>+KD62-KD70</f>
        <v>0</v>
      </c>
      <c r="KE71" s="90">
        <f>+KE62-KE70</f>
        <v>0</v>
      </c>
      <c r="KF71" s="90">
        <f>+KF62-KF70</f>
        <v>0</v>
      </c>
      <c r="KG71" s="43" t="s">
        <v>34</v>
      </c>
    </row>
    <row r="72" spans="1:293" s="114" customFormat="1" x14ac:dyDescent="0.3">
      <c r="C72" s="115">
        <f t="shared" ref="C72:AO72" si="134">C57-C46</f>
        <v>0</v>
      </c>
      <c r="D72" s="114">
        <f t="shared" si="134"/>
        <v>0</v>
      </c>
      <c r="E72" s="114">
        <f t="shared" si="134"/>
        <v>0</v>
      </c>
      <c r="F72" s="114">
        <f t="shared" si="134"/>
        <v>0</v>
      </c>
      <c r="G72" s="114">
        <f t="shared" si="134"/>
        <v>0</v>
      </c>
      <c r="H72" s="114">
        <f t="shared" si="134"/>
        <v>0</v>
      </c>
      <c r="I72" s="114">
        <f t="shared" si="134"/>
        <v>0</v>
      </c>
      <c r="J72" s="114">
        <f t="shared" si="134"/>
        <v>0</v>
      </c>
      <c r="K72" s="114">
        <f t="shared" si="134"/>
        <v>0</v>
      </c>
      <c r="L72" s="114">
        <f t="shared" si="134"/>
        <v>0</v>
      </c>
      <c r="M72" s="114">
        <f t="shared" si="134"/>
        <v>0</v>
      </c>
      <c r="N72" s="114">
        <f t="shared" si="134"/>
        <v>0</v>
      </c>
      <c r="O72" s="114">
        <f t="shared" si="134"/>
        <v>0</v>
      </c>
      <c r="P72" s="114">
        <f t="shared" si="134"/>
        <v>0</v>
      </c>
      <c r="Q72" s="114">
        <f t="shared" si="134"/>
        <v>0</v>
      </c>
      <c r="R72" s="114">
        <f t="shared" si="134"/>
        <v>0</v>
      </c>
      <c r="S72" s="114">
        <f t="shared" si="134"/>
        <v>0</v>
      </c>
      <c r="T72" s="114">
        <f t="shared" si="134"/>
        <v>0</v>
      </c>
      <c r="U72" s="114">
        <f t="shared" si="134"/>
        <v>0</v>
      </c>
      <c r="V72" s="114">
        <f t="shared" si="134"/>
        <v>0</v>
      </c>
      <c r="W72" s="114">
        <f t="shared" si="134"/>
        <v>0</v>
      </c>
      <c r="X72" s="114">
        <f t="shared" si="134"/>
        <v>0</v>
      </c>
      <c r="Y72" s="114">
        <f t="shared" si="134"/>
        <v>0</v>
      </c>
      <c r="Z72" s="114">
        <f t="shared" si="134"/>
        <v>0</v>
      </c>
      <c r="AA72" s="114">
        <f t="shared" si="134"/>
        <v>0</v>
      </c>
      <c r="AB72" s="114">
        <f t="shared" si="134"/>
        <v>0</v>
      </c>
      <c r="AC72" s="114">
        <f t="shared" si="134"/>
        <v>0</v>
      </c>
      <c r="AD72" s="114">
        <f t="shared" si="134"/>
        <v>0</v>
      </c>
      <c r="AE72" s="114">
        <f t="shared" si="134"/>
        <v>0</v>
      </c>
      <c r="AF72" s="114">
        <f t="shared" si="134"/>
        <v>0</v>
      </c>
      <c r="AG72" s="114">
        <f t="shared" si="134"/>
        <v>0</v>
      </c>
      <c r="AH72" s="114">
        <f t="shared" si="134"/>
        <v>0</v>
      </c>
      <c r="AI72" s="114">
        <f t="shared" si="134"/>
        <v>0</v>
      </c>
      <c r="AJ72" s="114">
        <f t="shared" si="134"/>
        <v>0</v>
      </c>
      <c r="AK72" s="114">
        <f t="shared" si="134"/>
        <v>0</v>
      </c>
      <c r="AL72" s="114">
        <f t="shared" si="134"/>
        <v>0</v>
      </c>
      <c r="AM72" s="114">
        <f t="shared" si="134"/>
        <v>0</v>
      </c>
      <c r="AN72" s="114">
        <f t="shared" si="134"/>
        <v>0</v>
      </c>
      <c r="AO72" s="114">
        <f t="shared" si="134"/>
        <v>0</v>
      </c>
      <c r="AP72" s="114">
        <f t="shared" ref="AP72" si="135">AP57-AP46</f>
        <v>0</v>
      </c>
      <c r="AQ72" s="114">
        <f t="shared" ref="AQ72:BV72" si="136">AQ57-AQ46</f>
        <v>0</v>
      </c>
      <c r="AR72" s="114">
        <f t="shared" si="136"/>
        <v>0</v>
      </c>
      <c r="AS72" s="115">
        <f t="shared" si="136"/>
        <v>0</v>
      </c>
      <c r="AT72" s="114">
        <f t="shared" si="136"/>
        <v>0</v>
      </c>
      <c r="AU72" s="114">
        <f t="shared" si="136"/>
        <v>0</v>
      </c>
      <c r="AV72" s="114">
        <f t="shared" si="136"/>
        <v>0</v>
      </c>
      <c r="AW72" s="114">
        <f t="shared" si="136"/>
        <v>0</v>
      </c>
      <c r="AX72" s="114">
        <f t="shared" si="136"/>
        <v>0</v>
      </c>
      <c r="AY72" s="114">
        <f t="shared" si="136"/>
        <v>0</v>
      </c>
      <c r="AZ72" s="114">
        <f t="shared" si="136"/>
        <v>0</v>
      </c>
      <c r="BA72" s="114">
        <f t="shared" si="136"/>
        <v>0</v>
      </c>
      <c r="BB72" s="114">
        <f t="shared" si="136"/>
        <v>0</v>
      </c>
      <c r="BC72" s="114">
        <f t="shared" si="136"/>
        <v>0</v>
      </c>
      <c r="BD72" s="114">
        <f t="shared" si="136"/>
        <v>0</v>
      </c>
      <c r="BE72" s="114">
        <f t="shared" si="136"/>
        <v>0</v>
      </c>
      <c r="BF72" s="114">
        <f t="shared" si="136"/>
        <v>0</v>
      </c>
      <c r="BG72" s="114">
        <f t="shared" si="136"/>
        <v>0</v>
      </c>
      <c r="BH72" s="114">
        <f t="shared" si="136"/>
        <v>0</v>
      </c>
      <c r="BI72" s="114">
        <f t="shared" si="136"/>
        <v>0</v>
      </c>
      <c r="BJ72" s="114">
        <f t="shared" si="136"/>
        <v>0</v>
      </c>
      <c r="BK72" s="114">
        <f t="shared" si="136"/>
        <v>0</v>
      </c>
      <c r="BL72" s="114">
        <f t="shared" si="136"/>
        <v>0</v>
      </c>
      <c r="BM72" s="114">
        <f t="shared" si="136"/>
        <v>0</v>
      </c>
      <c r="BN72" s="114">
        <f t="shared" si="136"/>
        <v>0</v>
      </c>
      <c r="BO72" s="114">
        <f t="shared" si="136"/>
        <v>0</v>
      </c>
      <c r="BP72" s="114">
        <f t="shared" si="136"/>
        <v>0</v>
      </c>
      <c r="BQ72" s="114">
        <f t="shared" si="136"/>
        <v>0</v>
      </c>
      <c r="BR72" s="114">
        <f t="shared" si="136"/>
        <v>0</v>
      </c>
      <c r="BS72" s="114">
        <f t="shared" si="136"/>
        <v>0</v>
      </c>
      <c r="BT72" s="114">
        <f t="shared" si="136"/>
        <v>0</v>
      </c>
      <c r="BU72" s="114">
        <f t="shared" si="136"/>
        <v>0</v>
      </c>
      <c r="BV72" s="114">
        <f t="shared" si="136"/>
        <v>0</v>
      </c>
      <c r="BW72" s="114">
        <f t="shared" ref="BW72:DB72" si="137">BW57-BW46</f>
        <v>0</v>
      </c>
      <c r="BX72" s="114">
        <f t="shared" si="137"/>
        <v>0</v>
      </c>
      <c r="BY72" s="114">
        <f t="shared" si="137"/>
        <v>0</v>
      </c>
      <c r="BZ72" s="114">
        <f t="shared" si="137"/>
        <v>0</v>
      </c>
      <c r="CA72" s="114">
        <f t="shared" si="137"/>
        <v>0</v>
      </c>
      <c r="CB72" s="114">
        <f t="shared" si="137"/>
        <v>0</v>
      </c>
      <c r="CC72" s="114">
        <f t="shared" si="137"/>
        <v>0</v>
      </c>
      <c r="CD72" s="114">
        <f t="shared" si="137"/>
        <v>0</v>
      </c>
      <c r="CE72" s="114">
        <f t="shared" si="137"/>
        <v>0</v>
      </c>
      <c r="CF72" s="114">
        <f t="shared" si="137"/>
        <v>0</v>
      </c>
      <c r="CG72" s="114">
        <f t="shared" si="137"/>
        <v>0</v>
      </c>
      <c r="CH72" s="114">
        <f t="shared" si="137"/>
        <v>0</v>
      </c>
      <c r="CI72" s="114">
        <f t="shared" si="137"/>
        <v>0</v>
      </c>
      <c r="CJ72" s="114">
        <f t="shared" si="137"/>
        <v>0</v>
      </c>
      <c r="CK72" s="114">
        <f t="shared" si="137"/>
        <v>0</v>
      </c>
      <c r="CL72" s="114">
        <f t="shared" si="137"/>
        <v>0</v>
      </c>
      <c r="CM72" s="114">
        <f t="shared" si="137"/>
        <v>0</v>
      </c>
      <c r="CN72" s="114">
        <f t="shared" si="137"/>
        <v>0</v>
      </c>
      <c r="CO72" s="115">
        <f t="shared" si="137"/>
        <v>0</v>
      </c>
      <c r="CP72" s="114">
        <f t="shared" si="137"/>
        <v>0</v>
      </c>
      <c r="CQ72" s="114">
        <f t="shared" si="137"/>
        <v>0</v>
      </c>
      <c r="CR72" s="114">
        <f t="shared" si="137"/>
        <v>0</v>
      </c>
      <c r="CS72" s="114">
        <f t="shared" si="137"/>
        <v>0</v>
      </c>
      <c r="CT72" s="114">
        <f t="shared" si="137"/>
        <v>0</v>
      </c>
      <c r="CU72" s="114">
        <f t="shared" si="137"/>
        <v>0</v>
      </c>
      <c r="CV72" s="114">
        <f t="shared" si="137"/>
        <v>0</v>
      </c>
      <c r="CW72" s="114">
        <f t="shared" si="137"/>
        <v>0</v>
      </c>
      <c r="CX72" s="114">
        <f t="shared" si="137"/>
        <v>0</v>
      </c>
      <c r="CY72" s="114">
        <f t="shared" si="137"/>
        <v>0</v>
      </c>
      <c r="CZ72" s="114">
        <f t="shared" si="137"/>
        <v>0</v>
      </c>
      <c r="DA72" s="114">
        <f t="shared" si="137"/>
        <v>0</v>
      </c>
      <c r="DB72" s="114">
        <f t="shared" si="137"/>
        <v>0</v>
      </c>
      <c r="DC72" s="114">
        <f t="shared" ref="DC72:EH72" si="138">DC57-DC46</f>
        <v>0</v>
      </c>
      <c r="DD72" s="114">
        <f t="shared" si="138"/>
        <v>0</v>
      </c>
      <c r="DE72" s="114">
        <f t="shared" si="138"/>
        <v>0</v>
      </c>
      <c r="DF72" s="114">
        <f t="shared" si="138"/>
        <v>0</v>
      </c>
      <c r="DG72" s="114">
        <f t="shared" si="138"/>
        <v>0</v>
      </c>
      <c r="DH72" s="114">
        <f t="shared" si="138"/>
        <v>0</v>
      </c>
      <c r="DI72" s="114">
        <f t="shared" si="138"/>
        <v>0</v>
      </c>
      <c r="DJ72" s="114">
        <f t="shared" si="138"/>
        <v>0</v>
      </c>
      <c r="DK72" s="114">
        <f t="shared" si="138"/>
        <v>0</v>
      </c>
      <c r="DL72" s="114">
        <f t="shared" si="138"/>
        <v>0</v>
      </c>
      <c r="DM72" s="114">
        <f t="shared" si="138"/>
        <v>0</v>
      </c>
      <c r="DN72" s="114">
        <f t="shared" si="138"/>
        <v>0</v>
      </c>
      <c r="DO72" s="114">
        <f t="shared" si="138"/>
        <v>0</v>
      </c>
      <c r="DP72" s="114">
        <f t="shared" si="138"/>
        <v>0</v>
      </c>
      <c r="DQ72" s="114">
        <f t="shared" si="138"/>
        <v>0</v>
      </c>
      <c r="DR72" s="114">
        <f t="shared" si="138"/>
        <v>0</v>
      </c>
      <c r="DS72" s="114">
        <f t="shared" si="138"/>
        <v>0</v>
      </c>
      <c r="DT72" s="114">
        <f t="shared" si="138"/>
        <v>0</v>
      </c>
      <c r="DU72" s="114">
        <f t="shared" si="138"/>
        <v>0</v>
      </c>
      <c r="DV72" s="114">
        <f t="shared" si="138"/>
        <v>0</v>
      </c>
      <c r="DW72" s="114">
        <f t="shared" si="138"/>
        <v>0</v>
      </c>
      <c r="DX72" s="114">
        <f t="shared" si="138"/>
        <v>0</v>
      </c>
      <c r="DY72" s="114">
        <f t="shared" si="138"/>
        <v>0</v>
      </c>
      <c r="DZ72" s="114">
        <f t="shared" si="138"/>
        <v>0</v>
      </c>
      <c r="EA72" s="114">
        <f t="shared" si="138"/>
        <v>0</v>
      </c>
      <c r="EB72" s="114">
        <f t="shared" si="138"/>
        <v>0</v>
      </c>
      <c r="EC72" s="114">
        <f t="shared" si="138"/>
        <v>0</v>
      </c>
      <c r="ED72" s="114">
        <f t="shared" si="138"/>
        <v>0</v>
      </c>
      <c r="EE72" s="114">
        <f t="shared" si="138"/>
        <v>0</v>
      </c>
      <c r="EF72" s="114">
        <f t="shared" si="138"/>
        <v>0</v>
      </c>
      <c r="EG72" s="114">
        <f t="shared" si="138"/>
        <v>0</v>
      </c>
      <c r="EH72" s="114">
        <f t="shared" si="138"/>
        <v>0</v>
      </c>
      <c r="EI72" s="114">
        <f t="shared" ref="EI72:FN72" si="139">EI57-EI46</f>
        <v>0</v>
      </c>
      <c r="EJ72" s="114">
        <f t="shared" si="139"/>
        <v>0</v>
      </c>
      <c r="EK72" s="114">
        <f t="shared" si="139"/>
        <v>0</v>
      </c>
      <c r="EL72" s="115">
        <f t="shared" si="139"/>
        <v>0</v>
      </c>
      <c r="EM72" s="114">
        <f t="shared" si="139"/>
        <v>0</v>
      </c>
      <c r="EN72" s="114">
        <f t="shared" si="139"/>
        <v>0</v>
      </c>
      <c r="EO72" s="114">
        <f t="shared" si="139"/>
        <v>0</v>
      </c>
      <c r="EP72" s="114">
        <f t="shared" si="139"/>
        <v>0</v>
      </c>
      <c r="EQ72" s="114">
        <f t="shared" si="139"/>
        <v>0</v>
      </c>
      <c r="ER72" s="114">
        <f t="shared" si="139"/>
        <v>0</v>
      </c>
      <c r="ES72" s="114">
        <f t="shared" si="139"/>
        <v>0</v>
      </c>
      <c r="ET72" s="114">
        <f t="shared" si="139"/>
        <v>0</v>
      </c>
      <c r="EU72" s="114">
        <f t="shared" si="139"/>
        <v>0</v>
      </c>
      <c r="EV72" s="114">
        <f t="shared" si="139"/>
        <v>0</v>
      </c>
      <c r="EW72" s="114">
        <f t="shared" si="139"/>
        <v>0</v>
      </c>
      <c r="EX72" s="114">
        <f t="shared" si="139"/>
        <v>0</v>
      </c>
      <c r="EY72" s="114">
        <f t="shared" si="139"/>
        <v>0</v>
      </c>
      <c r="EZ72" s="114">
        <f t="shared" si="139"/>
        <v>0</v>
      </c>
      <c r="FA72" s="114">
        <f t="shared" si="139"/>
        <v>0</v>
      </c>
      <c r="FB72" s="114">
        <f t="shared" si="139"/>
        <v>0</v>
      </c>
      <c r="FC72" s="114">
        <f t="shared" si="139"/>
        <v>0</v>
      </c>
      <c r="FD72" s="114">
        <f t="shared" si="139"/>
        <v>0</v>
      </c>
      <c r="FE72" s="114">
        <f t="shared" si="139"/>
        <v>0</v>
      </c>
      <c r="FF72" s="114">
        <f t="shared" si="139"/>
        <v>0</v>
      </c>
      <c r="FG72" s="114">
        <f t="shared" si="139"/>
        <v>0</v>
      </c>
      <c r="FH72" s="114">
        <f t="shared" si="139"/>
        <v>0</v>
      </c>
      <c r="FI72" s="114">
        <f t="shared" si="139"/>
        <v>0</v>
      </c>
      <c r="FJ72" s="114">
        <f t="shared" si="139"/>
        <v>0</v>
      </c>
      <c r="FK72" s="114">
        <f t="shared" si="139"/>
        <v>0</v>
      </c>
      <c r="FL72" s="114">
        <f t="shared" si="139"/>
        <v>0</v>
      </c>
      <c r="FM72" s="114">
        <f t="shared" si="139"/>
        <v>0</v>
      </c>
      <c r="FN72" s="114">
        <f t="shared" si="139"/>
        <v>0</v>
      </c>
      <c r="FO72" s="114">
        <f t="shared" ref="FO72:GC72" si="140">FO57-FO46</f>
        <v>0</v>
      </c>
      <c r="FP72" s="114">
        <f t="shared" si="140"/>
        <v>0</v>
      </c>
      <c r="FQ72" s="114">
        <f t="shared" si="140"/>
        <v>0</v>
      </c>
      <c r="FR72" s="114">
        <f t="shared" si="140"/>
        <v>0</v>
      </c>
      <c r="FS72" s="114">
        <f t="shared" si="140"/>
        <v>0</v>
      </c>
      <c r="FT72" s="114">
        <f t="shared" si="140"/>
        <v>0</v>
      </c>
      <c r="FU72" s="114">
        <f t="shared" si="140"/>
        <v>0</v>
      </c>
      <c r="FV72" s="114">
        <f t="shared" si="140"/>
        <v>0</v>
      </c>
      <c r="FW72" s="114">
        <f t="shared" si="140"/>
        <v>0</v>
      </c>
      <c r="FX72" s="114">
        <f t="shared" si="140"/>
        <v>0</v>
      </c>
      <c r="FY72" s="114">
        <f t="shared" si="140"/>
        <v>0</v>
      </c>
      <c r="FZ72" s="114">
        <f t="shared" si="140"/>
        <v>0</v>
      </c>
      <c r="GA72" s="114">
        <f t="shared" si="140"/>
        <v>0</v>
      </c>
      <c r="GB72" s="114">
        <f t="shared" si="140"/>
        <v>0</v>
      </c>
      <c r="GC72" s="114">
        <f t="shared" si="140"/>
        <v>0</v>
      </c>
      <c r="GD72" s="114">
        <f t="shared" ref="GD72:GF72" si="141">GD57-GD46</f>
        <v>0</v>
      </c>
      <c r="GE72" s="114">
        <f t="shared" si="141"/>
        <v>0</v>
      </c>
      <c r="GF72" s="114">
        <f t="shared" si="141"/>
        <v>0</v>
      </c>
      <c r="GG72" s="114">
        <f t="shared" ref="GG72:IB72" si="142">GG57-GG46</f>
        <v>0</v>
      </c>
      <c r="GH72" s="114">
        <f t="shared" si="142"/>
        <v>0</v>
      </c>
      <c r="GI72" s="114">
        <f t="shared" si="142"/>
        <v>0</v>
      </c>
      <c r="GJ72" s="115">
        <f t="shared" si="142"/>
        <v>0</v>
      </c>
      <c r="GK72" s="114">
        <f t="shared" si="142"/>
        <v>0</v>
      </c>
      <c r="GL72" s="114">
        <f t="shared" si="142"/>
        <v>0</v>
      </c>
      <c r="GM72" s="114">
        <f t="shared" si="142"/>
        <v>0</v>
      </c>
      <c r="GN72" s="114">
        <f t="shared" si="142"/>
        <v>0</v>
      </c>
      <c r="GO72" s="114">
        <f t="shared" si="142"/>
        <v>0</v>
      </c>
      <c r="GP72" s="114">
        <f t="shared" si="142"/>
        <v>0</v>
      </c>
      <c r="GQ72" s="114">
        <f t="shared" si="142"/>
        <v>0</v>
      </c>
      <c r="GR72" s="114">
        <f t="shared" si="142"/>
        <v>0</v>
      </c>
      <c r="GS72" s="114">
        <f t="shared" si="142"/>
        <v>0</v>
      </c>
      <c r="GT72" s="114">
        <f t="shared" si="142"/>
        <v>0</v>
      </c>
      <c r="GU72" s="114">
        <f t="shared" si="142"/>
        <v>0</v>
      </c>
      <c r="GV72" s="114">
        <f t="shared" si="142"/>
        <v>0</v>
      </c>
      <c r="GW72" s="114">
        <f t="shared" si="142"/>
        <v>0</v>
      </c>
      <c r="GX72" s="114">
        <f t="shared" si="142"/>
        <v>0</v>
      </c>
      <c r="GY72" s="114">
        <f t="shared" si="142"/>
        <v>0</v>
      </c>
      <c r="GZ72" s="114">
        <f t="shared" si="142"/>
        <v>0</v>
      </c>
      <c r="HA72" s="114">
        <f t="shared" si="142"/>
        <v>0</v>
      </c>
      <c r="HB72" s="114">
        <f t="shared" si="142"/>
        <v>0</v>
      </c>
      <c r="HC72" s="114">
        <f t="shared" si="142"/>
        <v>0</v>
      </c>
      <c r="HD72" s="114">
        <f t="shared" si="142"/>
        <v>0</v>
      </c>
      <c r="HE72" s="114">
        <f t="shared" si="142"/>
        <v>0</v>
      </c>
      <c r="HF72" s="114">
        <f t="shared" si="142"/>
        <v>0</v>
      </c>
      <c r="HG72" s="114">
        <f t="shared" si="142"/>
        <v>0</v>
      </c>
      <c r="HH72" s="114">
        <f t="shared" si="142"/>
        <v>0</v>
      </c>
      <c r="HI72" s="114">
        <f t="shared" si="142"/>
        <v>0</v>
      </c>
      <c r="HJ72" s="114">
        <f t="shared" si="142"/>
        <v>0</v>
      </c>
      <c r="HK72" s="114">
        <f t="shared" si="142"/>
        <v>0</v>
      </c>
      <c r="HL72" s="114">
        <f t="shared" si="142"/>
        <v>0</v>
      </c>
      <c r="HM72" s="114">
        <f t="shared" si="142"/>
        <v>0</v>
      </c>
      <c r="HN72" s="114">
        <f t="shared" si="142"/>
        <v>0</v>
      </c>
      <c r="HO72" s="114">
        <f t="shared" si="142"/>
        <v>0</v>
      </c>
      <c r="HP72" s="114">
        <f t="shared" si="142"/>
        <v>0</v>
      </c>
      <c r="HQ72" s="114">
        <f t="shared" si="142"/>
        <v>0</v>
      </c>
      <c r="HR72" s="114">
        <f t="shared" si="142"/>
        <v>0</v>
      </c>
      <c r="HS72" s="114">
        <f t="shared" si="142"/>
        <v>0</v>
      </c>
      <c r="HT72" s="114">
        <f t="shared" si="142"/>
        <v>0</v>
      </c>
      <c r="HU72" s="114">
        <f t="shared" si="142"/>
        <v>0</v>
      </c>
      <c r="HV72" s="114">
        <f t="shared" si="142"/>
        <v>0</v>
      </c>
      <c r="HW72" s="114">
        <f t="shared" si="142"/>
        <v>0</v>
      </c>
      <c r="HX72" s="114">
        <f t="shared" si="142"/>
        <v>0</v>
      </c>
      <c r="HY72" s="114">
        <f t="shared" si="142"/>
        <v>0</v>
      </c>
      <c r="HZ72" s="114">
        <f t="shared" si="142"/>
        <v>0</v>
      </c>
      <c r="IA72" s="114">
        <f t="shared" si="142"/>
        <v>0</v>
      </c>
      <c r="IB72" s="114">
        <f t="shared" si="142"/>
        <v>0</v>
      </c>
      <c r="IC72" s="114">
        <f t="shared" ref="IC72:ID72" si="143">IC57-IC46</f>
        <v>0</v>
      </c>
      <c r="ID72" s="114">
        <f t="shared" si="143"/>
        <v>0</v>
      </c>
      <c r="IE72" s="114">
        <f t="shared" ref="IE72:JZ72" si="144">IE57-IE46</f>
        <v>0</v>
      </c>
      <c r="IF72" s="114">
        <f t="shared" si="144"/>
        <v>0</v>
      </c>
      <c r="IG72" s="114">
        <f t="shared" si="144"/>
        <v>0</v>
      </c>
      <c r="IH72" s="115">
        <f t="shared" si="144"/>
        <v>0</v>
      </c>
      <c r="II72" s="114">
        <f t="shared" si="144"/>
        <v>0</v>
      </c>
      <c r="IJ72" s="114">
        <f t="shared" si="144"/>
        <v>0</v>
      </c>
      <c r="IK72" s="114">
        <f t="shared" si="144"/>
        <v>0</v>
      </c>
      <c r="IL72" s="114">
        <f t="shared" si="144"/>
        <v>0</v>
      </c>
      <c r="IM72" s="114">
        <f t="shared" si="144"/>
        <v>0</v>
      </c>
      <c r="IN72" s="114">
        <f t="shared" si="144"/>
        <v>0</v>
      </c>
      <c r="IO72" s="114">
        <f t="shared" si="144"/>
        <v>0</v>
      </c>
      <c r="IP72" s="114">
        <f t="shared" si="144"/>
        <v>0</v>
      </c>
      <c r="IQ72" s="114">
        <f t="shared" si="144"/>
        <v>0</v>
      </c>
      <c r="IR72" s="114">
        <f t="shared" si="144"/>
        <v>0</v>
      </c>
      <c r="IS72" s="114">
        <f t="shared" si="144"/>
        <v>0</v>
      </c>
      <c r="IT72" s="114">
        <f t="shared" si="144"/>
        <v>0</v>
      </c>
      <c r="IU72" s="114">
        <f t="shared" si="144"/>
        <v>0</v>
      </c>
      <c r="IV72" s="114">
        <f t="shared" si="144"/>
        <v>0</v>
      </c>
      <c r="IW72" s="114">
        <f t="shared" si="144"/>
        <v>0</v>
      </c>
      <c r="IX72" s="114">
        <f t="shared" si="144"/>
        <v>0</v>
      </c>
      <c r="IY72" s="114">
        <f t="shared" si="144"/>
        <v>0</v>
      </c>
      <c r="IZ72" s="114">
        <f t="shared" si="144"/>
        <v>0</v>
      </c>
      <c r="JA72" s="114">
        <f t="shared" si="144"/>
        <v>0</v>
      </c>
      <c r="JB72" s="114">
        <f t="shared" si="144"/>
        <v>0</v>
      </c>
      <c r="JC72" s="114">
        <f t="shared" si="144"/>
        <v>0</v>
      </c>
      <c r="JD72" s="114">
        <f t="shared" si="144"/>
        <v>0</v>
      </c>
      <c r="JE72" s="114">
        <f t="shared" si="144"/>
        <v>0</v>
      </c>
      <c r="JF72" s="114">
        <f t="shared" si="144"/>
        <v>0</v>
      </c>
      <c r="JG72" s="114">
        <f t="shared" si="144"/>
        <v>0</v>
      </c>
      <c r="JH72" s="114">
        <f t="shared" si="144"/>
        <v>0</v>
      </c>
      <c r="JI72" s="114">
        <f t="shared" si="144"/>
        <v>0</v>
      </c>
      <c r="JJ72" s="114">
        <f t="shared" si="144"/>
        <v>0</v>
      </c>
      <c r="JK72" s="114">
        <f t="shared" si="144"/>
        <v>0</v>
      </c>
      <c r="JL72" s="114">
        <f t="shared" si="144"/>
        <v>0</v>
      </c>
      <c r="JM72" s="114">
        <f t="shared" si="144"/>
        <v>0</v>
      </c>
      <c r="JN72" s="114">
        <f t="shared" si="144"/>
        <v>0</v>
      </c>
      <c r="JO72" s="114">
        <f t="shared" si="144"/>
        <v>0</v>
      </c>
      <c r="JP72" s="114">
        <f t="shared" si="144"/>
        <v>0</v>
      </c>
      <c r="JQ72" s="114">
        <f t="shared" si="144"/>
        <v>0</v>
      </c>
      <c r="JR72" s="114">
        <f t="shared" si="144"/>
        <v>0</v>
      </c>
      <c r="JS72" s="114">
        <f t="shared" si="144"/>
        <v>0</v>
      </c>
      <c r="JT72" s="114">
        <f t="shared" si="144"/>
        <v>0</v>
      </c>
      <c r="JU72" s="114">
        <f t="shared" si="144"/>
        <v>0</v>
      </c>
      <c r="JV72" s="114">
        <f t="shared" si="144"/>
        <v>0</v>
      </c>
      <c r="JW72" s="114">
        <f t="shared" si="144"/>
        <v>0</v>
      </c>
      <c r="JX72" s="114">
        <f t="shared" si="144"/>
        <v>0</v>
      </c>
      <c r="JY72" s="114">
        <f t="shared" si="144"/>
        <v>0</v>
      </c>
      <c r="JZ72" s="114">
        <f t="shared" si="144"/>
        <v>0</v>
      </c>
      <c r="KA72" s="114">
        <f t="shared" ref="KA72:KB72" si="145">KA57-KA46</f>
        <v>0</v>
      </c>
      <c r="KB72" s="114">
        <f t="shared" si="145"/>
        <v>0</v>
      </c>
      <c r="KC72" s="114">
        <f>KC57-KC46</f>
        <v>0</v>
      </c>
      <c r="KD72" s="114">
        <f>KD57-KD46</f>
        <v>0</v>
      </c>
      <c r="KE72" s="114">
        <f>KE57-KE46</f>
        <v>0</v>
      </c>
      <c r="KF72" s="115">
        <f>KF57-KF46</f>
        <v>0</v>
      </c>
      <c r="KG72" s="116" t="s">
        <v>34</v>
      </c>
    </row>
    <row r="73" spans="1:293" x14ac:dyDescent="0.3">
      <c r="B73" s="114" t="s">
        <v>114</v>
      </c>
      <c r="C73" s="115">
        <v>0</v>
      </c>
      <c r="AS73" s="115">
        <v>0</v>
      </c>
      <c r="CO73" s="115">
        <v>0</v>
      </c>
      <c r="EL73" s="115">
        <v>0</v>
      </c>
      <c r="GJ73" s="115">
        <v>0</v>
      </c>
      <c r="IH73" s="115">
        <v>0</v>
      </c>
      <c r="KF73" s="115">
        <v>0</v>
      </c>
      <c r="KG73" s="43" t="s">
        <v>34</v>
      </c>
    </row>
    <row r="74" spans="1:293" x14ac:dyDescent="0.3">
      <c r="B74" s="114" t="s">
        <v>115</v>
      </c>
      <c r="C74" s="115">
        <v>0</v>
      </c>
      <c r="AS74" s="115">
        <v>0</v>
      </c>
      <c r="CO74" s="115">
        <v>0</v>
      </c>
      <c r="EL74" s="115">
        <v>0</v>
      </c>
      <c r="GJ74" s="115">
        <v>0</v>
      </c>
      <c r="IH74" s="115">
        <v>0</v>
      </c>
      <c r="KF74" s="115">
        <v>0</v>
      </c>
      <c r="KG74" s="43" t="s">
        <v>34</v>
      </c>
    </row>
    <row r="75" spans="1:293" x14ac:dyDescent="0.3">
      <c r="KG75" s="43" t="s">
        <v>34</v>
      </c>
    </row>
    <row r="76" spans="1:293" customFormat="1" ht="14.5" x14ac:dyDescent="0.35">
      <c r="B76" s="117" t="s">
        <v>116</v>
      </c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18"/>
      <c r="HY76" s="118"/>
      <c r="HZ76" s="118"/>
      <c r="IA76" s="118"/>
      <c r="IB76" s="118"/>
      <c r="IC76" s="118"/>
      <c r="ID76" s="118"/>
      <c r="IE76" s="118"/>
      <c r="IF76" s="118"/>
      <c r="IG76" s="118"/>
      <c r="IH76" s="118"/>
      <c r="II76" s="118"/>
      <c r="IJ76" s="118"/>
      <c r="IK76" s="118"/>
      <c r="IL76" s="118"/>
      <c r="IM76" s="118"/>
      <c r="IN76" s="118"/>
      <c r="IO76" s="118"/>
      <c r="IP76" s="118"/>
      <c r="IQ76" s="118"/>
      <c r="IR76" s="118"/>
      <c r="IS76" s="118"/>
      <c r="IT76" s="118"/>
      <c r="IU76" s="118"/>
      <c r="IV76" s="118"/>
      <c r="IW76" s="118"/>
      <c r="IX76" s="118"/>
      <c r="IY76" s="118"/>
      <c r="IZ76" s="118"/>
      <c r="JA76" s="118"/>
      <c r="JB76" s="118"/>
      <c r="JC76" s="118"/>
      <c r="JD76" s="118"/>
      <c r="JE76" s="118"/>
      <c r="JF76" s="118"/>
      <c r="JG76" s="118"/>
      <c r="JH76" s="118"/>
      <c r="JI76" s="118"/>
      <c r="JJ76" s="118"/>
      <c r="JK76" s="118"/>
      <c r="JL76" s="118"/>
      <c r="JM76" s="118"/>
      <c r="JN76" s="118"/>
      <c r="JO76" s="118"/>
      <c r="JP76" s="118"/>
      <c r="JQ76" s="118"/>
      <c r="JR76" s="118"/>
      <c r="JS76" s="118"/>
      <c r="JT76" s="118"/>
      <c r="JU76" s="118"/>
      <c r="JV76" s="118"/>
      <c r="JW76" s="118"/>
      <c r="JX76" s="118"/>
      <c r="JY76" s="118"/>
      <c r="JZ76" s="118"/>
      <c r="KA76" s="118"/>
      <c r="KB76" s="118"/>
      <c r="KC76" s="118"/>
      <c r="KD76" s="118"/>
      <c r="KE76" s="118"/>
      <c r="KF76" s="118"/>
      <c r="KG76" s="43" t="s">
        <v>34</v>
      </c>
    </row>
    <row r="77" spans="1:293" customFormat="1" ht="14.5" x14ac:dyDescent="0.35">
      <c r="B77" s="119" t="s">
        <v>117</v>
      </c>
      <c r="C77" s="120">
        <v>297280276.17000008</v>
      </c>
      <c r="D77" s="120">
        <v>27715008.083816297</v>
      </c>
      <c r="E77" s="120">
        <v>984321.82894507051</v>
      </c>
      <c r="F77" s="120">
        <v>829813.62078860006</v>
      </c>
      <c r="G77" s="120">
        <v>36730076.987808421</v>
      </c>
      <c r="H77" s="120">
        <v>29473738.80405971</v>
      </c>
      <c r="I77" s="120">
        <v>2975709.7977257613</v>
      </c>
      <c r="J77" s="120">
        <v>139378.00489226007</v>
      </c>
      <c r="K77" s="120">
        <v>1744.5848380158841</v>
      </c>
      <c r="L77" s="120">
        <v>34454.191186003947</v>
      </c>
      <c r="M77" s="120">
        <v>-70788.642846595074</v>
      </c>
      <c r="N77" s="120">
        <v>-4368173.7026213948</v>
      </c>
      <c r="O77" s="120">
        <v>-122822.85124517528</v>
      </c>
      <c r="P77" s="120">
        <v>-17521.863852870072</v>
      </c>
      <c r="Q77" s="120">
        <v>-816673.3893978541</v>
      </c>
      <c r="R77" s="120">
        <v>1302726.7716999999</v>
      </c>
      <c r="S77" s="120">
        <v>66097.118360055465</v>
      </c>
      <c r="T77" s="120">
        <v>1576182.6872538861</v>
      </c>
      <c r="U77" s="120">
        <v>-2262436.406464857</v>
      </c>
      <c r="V77" s="120">
        <v>0</v>
      </c>
      <c r="W77" s="120">
        <v>-657625.84572865348</v>
      </c>
      <c r="X77" s="120">
        <v>-69587.980321600218</v>
      </c>
      <c r="Y77" s="120">
        <v>0</v>
      </c>
      <c r="Z77" s="120">
        <v>0</v>
      </c>
      <c r="AA77" s="120">
        <v>0</v>
      </c>
      <c r="AB77" s="120">
        <v>0</v>
      </c>
      <c r="AC77" s="120">
        <v>142029.36432510396</v>
      </c>
      <c r="AD77" s="120">
        <v>0</v>
      </c>
      <c r="AE77" s="120">
        <v>-8137368.974306412</v>
      </c>
      <c r="AF77" s="120">
        <v>-77236.935274999967</v>
      </c>
      <c r="AG77" s="120">
        <v>167530.56</v>
      </c>
      <c r="AH77" s="120">
        <v>-745895.0162666667</v>
      </c>
      <c r="AI77" s="120">
        <v>0</v>
      </c>
      <c r="AJ77" s="120">
        <v>78257.771299999993</v>
      </c>
      <c r="AK77" s="120">
        <v>789966.53717999777</v>
      </c>
      <c r="AL77" s="120">
        <v>0</v>
      </c>
      <c r="AM77" s="120">
        <v>0</v>
      </c>
      <c r="AN77" s="120">
        <v>0</v>
      </c>
      <c r="AO77" s="120">
        <v>0</v>
      </c>
      <c r="AP77" s="120">
        <v>0</v>
      </c>
      <c r="AQ77" s="120">
        <v>0</v>
      </c>
      <c r="AR77" s="120">
        <v>85660905.105852038</v>
      </c>
      <c r="AS77" s="120">
        <v>382941181.27585196</v>
      </c>
      <c r="AT77" s="120">
        <v>-5900349.9228287628</v>
      </c>
      <c r="AU77" s="120">
        <v>0</v>
      </c>
      <c r="AV77" s="120">
        <v>0</v>
      </c>
      <c r="AW77" s="120">
        <v>454424.19965512399</v>
      </c>
      <c r="AX77" s="120">
        <v>813879.8398250466</v>
      </c>
      <c r="AY77" s="120">
        <v>0</v>
      </c>
      <c r="AZ77" s="120">
        <v>0</v>
      </c>
      <c r="BA77" s="120">
        <v>0</v>
      </c>
      <c r="BB77" s="120">
        <v>-88453.097947868329</v>
      </c>
      <c r="BC77" s="120">
        <v>0</v>
      </c>
      <c r="BD77" s="120">
        <v>1541476.0708844375</v>
      </c>
      <c r="BE77" s="120">
        <v>0</v>
      </c>
      <c r="BF77" s="120">
        <v>0</v>
      </c>
      <c r="BG77" s="120">
        <v>-748484.50773254456</v>
      </c>
      <c r="BH77" s="120">
        <v>0</v>
      </c>
      <c r="BI77" s="120">
        <v>0</v>
      </c>
      <c r="BJ77" s="120">
        <v>-1224537.0157488291</v>
      </c>
      <c r="BK77" s="120">
        <v>0</v>
      </c>
      <c r="BL77" s="120">
        <v>0</v>
      </c>
      <c r="BM77" s="120">
        <v>0</v>
      </c>
      <c r="BN77" s="120">
        <v>0</v>
      </c>
      <c r="BO77" s="120">
        <v>0</v>
      </c>
      <c r="BP77" s="120">
        <v>0</v>
      </c>
      <c r="BQ77" s="120">
        <v>-4951875.4166999999</v>
      </c>
      <c r="BR77" s="120">
        <v>-8945940.8578260001</v>
      </c>
      <c r="BS77" s="120">
        <v>1.9374896149383859E-2</v>
      </c>
      <c r="BT77" s="120">
        <v>0</v>
      </c>
      <c r="BU77" s="120">
        <v>0</v>
      </c>
      <c r="BV77" s="120">
        <v>3044147.4886901998</v>
      </c>
      <c r="BW77" s="120">
        <v>573114.39049726026</v>
      </c>
      <c r="BX77" s="120">
        <v>-1352923.7452072599</v>
      </c>
      <c r="BY77" s="120">
        <v>-211374.28810000006</v>
      </c>
      <c r="BZ77" s="120">
        <v>-66055.621369259985</v>
      </c>
      <c r="CA77" s="120">
        <v>-1056906.5734432</v>
      </c>
      <c r="CB77" s="120">
        <v>0</v>
      </c>
      <c r="CC77" s="120">
        <v>0</v>
      </c>
      <c r="CD77" s="120">
        <v>0</v>
      </c>
      <c r="CE77" s="120">
        <v>0</v>
      </c>
      <c r="CF77" s="120">
        <v>1302182.2319424739</v>
      </c>
      <c r="CG77" s="120">
        <v>33733.560899999982</v>
      </c>
      <c r="CH77" s="120">
        <v>0</v>
      </c>
      <c r="CI77" s="120">
        <v>-1497815.7865000002</v>
      </c>
      <c r="CJ77" s="120">
        <v>51935956.248247728</v>
      </c>
      <c r="CK77" s="120">
        <v>0</v>
      </c>
      <c r="CL77" s="120">
        <v>0</v>
      </c>
      <c r="CM77" s="120">
        <v>0</v>
      </c>
      <c r="CN77" s="120">
        <v>33654197.216613449</v>
      </c>
      <c r="CO77" s="120">
        <v>416595378.4924655</v>
      </c>
      <c r="CP77" s="120">
        <v>-41008047.891153216</v>
      </c>
      <c r="CQ77" s="120">
        <v>0</v>
      </c>
      <c r="CR77" s="120">
        <v>0</v>
      </c>
      <c r="CS77" s="120">
        <v>399773.68118600268</v>
      </c>
      <c r="CT77" s="120">
        <v>443298.29519069282</v>
      </c>
      <c r="CU77" s="120">
        <v>0</v>
      </c>
      <c r="CV77" s="120">
        <v>0</v>
      </c>
      <c r="CW77" s="120">
        <v>0</v>
      </c>
      <c r="CX77" s="120">
        <v>0</v>
      </c>
      <c r="CY77" s="120">
        <v>0</v>
      </c>
      <c r="CZ77" s="120">
        <v>-306311.14921122277</v>
      </c>
      <c r="DA77" s="120">
        <v>0</v>
      </c>
      <c r="DB77" s="120">
        <v>0</v>
      </c>
      <c r="DC77" s="120">
        <v>0</v>
      </c>
      <c r="DD77" s="120">
        <v>-1163573.5173000004</v>
      </c>
      <c r="DE77" s="120">
        <v>0</v>
      </c>
      <c r="DF77" s="120">
        <v>0</v>
      </c>
      <c r="DG77" s="120">
        <v>0</v>
      </c>
      <c r="DH77" s="120">
        <v>0</v>
      </c>
      <c r="DI77" s="120">
        <v>0</v>
      </c>
      <c r="DJ77" s="120">
        <v>0</v>
      </c>
      <c r="DK77" s="120">
        <v>0</v>
      </c>
      <c r="DL77" s="120">
        <v>0</v>
      </c>
      <c r="DM77" s="120">
        <v>0</v>
      </c>
      <c r="DN77" s="120">
        <v>0</v>
      </c>
      <c r="DO77" s="120">
        <v>0</v>
      </c>
      <c r="DP77" s="120">
        <v>0</v>
      </c>
      <c r="DQ77" s="120">
        <v>0</v>
      </c>
      <c r="DR77" s="120">
        <v>14739499.822137697</v>
      </c>
      <c r="DS77" s="120">
        <v>4397798.4569056612</v>
      </c>
      <c r="DT77" s="120">
        <v>-10993462.594550598</v>
      </c>
      <c r="DU77" s="120">
        <v>-792152.34710000001</v>
      </c>
      <c r="DV77" s="120">
        <v>-1791301.8699107403</v>
      </c>
      <c r="DW77" s="120">
        <v>-8465444.0078082196</v>
      </c>
      <c r="DX77" s="120">
        <v>0</v>
      </c>
      <c r="DY77" s="120">
        <v>0</v>
      </c>
      <c r="DZ77" s="120">
        <v>0</v>
      </c>
      <c r="EA77" s="120">
        <v>0</v>
      </c>
      <c r="EB77" s="120">
        <v>-242022.31235291326</v>
      </c>
      <c r="EC77" s="120">
        <v>0</v>
      </c>
      <c r="ED77" s="120">
        <v>0</v>
      </c>
      <c r="EE77" s="120">
        <v>0</v>
      </c>
      <c r="EF77" s="120">
        <v>-39655.383872746024</v>
      </c>
      <c r="EG77" s="120">
        <v>0</v>
      </c>
      <c r="EH77" s="120">
        <v>0</v>
      </c>
      <c r="EI77" s="120">
        <v>0</v>
      </c>
      <c r="EJ77" s="120">
        <v>349292.03779998259</v>
      </c>
      <c r="EK77" s="120">
        <v>-44472308.780039623</v>
      </c>
      <c r="EL77" s="120">
        <v>372123069.71242666</v>
      </c>
      <c r="EM77" s="120">
        <v>15909781.89594581</v>
      </c>
      <c r="EN77" s="120">
        <v>0</v>
      </c>
      <c r="EO77" s="120">
        <v>0</v>
      </c>
      <c r="EP77" s="120">
        <v>668842.91487600096</v>
      </c>
      <c r="EQ77" s="120">
        <v>-545414.01797072764</v>
      </c>
      <c r="ER77" s="120">
        <v>0</v>
      </c>
      <c r="ES77" s="120">
        <v>0</v>
      </c>
      <c r="ET77" s="120">
        <v>0</v>
      </c>
      <c r="EU77" s="120">
        <v>0</v>
      </c>
      <c r="EV77" s="120">
        <v>0</v>
      </c>
      <c r="EW77" s="120">
        <v>-564801.47031854209</v>
      </c>
      <c r="EX77" s="120">
        <v>0</v>
      </c>
      <c r="EY77" s="120">
        <v>0</v>
      </c>
      <c r="EZ77" s="120">
        <v>0</v>
      </c>
      <c r="FA77" s="120">
        <v>-3468351.8046000004</v>
      </c>
      <c r="FB77" s="120">
        <v>0</v>
      </c>
      <c r="FC77" s="120">
        <v>0</v>
      </c>
      <c r="FD77" s="120">
        <v>0</v>
      </c>
      <c r="FE77" s="120">
        <v>0</v>
      </c>
      <c r="FF77" s="120">
        <v>0</v>
      </c>
      <c r="FG77" s="120">
        <v>0</v>
      </c>
      <c r="FH77" s="120">
        <v>-61645700.114186279</v>
      </c>
      <c r="FI77" s="120">
        <v>-245505.14664022264</v>
      </c>
      <c r="FJ77" s="120">
        <v>-6591984.3532083482</v>
      </c>
      <c r="FK77" s="120">
        <v>-5506395.0148223229</v>
      </c>
      <c r="FL77" s="120">
        <v>-80037.032855528465</v>
      </c>
      <c r="FM77" s="120">
        <v>-803115.10942405707</v>
      </c>
      <c r="FN77" s="120">
        <v>0</v>
      </c>
      <c r="FO77" s="120">
        <v>21655401.978452869</v>
      </c>
      <c r="FP77" s="120">
        <v>5525741.4497995321</v>
      </c>
      <c r="FQ77" s="120">
        <v>-13328051.774230499</v>
      </c>
      <c r="FR77" s="120">
        <v>-125084.27870000018</v>
      </c>
      <c r="FS77" s="120">
        <v>-2355362.4850000003</v>
      </c>
      <c r="FT77" s="120">
        <v>-10217273.590264838</v>
      </c>
      <c r="FU77" s="120">
        <v>-125477115.99038982</v>
      </c>
      <c r="FV77" s="120">
        <v>-139468.69547499999</v>
      </c>
      <c r="FW77" s="120">
        <v>12529.914132000002</v>
      </c>
      <c r="FX77" s="120">
        <v>827173.50134999724</v>
      </c>
      <c r="FY77" s="120">
        <v>2257567.0605767574</v>
      </c>
      <c r="FZ77" s="120">
        <v>-11244.520300000051</v>
      </c>
      <c r="GA77" s="120">
        <v>-9794940.0194749981</v>
      </c>
      <c r="GB77" s="120">
        <v>-1707574.2478025374</v>
      </c>
      <c r="GC77" s="120">
        <v>-8200821.0775916548</v>
      </c>
      <c r="GD77" s="120">
        <v>0</v>
      </c>
      <c r="GE77" s="120"/>
      <c r="GF77" s="120">
        <v>0</v>
      </c>
      <c r="GG77" s="120">
        <v>0</v>
      </c>
      <c r="GH77" s="120">
        <v>1746498.9622000174</v>
      </c>
      <c r="GI77" s="120">
        <v>-202204703.06592235</v>
      </c>
      <c r="GJ77" s="120">
        <v>169918366.64650345</v>
      </c>
      <c r="GK77" s="120">
        <v>16230699.011550086</v>
      </c>
      <c r="GL77" s="120">
        <v>0</v>
      </c>
      <c r="GM77" s="120">
        <v>0</v>
      </c>
      <c r="GN77" s="120">
        <v>-467403.99771801173</v>
      </c>
      <c r="GO77" s="120">
        <v>1969431.357373487</v>
      </c>
      <c r="GP77" s="120">
        <v>0</v>
      </c>
      <c r="GQ77" s="120">
        <v>0</v>
      </c>
      <c r="GR77" s="120">
        <v>0</v>
      </c>
      <c r="GS77" s="120">
        <v>0</v>
      </c>
      <c r="GT77" s="120">
        <v>0</v>
      </c>
      <c r="GU77" s="120">
        <v>-1312687.165039951</v>
      </c>
      <c r="GV77" s="120">
        <v>0</v>
      </c>
      <c r="GW77" s="120">
        <v>0</v>
      </c>
      <c r="GX77" s="120">
        <v>0</v>
      </c>
      <c r="GY77" s="120">
        <v>0</v>
      </c>
      <c r="GZ77" s="120">
        <v>0</v>
      </c>
      <c r="HA77" s="120">
        <v>0</v>
      </c>
      <c r="HB77" s="120">
        <v>0</v>
      </c>
      <c r="HC77" s="120">
        <v>0</v>
      </c>
      <c r="HD77" s="120">
        <v>0</v>
      </c>
      <c r="HE77" s="120">
        <v>0</v>
      </c>
      <c r="HF77" s="120">
        <v>-10074160.952368703</v>
      </c>
      <c r="HG77" s="120">
        <v>-2700556.6130424486</v>
      </c>
      <c r="HH77" s="120">
        <v>0</v>
      </c>
      <c r="HI77" s="120">
        <v>0</v>
      </c>
      <c r="HJ77" s="120">
        <v>0</v>
      </c>
      <c r="HK77" s="120">
        <v>0</v>
      </c>
      <c r="HL77" s="120">
        <v>0</v>
      </c>
      <c r="HM77" s="120">
        <v>15753467.313203076</v>
      </c>
      <c r="HN77" s="120">
        <v>3186127.5465514394</v>
      </c>
      <c r="HO77" s="120">
        <v>-24146729.005190726</v>
      </c>
      <c r="HP77" s="120">
        <v>-247672.57610000021</v>
      </c>
      <c r="HQ77" s="120">
        <v>-2612117.9206581991</v>
      </c>
      <c r="HR77" s="120">
        <v>-13638239.265215576</v>
      </c>
      <c r="HS77" s="120">
        <v>-8975771.2570642624</v>
      </c>
      <c r="HT77" s="120">
        <v>47877.97567499998</v>
      </c>
      <c r="HU77" s="120">
        <v>0</v>
      </c>
      <c r="HV77" s="120">
        <v>0</v>
      </c>
      <c r="HW77" s="120">
        <v>7717397.320672133</v>
      </c>
      <c r="HX77" s="120">
        <v>-78711.642099999939</v>
      </c>
      <c r="HY77" s="120">
        <v>0</v>
      </c>
      <c r="HZ77" s="120">
        <v>-141140.79015213592</v>
      </c>
      <c r="IA77" s="120">
        <v>2642664.426725002</v>
      </c>
      <c r="IB77" s="120">
        <v>0</v>
      </c>
      <c r="IC77" s="120"/>
      <c r="ID77" s="120">
        <v>0</v>
      </c>
      <c r="IE77" s="120">
        <v>0</v>
      </c>
      <c r="IF77" s="120">
        <v>0</v>
      </c>
      <c r="IG77" s="120">
        <v>-16847526.232899785</v>
      </c>
      <c r="IH77" s="120">
        <v>153070840.41360378</v>
      </c>
      <c r="II77" s="120">
        <v>4769409.0190590601</v>
      </c>
      <c r="IJ77" s="120">
        <v>0</v>
      </c>
      <c r="IK77" s="120">
        <v>0</v>
      </c>
      <c r="IL77" s="120">
        <v>553818.45254800306</v>
      </c>
      <c r="IM77" s="120">
        <v>2201721.6329558119</v>
      </c>
      <c r="IN77" s="120">
        <v>0</v>
      </c>
      <c r="IO77" s="120">
        <v>0</v>
      </c>
      <c r="IP77" s="120">
        <v>0</v>
      </c>
      <c r="IQ77" s="120">
        <v>0</v>
      </c>
      <c r="IR77" s="120">
        <v>0</v>
      </c>
      <c r="IS77" s="120">
        <v>-1982533.4266663087</v>
      </c>
      <c r="IT77" s="120">
        <v>0</v>
      </c>
      <c r="IU77" s="120">
        <v>0</v>
      </c>
      <c r="IV77" s="120">
        <v>0</v>
      </c>
      <c r="IW77" s="120">
        <v>0</v>
      </c>
      <c r="IX77" s="120">
        <v>0</v>
      </c>
      <c r="IY77" s="120">
        <v>0</v>
      </c>
      <c r="IZ77" s="120">
        <v>0</v>
      </c>
      <c r="JA77" s="120">
        <v>0</v>
      </c>
      <c r="JB77" s="120">
        <v>0</v>
      </c>
      <c r="JC77" s="120">
        <v>0</v>
      </c>
      <c r="JD77" s="120">
        <v>-11252064.464582482</v>
      </c>
      <c r="JE77" s="120">
        <v>0</v>
      </c>
      <c r="JF77" s="120">
        <v>0</v>
      </c>
      <c r="JG77" s="120">
        <v>0</v>
      </c>
      <c r="JH77" s="120">
        <v>239304.78550000006</v>
      </c>
      <c r="JI77" s="120">
        <v>803115.10942405707</v>
      </c>
      <c r="JJ77" s="120">
        <v>0</v>
      </c>
      <c r="JK77" s="120">
        <v>6588668.5078014154</v>
      </c>
      <c r="JL77" s="120">
        <v>2437396.2775514396</v>
      </c>
      <c r="JM77" s="120">
        <v>-19728637.315743931</v>
      </c>
      <c r="JN77" s="120">
        <v>-322232.33369999728</v>
      </c>
      <c r="JO77" s="120">
        <v>-6460147.5837604003</v>
      </c>
      <c r="JP77" s="120">
        <v>-7115182.1580814598</v>
      </c>
      <c r="JQ77" s="120">
        <v>44494077.295159809</v>
      </c>
      <c r="JR77" s="120">
        <v>4512.3792750000439</v>
      </c>
      <c r="JS77" s="120">
        <v>0</v>
      </c>
      <c r="JT77" s="120">
        <v>0</v>
      </c>
      <c r="JU77" s="120">
        <v>1840722.6137323775</v>
      </c>
      <c r="JV77" s="120">
        <v>0</v>
      </c>
      <c r="JW77" s="120">
        <v>3934555.396922037</v>
      </c>
      <c r="JX77" s="120">
        <v>-244615.48069299542</v>
      </c>
      <c r="JY77" s="120">
        <v>5505530.5195749924</v>
      </c>
      <c r="JZ77" s="120">
        <v>0</v>
      </c>
      <c r="KA77" s="120">
        <v>0</v>
      </c>
      <c r="KB77" s="120">
        <v>0</v>
      </c>
      <c r="KC77" s="120">
        <v>0</v>
      </c>
      <c r="KD77" s="120">
        <v>0</v>
      </c>
      <c r="KE77" s="120">
        <v>26267419.226276439</v>
      </c>
      <c r="KF77" s="120">
        <v>179338259.63988042</v>
      </c>
      <c r="KG77" s="43" t="s">
        <v>34</v>
      </c>
    </row>
    <row r="78" spans="1:293" customFormat="1" ht="14.5" x14ac:dyDescent="0.35">
      <c r="B78" s="121" t="s">
        <v>118</v>
      </c>
      <c r="C78" s="122">
        <v>5483216405.8370619</v>
      </c>
      <c r="D78" s="122">
        <v>0</v>
      </c>
      <c r="E78" s="122">
        <v>0</v>
      </c>
      <c r="F78" s="122">
        <v>0</v>
      </c>
      <c r="G78" s="122">
        <v>0</v>
      </c>
      <c r="H78" s="122">
        <v>0</v>
      </c>
      <c r="I78" s="122">
        <v>0</v>
      </c>
      <c r="J78" s="122">
        <v>0</v>
      </c>
      <c r="K78" s="122">
        <v>0</v>
      </c>
      <c r="L78" s="122">
        <v>0</v>
      </c>
      <c r="M78" s="122">
        <v>0</v>
      </c>
      <c r="N78" s="122">
        <v>0</v>
      </c>
      <c r="O78" s="122">
        <v>0</v>
      </c>
      <c r="P78" s="122">
        <v>0</v>
      </c>
      <c r="Q78" s="122">
        <v>0</v>
      </c>
      <c r="R78" s="122">
        <v>0</v>
      </c>
      <c r="S78" s="122">
        <v>0</v>
      </c>
      <c r="T78" s="122">
        <v>0</v>
      </c>
      <c r="U78" s="122">
        <v>0</v>
      </c>
      <c r="V78" s="122">
        <v>18890706.954618394</v>
      </c>
      <c r="W78" s="122">
        <v>-657625.84572865302</v>
      </c>
      <c r="X78" s="122">
        <v>0</v>
      </c>
      <c r="Y78" s="122">
        <v>0</v>
      </c>
      <c r="Z78" s="122">
        <v>0</v>
      </c>
      <c r="AA78" s="122">
        <v>-143015087.87042797</v>
      </c>
      <c r="AB78" s="122">
        <v>0</v>
      </c>
      <c r="AC78" s="122">
        <v>0</v>
      </c>
      <c r="AD78" s="122">
        <v>0</v>
      </c>
      <c r="AE78" s="122">
        <v>0</v>
      </c>
      <c r="AF78" s="122">
        <v>0</v>
      </c>
      <c r="AG78" s="122">
        <v>-1259296.25</v>
      </c>
      <c r="AH78" s="122">
        <v>0</v>
      </c>
      <c r="AI78" s="122">
        <v>0</v>
      </c>
      <c r="AJ78" s="122">
        <v>-261470.68089999998</v>
      </c>
      <c r="AK78" s="122">
        <v>0</v>
      </c>
      <c r="AL78" s="122">
        <v>0</v>
      </c>
      <c r="AM78" s="122">
        <v>0</v>
      </c>
      <c r="AN78" s="122">
        <v>0</v>
      </c>
      <c r="AO78" s="122">
        <v>0</v>
      </c>
      <c r="AP78" s="122">
        <v>0</v>
      </c>
      <c r="AQ78" s="122">
        <v>0</v>
      </c>
      <c r="AR78" s="122">
        <v>-126302773.69243824</v>
      </c>
      <c r="AS78" s="122">
        <v>5356913632.1446218</v>
      </c>
      <c r="AT78" s="122">
        <v>0</v>
      </c>
      <c r="AU78" s="122">
        <v>0</v>
      </c>
      <c r="AV78" s="122">
        <v>0</v>
      </c>
      <c r="AW78" s="122">
        <v>10695828.339366198</v>
      </c>
      <c r="AX78" s="122">
        <v>0</v>
      </c>
      <c r="AY78" s="122">
        <v>0</v>
      </c>
      <c r="AZ78" s="122">
        <v>0</v>
      </c>
      <c r="BA78" s="122">
        <v>0</v>
      </c>
      <c r="BB78" s="122">
        <v>0</v>
      </c>
      <c r="BC78" s="122">
        <v>0</v>
      </c>
      <c r="BD78" s="122">
        <v>0</v>
      </c>
      <c r="BE78" s="122">
        <v>0</v>
      </c>
      <c r="BF78" s="122">
        <v>0</v>
      </c>
      <c r="BG78" s="122">
        <v>0</v>
      </c>
      <c r="BH78" s="122">
        <v>0</v>
      </c>
      <c r="BI78" s="122">
        <v>0</v>
      </c>
      <c r="BJ78" s="122">
        <v>0</v>
      </c>
      <c r="BK78" s="122">
        <v>0</v>
      </c>
      <c r="BL78" s="122">
        <v>0</v>
      </c>
      <c r="BM78" s="122">
        <v>0</v>
      </c>
      <c r="BN78" s="122">
        <v>0</v>
      </c>
      <c r="BO78" s="122">
        <v>0</v>
      </c>
      <c r="BP78" s="122">
        <v>0</v>
      </c>
      <c r="BQ78" s="122">
        <v>143015087.87042797</v>
      </c>
      <c r="BR78" s="122">
        <v>2309809.4341880446</v>
      </c>
      <c r="BS78" s="122">
        <v>0</v>
      </c>
      <c r="BT78" s="122">
        <v>229422.70598249073</v>
      </c>
      <c r="BU78" s="122">
        <v>0</v>
      </c>
      <c r="BV78" s="122">
        <v>-176471829.89576447</v>
      </c>
      <c r="BW78" s="122">
        <v>725461.25379400025</v>
      </c>
      <c r="BX78" s="122">
        <v>134447165.56129003</v>
      </c>
      <c r="BY78" s="122">
        <v>35118980.799999997</v>
      </c>
      <c r="BZ78" s="122">
        <v>23103389.294628005</v>
      </c>
      <c r="CA78" s="122">
        <v>83418881.591735959</v>
      </c>
      <c r="CB78" s="122">
        <v>0</v>
      </c>
      <c r="CC78" s="122">
        <v>0</v>
      </c>
      <c r="CD78" s="122">
        <v>71140.25</v>
      </c>
      <c r="CE78" s="122">
        <v>0</v>
      </c>
      <c r="CF78" s="122">
        <v>-6172818.6654862948</v>
      </c>
      <c r="CG78" s="122">
        <v>56934.279999999977</v>
      </c>
      <c r="CH78" s="122">
        <v>0</v>
      </c>
      <c r="CI78" s="122">
        <v>4432284.8022039272</v>
      </c>
      <c r="CJ78" s="122">
        <v>58064158.296151057</v>
      </c>
      <c r="CK78" s="122">
        <v>0</v>
      </c>
      <c r="CL78" s="122">
        <v>-160912337.32015103</v>
      </c>
      <c r="CM78" s="122">
        <v>-4207196.5800000094</v>
      </c>
      <c r="CN78" s="122">
        <v>147924362.0183658</v>
      </c>
      <c r="CO78" s="122">
        <v>5504837994.1629877</v>
      </c>
      <c r="CP78" s="122">
        <v>0</v>
      </c>
      <c r="CQ78" s="122">
        <v>0</v>
      </c>
      <c r="CR78" s="122">
        <v>0</v>
      </c>
      <c r="CS78" s="122">
        <v>21526388.995392021</v>
      </c>
      <c r="CT78" s="122">
        <v>0</v>
      </c>
      <c r="CU78" s="122">
        <v>0</v>
      </c>
      <c r="CV78" s="122">
        <v>0</v>
      </c>
      <c r="CW78" s="122">
        <v>0</v>
      </c>
      <c r="CX78" s="122">
        <v>0</v>
      </c>
      <c r="CY78" s="122">
        <v>0</v>
      </c>
      <c r="CZ78" s="122">
        <v>0</v>
      </c>
      <c r="DA78" s="122">
        <v>0</v>
      </c>
      <c r="DB78" s="122">
        <v>0</v>
      </c>
      <c r="DC78" s="122">
        <v>0</v>
      </c>
      <c r="DD78" s="122">
        <v>0</v>
      </c>
      <c r="DE78" s="122">
        <v>0</v>
      </c>
      <c r="DF78" s="122">
        <v>0</v>
      </c>
      <c r="DG78" s="122">
        <v>0</v>
      </c>
      <c r="DH78" s="122">
        <v>0</v>
      </c>
      <c r="DI78" s="122">
        <v>0</v>
      </c>
      <c r="DJ78" s="122">
        <v>0</v>
      </c>
      <c r="DK78" s="122">
        <v>0</v>
      </c>
      <c r="DL78" s="122">
        <v>0</v>
      </c>
      <c r="DM78" s="122">
        <v>0</v>
      </c>
      <c r="DN78" s="122">
        <v>4198345.2148493472</v>
      </c>
      <c r="DO78" s="122">
        <v>0</v>
      </c>
      <c r="DP78" s="122">
        <v>114711.35299124551</v>
      </c>
      <c r="DQ78" s="122">
        <v>0</v>
      </c>
      <c r="DR78" s="122">
        <v>-414160548.26198196</v>
      </c>
      <c r="DS78" s="122">
        <v>6292294.7435479974</v>
      </c>
      <c r="DT78" s="122">
        <v>257327359.85496002</v>
      </c>
      <c r="DU78" s="122">
        <v>2321616.9599999934</v>
      </c>
      <c r="DV78" s="122">
        <v>89111442.698463976</v>
      </c>
      <c r="DW78" s="122">
        <v>104456521.71575001</v>
      </c>
      <c r="DX78" s="122">
        <v>0</v>
      </c>
      <c r="DY78" s="122">
        <v>0</v>
      </c>
      <c r="DZ78" s="122">
        <v>142280</v>
      </c>
      <c r="EA78" s="122">
        <v>0</v>
      </c>
      <c r="EB78" s="122">
        <v>-11947081.314286396</v>
      </c>
      <c r="EC78" s="122">
        <v>113868.55999999995</v>
      </c>
      <c r="ED78" s="122">
        <v>0</v>
      </c>
      <c r="EE78" s="122">
        <v>1742015.2007266018</v>
      </c>
      <c r="EF78" s="122">
        <v>65921512.419419408</v>
      </c>
      <c r="EG78" s="122">
        <v>0</v>
      </c>
      <c r="EH78" s="122">
        <v>0</v>
      </c>
      <c r="EI78" s="122">
        <v>-38618085.089419432</v>
      </c>
      <c r="EJ78" s="122">
        <v>-7972251.3400000408</v>
      </c>
      <c r="EK78" s="122">
        <v>80570391.710412845</v>
      </c>
      <c r="EL78" s="122">
        <v>5585408385.8734016</v>
      </c>
      <c r="EM78" s="122">
        <v>0</v>
      </c>
      <c r="EN78" s="122">
        <v>0</v>
      </c>
      <c r="EO78" s="122">
        <v>0</v>
      </c>
      <c r="EP78" s="122">
        <v>10098693.721887633</v>
      </c>
      <c r="EQ78" s="122">
        <v>0</v>
      </c>
      <c r="ER78" s="122">
        <v>0</v>
      </c>
      <c r="ES78" s="122">
        <v>0</v>
      </c>
      <c r="ET78" s="122">
        <v>0</v>
      </c>
      <c r="EU78" s="122">
        <v>0</v>
      </c>
      <c r="EV78" s="122">
        <v>0</v>
      </c>
      <c r="EW78" s="122">
        <v>0</v>
      </c>
      <c r="EX78" s="122">
        <v>0</v>
      </c>
      <c r="EY78" s="122">
        <v>0</v>
      </c>
      <c r="EZ78" s="122">
        <v>0</v>
      </c>
      <c r="FA78" s="122">
        <v>0</v>
      </c>
      <c r="FB78" s="122">
        <v>0</v>
      </c>
      <c r="FC78" s="122">
        <v>0</v>
      </c>
      <c r="FD78" s="122">
        <v>0</v>
      </c>
      <c r="FE78" s="122">
        <v>0</v>
      </c>
      <c r="FF78" s="122">
        <v>0</v>
      </c>
      <c r="FG78" s="122">
        <v>0</v>
      </c>
      <c r="FH78" s="122">
        <v>0</v>
      </c>
      <c r="FI78" s="122">
        <v>1743384.3323934791</v>
      </c>
      <c r="FJ78" s="122">
        <v>0</v>
      </c>
      <c r="FK78" s="122">
        <v>-242607.00961800106</v>
      </c>
      <c r="FL78" s="122">
        <v>0</v>
      </c>
      <c r="FM78" s="122">
        <v>-401557.55471202888</v>
      </c>
      <c r="FN78" s="122">
        <v>0</v>
      </c>
      <c r="FO78" s="122">
        <v>-195386564.26574242</v>
      </c>
      <c r="FP78" s="122">
        <v>6185965.0190380029</v>
      </c>
      <c r="FQ78" s="122">
        <v>174642002.14264983</v>
      </c>
      <c r="FR78" s="122">
        <v>3146660.8700000085</v>
      </c>
      <c r="FS78" s="122">
        <v>17890263.581616018</v>
      </c>
      <c r="FT78" s="122">
        <v>54806639.016327873</v>
      </c>
      <c r="FU78" s="122">
        <v>0</v>
      </c>
      <c r="FV78" s="122">
        <v>0</v>
      </c>
      <c r="FW78" s="122">
        <v>79070.325399999972</v>
      </c>
      <c r="FX78" s="122">
        <v>0</v>
      </c>
      <c r="FY78" s="122">
        <v>-6069072.8816930102</v>
      </c>
      <c r="FZ78" s="122">
        <v>50175.311134722244</v>
      </c>
      <c r="GA78" s="122">
        <v>0</v>
      </c>
      <c r="GB78" s="122">
        <v>-771787.50036631664</v>
      </c>
      <c r="GC78" s="122">
        <v>10775509.003744235</v>
      </c>
      <c r="GD78" s="122">
        <v>0</v>
      </c>
      <c r="GE78" s="122"/>
      <c r="GF78" s="122">
        <v>0</v>
      </c>
      <c r="GG78" s="122">
        <v>0</v>
      </c>
      <c r="GH78" s="122">
        <v>-2880746.5800000094</v>
      </c>
      <c r="GI78" s="122">
        <v>73666027.532059997</v>
      </c>
      <c r="GJ78" s="122">
        <v>5659074413.4054613</v>
      </c>
      <c r="GK78" s="122">
        <v>0</v>
      </c>
      <c r="GL78" s="122">
        <v>0</v>
      </c>
      <c r="GM78" s="122">
        <v>0</v>
      </c>
      <c r="GN78" s="122">
        <v>21213022.136484977</v>
      </c>
      <c r="GO78" s="122">
        <v>0</v>
      </c>
      <c r="GP78" s="122">
        <v>0</v>
      </c>
      <c r="GQ78" s="122">
        <v>0</v>
      </c>
      <c r="GR78" s="122">
        <v>0</v>
      </c>
      <c r="GS78" s="122">
        <v>0</v>
      </c>
      <c r="GT78" s="122">
        <v>0</v>
      </c>
      <c r="GU78" s="122">
        <v>0</v>
      </c>
      <c r="GV78" s="122">
        <v>0</v>
      </c>
      <c r="GW78" s="122">
        <v>0</v>
      </c>
      <c r="GX78" s="122">
        <v>0</v>
      </c>
      <c r="GY78" s="122">
        <v>0</v>
      </c>
      <c r="GZ78" s="122">
        <v>0</v>
      </c>
      <c r="HA78" s="122">
        <v>0</v>
      </c>
      <c r="HB78" s="122">
        <v>0</v>
      </c>
      <c r="HC78" s="122">
        <v>0</v>
      </c>
      <c r="HD78" s="122">
        <v>0</v>
      </c>
      <c r="HE78" s="122">
        <v>0</v>
      </c>
      <c r="HF78" s="122">
        <v>0</v>
      </c>
      <c r="HG78" s="122">
        <v>-21401979.720287658</v>
      </c>
      <c r="HH78" s="122">
        <v>0</v>
      </c>
      <c r="HI78" s="122">
        <v>-5294316.163872092</v>
      </c>
      <c r="HJ78" s="122">
        <v>0</v>
      </c>
      <c r="HK78" s="122">
        <v>-803115.10942405812</v>
      </c>
      <c r="HL78" s="122">
        <v>0</v>
      </c>
      <c r="HM78" s="122">
        <v>-369995483.59326911</v>
      </c>
      <c r="HN78" s="122">
        <v>15530997.728948005</v>
      </c>
      <c r="HO78" s="122">
        <v>504451934.22671396</v>
      </c>
      <c r="HP78" s="122">
        <v>6798414.0799999991</v>
      </c>
      <c r="HQ78" s="122">
        <v>103418992.61372802</v>
      </c>
      <c r="HR78" s="122">
        <v>122625300.25564417</v>
      </c>
      <c r="HS78" s="122">
        <v>0</v>
      </c>
      <c r="HT78" s="122">
        <v>0</v>
      </c>
      <c r="HU78" s="122">
        <v>158140.65079999901</v>
      </c>
      <c r="HV78" s="122">
        <v>0</v>
      </c>
      <c r="HW78" s="122">
        <v>-14555862.582186887</v>
      </c>
      <c r="HX78" s="122">
        <v>40492.529765277883</v>
      </c>
      <c r="HY78" s="122">
        <v>0</v>
      </c>
      <c r="HZ78" s="122">
        <v>-1543575.0007326342</v>
      </c>
      <c r="IA78" s="122">
        <v>14340757.836875102</v>
      </c>
      <c r="IB78" s="122">
        <v>0</v>
      </c>
      <c r="IC78" s="122"/>
      <c r="ID78" s="122">
        <v>0</v>
      </c>
      <c r="IE78" s="122">
        <v>0</v>
      </c>
      <c r="IF78" s="122">
        <v>-5761493.1600000188</v>
      </c>
      <c r="IG78" s="122">
        <v>369222226.72918695</v>
      </c>
      <c r="IH78" s="122">
        <v>6028296640.1346474</v>
      </c>
      <c r="II78" s="122">
        <v>0</v>
      </c>
      <c r="IJ78" s="122">
        <v>0</v>
      </c>
      <c r="IK78" s="122">
        <v>0</v>
      </c>
      <c r="IL78" s="122">
        <v>20837437.957287818</v>
      </c>
      <c r="IM78" s="122">
        <v>0</v>
      </c>
      <c r="IN78" s="122">
        <v>0</v>
      </c>
      <c r="IO78" s="122">
        <v>0</v>
      </c>
      <c r="IP78" s="122">
        <v>0</v>
      </c>
      <c r="IQ78" s="122">
        <v>0</v>
      </c>
      <c r="IR78" s="122">
        <v>0</v>
      </c>
      <c r="IS78" s="122">
        <v>0</v>
      </c>
      <c r="IT78" s="122">
        <v>0</v>
      </c>
      <c r="IU78" s="122">
        <v>0</v>
      </c>
      <c r="IV78" s="122">
        <v>0</v>
      </c>
      <c r="IW78" s="122">
        <v>0</v>
      </c>
      <c r="IX78" s="122">
        <v>0</v>
      </c>
      <c r="IY78" s="122">
        <v>0</v>
      </c>
      <c r="IZ78" s="122">
        <v>0</v>
      </c>
      <c r="JA78" s="122">
        <v>0</v>
      </c>
      <c r="JB78" s="122">
        <v>0</v>
      </c>
      <c r="JC78" s="122">
        <v>0</v>
      </c>
      <c r="JD78" s="122">
        <v>0</v>
      </c>
      <c r="JE78" s="122">
        <v>-2946061.7596826805</v>
      </c>
      <c r="JF78" s="122">
        <v>0</v>
      </c>
      <c r="JG78" s="122">
        <v>-5294316.1638720883</v>
      </c>
      <c r="JH78" s="122">
        <v>0</v>
      </c>
      <c r="JI78" s="122">
        <v>-401557.55471203179</v>
      </c>
      <c r="JJ78" s="122">
        <v>0</v>
      </c>
      <c r="JK78" s="122">
        <v>-353567888.62914097</v>
      </c>
      <c r="JL78" s="122">
        <v>18862632.939278003</v>
      </c>
      <c r="JM78" s="122">
        <v>434225941.39003211</v>
      </c>
      <c r="JN78" s="122">
        <v>9396376.4400000051</v>
      </c>
      <c r="JO78" s="122">
        <v>232425138.98714393</v>
      </c>
      <c r="JP78" s="122">
        <v>69149599.774446085</v>
      </c>
      <c r="JQ78" s="122">
        <v>0</v>
      </c>
      <c r="JR78" s="122">
        <v>0</v>
      </c>
      <c r="JS78" s="122">
        <v>158140.65079999808</v>
      </c>
      <c r="JT78" s="122">
        <v>0</v>
      </c>
      <c r="JU78" s="122">
        <v>-14219006.308582447</v>
      </c>
      <c r="JV78" s="122">
        <v>0</v>
      </c>
      <c r="JW78" s="122">
        <v>0</v>
      </c>
      <c r="JX78" s="122">
        <v>-1543575.000732634</v>
      </c>
      <c r="JY78" s="122">
        <v>11449840.215727881</v>
      </c>
      <c r="JZ78" s="122">
        <v>0</v>
      </c>
      <c r="KA78" s="122">
        <v>0</v>
      </c>
      <c r="KB78" s="122">
        <v>0</v>
      </c>
      <c r="KC78" s="122">
        <v>0</v>
      </c>
      <c r="KD78" s="122">
        <v>-5761493.1600000151</v>
      </c>
      <c r="KE78" s="122">
        <v>412771209.7779929</v>
      </c>
      <c r="KF78" s="122">
        <v>6441067849.9126396</v>
      </c>
      <c r="KG78" s="43" t="s">
        <v>34</v>
      </c>
    </row>
    <row r="79" spans="1:293" customFormat="1" ht="14.5" x14ac:dyDescent="0.35">
      <c r="B79" s="117" t="s">
        <v>119</v>
      </c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18"/>
      <c r="CX79" s="118"/>
      <c r="CY79" s="118"/>
      <c r="CZ79" s="118"/>
      <c r="DA79" s="118"/>
      <c r="DB79" s="118"/>
      <c r="DC79" s="118"/>
      <c r="DD79" s="118"/>
      <c r="DE79" s="118"/>
      <c r="DF79" s="118"/>
      <c r="DG79" s="118"/>
      <c r="DH79" s="118"/>
      <c r="DI79" s="118"/>
      <c r="DJ79" s="118"/>
      <c r="DK79" s="118"/>
      <c r="DL79" s="118"/>
      <c r="DM79" s="118"/>
      <c r="DN79" s="118"/>
      <c r="DO79" s="118"/>
      <c r="DP79" s="118"/>
      <c r="DQ79" s="118"/>
      <c r="DR79" s="118"/>
      <c r="DS79" s="118"/>
      <c r="DT79" s="118"/>
      <c r="DU79" s="118"/>
      <c r="DV79" s="118"/>
      <c r="DW79" s="118"/>
      <c r="DX79" s="118"/>
      <c r="DY79" s="118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  <c r="EJ79" s="118"/>
      <c r="EK79" s="118"/>
      <c r="EL79" s="118"/>
      <c r="EM79" s="118"/>
      <c r="EN79" s="118"/>
      <c r="EO79" s="118"/>
      <c r="EP79" s="118"/>
      <c r="EQ79" s="118"/>
      <c r="ER79" s="118"/>
      <c r="ES79" s="118"/>
      <c r="ET79" s="118"/>
      <c r="EU79" s="118"/>
      <c r="EV79" s="118"/>
      <c r="EW79" s="118"/>
      <c r="EX79" s="118"/>
      <c r="EY79" s="118"/>
      <c r="EZ79" s="118"/>
      <c r="FA79" s="118"/>
      <c r="FB79" s="118"/>
      <c r="FC79" s="118"/>
      <c r="FD79" s="118"/>
      <c r="FE79" s="118"/>
      <c r="FF79" s="118"/>
      <c r="FG79" s="118"/>
      <c r="FH79" s="118"/>
      <c r="FI79" s="118"/>
      <c r="FJ79" s="118"/>
      <c r="FK79" s="118"/>
      <c r="FL79" s="118"/>
      <c r="FM79" s="118"/>
      <c r="FN79" s="118"/>
      <c r="FO79" s="118"/>
      <c r="FP79" s="118"/>
      <c r="FQ79" s="118"/>
      <c r="FR79" s="118"/>
      <c r="FS79" s="118"/>
      <c r="FT79" s="118"/>
      <c r="FU79" s="118"/>
      <c r="FV79" s="118"/>
      <c r="FW79" s="118"/>
      <c r="FX79" s="118"/>
      <c r="FY79" s="118"/>
      <c r="FZ79" s="118"/>
      <c r="GA79" s="118"/>
      <c r="GB79" s="118"/>
      <c r="GC79" s="118"/>
      <c r="GD79" s="118"/>
      <c r="GE79" s="118"/>
      <c r="GF79" s="118"/>
      <c r="GG79" s="118"/>
      <c r="GH79" s="118"/>
      <c r="GI79" s="118"/>
      <c r="GJ79" s="118"/>
      <c r="GK79" s="118"/>
      <c r="GL79" s="118"/>
      <c r="GM79" s="118"/>
      <c r="GN79" s="118"/>
      <c r="GO79" s="118"/>
      <c r="GP79" s="118"/>
      <c r="GQ79" s="118"/>
      <c r="GR79" s="118"/>
      <c r="GS79" s="118"/>
      <c r="GT79" s="118"/>
      <c r="GU79" s="118"/>
      <c r="GV79" s="118"/>
      <c r="GW79" s="118"/>
      <c r="GX79" s="118"/>
      <c r="GY79" s="118"/>
      <c r="GZ79" s="118"/>
      <c r="HA79" s="118"/>
      <c r="HB79" s="118"/>
      <c r="HC79" s="118"/>
      <c r="HD79" s="118"/>
      <c r="HE79" s="118"/>
      <c r="HF79" s="118"/>
      <c r="HG79" s="118"/>
      <c r="HH79" s="118"/>
      <c r="HI79" s="118"/>
      <c r="HJ79" s="118"/>
      <c r="HK79" s="118"/>
      <c r="HL79" s="118"/>
      <c r="HM79" s="118"/>
      <c r="HN79" s="118"/>
      <c r="HO79" s="118"/>
      <c r="HP79" s="118"/>
      <c r="HQ79" s="118"/>
      <c r="HR79" s="118"/>
      <c r="HS79" s="118"/>
      <c r="HT79" s="118"/>
      <c r="HU79" s="118"/>
      <c r="HV79" s="118"/>
      <c r="HW79" s="118"/>
      <c r="HX79" s="118"/>
      <c r="HY79" s="118"/>
      <c r="HZ79" s="118"/>
      <c r="IA79" s="118"/>
      <c r="IB79" s="118"/>
      <c r="IC79" s="118"/>
      <c r="ID79" s="118"/>
      <c r="IE79" s="118"/>
      <c r="IF79" s="118"/>
      <c r="IG79" s="118"/>
      <c r="IH79" s="118"/>
      <c r="II79" s="118"/>
      <c r="IJ79" s="118"/>
      <c r="IK79" s="118"/>
      <c r="IL79" s="118"/>
      <c r="IM79" s="118"/>
      <c r="IN79" s="118"/>
      <c r="IO79" s="118"/>
      <c r="IP79" s="118"/>
      <c r="IQ79" s="118"/>
      <c r="IR79" s="118"/>
      <c r="IS79" s="118"/>
      <c r="IT79" s="118"/>
      <c r="IU79" s="118"/>
      <c r="IV79" s="118"/>
      <c r="IW79" s="118"/>
      <c r="IX79" s="118"/>
      <c r="IY79" s="118"/>
      <c r="IZ79" s="118"/>
      <c r="JA79" s="118"/>
      <c r="JB79" s="118"/>
      <c r="JC79" s="118"/>
      <c r="JD79" s="118"/>
      <c r="JE79" s="118"/>
      <c r="JF79" s="118"/>
      <c r="JG79" s="118"/>
      <c r="JH79" s="118"/>
      <c r="JI79" s="118"/>
      <c r="JJ79" s="118"/>
      <c r="JK79" s="118"/>
      <c r="JL79" s="118"/>
      <c r="JM79" s="118"/>
      <c r="JN79" s="118"/>
      <c r="JO79" s="118"/>
      <c r="JP79" s="118"/>
      <c r="JQ79" s="118"/>
      <c r="JR79" s="118"/>
      <c r="JS79" s="118"/>
      <c r="JT79" s="118"/>
      <c r="JU79" s="118"/>
      <c r="JV79" s="118"/>
      <c r="JW79" s="118"/>
      <c r="JX79" s="118"/>
      <c r="JY79" s="118"/>
      <c r="JZ79" s="118"/>
      <c r="KA79" s="118"/>
      <c r="KB79" s="118"/>
      <c r="KC79" s="118"/>
      <c r="KD79" s="118"/>
      <c r="KE79" s="118"/>
      <c r="KF79" s="118"/>
      <c r="KG79" s="43" t="s">
        <v>34</v>
      </c>
    </row>
    <row r="80" spans="1:293" customFormat="1" ht="14.5" x14ac:dyDescent="0.35">
      <c r="B80" s="123" t="s">
        <v>117</v>
      </c>
      <c r="C80" s="124">
        <f t="shared" ref="C80:AO80" si="146">C44</f>
        <v>297280276.17000008</v>
      </c>
      <c r="D80" s="124">
        <f t="shared" si="146"/>
        <v>27715008.083816297</v>
      </c>
      <c r="E80" s="124">
        <f t="shared" si="146"/>
        <v>984321.82894507051</v>
      </c>
      <c r="F80" s="124">
        <f t="shared" si="146"/>
        <v>829813.62078860006</v>
      </c>
      <c r="G80" s="124">
        <f t="shared" si="146"/>
        <v>36730076.987808421</v>
      </c>
      <c r="H80" s="124">
        <f t="shared" si="146"/>
        <v>29473738.80405971</v>
      </c>
      <c r="I80" s="124">
        <f t="shared" si="146"/>
        <v>2975709.7977257613</v>
      </c>
      <c r="J80" s="124">
        <f t="shared" si="146"/>
        <v>139378.00489226007</v>
      </c>
      <c r="K80" s="124">
        <f t="shared" si="146"/>
        <v>1744.5848380158841</v>
      </c>
      <c r="L80" s="124">
        <f t="shared" si="146"/>
        <v>34454.191186003947</v>
      </c>
      <c r="M80" s="124">
        <f t="shared" si="146"/>
        <v>-70788.642846595074</v>
      </c>
      <c r="N80" s="124">
        <f t="shared" si="146"/>
        <v>-4368173.7026213948</v>
      </c>
      <c r="O80" s="124">
        <f t="shared" si="146"/>
        <v>-122822.85124517528</v>
      </c>
      <c r="P80" s="124">
        <f t="shared" si="146"/>
        <v>-17521.863852870072</v>
      </c>
      <c r="Q80" s="124">
        <f t="shared" si="146"/>
        <v>-816673.3893978541</v>
      </c>
      <c r="R80" s="124">
        <f t="shared" si="146"/>
        <v>1302726.7716999999</v>
      </c>
      <c r="S80" s="124">
        <f t="shared" si="146"/>
        <v>66097.118360055465</v>
      </c>
      <c r="T80" s="124">
        <f t="shared" si="146"/>
        <v>1576182.6872538861</v>
      </c>
      <c r="U80" s="124">
        <f t="shared" si="146"/>
        <v>-2262436.406464857</v>
      </c>
      <c r="V80" s="124">
        <f t="shared" si="146"/>
        <v>0</v>
      </c>
      <c r="W80" s="124">
        <f t="shared" si="146"/>
        <v>-657625.84572865348</v>
      </c>
      <c r="X80" s="124">
        <f t="shared" si="146"/>
        <v>-69587.980321600218</v>
      </c>
      <c r="Y80" s="124">
        <f t="shared" si="146"/>
        <v>0</v>
      </c>
      <c r="Z80" s="124">
        <f t="shared" si="146"/>
        <v>0</v>
      </c>
      <c r="AA80" s="124">
        <f t="shared" si="146"/>
        <v>0</v>
      </c>
      <c r="AB80" s="124">
        <f t="shared" si="146"/>
        <v>0</v>
      </c>
      <c r="AC80" s="124">
        <f t="shared" si="146"/>
        <v>142029.36432510396</v>
      </c>
      <c r="AD80" s="124">
        <f t="shared" si="146"/>
        <v>0</v>
      </c>
      <c r="AE80" s="124">
        <f t="shared" si="146"/>
        <v>-8137368.974306412</v>
      </c>
      <c r="AF80" s="124">
        <f t="shared" si="146"/>
        <v>-77236.935274999967</v>
      </c>
      <c r="AG80" s="124">
        <f t="shared" si="146"/>
        <v>167530.56</v>
      </c>
      <c r="AH80" s="124">
        <f t="shared" si="146"/>
        <v>-745895.0162666667</v>
      </c>
      <c r="AI80" s="124">
        <f t="shared" si="146"/>
        <v>0</v>
      </c>
      <c r="AJ80" s="124">
        <f t="shared" si="146"/>
        <v>78257.771299999993</v>
      </c>
      <c r="AK80" s="124">
        <f t="shared" si="146"/>
        <v>789966.53717999777</v>
      </c>
      <c r="AL80" s="124">
        <f t="shared" si="146"/>
        <v>0</v>
      </c>
      <c r="AM80" s="124">
        <f t="shared" si="146"/>
        <v>0</v>
      </c>
      <c r="AN80" s="124">
        <f t="shared" si="146"/>
        <v>0</v>
      </c>
      <c r="AO80" s="124">
        <f t="shared" si="146"/>
        <v>0</v>
      </c>
      <c r="AP80" s="124">
        <f t="shared" ref="AP80" si="147">AP44</f>
        <v>0</v>
      </c>
      <c r="AQ80" s="124">
        <f t="shared" ref="AQ80:BV80" si="148">AQ44</f>
        <v>0</v>
      </c>
      <c r="AR80" s="124">
        <f t="shared" si="148"/>
        <v>85660905.105852038</v>
      </c>
      <c r="AS80" s="124">
        <f t="shared" si="148"/>
        <v>382941181.27585196</v>
      </c>
      <c r="AT80" s="124">
        <f t="shared" si="148"/>
        <v>-5900349.9228287628</v>
      </c>
      <c r="AU80" s="124">
        <f t="shared" si="148"/>
        <v>0</v>
      </c>
      <c r="AV80" s="124">
        <f t="shared" si="148"/>
        <v>0</v>
      </c>
      <c r="AW80" s="124">
        <f t="shared" si="148"/>
        <v>454424.19965512399</v>
      </c>
      <c r="AX80" s="124">
        <f t="shared" si="148"/>
        <v>809137.34002525103</v>
      </c>
      <c r="AY80" s="124">
        <f t="shared" si="148"/>
        <v>0</v>
      </c>
      <c r="AZ80" s="124">
        <f t="shared" si="148"/>
        <v>0</v>
      </c>
      <c r="BA80" s="124">
        <f t="shared" si="148"/>
        <v>0</v>
      </c>
      <c r="BB80" s="124">
        <f t="shared" si="148"/>
        <v>-88453.097947868329</v>
      </c>
      <c r="BC80" s="124">
        <f t="shared" si="148"/>
        <v>0</v>
      </c>
      <c r="BD80" s="124">
        <f t="shared" si="148"/>
        <v>1541476.0708844375</v>
      </c>
      <c r="BE80" s="124">
        <f t="shared" si="148"/>
        <v>0</v>
      </c>
      <c r="BF80" s="124">
        <f t="shared" si="148"/>
        <v>0</v>
      </c>
      <c r="BG80" s="124">
        <f t="shared" si="148"/>
        <v>-748484.50773254456</v>
      </c>
      <c r="BH80" s="124">
        <f t="shared" si="148"/>
        <v>0</v>
      </c>
      <c r="BI80" s="124">
        <f t="shared" si="148"/>
        <v>0</v>
      </c>
      <c r="BJ80" s="124">
        <f t="shared" si="148"/>
        <v>-1224537.0157488291</v>
      </c>
      <c r="BK80" s="124">
        <f t="shared" si="148"/>
        <v>0</v>
      </c>
      <c r="BL80" s="124">
        <f t="shared" si="148"/>
        <v>0</v>
      </c>
      <c r="BM80" s="124">
        <f t="shared" si="148"/>
        <v>0</v>
      </c>
      <c r="BN80" s="124">
        <f t="shared" si="148"/>
        <v>0</v>
      </c>
      <c r="BO80" s="124">
        <f t="shared" si="148"/>
        <v>0</v>
      </c>
      <c r="BP80" s="124">
        <f t="shared" si="148"/>
        <v>0</v>
      </c>
      <c r="BQ80" s="124">
        <f t="shared" si="148"/>
        <v>-4951875.4166999999</v>
      </c>
      <c r="BR80" s="124">
        <f t="shared" si="148"/>
        <v>-8945940.8578260001</v>
      </c>
      <c r="BS80" s="124">
        <f t="shared" si="148"/>
        <v>1.9374896149383859E-2</v>
      </c>
      <c r="BT80" s="124">
        <f t="shared" si="148"/>
        <v>0</v>
      </c>
      <c r="BU80" s="124">
        <f t="shared" si="148"/>
        <v>0</v>
      </c>
      <c r="BV80" s="124">
        <f t="shared" si="148"/>
        <v>3044147.4886901998</v>
      </c>
      <c r="BW80" s="124">
        <f t="shared" ref="BW80:DB80" si="149">BW44</f>
        <v>573114.39049726026</v>
      </c>
      <c r="BX80" s="124">
        <f t="shared" si="149"/>
        <v>-1352923.7452072599</v>
      </c>
      <c r="BY80" s="124">
        <f t="shared" si="149"/>
        <v>-211374.28810000006</v>
      </c>
      <c r="BZ80" s="124">
        <f t="shared" si="149"/>
        <v>-66055.621369259985</v>
      </c>
      <c r="CA80" s="124">
        <f t="shared" si="149"/>
        <v>-1056906.5734432</v>
      </c>
      <c r="CB80" s="124">
        <f t="shared" si="149"/>
        <v>0</v>
      </c>
      <c r="CC80" s="124">
        <f t="shared" si="149"/>
        <v>0</v>
      </c>
      <c r="CD80" s="124">
        <f t="shared" si="149"/>
        <v>0</v>
      </c>
      <c r="CE80" s="124">
        <f t="shared" si="149"/>
        <v>0</v>
      </c>
      <c r="CF80" s="124">
        <f t="shared" si="149"/>
        <v>1302182.2319424739</v>
      </c>
      <c r="CG80" s="124">
        <f t="shared" si="149"/>
        <v>33733.560899999982</v>
      </c>
      <c r="CH80" s="124">
        <f t="shared" si="149"/>
        <v>0</v>
      </c>
      <c r="CI80" s="124">
        <f t="shared" si="149"/>
        <v>-1497815.7865000002</v>
      </c>
      <c r="CJ80" s="124">
        <f t="shared" si="149"/>
        <v>51935956.248247728</v>
      </c>
      <c r="CK80" s="124">
        <f t="shared" si="149"/>
        <v>0</v>
      </c>
      <c r="CL80" s="124">
        <f t="shared" si="149"/>
        <v>0</v>
      </c>
      <c r="CM80" s="124">
        <f t="shared" si="149"/>
        <v>0</v>
      </c>
      <c r="CN80" s="124">
        <f t="shared" si="149"/>
        <v>33649454.716813654</v>
      </c>
      <c r="CO80" s="124">
        <f t="shared" si="149"/>
        <v>416590635.99266577</v>
      </c>
      <c r="CP80" s="124">
        <f t="shared" si="149"/>
        <v>-41008047.891153216</v>
      </c>
      <c r="CQ80" s="124">
        <f t="shared" si="149"/>
        <v>0</v>
      </c>
      <c r="CR80" s="124">
        <f t="shared" si="149"/>
        <v>0</v>
      </c>
      <c r="CS80" s="124">
        <f t="shared" si="149"/>
        <v>399773.68118600268</v>
      </c>
      <c r="CT80" s="124">
        <f t="shared" si="149"/>
        <v>631151.54481271701</v>
      </c>
      <c r="CU80" s="124">
        <f t="shared" si="149"/>
        <v>0</v>
      </c>
      <c r="CV80" s="124">
        <f t="shared" si="149"/>
        <v>0</v>
      </c>
      <c r="CW80" s="124">
        <f t="shared" si="149"/>
        <v>0</v>
      </c>
      <c r="CX80" s="124">
        <f t="shared" si="149"/>
        <v>0</v>
      </c>
      <c r="CY80" s="124">
        <f t="shared" si="149"/>
        <v>0</v>
      </c>
      <c r="CZ80" s="124">
        <f t="shared" si="149"/>
        <v>-306311.14921122277</v>
      </c>
      <c r="DA80" s="124">
        <f t="shared" si="149"/>
        <v>0</v>
      </c>
      <c r="DB80" s="124">
        <f t="shared" si="149"/>
        <v>0</v>
      </c>
      <c r="DC80" s="124">
        <f t="shared" ref="DC80:EH80" si="150">DC44</f>
        <v>0</v>
      </c>
      <c r="DD80" s="124">
        <f t="shared" si="150"/>
        <v>-1163573.5173000004</v>
      </c>
      <c r="DE80" s="124">
        <f t="shared" si="150"/>
        <v>0</v>
      </c>
      <c r="DF80" s="124">
        <f t="shared" si="150"/>
        <v>0</v>
      </c>
      <c r="DG80" s="124">
        <f t="shared" si="150"/>
        <v>0</v>
      </c>
      <c r="DH80" s="124">
        <f t="shared" si="150"/>
        <v>0</v>
      </c>
      <c r="DI80" s="124">
        <f t="shared" si="150"/>
        <v>0</v>
      </c>
      <c r="DJ80" s="124">
        <f t="shared" si="150"/>
        <v>0</v>
      </c>
      <c r="DK80" s="124">
        <f t="shared" si="150"/>
        <v>0</v>
      </c>
      <c r="DL80" s="124">
        <f t="shared" si="150"/>
        <v>0</v>
      </c>
      <c r="DM80" s="124">
        <f t="shared" si="150"/>
        <v>0</v>
      </c>
      <c r="DN80" s="124">
        <f t="shared" si="150"/>
        <v>0</v>
      </c>
      <c r="DO80" s="124">
        <f t="shared" si="150"/>
        <v>0</v>
      </c>
      <c r="DP80" s="124">
        <f t="shared" si="150"/>
        <v>0</v>
      </c>
      <c r="DQ80" s="124">
        <f t="shared" si="150"/>
        <v>0</v>
      </c>
      <c r="DR80" s="124">
        <f t="shared" si="150"/>
        <v>14739499.822137697</v>
      </c>
      <c r="DS80" s="124">
        <f t="shared" si="150"/>
        <v>4397798.4569056612</v>
      </c>
      <c r="DT80" s="124">
        <f t="shared" si="150"/>
        <v>-10993462.594550598</v>
      </c>
      <c r="DU80" s="124">
        <f t="shared" si="150"/>
        <v>-792152.34710000001</v>
      </c>
      <c r="DV80" s="124">
        <f t="shared" si="150"/>
        <v>-1760698.9052107399</v>
      </c>
      <c r="DW80" s="124">
        <f t="shared" si="150"/>
        <v>-8465444.0078082196</v>
      </c>
      <c r="DX80" s="124">
        <f t="shared" si="150"/>
        <v>0</v>
      </c>
      <c r="DY80" s="124">
        <f t="shared" si="150"/>
        <v>0</v>
      </c>
      <c r="DZ80" s="124">
        <f t="shared" si="150"/>
        <v>0</v>
      </c>
      <c r="EA80" s="124">
        <f t="shared" si="150"/>
        <v>0</v>
      </c>
      <c r="EB80" s="124">
        <f t="shared" si="150"/>
        <v>-242022.31235291326</v>
      </c>
      <c r="EC80" s="124">
        <f t="shared" si="150"/>
        <v>0</v>
      </c>
      <c r="ED80" s="124">
        <f t="shared" si="150"/>
        <v>0</v>
      </c>
      <c r="EE80" s="124">
        <f t="shared" si="150"/>
        <v>0</v>
      </c>
      <c r="EF80" s="124">
        <f t="shared" si="150"/>
        <v>-39655.383872746024</v>
      </c>
      <c r="EG80" s="124">
        <f t="shared" si="150"/>
        <v>0</v>
      </c>
      <c r="EH80" s="124">
        <f t="shared" si="150"/>
        <v>-1104628.326611717</v>
      </c>
      <c r="EI80" s="124">
        <f t="shared" ref="EI80:FN80" si="151">EI44</f>
        <v>0</v>
      </c>
      <c r="EJ80" s="124">
        <f t="shared" si="151"/>
        <v>349292.03779998259</v>
      </c>
      <c r="EK80" s="124">
        <f t="shared" si="151"/>
        <v>-45358480.892329313</v>
      </c>
      <c r="EL80" s="124">
        <f t="shared" si="151"/>
        <v>371232155.10033727</v>
      </c>
      <c r="EM80" s="124">
        <f t="shared" si="151"/>
        <v>15909781.89594581</v>
      </c>
      <c r="EN80" s="124">
        <f t="shared" si="151"/>
        <v>0</v>
      </c>
      <c r="EO80" s="124">
        <f t="shared" si="151"/>
        <v>0</v>
      </c>
      <c r="EP80" s="124">
        <f t="shared" si="151"/>
        <v>668842.91487600096</v>
      </c>
      <c r="EQ80" s="124">
        <f t="shared" si="151"/>
        <v>-1131614.694250165</v>
      </c>
      <c r="ER80" s="124">
        <f t="shared" si="151"/>
        <v>0</v>
      </c>
      <c r="ES80" s="124">
        <f t="shared" si="151"/>
        <v>0</v>
      </c>
      <c r="ET80" s="124">
        <f t="shared" si="151"/>
        <v>0</v>
      </c>
      <c r="EU80" s="124">
        <f t="shared" si="151"/>
        <v>0</v>
      </c>
      <c r="EV80" s="124">
        <f t="shared" si="151"/>
        <v>0</v>
      </c>
      <c r="EW80" s="124">
        <f t="shared" si="151"/>
        <v>-564801.47031854209</v>
      </c>
      <c r="EX80" s="124">
        <f t="shared" si="151"/>
        <v>0</v>
      </c>
      <c r="EY80" s="124">
        <f t="shared" si="151"/>
        <v>0</v>
      </c>
      <c r="EZ80" s="124">
        <f t="shared" si="151"/>
        <v>0</v>
      </c>
      <c r="FA80" s="124">
        <f t="shared" si="151"/>
        <v>-3468351.8046000004</v>
      </c>
      <c r="FB80" s="124">
        <f t="shared" si="151"/>
        <v>0</v>
      </c>
      <c r="FC80" s="124">
        <f t="shared" si="151"/>
        <v>0</v>
      </c>
      <c r="FD80" s="124">
        <f t="shared" si="151"/>
        <v>0</v>
      </c>
      <c r="FE80" s="124">
        <f t="shared" si="151"/>
        <v>0</v>
      </c>
      <c r="FF80" s="124">
        <f t="shared" si="151"/>
        <v>0</v>
      </c>
      <c r="FG80" s="124">
        <f t="shared" si="151"/>
        <v>0</v>
      </c>
      <c r="FH80" s="124">
        <f t="shared" si="151"/>
        <v>-11010328.998507787</v>
      </c>
      <c r="FI80" s="124">
        <f t="shared" si="151"/>
        <v>-245505.14664022264</v>
      </c>
      <c r="FJ80" s="124">
        <f t="shared" si="151"/>
        <v>-6591984.3532083482</v>
      </c>
      <c r="FK80" s="124">
        <f t="shared" si="151"/>
        <v>-5506395.0148223229</v>
      </c>
      <c r="FL80" s="124">
        <f t="shared" si="151"/>
        <v>-80037.032855528465</v>
      </c>
      <c r="FM80" s="124">
        <f t="shared" si="151"/>
        <v>637375.39979791641</v>
      </c>
      <c r="FN80" s="124">
        <f t="shared" si="151"/>
        <v>0</v>
      </c>
      <c r="FO80" s="124">
        <f t="shared" ref="FO80:GD80" si="152">FO44</f>
        <v>21655401.978452869</v>
      </c>
      <c r="FP80" s="124">
        <f t="shared" si="152"/>
        <v>5525741.4497995321</v>
      </c>
      <c r="FQ80" s="124">
        <f t="shared" si="152"/>
        <v>-13328051.774230499</v>
      </c>
      <c r="FR80" s="124">
        <f t="shared" si="152"/>
        <v>-125084.27870000018</v>
      </c>
      <c r="FS80" s="124">
        <f t="shared" si="152"/>
        <v>-1767975.6257000002</v>
      </c>
      <c r="FT80" s="124">
        <f t="shared" si="152"/>
        <v>-10217273.590264838</v>
      </c>
      <c r="FU80" s="124">
        <f t="shared" si="152"/>
        <v>-122038245.99038979</v>
      </c>
      <c r="FV80" s="124">
        <f t="shared" si="152"/>
        <v>-139468.69547499999</v>
      </c>
      <c r="FW80" s="124">
        <f t="shared" si="152"/>
        <v>12529.914132000002</v>
      </c>
      <c r="FX80" s="124">
        <f t="shared" si="152"/>
        <v>827173.50134999724</v>
      </c>
      <c r="FY80" s="124">
        <f t="shared" si="152"/>
        <v>2257567.0605767574</v>
      </c>
      <c r="FZ80" s="124">
        <f t="shared" si="152"/>
        <v>-11244.520300000051</v>
      </c>
      <c r="GA80" s="124">
        <f t="shared" si="152"/>
        <v>305324.86188733811</v>
      </c>
      <c r="GB80" s="124">
        <f t="shared" si="152"/>
        <v>-1707574.2478025374</v>
      </c>
      <c r="GC80" s="124">
        <f t="shared" si="152"/>
        <v>-8200821.0775916548</v>
      </c>
      <c r="GD80" s="124">
        <f t="shared" si="152"/>
        <v>0</v>
      </c>
      <c r="GE80" s="124"/>
      <c r="GF80" s="124">
        <f t="shared" ref="GF80" si="153">GF44</f>
        <v>399846.61577827268</v>
      </c>
      <c r="GG80" s="124">
        <f t="shared" ref="GG80:IB80" si="154">GG44</f>
        <v>0</v>
      </c>
      <c r="GH80" s="124">
        <f t="shared" si="154"/>
        <v>1746498.9622000174</v>
      </c>
      <c r="GI80" s="124">
        <f t="shared" si="154"/>
        <v>-134285975.73662052</v>
      </c>
      <c r="GJ80" s="124">
        <f t="shared" si="154"/>
        <v>236946179.36371613</v>
      </c>
      <c r="GK80" s="124">
        <f t="shared" si="154"/>
        <v>16230699.011550086</v>
      </c>
      <c r="GL80" s="124">
        <f t="shared" si="154"/>
        <v>0</v>
      </c>
      <c r="GM80" s="124">
        <f t="shared" si="154"/>
        <v>0</v>
      </c>
      <c r="GN80" s="124">
        <f t="shared" si="154"/>
        <v>-467403.99771801173</v>
      </c>
      <c r="GO80" s="124">
        <f t="shared" si="154"/>
        <v>676709.86312155868</v>
      </c>
      <c r="GP80" s="124">
        <f t="shared" si="154"/>
        <v>0</v>
      </c>
      <c r="GQ80" s="124">
        <f t="shared" si="154"/>
        <v>0</v>
      </c>
      <c r="GR80" s="124">
        <f t="shared" si="154"/>
        <v>0</v>
      </c>
      <c r="GS80" s="124">
        <f t="shared" si="154"/>
        <v>0</v>
      </c>
      <c r="GT80" s="124">
        <f t="shared" si="154"/>
        <v>0</v>
      </c>
      <c r="GU80" s="124">
        <f t="shared" si="154"/>
        <v>-1312687.165039951</v>
      </c>
      <c r="GV80" s="124">
        <f t="shared" si="154"/>
        <v>0</v>
      </c>
      <c r="GW80" s="124">
        <f t="shared" si="154"/>
        <v>0</v>
      </c>
      <c r="GX80" s="124">
        <f t="shared" si="154"/>
        <v>0</v>
      </c>
      <c r="GY80" s="124">
        <f t="shared" si="154"/>
        <v>0</v>
      </c>
      <c r="GZ80" s="124">
        <f t="shared" si="154"/>
        <v>0</v>
      </c>
      <c r="HA80" s="124">
        <f t="shared" si="154"/>
        <v>0</v>
      </c>
      <c r="HB80" s="124">
        <f t="shared" si="154"/>
        <v>0</v>
      </c>
      <c r="HC80" s="124">
        <f t="shared" si="154"/>
        <v>0</v>
      </c>
      <c r="HD80" s="124">
        <f t="shared" si="154"/>
        <v>0</v>
      </c>
      <c r="HE80" s="124">
        <f t="shared" si="154"/>
        <v>0</v>
      </c>
      <c r="HF80" s="124">
        <f t="shared" si="154"/>
        <v>-8744029.496464882</v>
      </c>
      <c r="HG80" s="124">
        <f t="shared" si="154"/>
        <v>-2700556.6130424486</v>
      </c>
      <c r="HH80" s="124">
        <f t="shared" si="154"/>
        <v>0</v>
      </c>
      <c r="HI80" s="124">
        <f t="shared" si="154"/>
        <v>0</v>
      </c>
      <c r="HJ80" s="124">
        <f t="shared" si="154"/>
        <v>0</v>
      </c>
      <c r="HK80" s="124">
        <f t="shared" si="154"/>
        <v>0</v>
      </c>
      <c r="HL80" s="124">
        <f t="shared" si="154"/>
        <v>0</v>
      </c>
      <c r="HM80" s="124">
        <f t="shared" si="154"/>
        <v>15753467.313203076</v>
      </c>
      <c r="HN80" s="124">
        <f t="shared" si="154"/>
        <v>3186127.5465514394</v>
      </c>
      <c r="HO80" s="124">
        <f t="shared" si="154"/>
        <v>-24146729.005190726</v>
      </c>
      <c r="HP80" s="124">
        <f t="shared" si="154"/>
        <v>-247672.57610000021</v>
      </c>
      <c r="HQ80" s="124">
        <f t="shared" si="154"/>
        <v>-1259999.8117581997</v>
      </c>
      <c r="HR80" s="124">
        <f t="shared" si="154"/>
        <v>-13638239.265215576</v>
      </c>
      <c r="HS80" s="124">
        <f t="shared" si="154"/>
        <v>-12414641.257064261</v>
      </c>
      <c r="HT80" s="124">
        <f t="shared" si="154"/>
        <v>47877.97567499998</v>
      </c>
      <c r="HU80" s="124">
        <f t="shared" si="154"/>
        <v>0</v>
      </c>
      <c r="HV80" s="124">
        <f t="shared" si="154"/>
        <v>0</v>
      </c>
      <c r="HW80" s="124">
        <f t="shared" si="154"/>
        <v>7717397.320672133</v>
      </c>
      <c r="HX80" s="124">
        <f t="shared" si="154"/>
        <v>-78711.642099999939</v>
      </c>
      <c r="HY80" s="124">
        <f t="shared" si="154"/>
        <v>0</v>
      </c>
      <c r="HZ80" s="124">
        <f t="shared" si="154"/>
        <v>-141140.79015213592</v>
      </c>
      <c r="IA80" s="124">
        <f t="shared" si="154"/>
        <v>2642664.426725002</v>
      </c>
      <c r="IB80" s="124">
        <f t="shared" si="154"/>
        <v>0</v>
      </c>
      <c r="IC80" s="124"/>
      <c r="ID80" s="124">
        <f t="shared" ref="ID80" si="155">ID44</f>
        <v>383.94</v>
      </c>
      <c r="IE80" s="124">
        <f t="shared" ref="IE80:JZ80" si="156">IE44</f>
        <v>0</v>
      </c>
      <c r="IF80" s="124">
        <f t="shared" si="156"/>
        <v>0</v>
      </c>
      <c r="IG80" s="124">
        <f t="shared" si="156"/>
        <v>-14052029.517119762</v>
      </c>
      <c r="IH80" s="124">
        <f t="shared" si="156"/>
        <v>222894149.84659672</v>
      </c>
      <c r="II80" s="124">
        <f t="shared" si="156"/>
        <v>4769409.0190590601</v>
      </c>
      <c r="IJ80" s="124">
        <f t="shared" si="156"/>
        <v>0</v>
      </c>
      <c r="IK80" s="124">
        <f t="shared" si="156"/>
        <v>0</v>
      </c>
      <c r="IL80" s="124">
        <f t="shared" si="156"/>
        <v>553818.45254800306</v>
      </c>
      <c r="IM80" s="124">
        <f t="shared" si="156"/>
        <v>350613.69089476718</v>
      </c>
      <c r="IN80" s="124">
        <f t="shared" si="156"/>
        <v>0</v>
      </c>
      <c r="IO80" s="124">
        <f t="shared" si="156"/>
        <v>0</v>
      </c>
      <c r="IP80" s="124">
        <f t="shared" si="156"/>
        <v>0</v>
      </c>
      <c r="IQ80" s="124">
        <f t="shared" si="156"/>
        <v>0</v>
      </c>
      <c r="IR80" s="124">
        <f t="shared" si="156"/>
        <v>0</v>
      </c>
      <c r="IS80" s="124">
        <f t="shared" si="156"/>
        <v>-1982533.4266663087</v>
      </c>
      <c r="IT80" s="124">
        <f t="shared" si="156"/>
        <v>0</v>
      </c>
      <c r="IU80" s="124">
        <f t="shared" si="156"/>
        <v>0</v>
      </c>
      <c r="IV80" s="124">
        <f t="shared" si="156"/>
        <v>0</v>
      </c>
      <c r="IW80" s="124">
        <f t="shared" si="156"/>
        <v>0</v>
      </c>
      <c r="IX80" s="124">
        <f t="shared" si="156"/>
        <v>0</v>
      </c>
      <c r="IY80" s="124">
        <f t="shared" si="156"/>
        <v>0</v>
      </c>
      <c r="IZ80" s="124">
        <f t="shared" si="156"/>
        <v>0</v>
      </c>
      <c r="JA80" s="124">
        <f t="shared" si="156"/>
        <v>0</v>
      </c>
      <c r="JB80" s="124">
        <f t="shared" si="156"/>
        <v>0</v>
      </c>
      <c r="JC80" s="124">
        <f t="shared" si="156"/>
        <v>0</v>
      </c>
      <c r="JD80" s="124">
        <f t="shared" si="156"/>
        <v>-8971063.5343158171</v>
      </c>
      <c r="JE80" s="124">
        <f t="shared" si="156"/>
        <v>0</v>
      </c>
      <c r="JF80" s="124">
        <f t="shared" si="156"/>
        <v>0</v>
      </c>
      <c r="JG80" s="124">
        <f t="shared" si="156"/>
        <v>0</v>
      </c>
      <c r="JH80" s="124">
        <f t="shared" si="156"/>
        <v>239304.78550000006</v>
      </c>
      <c r="JI80" s="124">
        <f t="shared" si="156"/>
        <v>-637375.39979791641</v>
      </c>
      <c r="JJ80" s="124">
        <f t="shared" si="156"/>
        <v>0</v>
      </c>
      <c r="JK80" s="124">
        <f t="shared" si="156"/>
        <v>6588668.5078014154</v>
      </c>
      <c r="JL80" s="124">
        <f t="shared" si="156"/>
        <v>2437396.2775514396</v>
      </c>
      <c r="JM80" s="124">
        <f t="shared" si="156"/>
        <v>-19728637.315743931</v>
      </c>
      <c r="JN80" s="124">
        <f t="shared" si="156"/>
        <v>-322232.33369999728</v>
      </c>
      <c r="JO80" s="124">
        <f t="shared" si="156"/>
        <v>-6460147.5837604003</v>
      </c>
      <c r="JP80" s="124">
        <f t="shared" si="156"/>
        <v>-3583681.0477814642</v>
      </c>
      <c r="JQ80" s="124">
        <f t="shared" si="156"/>
        <v>44494077.295159809</v>
      </c>
      <c r="JR80" s="124">
        <f t="shared" si="156"/>
        <v>4512.3792750000439</v>
      </c>
      <c r="JS80" s="124">
        <f t="shared" si="156"/>
        <v>0</v>
      </c>
      <c r="JT80" s="124">
        <f t="shared" si="156"/>
        <v>0</v>
      </c>
      <c r="JU80" s="124">
        <f t="shared" si="156"/>
        <v>1840722.6137323775</v>
      </c>
      <c r="JV80" s="124">
        <f t="shared" si="156"/>
        <v>0</v>
      </c>
      <c r="JW80" s="124">
        <f t="shared" si="156"/>
        <v>0</v>
      </c>
      <c r="JX80" s="124">
        <f t="shared" si="156"/>
        <v>-244615.48069299542</v>
      </c>
      <c r="JY80" s="124">
        <f t="shared" si="156"/>
        <v>5505530.5195749924</v>
      </c>
      <c r="JZ80" s="124">
        <f t="shared" si="156"/>
        <v>0</v>
      </c>
      <c r="KA80" s="124">
        <f t="shared" ref="KA80:KC80" si="157">KA44</f>
        <v>4681789.4104666123</v>
      </c>
      <c r="KB80" s="124">
        <f t="shared" si="157"/>
        <v>391.84000000000003</v>
      </c>
      <c r="KC80" s="124">
        <f t="shared" si="157"/>
        <v>0</v>
      </c>
      <c r="KD80" s="124">
        <f>KD44</f>
        <v>0</v>
      </c>
      <c r="KE80" s="124">
        <f>KE44</f>
        <v>29535948.669104654</v>
      </c>
      <c r="KF80" s="124">
        <f>KF44</f>
        <v>252430098.51570058</v>
      </c>
      <c r="KG80" s="43" t="s">
        <v>34</v>
      </c>
    </row>
    <row r="81" spans="1:293" customFormat="1" ht="14.5" x14ac:dyDescent="0.35">
      <c r="B81" s="125" t="s">
        <v>118</v>
      </c>
      <c r="C81" s="126">
        <f t="shared" ref="C81:AO81" si="158">C46</f>
        <v>5483216405.8370619</v>
      </c>
      <c r="D81" s="126">
        <f t="shared" si="158"/>
        <v>0</v>
      </c>
      <c r="E81" s="126">
        <f t="shared" si="158"/>
        <v>0</v>
      </c>
      <c r="F81" s="126">
        <f t="shared" si="158"/>
        <v>0</v>
      </c>
      <c r="G81" s="126">
        <f t="shared" si="158"/>
        <v>0</v>
      </c>
      <c r="H81" s="126">
        <f t="shared" si="158"/>
        <v>0</v>
      </c>
      <c r="I81" s="126">
        <f t="shared" si="158"/>
        <v>0</v>
      </c>
      <c r="J81" s="126">
        <f t="shared" si="158"/>
        <v>0</v>
      </c>
      <c r="K81" s="126">
        <f t="shared" si="158"/>
        <v>0</v>
      </c>
      <c r="L81" s="126">
        <f t="shared" si="158"/>
        <v>0</v>
      </c>
      <c r="M81" s="126">
        <f t="shared" si="158"/>
        <v>0</v>
      </c>
      <c r="N81" s="126">
        <f t="shared" si="158"/>
        <v>0</v>
      </c>
      <c r="O81" s="126">
        <f t="shared" si="158"/>
        <v>0</v>
      </c>
      <c r="P81" s="126">
        <f t="shared" si="158"/>
        <v>0</v>
      </c>
      <c r="Q81" s="126">
        <f t="shared" si="158"/>
        <v>0</v>
      </c>
      <c r="R81" s="126">
        <f t="shared" si="158"/>
        <v>0</v>
      </c>
      <c r="S81" s="126">
        <f t="shared" si="158"/>
        <v>0</v>
      </c>
      <c r="T81" s="126">
        <f t="shared" si="158"/>
        <v>0</v>
      </c>
      <c r="U81" s="126">
        <f t="shared" si="158"/>
        <v>0</v>
      </c>
      <c r="V81" s="126">
        <f t="shared" si="158"/>
        <v>18890706.954618394</v>
      </c>
      <c r="W81" s="126">
        <f t="shared" si="158"/>
        <v>-657625.84572865302</v>
      </c>
      <c r="X81" s="126">
        <f t="shared" si="158"/>
        <v>0</v>
      </c>
      <c r="Y81" s="126">
        <f t="shared" si="158"/>
        <v>0</v>
      </c>
      <c r="Z81" s="126">
        <f t="shared" si="158"/>
        <v>0</v>
      </c>
      <c r="AA81" s="126">
        <f t="shared" si="158"/>
        <v>-143015087.87042797</v>
      </c>
      <c r="AB81" s="126">
        <f t="shared" si="158"/>
        <v>0</v>
      </c>
      <c r="AC81" s="126">
        <f t="shared" si="158"/>
        <v>0</v>
      </c>
      <c r="AD81" s="126">
        <f t="shared" si="158"/>
        <v>0</v>
      </c>
      <c r="AE81" s="126">
        <f t="shared" si="158"/>
        <v>0</v>
      </c>
      <c r="AF81" s="126">
        <f t="shared" si="158"/>
        <v>0</v>
      </c>
      <c r="AG81" s="126">
        <f t="shared" si="158"/>
        <v>-1259296.25</v>
      </c>
      <c r="AH81" s="126">
        <f t="shared" si="158"/>
        <v>0</v>
      </c>
      <c r="AI81" s="126">
        <f t="shared" si="158"/>
        <v>0</v>
      </c>
      <c r="AJ81" s="126">
        <f t="shared" si="158"/>
        <v>-261470.68089999998</v>
      </c>
      <c r="AK81" s="126">
        <f t="shared" si="158"/>
        <v>0</v>
      </c>
      <c r="AL81" s="126">
        <f t="shared" si="158"/>
        <v>0</v>
      </c>
      <c r="AM81" s="126">
        <f t="shared" si="158"/>
        <v>0</v>
      </c>
      <c r="AN81" s="126">
        <f t="shared" si="158"/>
        <v>0</v>
      </c>
      <c r="AO81" s="126">
        <f t="shared" si="158"/>
        <v>0</v>
      </c>
      <c r="AP81" s="126">
        <f t="shared" ref="AP81" si="159">AP46</f>
        <v>-10412255.885072351</v>
      </c>
      <c r="AQ81" s="126">
        <f t="shared" ref="AQ81:BV81" si="160">AQ46</f>
        <v>0</v>
      </c>
      <c r="AR81" s="126">
        <f t="shared" si="160"/>
        <v>-136715029.5775106</v>
      </c>
      <c r="AS81" s="126">
        <f t="shared" si="160"/>
        <v>5346501376.2595491</v>
      </c>
      <c r="AT81" s="126">
        <f t="shared" si="160"/>
        <v>0</v>
      </c>
      <c r="AU81" s="126">
        <f t="shared" si="160"/>
        <v>0</v>
      </c>
      <c r="AV81" s="126">
        <f t="shared" si="160"/>
        <v>0</v>
      </c>
      <c r="AW81" s="126">
        <f t="shared" si="160"/>
        <v>10695828.339366198</v>
      </c>
      <c r="AX81" s="126">
        <f t="shared" si="160"/>
        <v>0</v>
      </c>
      <c r="AY81" s="126">
        <f t="shared" si="160"/>
        <v>0</v>
      </c>
      <c r="AZ81" s="126">
        <f t="shared" si="160"/>
        <v>0</v>
      </c>
      <c r="BA81" s="126">
        <f t="shared" si="160"/>
        <v>0</v>
      </c>
      <c r="BB81" s="126">
        <f t="shared" si="160"/>
        <v>0</v>
      </c>
      <c r="BC81" s="126">
        <f t="shared" si="160"/>
        <v>0</v>
      </c>
      <c r="BD81" s="126">
        <f t="shared" si="160"/>
        <v>0</v>
      </c>
      <c r="BE81" s="126">
        <f t="shared" si="160"/>
        <v>0</v>
      </c>
      <c r="BF81" s="126">
        <f t="shared" si="160"/>
        <v>0</v>
      </c>
      <c r="BG81" s="126">
        <f t="shared" si="160"/>
        <v>0</v>
      </c>
      <c r="BH81" s="126">
        <f t="shared" si="160"/>
        <v>0</v>
      </c>
      <c r="BI81" s="126">
        <f t="shared" si="160"/>
        <v>0</v>
      </c>
      <c r="BJ81" s="126">
        <f t="shared" si="160"/>
        <v>0</v>
      </c>
      <c r="BK81" s="126">
        <f t="shared" si="160"/>
        <v>0</v>
      </c>
      <c r="BL81" s="126">
        <f t="shared" si="160"/>
        <v>0</v>
      </c>
      <c r="BM81" s="126">
        <f t="shared" si="160"/>
        <v>0</v>
      </c>
      <c r="BN81" s="126">
        <f t="shared" si="160"/>
        <v>0</v>
      </c>
      <c r="BO81" s="126">
        <f t="shared" si="160"/>
        <v>0</v>
      </c>
      <c r="BP81" s="126">
        <f t="shared" si="160"/>
        <v>0</v>
      </c>
      <c r="BQ81" s="126">
        <f t="shared" si="160"/>
        <v>143015087.87042797</v>
      </c>
      <c r="BR81" s="126">
        <f t="shared" si="160"/>
        <v>2309809.4341880446</v>
      </c>
      <c r="BS81" s="126">
        <f t="shared" si="160"/>
        <v>0</v>
      </c>
      <c r="BT81" s="126">
        <f t="shared" si="160"/>
        <v>-659684.86803250038</v>
      </c>
      <c r="BU81" s="126">
        <f t="shared" si="160"/>
        <v>0</v>
      </c>
      <c r="BV81" s="126">
        <f t="shared" si="160"/>
        <v>-176471829.89576447</v>
      </c>
      <c r="BW81" s="126">
        <f t="shared" ref="BW81:DB81" si="161">BW46</f>
        <v>725461.25379400025</v>
      </c>
      <c r="BX81" s="126">
        <f t="shared" si="161"/>
        <v>134447165.56129003</v>
      </c>
      <c r="BY81" s="126">
        <f t="shared" si="161"/>
        <v>35118980.799999997</v>
      </c>
      <c r="BZ81" s="126">
        <f t="shared" si="161"/>
        <v>23103389.294628005</v>
      </c>
      <c r="CA81" s="126">
        <f t="shared" si="161"/>
        <v>83418881.591735959</v>
      </c>
      <c r="CB81" s="126">
        <f t="shared" si="161"/>
        <v>0</v>
      </c>
      <c r="CC81" s="126">
        <f t="shared" si="161"/>
        <v>0</v>
      </c>
      <c r="CD81" s="126">
        <f t="shared" si="161"/>
        <v>71140.25</v>
      </c>
      <c r="CE81" s="126">
        <f t="shared" si="161"/>
        <v>0</v>
      </c>
      <c r="CF81" s="126">
        <f t="shared" si="161"/>
        <v>-6172818.6654862948</v>
      </c>
      <c r="CG81" s="126">
        <f t="shared" si="161"/>
        <v>56934.279999999977</v>
      </c>
      <c r="CH81" s="126">
        <f t="shared" si="161"/>
        <v>0</v>
      </c>
      <c r="CI81" s="126">
        <f t="shared" si="161"/>
        <v>4432284.8022039272</v>
      </c>
      <c r="CJ81" s="126">
        <f t="shared" si="161"/>
        <v>58064158.296151057</v>
      </c>
      <c r="CK81" s="126">
        <f t="shared" si="161"/>
        <v>0</v>
      </c>
      <c r="CL81" s="126">
        <f t="shared" si="161"/>
        <v>-160912337.32015103</v>
      </c>
      <c r="CM81" s="126">
        <f t="shared" si="161"/>
        <v>-4207196.5800000094</v>
      </c>
      <c r="CN81" s="126">
        <f t="shared" si="161"/>
        <v>147035254.44435084</v>
      </c>
      <c r="CO81" s="126">
        <f t="shared" si="161"/>
        <v>5493536630.7039003</v>
      </c>
      <c r="CP81" s="126">
        <f t="shared" si="161"/>
        <v>0</v>
      </c>
      <c r="CQ81" s="126">
        <f t="shared" si="161"/>
        <v>0</v>
      </c>
      <c r="CR81" s="126">
        <f t="shared" si="161"/>
        <v>0</v>
      </c>
      <c r="CS81" s="126">
        <f t="shared" si="161"/>
        <v>21526388.995392021</v>
      </c>
      <c r="CT81" s="126">
        <f t="shared" si="161"/>
        <v>0</v>
      </c>
      <c r="CU81" s="126">
        <f t="shared" si="161"/>
        <v>0</v>
      </c>
      <c r="CV81" s="126">
        <f t="shared" si="161"/>
        <v>0</v>
      </c>
      <c r="CW81" s="126">
        <f t="shared" si="161"/>
        <v>0</v>
      </c>
      <c r="CX81" s="126">
        <f t="shared" si="161"/>
        <v>0</v>
      </c>
      <c r="CY81" s="126">
        <f t="shared" si="161"/>
        <v>0</v>
      </c>
      <c r="CZ81" s="126">
        <f t="shared" si="161"/>
        <v>0</v>
      </c>
      <c r="DA81" s="126">
        <f t="shared" si="161"/>
        <v>0</v>
      </c>
      <c r="DB81" s="126">
        <f t="shared" si="161"/>
        <v>0</v>
      </c>
      <c r="DC81" s="126">
        <f t="shared" ref="DC81:EH81" si="162">DC46</f>
        <v>0</v>
      </c>
      <c r="DD81" s="126">
        <f t="shared" si="162"/>
        <v>0</v>
      </c>
      <c r="DE81" s="126">
        <f t="shared" si="162"/>
        <v>0</v>
      </c>
      <c r="DF81" s="126">
        <f t="shared" si="162"/>
        <v>0</v>
      </c>
      <c r="DG81" s="126">
        <f t="shared" si="162"/>
        <v>0</v>
      </c>
      <c r="DH81" s="126">
        <f t="shared" si="162"/>
        <v>0</v>
      </c>
      <c r="DI81" s="126">
        <f t="shared" si="162"/>
        <v>0</v>
      </c>
      <c r="DJ81" s="126">
        <f t="shared" si="162"/>
        <v>0</v>
      </c>
      <c r="DK81" s="126">
        <f t="shared" si="162"/>
        <v>0</v>
      </c>
      <c r="DL81" s="126">
        <f t="shared" si="162"/>
        <v>0</v>
      </c>
      <c r="DM81" s="126">
        <f t="shared" si="162"/>
        <v>0</v>
      </c>
      <c r="DN81" s="126">
        <f t="shared" si="162"/>
        <v>4198345.2148493472</v>
      </c>
      <c r="DO81" s="126">
        <f t="shared" si="162"/>
        <v>0</v>
      </c>
      <c r="DP81" s="126">
        <f t="shared" si="162"/>
        <v>-329842.43401625042</v>
      </c>
      <c r="DQ81" s="126">
        <f t="shared" si="162"/>
        <v>0</v>
      </c>
      <c r="DR81" s="126">
        <f t="shared" si="162"/>
        <v>-414160548.26198196</v>
      </c>
      <c r="DS81" s="126">
        <f t="shared" si="162"/>
        <v>6292294.7435479974</v>
      </c>
      <c r="DT81" s="126">
        <f t="shared" si="162"/>
        <v>257327359.85496002</v>
      </c>
      <c r="DU81" s="126">
        <f t="shared" si="162"/>
        <v>2321616.9599999934</v>
      </c>
      <c r="DV81" s="126">
        <f t="shared" si="162"/>
        <v>88085315.313833997</v>
      </c>
      <c r="DW81" s="126">
        <f t="shared" si="162"/>
        <v>104456521.71575001</v>
      </c>
      <c r="DX81" s="126">
        <f t="shared" si="162"/>
        <v>0</v>
      </c>
      <c r="DY81" s="126">
        <f t="shared" si="162"/>
        <v>0</v>
      </c>
      <c r="DZ81" s="126">
        <f t="shared" si="162"/>
        <v>142280</v>
      </c>
      <c r="EA81" s="126">
        <f t="shared" si="162"/>
        <v>0</v>
      </c>
      <c r="EB81" s="126">
        <f t="shared" si="162"/>
        <v>-11947081.314286396</v>
      </c>
      <c r="EC81" s="126">
        <f t="shared" si="162"/>
        <v>113868.55999999995</v>
      </c>
      <c r="ED81" s="126">
        <f t="shared" si="162"/>
        <v>0</v>
      </c>
      <c r="EE81" s="126">
        <f t="shared" si="162"/>
        <v>1742015.2007266018</v>
      </c>
      <c r="EF81" s="126">
        <f t="shared" si="162"/>
        <v>65921512.419419408</v>
      </c>
      <c r="EG81" s="126">
        <f t="shared" si="162"/>
        <v>0</v>
      </c>
      <c r="EH81" s="126">
        <f t="shared" si="162"/>
        <v>36688763.215511516</v>
      </c>
      <c r="EI81" s="126">
        <f t="shared" ref="EI81:FN81" si="163">EI46</f>
        <v>-38618085.089419432</v>
      </c>
      <c r="EJ81" s="126">
        <f t="shared" si="163"/>
        <v>-7972251.3400000408</v>
      </c>
      <c r="EK81" s="126">
        <f t="shared" si="163"/>
        <v>115788473.75428693</v>
      </c>
      <c r="EL81" s="126">
        <f t="shared" si="163"/>
        <v>5609325104.4581881</v>
      </c>
      <c r="EM81" s="126">
        <f t="shared" si="163"/>
        <v>0</v>
      </c>
      <c r="EN81" s="126">
        <f t="shared" si="163"/>
        <v>0</v>
      </c>
      <c r="EO81" s="126">
        <f t="shared" si="163"/>
        <v>0</v>
      </c>
      <c r="EP81" s="126">
        <f t="shared" si="163"/>
        <v>10098693.721887633</v>
      </c>
      <c r="EQ81" s="126">
        <f t="shared" si="163"/>
        <v>0</v>
      </c>
      <c r="ER81" s="126">
        <f t="shared" si="163"/>
        <v>0</v>
      </c>
      <c r="ES81" s="126">
        <f t="shared" si="163"/>
        <v>0</v>
      </c>
      <c r="ET81" s="126">
        <f t="shared" si="163"/>
        <v>0</v>
      </c>
      <c r="EU81" s="126">
        <f t="shared" si="163"/>
        <v>0</v>
      </c>
      <c r="EV81" s="126">
        <f t="shared" si="163"/>
        <v>0</v>
      </c>
      <c r="EW81" s="126">
        <f t="shared" si="163"/>
        <v>0</v>
      </c>
      <c r="EX81" s="126">
        <f t="shared" si="163"/>
        <v>0</v>
      </c>
      <c r="EY81" s="126">
        <f t="shared" si="163"/>
        <v>0</v>
      </c>
      <c r="EZ81" s="126">
        <f t="shared" si="163"/>
        <v>0</v>
      </c>
      <c r="FA81" s="126">
        <f t="shared" si="163"/>
        <v>0</v>
      </c>
      <c r="FB81" s="126">
        <f t="shared" si="163"/>
        <v>0</v>
      </c>
      <c r="FC81" s="126">
        <f t="shared" si="163"/>
        <v>0</v>
      </c>
      <c r="FD81" s="126">
        <f t="shared" si="163"/>
        <v>0</v>
      </c>
      <c r="FE81" s="126">
        <f t="shared" si="163"/>
        <v>0</v>
      </c>
      <c r="FF81" s="126">
        <f t="shared" si="163"/>
        <v>0</v>
      </c>
      <c r="FG81" s="126">
        <f t="shared" si="163"/>
        <v>0</v>
      </c>
      <c r="FH81" s="126">
        <f t="shared" si="163"/>
        <v>0</v>
      </c>
      <c r="FI81" s="126">
        <f t="shared" si="163"/>
        <v>1743384.3323934791</v>
      </c>
      <c r="FJ81" s="126">
        <f t="shared" si="163"/>
        <v>0</v>
      </c>
      <c r="FK81" s="126">
        <f t="shared" si="163"/>
        <v>-242607.00961800106</v>
      </c>
      <c r="FL81" s="126">
        <f t="shared" si="163"/>
        <v>0</v>
      </c>
      <c r="FM81" s="126">
        <f t="shared" si="163"/>
        <v>318687.69989895809</v>
      </c>
      <c r="FN81" s="126">
        <f t="shared" si="163"/>
        <v>0</v>
      </c>
      <c r="FO81" s="126">
        <f t="shared" ref="FO81:GD81" si="164">FO46</f>
        <v>-195386564.26574242</v>
      </c>
      <c r="FP81" s="126">
        <f t="shared" si="164"/>
        <v>6185965.0190380029</v>
      </c>
      <c r="FQ81" s="126">
        <f t="shared" si="164"/>
        <v>174642002.14264983</v>
      </c>
      <c r="FR81" s="126">
        <f t="shared" si="164"/>
        <v>3146660.8700000085</v>
      </c>
      <c r="FS81" s="126">
        <f t="shared" si="164"/>
        <v>-18789697.743576486</v>
      </c>
      <c r="FT81" s="126">
        <f t="shared" si="164"/>
        <v>54806639.016327873</v>
      </c>
      <c r="FU81" s="126">
        <f t="shared" si="164"/>
        <v>0</v>
      </c>
      <c r="FV81" s="126">
        <f t="shared" si="164"/>
        <v>0</v>
      </c>
      <c r="FW81" s="126">
        <f t="shared" si="164"/>
        <v>79070.325399999972</v>
      </c>
      <c r="FX81" s="126">
        <f t="shared" si="164"/>
        <v>0</v>
      </c>
      <c r="FY81" s="126">
        <f t="shared" si="164"/>
        <v>-6069072.8816930102</v>
      </c>
      <c r="FZ81" s="126">
        <f t="shared" si="164"/>
        <v>50175.311134722244</v>
      </c>
      <c r="GA81" s="126">
        <f t="shared" si="164"/>
        <v>-8790214.1875838004</v>
      </c>
      <c r="GB81" s="126">
        <f t="shared" si="164"/>
        <v>-771787.50036631664</v>
      </c>
      <c r="GC81" s="126">
        <f t="shared" si="164"/>
        <v>10775509.003744235</v>
      </c>
      <c r="GD81" s="126">
        <f t="shared" si="164"/>
        <v>0</v>
      </c>
      <c r="GE81" s="126"/>
      <c r="GF81" s="126">
        <f t="shared" ref="GF81" si="165">GF46</f>
        <v>0</v>
      </c>
      <c r="GG81" s="126">
        <f t="shared" ref="GG81:IB81" si="166">GG46</f>
        <v>0</v>
      </c>
      <c r="GH81" s="126">
        <f t="shared" si="166"/>
        <v>-2880746.5800000094</v>
      </c>
      <c r="GI81" s="126">
        <f t="shared" si="166"/>
        <v>-36232861.909154333</v>
      </c>
      <c r="GJ81" s="126">
        <f t="shared" si="166"/>
        <v>5573092242.5490351</v>
      </c>
      <c r="GK81" s="126">
        <f t="shared" si="166"/>
        <v>0</v>
      </c>
      <c r="GL81" s="126">
        <f t="shared" si="166"/>
        <v>0</v>
      </c>
      <c r="GM81" s="126">
        <f t="shared" si="166"/>
        <v>0</v>
      </c>
      <c r="GN81" s="126">
        <f t="shared" si="166"/>
        <v>21213022.136484977</v>
      </c>
      <c r="GO81" s="126">
        <f t="shared" si="166"/>
        <v>0</v>
      </c>
      <c r="GP81" s="126">
        <f t="shared" si="166"/>
        <v>0</v>
      </c>
      <c r="GQ81" s="126">
        <f t="shared" si="166"/>
        <v>0</v>
      </c>
      <c r="GR81" s="126">
        <f t="shared" si="166"/>
        <v>0</v>
      </c>
      <c r="GS81" s="126">
        <f t="shared" si="166"/>
        <v>0</v>
      </c>
      <c r="GT81" s="126">
        <f t="shared" si="166"/>
        <v>0</v>
      </c>
      <c r="GU81" s="126">
        <f t="shared" si="166"/>
        <v>0</v>
      </c>
      <c r="GV81" s="126">
        <f t="shared" si="166"/>
        <v>0</v>
      </c>
      <c r="GW81" s="126">
        <f t="shared" si="166"/>
        <v>0</v>
      </c>
      <c r="GX81" s="126">
        <f t="shared" si="166"/>
        <v>0</v>
      </c>
      <c r="GY81" s="126">
        <f t="shared" si="166"/>
        <v>0</v>
      </c>
      <c r="GZ81" s="126">
        <f t="shared" si="166"/>
        <v>0</v>
      </c>
      <c r="HA81" s="126">
        <f t="shared" si="166"/>
        <v>0</v>
      </c>
      <c r="HB81" s="126">
        <f t="shared" si="166"/>
        <v>0</v>
      </c>
      <c r="HC81" s="126">
        <f t="shared" si="166"/>
        <v>0</v>
      </c>
      <c r="HD81" s="126">
        <f t="shared" si="166"/>
        <v>0</v>
      </c>
      <c r="HE81" s="126">
        <f t="shared" si="166"/>
        <v>0</v>
      </c>
      <c r="HF81" s="126">
        <f t="shared" si="166"/>
        <v>0</v>
      </c>
      <c r="HG81" s="126">
        <f t="shared" si="166"/>
        <v>-21401979.720287658</v>
      </c>
      <c r="HH81" s="126">
        <f t="shared" si="166"/>
        <v>0</v>
      </c>
      <c r="HI81" s="126">
        <f t="shared" si="166"/>
        <v>-5294316.163872092</v>
      </c>
      <c r="HJ81" s="126">
        <f t="shared" si="166"/>
        <v>0</v>
      </c>
      <c r="HK81" s="126">
        <f t="shared" si="166"/>
        <v>637375.39979791641</v>
      </c>
      <c r="HL81" s="126">
        <f t="shared" si="166"/>
        <v>0</v>
      </c>
      <c r="HM81" s="126">
        <f t="shared" si="166"/>
        <v>-369995483.59326911</v>
      </c>
      <c r="HN81" s="126">
        <f t="shared" si="166"/>
        <v>15530997.728948005</v>
      </c>
      <c r="HO81" s="126">
        <f t="shared" si="166"/>
        <v>504451934.22671396</v>
      </c>
      <c r="HP81" s="126">
        <f t="shared" si="166"/>
        <v>6798414.0799999991</v>
      </c>
      <c r="HQ81" s="126">
        <f t="shared" si="166"/>
        <v>36064172.252630033</v>
      </c>
      <c r="HR81" s="126">
        <f t="shared" si="166"/>
        <v>122625300.25564417</v>
      </c>
      <c r="HS81" s="126">
        <f t="shared" si="166"/>
        <v>0</v>
      </c>
      <c r="HT81" s="126">
        <f t="shared" si="166"/>
        <v>0</v>
      </c>
      <c r="HU81" s="126">
        <f t="shared" si="166"/>
        <v>158140.65079999901</v>
      </c>
      <c r="HV81" s="126">
        <f t="shared" si="166"/>
        <v>0</v>
      </c>
      <c r="HW81" s="126">
        <f t="shared" si="166"/>
        <v>-14555862.582186887</v>
      </c>
      <c r="HX81" s="126">
        <f t="shared" si="166"/>
        <v>40492.529765277883</v>
      </c>
      <c r="HY81" s="126">
        <f t="shared" si="166"/>
        <v>-17580428.375167601</v>
      </c>
      <c r="HZ81" s="126">
        <f t="shared" si="166"/>
        <v>-1543575.0007326342</v>
      </c>
      <c r="IA81" s="126">
        <f t="shared" si="166"/>
        <v>14340757.836875102</v>
      </c>
      <c r="IB81" s="126">
        <f t="shared" si="166"/>
        <v>0</v>
      </c>
      <c r="IC81" s="126"/>
      <c r="ID81" s="126">
        <f t="shared" ref="ID81" si="167">ID46</f>
        <v>0</v>
      </c>
      <c r="IE81" s="126">
        <f t="shared" ref="IE81:JZ81" si="168">IE46</f>
        <v>0</v>
      </c>
      <c r="IF81" s="126">
        <f t="shared" si="168"/>
        <v>-5761493.1600000188</v>
      </c>
      <c r="IG81" s="126">
        <f t="shared" si="168"/>
        <v>126867240.93017474</v>
      </c>
      <c r="IH81" s="126">
        <f t="shared" si="168"/>
        <v>5699959483.4792099</v>
      </c>
      <c r="II81" s="126">
        <f t="shared" si="168"/>
        <v>0</v>
      </c>
      <c r="IJ81" s="126">
        <f t="shared" si="168"/>
        <v>0</v>
      </c>
      <c r="IK81" s="126">
        <f t="shared" si="168"/>
        <v>0</v>
      </c>
      <c r="IL81" s="126">
        <f t="shared" si="168"/>
        <v>20837437.957287818</v>
      </c>
      <c r="IM81" s="126">
        <f t="shared" si="168"/>
        <v>0</v>
      </c>
      <c r="IN81" s="126">
        <f t="shared" si="168"/>
        <v>0</v>
      </c>
      <c r="IO81" s="126">
        <f t="shared" si="168"/>
        <v>0</v>
      </c>
      <c r="IP81" s="126">
        <f t="shared" si="168"/>
        <v>0</v>
      </c>
      <c r="IQ81" s="126">
        <f t="shared" si="168"/>
        <v>0</v>
      </c>
      <c r="IR81" s="126">
        <f t="shared" si="168"/>
        <v>0</v>
      </c>
      <c r="IS81" s="126">
        <f t="shared" si="168"/>
        <v>0</v>
      </c>
      <c r="IT81" s="126">
        <f t="shared" si="168"/>
        <v>0</v>
      </c>
      <c r="IU81" s="126">
        <f t="shared" si="168"/>
        <v>0</v>
      </c>
      <c r="IV81" s="126">
        <f t="shared" si="168"/>
        <v>0</v>
      </c>
      <c r="IW81" s="126">
        <f t="shared" si="168"/>
        <v>0</v>
      </c>
      <c r="IX81" s="126">
        <f t="shared" si="168"/>
        <v>0</v>
      </c>
      <c r="IY81" s="126">
        <f t="shared" si="168"/>
        <v>0</v>
      </c>
      <c r="IZ81" s="126">
        <f t="shared" si="168"/>
        <v>0</v>
      </c>
      <c r="JA81" s="126">
        <f t="shared" si="168"/>
        <v>0</v>
      </c>
      <c r="JB81" s="126">
        <f t="shared" si="168"/>
        <v>0</v>
      </c>
      <c r="JC81" s="126">
        <f t="shared" si="168"/>
        <v>0</v>
      </c>
      <c r="JD81" s="126">
        <f t="shared" si="168"/>
        <v>0</v>
      </c>
      <c r="JE81" s="126">
        <f t="shared" si="168"/>
        <v>-2946061.7596826805</v>
      </c>
      <c r="JF81" s="126">
        <f t="shared" si="168"/>
        <v>0</v>
      </c>
      <c r="JG81" s="126">
        <f t="shared" si="168"/>
        <v>-5294316.1638720883</v>
      </c>
      <c r="JH81" s="126">
        <f t="shared" si="168"/>
        <v>0</v>
      </c>
      <c r="JI81" s="126">
        <f t="shared" si="168"/>
        <v>318687.6998989578</v>
      </c>
      <c r="JJ81" s="126">
        <f t="shared" si="168"/>
        <v>0</v>
      </c>
      <c r="JK81" s="126">
        <f t="shared" si="168"/>
        <v>-353567888.62914097</v>
      </c>
      <c r="JL81" s="126">
        <f t="shared" si="168"/>
        <v>18862632.939278003</v>
      </c>
      <c r="JM81" s="126">
        <f t="shared" si="168"/>
        <v>434225941.39003211</v>
      </c>
      <c r="JN81" s="126">
        <f t="shared" si="168"/>
        <v>9396376.4400000051</v>
      </c>
      <c r="JO81" s="126">
        <f t="shared" si="168"/>
        <v>232425138.98714393</v>
      </c>
      <c r="JP81" s="126">
        <f t="shared" si="168"/>
        <v>-114500273.61496846</v>
      </c>
      <c r="JQ81" s="126">
        <f t="shared" si="168"/>
        <v>0</v>
      </c>
      <c r="JR81" s="126">
        <f t="shared" si="168"/>
        <v>0</v>
      </c>
      <c r="JS81" s="126">
        <f t="shared" si="168"/>
        <v>158140.65079999808</v>
      </c>
      <c r="JT81" s="126">
        <f t="shared" si="168"/>
        <v>0</v>
      </c>
      <c r="JU81" s="126">
        <f t="shared" si="168"/>
        <v>-14219006.308582447</v>
      </c>
      <c r="JV81" s="126">
        <f t="shared" si="168"/>
        <v>0</v>
      </c>
      <c r="JW81" s="126">
        <f t="shared" si="168"/>
        <v>-17580428.375167601</v>
      </c>
      <c r="JX81" s="126">
        <f t="shared" si="168"/>
        <v>-1543575.000732634</v>
      </c>
      <c r="JY81" s="126">
        <f t="shared" si="168"/>
        <v>11449840.215727881</v>
      </c>
      <c r="JZ81" s="126">
        <f t="shared" si="168"/>
        <v>0</v>
      </c>
      <c r="KA81" s="126">
        <f t="shared" ref="KA81:KC81" si="169">KA46</f>
        <v>-146529302.70657244</v>
      </c>
      <c r="KB81" s="126">
        <f t="shared" si="169"/>
        <v>0</v>
      </c>
      <c r="KC81" s="126">
        <f t="shared" si="169"/>
        <v>0</v>
      </c>
      <c r="KD81" s="126">
        <f>KD46</f>
        <v>-5761493.1600000151</v>
      </c>
      <c r="KE81" s="126">
        <f>KE46</f>
        <v>65731850.561449312</v>
      </c>
      <c r="KF81" s="126">
        <f>KF46</f>
        <v>5765691334.0406599</v>
      </c>
      <c r="KG81" s="43" t="s">
        <v>34</v>
      </c>
    </row>
    <row r="82" spans="1:293" customFormat="1" ht="14.5" x14ac:dyDescent="0.35">
      <c r="B82" s="117" t="s">
        <v>120</v>
      </c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118"/>
      <c r="DO82" s="118"/>
      <c r="DP82" s="118"/>
      <c r="DQ82" s="118"/>
      <c r="DR82" s="118"/>
      <c r="DS82" s="118"/>
      <c r="DT82" s="118"/>
      <c r="DU82" s="118"/>
      <c r="DV82" s="118"/>
      <c r="DW82" s="118"/>
      <c r="DX82" s="118"/>
      <c r="DY82" s="118"/>
      <c r="DZ82" s="118"/>
      <c r="EA82" s="118"/>
      <c r="EB82" s="118"/>
      <c r="EC82" s="118"/>
      <c r="ED82" s="118"/>
      <c r="EE82" s="118"/>
      <c r="EF82" s="118"/>
      <c r="EG82" s="118"/>
      <c r="EH82" s="118"/>
      <c r="EI82" s="118"/>
      <c r="EJ82" s="118"/>
      <c r="EK82" s="118"/>
      <c r="EL82" s="118"/>
      <c r="EM82" s="118"/>
      <c r="EN82" s="118"/>
      <c r="EO82" s="118"/>
      <c r="EP82" s="118"/>
      <c r="EQ82" s="118"/>
      <c r="ER82" s="118"/>
      <c r="ES82" s="118"/>
      <c r="ET82" s="118"/>
      <c r="EU82" s="118"/>
      <c r="EV82" s="118"/>
      <c r="EW82" s="118"/>
      <c r="EX82" s="118"/>
      <c r="EY82" s="118"/>
      <c r="EZ82" s="118"/>
      <c r="FA82" s="118"/>
      <c r="FB82" s="118"/>
      <c r="FC82" s="118"/>
      <c r="FD82" s="118"/>
      <c r="FE82" s="118"/>
      <c r="FF82" s="118"/>
      <c r="FG82" s="118"/>
      <c r="FH82" s="118"/>
      <c r="FI82" s="118"/>
      <c r="FJ82" s="118"/>
      <c r="FK82" s="118"/>
      <c r="FL82" s="118"/>
      <c r="FM82" s="118"/>
      <c r="FN82" s="118"/>
      <c r="FO82" s="118"/>
      <c r="FP82" s="118"/>
      <c r="FQ82" s="118"/>
      <c r="FR82" s="118"/>
      <c r="FS82" s="118"/>
      <c r="FT82" s="118"/>
      <c r="FU82" s="118"/>
      <c r="FV82" s="118"/>
      <c r="FW82" s="118"/>
      <c r="FX82" s="118"/>
      <c r="FY82" s="118"/>
      <c r="FZ82" s="118"/>
      <c r="GA82" s="118"/>
      <c r="GB82" s="118"/>
      <c r="GC82" s="118"/>
      <c r="GD82" s="118"/>
      <c r="GE82" s="118"/>
      <c r="GF82" s="118"/>
      <c r="GG82" s="118"/>
      <c r="GH82" s="118"/>
      <c r="GI82" s="118"/>
      <c r="GJ82" s="118"/>
      <c r="GK82" s="118"/>
      <c r="GL82" s="118"/>
      <c r="GM82" s="118"/>
      <c r="GN82" s="118"/>
      <c r="GO82" s="118"/>
      <c r="GP82" s="118"/>
      <c r="GQ82" s="118"/>
      <c r="GR82" s="118"/>
      <c r="GS82" s="118"/>
      <c r="GT82" s="118"/>
      <c r="GU82" s="118"/>
      <c r="GV82" s="118"/>
      <c r="GW82" s="118"/>
      <c r="GX82" s="118"/>
      <c r="GY82" s="118"/>
      <c r="GZ82" s="118"/>
      <c r="HA82" s="118"/>
      <c r="HB82" s="118"/>
      <c r="HC82" s="118"/>
      <c r="HD82" s="118"/>
      <c r="HE82" s="118"/>
      <c r="HF82" s="118"/>
      <c r="HG82" s="118"/>
      <c r="HH82" s="118"/>
      <c r="HI82" s="118"/>
      <c r="HJ82" s="118"/>
      <c r="HK82" s="118"/>
      <c r="HL82" s="118"/>
      <c r="HM82" s="118"/>
      <c r="HN82" s="118"/>
      <c r="HO82" s="118"/>
      <c r="HP82" s="118"/>
      <c r="HQ82" s="118"/>
      <c r="HR82" s="118"/>
      <c r="HS82" s="118"/>
      <c r="HT82" s="118"/>
      <c r="HU82" s="118"/>
      <c r="HV82" s="118"/>
      <c r="HW82" s="118"/>
      <c r="HX82" s="118"/>
      <c r="HY82" s="118"/>
      <c r="HZ82" s="118"/>
      <c r="IA82" s="118"/>
      <c r="IB82" s="118"/>
      <c r="IC82" s="118"/>
      <c r="ID82" s="118"/>
      <c r="IE82" s="118"/>
      <c r="IF82" s="118"/>
      <c r="IG82" s="118"/>
      <c r="IH82" s="118"/>
      <c r="II82" s="118"/>
      <c r="IJ82" s="118"/>
      <c r="IK82" s="118"/>
      <c r="IL82" s="118"/>
      <c r="IM82" s="118"/>
      <c r="IN82" s="118"/>
      <c r="IO82" s="118"/>
      <c r="IP82" s="118"/>
      <c r="IQ82" s="118"/>
      <c r="IR82" s="118"/>
      <c r="IS82" s="118"/>
      <c r="IT82" s="118"/>
      <c r="IU82" s="118"/>
      <c r="IV82" s="118"/>
      <c r="IW82" s="118"/>
      <c r="IX82" s="118"/>
      <c r="IY82" s="118"/>
      <c r="IZ82" s="118"/>
      <c r="JA82" s="118"/>
      <c r="JB82" s="118"/>
      <c r="JC82" s="118"/>
      <c r="JD82" s="118"/>
      <c r="JE82" s="118"/>
      <c r="JF82" s="118"/>
      <c r="JG82" s="118"/>
      <c r="JH82" s="118"/>
      <c r="JI82" s="118"/>
      <c r="JJ82" s="118"/>
      <c r="JK82" s="118"/>
      <c r="JL82" s="118"/>
      <c r="JM82" s="118"/>
      <c r="JN82" s="118"/>
      <c r="JO82" s="118"/>
      <c r="JP82" s="118"/>
      <c r="JQ82" s="118"/>
      <c r="JR82" s="118"/>
      <c r="JS82" s="118"/>
      <c r="JT82" s="118"/>
      <c r="JU82" s="118"/>
      <c r="JV82" s="118"/>
      <c r="JW82" s="118"/>
      <c r="JX82" s="118"/>
      <c r="JY82" s="118"/>
      <c r="JZ82" s="118"/>
      <c r="KA82" s="118"/>
      <c r="KB82" s="118"/>
      <c r="KC82" s="118"/>
      <c r="KD82" s="118"/>
      <c r="KE82" s="118"/>
      <c r="KF82" s="118"/>
      <c r="KG82" s="43" t="s">
        <v>34</v>
      </c>
    </row>
    <row r="83" spans="1:293" customFormat="1" ht="15" customHeight="1" x14ac:dyDescent="0.35">
      <c r="A83" s="127">
        <f>SUM(C83:KF83)</f>
        <v>348483829.4361093</v>
      </c>
      <c r="B83" s="128" t="s">
        <v>121</v>
      </c>
      <c r="C83" s="129">
        <f t="shared" ref="C83:AO83" si="170">C80-C77</f>
        <v>0</v>
      </c>
      <c r="D83" s="129">
        <f t="shared" si="170"/>
        <v>0</v>
      </c>
      <c r="E83" s="129">
        <f t="shared" si="170"/>
        <v>0</v>
      </c>
      <c r="F83" s="129">
        <f t="shared" si="170"/>
        <v>0</v>
      </c>
      <c r="G83" s="129">
        <f t="shared" si="170"/>
        <v>0</v>
      </c>
      <c r="H83" s="129">
        <f t="shared" si="170"/>
        <v>0</v>
      </c>
      <c r="I83" s="129">
        <f t="shared" si="170"/>
        <v>0</v>
      </c>
      <c r="J83" s="129">
        <f t="shared" si="170"/>
        <v>0</v>
      </c>
      <c r="K83" s="129">
        <f t="shared" si="170"/>
        <v>0</v>
      </c>
      <c r="L83" s="129">
        <f t="shared" si="170"/>
        <v>0</v>
      </c>
      <c r="M83" s="129">
        <f t="shared" si="170"/>
        <v>0</v>
      </c>
      <c r="N83" s="129">
        <f t="shared" si="170"/>
        <v>0</v>
      </c>
      <c r="O83" s="129">
        <f t="shared" si="170"/>
        <v>0</v>
      </c>
      <c r="P83" s="129">
        <f t="shared" si="170"/>
        <v>0</v>
      </c>
      <c r="Q83" s="129">
        <f t="shared" si="170"/>
        <v>0</v>
      </c>
      <c r="R83" s="129">
        <f t="shared" si="170"/>
        <v>0</v>
      </c>
      <c r="S83" s="129">
        <f t="shared" si="170"/>
        <v>0</v>
      </c>
      <c r="T83" s="129">
        <f t="shared" si="170"/>
        <v>0</v>
      </c>
      <c r="U83" s="129">
        <f t="shared" si="170"/>
        <v>0</v>
      </c>
      <c r="V83" s="129">
        <f t="shared" si="170"/>
        <v>0</v>
      </c>
      <c r="W83" s="129">
        <f t="shared" si="170"/>
        <v>0</v>
      </c>
      <c r="X83" s="129">
        <f t="shared" si="170"/>
        <v>0</v>
      </c>
      <c r="Y83" s="129">
        <f t="shared" si="170"/>
        <v>0</v>
      </c>
      <c r="Z83" s="129">
        <f t="shared" si="170"/>
        <v>0</v>
      </c>
      <c r="AA83" s="129">
        <f t="shared" si="170"/>
        <v>0</v>
      </c>
      <c r="AB83" s="129">
        <f t="shared" si="170"/>
        <v>0</v>
      </c>
      <c r="AC83" s="129">
        <f t="shared" si="170"/>
        <v>0</v>
      </c>
      <c r="AD83" s="129">
        <f t="shared" si="170"/>
        <v>0</v>
      </c>
      <c r="AE83" s="129">
        <f t="shared" si="170"/>
        <v>0</v>
      </c>
      <c r="AF83" s="129">
        <f t="shared" si="170"/>
        <v>0</v>
      </c>
      <c r="AG83" s="129">
        <f t="shared" si="170"/>
        <v>0</v>
      </c>
      <c r="AH83" s="129">
        <f t="shared" si="170"/>
        <v>0</v>
      </c>
      <c r="AI83" s="129">
        <f t="shared" si="170"/>
        <v>0</v>
      </c>
      <c r="AJ83" s="129">
        <f t="shared" si="170"/>
        <v>0</v>
      </c>
      <c r="AK83" s="129">
        <f t="shared" si="170"/>
        <v>0</v>
      </c>
      <c r="AL83" s="129">
        <f t="shared" si="170"/>
        <v>0</v>
      </c>
      <c r="AM83" s="129">
        <f t="shared" si="170"/>
        <v>0</v>
      </c>
      <c r="AN83" s="129">
        <f t="shared" si="170"/>
        <v>0</v>
      </c>
      <c r="AO83" s="129">
        <f t="shared" si="170"/>
        <v>0</v>
      </c>
      <c r="AP83" s="129">
        <f t="shared" ref="AP83" si="171">AP80-AP77</f>
        <v>0</v>
      </c>
      <c r="AQ83" s="129">
        <f t="shared" ref="AQ83:AW84" si="172">AQ80-AQ77</f>
        <v>0</v>
      </c>
      <c r="AR83" s="129">
        <f t="shared" si="172"/>
        <v>0</v>
      </c>
      <c r="AS83" s="129">
        <f t="shared" si="172"/>
        <v>0</v>
      </c>
      <c r="AT83" s="129">
        <f t="shared" si="172"/>
        <v>0</v>
      </c>
      <c r="AU83" s="129">
        <f t="shared" si="172"/>
        <v>0</v>
      </c>
      <c r="AV83" s="129">
        <f t="shared" si="172"/>
        <v>0</v>
      </c>
      <c r="AW83" s="129">
        <f t="shared" si="172"/>
        <v>0</v>
      </c>
      <c r="AX83" s="129">
        <f>ROUND(AX80-AX77,0)</f>
        <v>-4742</v>
      </c>
      <c r="AY83" s="129">
        <f t="shared" ref="AY83:CD83" si="173">AY80-AY77</f>
        <v>0</v>
      </c>
      <c r="AZ83" s="129">
        <f t="shared" si="173"/>
        <v>0</v>
      </c>
      <c r="BA83" s="129">
        <f t="shared" si="173"/>
        <v>0</v>
      </c>
      <c r="BB83" s="129">
        <f t="shared" si="173"/>
        <v>0</v>
      </c>
      <c r="BC83" s="129">
        <f t="shared" si="173"/>
        <v>0</v>
      </c>
      <c r="BD83" s="129">
        <f t="shared" si="173"/>
        <v>0</v>
      </c>
      <c r="BE83" s="129">
        <f t="shared" si="173"/>
        <v>0</v>
      </c>
      <c r="BF83" s="129">
        <f t="shared" si="173"/>
        <v>0</v>
      </c>
      <c r="BG83" s="129">
        <f t="shared" si="173"/>
        <v>0</v>
      </c>
      <c r="BH83" s="129">
        <f t="shared" si="173"/>
        <v>0</v>
      </c>
      <c r="BI83" s="129">
        <f t="shared" si="173"/>
        <v>0</v>
      </c>
      <c r="BJ83" s="129">
        <f t="shared" si="173"/>
        <v>0</v>
      </c>
      <c r="BK83" s="129">
        <f t="shared" si="173"/>
        <v>0</v>
      </c>
      <c r="BL83" s="129">
        <f t="shared" si="173"/>
        <v>0</v>
      </c>
      <c r="BM83" s="129">
        <f t="shared" si="173"/>
        <v>0</v>
      </c>
      <c r="BN83" s="129">
        <f t="shared" si="173"/>
        <v>0</v>
      </c>
      <c r="BO83" s="129">
        <f t="shared" si="173"/>
        <v>0</v>
      </c>
      <c r="BP83" s="129">
        <f t="shared" si="173"/>
        <v>0</v>
      </c>
      <c r="BQ83" s="129">
        <f t="shared" si="173"/>
        <v>0</v>
      </c>
      <c r="BR83" s="129">
        <f t="shared" si="173"/>
        <v>0</v>
      </c>
      <c r="BS83" s="129">
        <f t="shared" si="173"/>
        <v>0</v>
      </c>
      <c r="BT83" s="129">
        <f t="shared" si="173"/>
        <v>0</v>
      </c>
      <c r="BU83" s="129">
        <f t="shared" si="173"/>
        <v>0</v>
      </c>
      <c r="BV83" s="129">
        <f t="shared" si="173"/>
        <v>0</v>
      </c>
      <c r="BW83" s="129">
        <f t="shared" si="173"/>
        <v>0</v>
      </c>
      <c r="BX83" s="129">
        <f t="shared" si="173"/>
        <v>0</v>
      </c>
      <c r="BY83" s="129">
        <f t="shared" si="173"/>
        <v>0</v>
      </c>
      <c r="BZ83" s="129">
        <f t="shared" si="173"/>
        <v>0</v>
      </c>
      <c r="CA83" s="129">
        <f t="shared" si="173"/>
        <v>0</v>
      </c>
      <c r="CB83" s="129">
        <f t="shared" si="173"/>
        <v>0</v>
      </c>
      <c r="CC83" s="129">
        <f t="shared" si="173"/>
        <v>0</v>
      </c>
      <c r="CD83" s="129">
        <f t="shared" si="173"/>
        <v>0</v>
      </c>
      <c r="CE83" s="129">
        <f t="shared" ref="CE83:DJ83" si="174">CE80-CE77</f>
        <v>0</v>
      </c>
      <c r="CF83" s="129">
        <f t="shared" si="174"/>
        <v>0</v>
      </c>
      <c r="CG83" s="129">
        <f t="shared" si="174"/>
        <v>0</v>
      </c>
      <c r="CH83" s="129">
        <f t="shared" si="174"/>
        <v>0</v>
      </c>
      <c r="CI83" s="129">
        <f t="shared" si="174"/>
        <v>0</v>
      </c>
      <c r="CJ83" s="129">
        <f t="shared" si="174"/>
        <v>0</v>
      </c>
      <c r="CK83" s="129">
        <f t="shared" si="174"/>
        <v>0</v>
      </c>
      <c r="CL83" s="129">
        <f t="shared" si="174"/>
        <v>0</v>
      </c>
      <c r="CM83" s="129">
        <f t="shared" si="174"/>
        <v>0</v>
      </c>
      <c r="CN83" s="129">
        <f t="shared" si="174"/>
        <v>-4742.4997997954488</v>
      </c>
      <c r="CO83" s="129">
        <f t="shared" si="174"/>
        <v>-4742.4997997283936</v>
      </c>
      <c r="CP83" s="129">
        <f t="shared" si="174"/>
        <v>0</v>
      </c>
      <c r="CQ83" s="129">
        <f t="shared" si="174"/>
        <v>0</v>
      </c>
      <c r="CR83" s="129">
        <f t="shared" si="174"/>
        <v>0</v>
      </c>
      <c r="CS83" s="129">
        <f t="shared" si="174"/>
        <v>0</v>
      </c>
      <c r="CT83" s="129">
        <f t="shared" si="174"/>
        <v>187853.24962202419</v>
      </c>
      <c r="CU83" s="129">
        <f t="shared" si="174"/>
        <v>0</v>
      </c>
      <c r="CV83" s="129">
        <f t="shared" si="174"/>
        <v>0</v>
      </c>
      <c r="CW83" s="129">
        <f t="shared" si="174"/>
        <v>0</v>
      </c>
      <c r="CX83" s="129">
        <f t="shared" si="174"/>
        <v>0</v>
      </c>
      <c r="CY83" s="129">
        <f t="shared" si="174"/>
        <v>0</v>
      </c>
      <c r="CZ83" s="129">
        <f t="shared" si="174"/>
        <v>0</v>
      </c>
      <c r="DA83" s="129">
        <f t="shared" si="174"/>
        <v>0</v>
      </c>
      <c r="DB83" s="129">
        <f t="shared" si="174"/>
        <v>0</v>
      </c>
      <c r="DC83" s="129">
        <f t="shared" si="174"/>
        <v>0</v>
      </c>
      <c r="DD83" s="129">
        <f t="shared" si="174"/>
        <v>0</v>
      </c>
      <c r="DE83" s="129">
        <f t="shared" si="174"/>
        <v>0</v>
      </c>
      <c r="DF83" s="129">
        <f t="shared" si="174"/>
        <v>0</v>
      </c>
      <c r="DG83" s="129">
        <f t="shared" si="174"/>
        <v>0</v>
      </c>
      <c r="DH83" s="129">
        <f t="shared" si="174"/>
        <v>0</v>
      </c>
      <c r="DI83" s="129">
        <f t="shared" si="174"/>
        <v>0</v>
      </c>
      <c r="DJ83" s="129">
        <f t="shared" si="174"/>
        <v>0</v>
      </c>
      <c r="DK83" s="129">
        <f t="shared" ref="DK83:EP83" si="175">DK80-DK77</f>
        <v>0</v>
      </c>
      <c r="DL83" s="129">
        <f t="shared" si="175"/>
        <v>0</v>
      </c>
      <c r="DM83" s="129">
        <f t="shared" si="175"/>
        <v>0</v>
      </c>
      <c r="DN83" s="129">
        <f t="shared" si="175"/>
        <v>0</v>
      </c>
      <c r="DO83" s="129">
        <f t="shared" si="175"/>
        <v>0</v>
      </c>
      <c r="DP83" s="129">
        <f t="shared" si="175"/>
        <v>0</v>
      </c>
      <c r="DQ83" s="129">
        <f t="shared" si="175"/>
        <v>0</v>
      </c>
      <c r="DR83" s="129">
        <f t="shared" si="175"/>
        <v>0</v>
      </c>
      <c r="DS83" s="129">
        <f t="shared" si="175"/>
        <v>0</v>
      </c>
      <c r="DT83" s="129">
        <f t="shared" si="175"/>
        <v>0</v>
      </c>
      <c r="DU83" s="129">
        <f t="shared" si="175"/>
        <v>0</v>
      </c>
      <c r="DV83" s="129">
        <f t="shared" si="175"/>
        <v>30602.964700000361</v>
      </c>
      <c r="DW83" s="129">
        <f t="shared" si="175"/>
        <v>0</v>
      </c>
      <c r="DX83" s="129">
        <f t="shared" si="175"/>
        <v>0</v>
      </c>
      <c r="DY83" s="129">
        <f t="shared" si="175"/>
        <v>0</v>
      </c>
      <c r="DZ83" s="129">
        <f t="shared" si="175"/>
        <v>0</v>
      </c>
      <c r="EA83" s="129">
        <f t="shared" si="175"/>
        <v>0</v>
      </c>
      <c r="EB83" s="129">
        <f t="shared" si="175"/>
        <v>0</v>
      </c>
      <c r="EC83" s="129">
        <f t="shared" si="175"/>
        <v>0</v>
      </c>
      <c r="ED83" s="129">
        <f t="shared" si="175"/>
        <v>0</v>
      </c>
      <c r="EE83" s="129">
        <f t="shared" si="175"/>
        <v>0</v>
      </c>
      <c r="EF83" s="129">
        <f t="shared" si="175"/>
        <v>0</v>
      </c>
      <c r="EG83" s="129">
        <f t="shared" si="175"/>
        <v>0</v>
      </c>
      <c r="EH83" s="129">
        <f t="shared" si="175"/>
        <v>-1104628.326611717</v>
      </c>
      <c r="EI83" s="129">
        <f t="shared" si="175"/>
        <v>0</v>
      </c>
      <c r="EJ83" s="129">
        <f t="shared" si="175"/>
        <v>0</v>
      </c>
      <c r="EK83" s="129">
        <f t="shared" si="175"/>
        <v>-886172.11228968948</v>
      </c>
      <c r="EL83" s="129">
        <f t="shared" si="175"/>
        <v>-890914.61208939552</v>
      </c>
      <c r="EM83" s="129">
        <f t="shared" si="175"/>
        <v>0</v>
      </c>
      <c r="EN83" s="129">
        <f t="shared" si="175"/>
        <v>0</v>
      </c>
      <c r="EO83" s="129">
        <f t="shared" si="175"/>
        <v>0</v>
      </c>
      <c r="EP83" s="129">
        <f t="shared" si="175"/>
        <v>0</v>
      </c>
      <c r="EQ83" s="129">
        <f t="shared" ref="EQ83:FV83" si="176">EQ80-EQ77</f>
        <v>-586200.67627943738</v>
      </c>
      <c r="ER83" s="129">
        <f t="shared" si="176"/>
        <v>0</v>
      </c>
      <c r="ES83" s="129">
        <f t="shared" si="176"/>
        <v>0</v>
      </c>
      <c r="ET83" s="129">
        <f t="shared" si="176"/>
        <v>0</v>
      </c>
      <c r="EU83" s="129">
        <f t="shared" si="176"/>
        <v>0</v>
      </c>
      <c r="EV83" s="129">
        <f t="shared" si="176"/>
        <v>0</v>
      </c>
      <c r="EW83" s="129">
        <f t="shared" si="176"/>
        <v>0</v>
      </c>
      <c r="EX83" s="129">
        <f t="shared" si="176"/>
        <v>0</v>
      </c>
      <c r="EY83" s="129">
        <f t="shared" si="176"/>
        <v>0</v>
      </c>
      <c r="EZ83" s="129">
        <f t="shared" si="176"/>
        <v>0</v>
      </c>
      <c r="FA83" s="129">
        <f t="shared" si="176"/>
        <v>0</v>
      </c>
      <c r="FB83" s="129">
        <f t="shared" si="176"/>
        <v>0</v>
      </c>
      <c r="FC83" s="129">
        <f t="shared" si="176"/>
        <v>0</v>
      </c>
      <c r="FD83" s="129">
        <f t="shared" si="176"/>
        <v>0</v>
      </c>
      <c r="FE83" s="129">
        <f t="shared" si="176"/>
        <v>0</v>
      </c>
      <c r="FF83" s="129">
        <f t="shared" si="176"/>
        <v>0</v>
      </c>
      <c r="FG83" s="129">
        <f t="shared" si="176"/>
        <v>0</v>
      </c>
      <c r="FH83" s="129">
        <f t="shared" si="176"/>
        <v>50635371.115678489</v>
      </c>
      <c r="FI83" s="129">
        <f t="shared" si="176"/>
        <v>0</v>
      </c>
      <c r="FJ83" s="129">
        <f t="shared" si="176"/>
        <v>0</v>
      </c>
      <c r="FK83" s="129">
        <f t="shared" si="176"/>
        <v>0</v>
      </c>
      <c r="FL83" s="129">
        <f t="shared" si="176"/>
        <v>0</v>
      </c>
      <c r="FM83" s="129">
        <f t="shared" si="176"/>
        <v>1440490.5092219734</v>
      </c>
      <c r="FN83" s="129">
        <f t="shared" si="176"/>
        <v>0</v>
      </c>
      <c r="FO83" s="129">
        <f t="shared" si="176"/>
        <v>0</v>
      </c>
      <c r="FP83" s="129">
        <f t="shared" si="176"/>
        <v>0</v>
      </c>
      <c r="FQ83" s="129">
        <f t="shared" si="176"/>
        <v>0</v>
      </c>
      <c r="FR83" s="129">
        <f t="shared" si="176"/>
        <v>0</v>
      </c>
      <c r="FS83" s="129">
        <f t="shared" si="176"/>
        <v>587386.85930000013</v>
      </c>
      <c r="FT83" s="129">
        <f t="shared" si="176"/>
        <v>0</v>
      </c>
      <c r="FU83" s="129">
        <f t="shared" si="176"/>
        <v>3438870.0000000298</v>
      </c>
      <c r="FV83" s="129">
        <f t="shared" si="176"/>
        <v>0</v>
      </c>
      <c r="FW83" s="129">
        <f t="shared" ref="FW83:GD83" si="177">FW80-FW77</f>
        <v>0</v>
      </c>
      <c r="FX83" s="129">
        <f t="shared" si="177"/>
        <v>0</v>
      </c>
      <c r="FY83" s="129">
        <f t="shared" si="177"/>
        <v>0</v>
      </c>
      <c r="FZ83" s="129">
        <f t="shared" si="177"/>
        <v>0</v>
      </c>
      <c r="GA83" s="129">
        <f t="shared" si="177"/>
        <v>10100264.881362336</v>
      </c>
      <c r="GB83" s="129">
        <f t="shared" si="177"/>
        <v>0</v>
      </c>
      <c r="GC83" s="129">
        <f t="shared" si="177"/>
        <v>0</v>
      </c>
      <c r="GD83" s="129">
        <f t="shared" si="177"/>
        <v>0</v>
      </c>
      <c r="GE83" s="129"/>
      <c r="GF83" s="129">
        <f t="shared" ref="GF83" si="178">GF80-GF77</f>
        <v>399846.61577827268</v>
      </c>
      <c r="GG83" s="129">
        <f t="shared" ref="GG83:IB83" si="179">GG80-GG77</f>
        <v>0</v>
      </c>
      <c r="GH83" s="129">
        <f t="shared" si="179"/>
        <v>0</v>
      </c>
      <c r="GI83" s="129">
        <f t="shared" si="179"/>
        <v>67918727.329301834</v>
      </c>
      <c r="GJ83" s="129">
        <f t="shared" si="179"/>
        <v>67027812.717212677</v>
      </c>
      <c r="GK83" s="129">
        <f t="shared" si="179"/>
        <v>0</v>
      </c>
      <c r="GL83" s="129">
        <f t="shared" si="179"/>
        <v>0</v>
      </c>
      <c r="GM83" s="129">
        <f t="shared" si="179"/>
        <v>0</v>
      </c>
      <c r="GN83" s="129">
        <f t="shared" si="179"/>
        <v>0</v>
      </c>
      <c r="GO83" s="129">
        <f t="shared" si="179"/>
        <v>-1292721.4942519283</v>
      </c>
      <c r="GP83" s="129">
        <f t="shared" si="179"/>
        <v>0</v>
      </c>
      <c r="GQ83" s="129">
        <f t="shared" si="179"/>
        <v>0</v>
      </c>
      <c r="GR83" s="129">
        <f t="shared" si="179"/>
        <v>0</v>
      </c>
      <c r="GS83" s="129">
        <f t="shared" si="179"/>
        <v>0</v>
      </c>
      <c r="GT83" s="129">
        <f t="shared" si="179"/>
        <v>0</v>
      </c>
      <c r="GU83" s="129">
        <f t="shared" si="179"/>
        <v>0</v>
      </c>
      <c r="GV83" s="129">
        <f t="shared" si="179"/>
        <v>0</v>
      </c>
      <c r="GW83" s="129">
        <f t="shared" si="179"/>
        <v>0</v>
      </c>
      <c r="GX83" s="129">
        <f t="shared" si="179"/>
        <v>0</v>
      </c>
      <c r="GY83" s="129">
        <f t="shared" si="179"/>
        <v>0</v>
      </c>
      <c r="GZ83" s="129">
        <f t="shared" si="179"/>
        <v>0</v>
      </c>
      <c r="HA83" s="129">
        <f t="shared" si="179"/>
        <v>0</v>
      </c>
      <c r="HB83" s="129">
        <f t="shared" si="179"/>
        <v>0</v>
      </c>
      <c r="HC83" s="129">
        <f t="shared" si="179"/>
        <v>0</v>
      </c>
      <c r="HD83" s="129">
        <f t="shared" si="179"/>
        <v>0</v>
      </c>
      <c r="HE83" s="129">
        <f t="shared" si="179"/>
        <v>0</v>
      </c>
      <c r="HF83" s="129">
        <f t="shared" si="179"/>
        <v>1330131.4559038207</v>
      </c>
      <c r="HG83" s="129">
        <f t="shared" si="179"/>
        <v>0</v>
      </c>
      <c r="HH83" s="129">
        <f t="shared" si="179"/>
        <v>0</v>
      </c>
      <c r="HI83" s="129">
        <f t="shared" si="179"/>
        <v>0</v>
      </c>
      <c r="HJ83" s="129">
        <f t="shared" si="179"/>
        <v>0</v>
      </c>
      <c r="HK83" s="129">
        <f t="shared" si="179"/>
        <v>0</v>
      </c>
      <c r="HL83" s="129">
        <f t="shared" si="179"/>
        <v>0</v>
      </c>
      <c r="HM83" s="129">
        <f t="shared" si="179"/>
        <v>0</v>
      </c>
      <c r="HN83" s="129">
        <f t="shared" si="179"/>
        <v>0</v>
      </c>
      <c r="HO83" s="129">
        <f t="shared" si="179"/>
        <v>0</v>
      </c>
      <c r="HP83" s="129">
        <f t="shared" si="179"/>
        <v>0</v>
      </c>
      <c r="HQ83" s="129">
        <f t="shared" si="179"/>
        <v>1352118.1088999994</v>
      </c>
      <c r="HR83" s="129">
        <f t="shared" si="179"/>
        <v>0</v>
      </c>
      <c r="HS83" s="129">
        <f t="shared" si="179"/>
        <v>-3438869.9999999981</v>
      </c>
      <c r="HT83" s="129">
        <f t="shared" si="179"/>
        <v>0</v>
      </c>
      <c r="HU83" s="129">
        <f t="shared" si="179"/>
        <v>0</v>
      </c>
      <c r="HV83" s="129">
        <f t="shared" si="179"/>
        <v>0</v>
      </c>
      <c r="HW83" s="129">
        <f t="shared" si="179"/>
        <v>0</v>
      </c>
      <c r="HX83" s="129">
        <f t="shared" si="179"/>
        <v>0</v>
      </c>
      <c r="HY83" s="129">
        <f t="shared" si="179"/>
        <v>0</v>
      </c>
      <c r="HZ83" s="129">
        <f t="shared" si="179"/>
        <v>0</v>
      </c>
      <c r="IA83" s="129">
        <f t="shared" si="179"/>
        <v>0</v>
      </c>
      <c r="IB83" s="129">
        <f t="shared" si="179"/>
        <v>0</v>
      </c>
      <c r="IC83" s="129"/>
      <c r="ID83" s="129">
        <f t="shared" ref="ID83" si="180">ID80-ID77</f>
        <v>383.94</v>
      </c>
      <c r="IE83" s="129">
        <f t="shared" ref="IE83:JZ83" si="181">IE80-IE77</f>
        <v>0</v>
      </c>
      <c r="IF83" s="129">
        <f t="shared" si="181"/>
        <v>0</v>
      </c>
      <c r="IG83" s="129">
        <f t="shared" si="181"/>
        <v>2795496.7157800235</v>
      </c>
      <c r="IH83" s="129">
        <f t="shared" si="181"/>
        <v>69823309.432992935</v>
      </c>
      <c r="II83" s="129">
        <f t="shared" si="181"/>
        <v>0</v>
      </c>
      <c r="IJ83" s="129">
        <f t="shared" si="181"/>
        <v>0</v>
      </c>
      <c r="IK83" s="129">
        <f t="shared" si="181"/>
        <v>0</v>
      </c>
      <c r="IL83" s="129">
        <f t="shared" si="181"/>
        <v>0</v>
      </c>
      <c r="IM83" s="129">
        <f t="shared" si="181"/>
        <v>-1851107.9420610447</v>
      </c>
      <c r="IN83" s="129">
        <f t="shared" si="181"/>
        <v>0</v>
      </c>
      <c r="IO83" s="129">
        <f t="shared" si="181"/>
        <v>0</v>
      </c>
      <c r="IP83" s="129">
        <f t="shared" si="181"/>
        <v>0</v>
      </c>
      <c r="IQ83" s="129">
        <f t="shared" si="181"/>
        <v>0</v>
      </c>
      <c r="IR83" s="129">
        <f t="shared" si="181"/>
        <v>0</v>
      </c>
      <c r="IS83" s="129">
        <f t="shared" si="181"/>
        <v>0</v>
      </c>
      <c r="IT83" s="129">
        <f t="shared" si="181"/>
        <v>0</v>
      </c>
      <c r="IU83" s="129">
        <f t="shared" si="181"/>
        <v>0</v>
      </c>
      <c r="IV83" s="129">
        <f t="shared" si="181"/>
        <v>0</v>
      </c>
      <c r="IW83" s="129">
        <f t="shared" si="181"/>
        <v>0</v>
      </c>
      <c r="IX83" s="129">
        <f t="shared" si="181"/>
        <v>0</v>
      </c>
      <c r="IY83" s="129">
        <f t="shared" si="181"/>
        <v>0</v>
      </c>
      <c r="IZ83" s="129">
        <f t="shared" si="181"/>
        <v>0</v>
      </c>
      <c r="JA83" s="129">
        <f t="shared" si="181"/>
        <v>0</v>
      </c>
      <c r="JB83" s="129">
        <f t="shared" si="181"/>
        <v>0</v>
      </c>
      <c r="JC83" s="129">
        <f t="shared" si="181"/>
        <v>0</v>
      </c>
      <c r="JD83" s="129">
        <f t="shared" si="181"/>
        <v>2281000.9302666653</v>
      </c>
      <c r="JE83" s="129">
        <f t="shared" si="181"/>
        <v>0</v>
      </c>
      <c r="JF83" s="129">
        <f t="shared" si="181"/>
        <v>0</v>
      </c>
      <c r="JG83" s="129">
        <f t="shared" si="181"/>
        <v>0</v>
      </c>
      <c r="JH83" s="129">
        <f t="shared" si="181"/>
        <v>0</v>
      </c>
      <c r="JI83" s="129">
        <f t="shared" si="181"/>
        <v>-1440490.5092219734</v>
      </c>
      <c r="JJ83" s="129">
        <f t="shared" si="181"/>
        <v>0</v>
      </c>
      <c r="JK83" s="129">
        <f t="shared" si="181"/>
        <v>0</v>
      </c>
      <c r="JL83" s="129">
        <f t="shared" si="181"/>
        <v>0</v>
      </c>
      <c r="JM83" s="129">
        <f t="shared" si="181"/>
        <v>0</v>
      </c>
      <c r="JN83" s="129">
        <f t="shared" si="181"/>
        <v>0</v>
      </c>
      <c r="JO83" s="129">
        <f t="shared" si="181"/>
        <v>0</v>
      </c>
      <c r="JP83" s="129">
        <f t="shared" si="181"/>
        <v>3531501.1102999956</v>
      </c>
      <c r="JQ83" s="129">
        <f t="shared" si="181"/>
        <v>0</v>
      </c>
      <c r="JR83" s="129">
        <f t="shared" si="181"/>
        <v>0</v>
      </c>
      <c r="JS83" s="129">
        <f t="shared" si="181"/>
        <v>0</v>
      </c>
      <c r="JT83" s="129">
        <f t="shared" si="181"/>
        <v>0</v>
      </c>
      <c r="JU83" s="129">
        <f t="shared" si="181"/>
        <v>0</v>
      </c>
      <c r="JV83" s="129">
        <f t="shared" si="181"/>
        <v>0</v>
      </c>
      <c r="JW83" s="129">
        <f t="shared" si="181"/>
        <v>-3934555.396922037</v>
      </c>
      <c r="JX83" s="129">
        <f t="shared" si="181"/>
        <v>0</v>
      </c>
      <c r="JY83" s="129">
        <f t="shared" si="181"/>
        <v>0</v>
      </c>
      <c r="JZ83" s="129">
        <f t="shared" si="181"/>
        <v>0</v>
      </c>
      <c r="KA83" s="129">
        <f t="shared" ref="KA83:KC83" si="182">KA80-KA77</f>
        <v>4681789.4104666123</v>
      </c>
      <c r="KB83" s="129">
        <f t="shared" si="182"/>
        <v>391.84000000000003</v>
      </c>
      <c r="KC83" s="129">
        <f t="shared" si="182"/>
        <v>0</v>
      </c>
      <c r="KD83" s="129">
        <f t="shared" ref="KD83:KF84" si="183">KD80-KD77</f>
        <v>0</v>
      </c>
      <c r="KE83" s="129">
        <f t="shared" si="183"/>
        <v>3268529.4428282157</v>
      </c>
      <c r="KF83" s="130">
        <f t="shared" si="183"/>
        <v>73091838.87582016</v>
      </c>
      <c r="KG83" s="43" t="s">
        <v>34</v>
      </c>
    </row>
    <row r="84" spans="1:293" customFormat="1" ht="15.75" customHeight="1" x14ac:dyDescent="0.35">
      <c r="A84" s="127">
        <f>SUM(C84:KF84)</f>
        <v>-2057295030.5405216</v>
      </c>
      <c r="B84" s="131" t="s">
        <v>122</v>
      </c>
      <c r="C84" s="132">
        <f t="shared" ref="C84:AO84" si="184">C81-C78</f>
        <v>0</v>
      </c>
      <c r="D84" s="132">
        <f t="shared" si="184"/>
        <v>0</v>
      </c>
      <c r="E84" s="132">
        <f t="shared" si="184"/>
        <v>0</v>
      </c>
      <c r="F84" s="132">
        <f t="shared" si="184"/>
        <v>0</v>
      </c>
      <c r="G84" s="132">
        <f t="shared" si="184"/>
        <v>0</v>
      </c>
      <c r="H84" s="132">
        <f t="shared" si="184"/>
        <v>0</v>
      </c>
      <c r="I84" s="132">
        <f t="shared" si="184"/>
        <v>0</v>
      </c>
      <c r="J84" s="132">
        <f t="shared" si="184"/>
        <v>0</v>
      </c>
      <c r="K84" s="132">
        <f t="shared" si="184"/>
        <v>0</v>
      </c>
      <c r="L84" s="132">
        <f t="shared" si="184"/>
        <v>0</v>
      </c>
      <c r="M84" s="132">
        <f t="shared" si="184"/>
        <v>0</v>
      </c>
      <c r="N84" s="132">
        <f t="shared" si="184"/>
        <v>0</v>
      </c>
      <c r="O84" s="132">
        <f t="shared" si="184"/>
        <v>0</v>
      </c>
      <c r="P84" s="132">
        <f t="shared" si="184"/>
        <v>0</v>
      </c>
      <c r="Q84" s="132">
        <f t="shared" si="184"/>
        <v>0</v>
      </c>
      <c r="R84" s="132">
        <f t="shared" si="184"/>
        <v>0</v>
      </c>
      <c r="S84" s="132">
        <f t="shared" si="184"/>
        <v>0</v>
      </c>
      <c r="T84" s="132">
        <f t="shared" si="184"/>
        <v>0</v>
      </c>
      <c r="U84" s="132">
        <f t="shared" si="184"/>
        <v>0</v>
      </c>
      <c r="V84" s="132">
        <f t="shared" si="184"/>
        <v>0</v>
      </c>
      <c r="W84" s="132">
        <f t="shared" si="184"/>
        <v>0</v>
      </c>
      <c r="X84" s="132">
        <f t="shared" si="184"/>
        <v>0</v>
      </c>
      <c r="Y84" s="132">
        <f t="shared" si="184"/>
        <v>0</v>
      </c>
      <c r="Z84" s="132">
        <f t="shared" si="184"/>
        <v>0</v>
      </c>
      <c r="AA84" s="132">
        <f t="shared" si="184"/>
        <v>0</v>
      </c>
      <c r="AB84" s="132">
        <f t="shared" si="184"/>
        <v>0</v>
      </c>
      <c r="AC84" s="132">
        <f t="shared" si="184"/>
        <v>0</v>
      </c>
      <c r="AD84" s="132">
        <f t="shared" si="184"/>
        <v>0</v>
      </c>
      <c r="AE84" s="132">
        <f t="shared" si="184"/>
        <v>0</v>
      </c>
      <c r="AF84" s="132">
        <f t="shared" si="184"/>
        <v>0</v>
      </c>
      <c r="AG84" s="132">
        <f t="shared" si="184"/>
        <v>0</v>
      </c>
      <c r="AH84" s="132">
        <f t="shared" si="184"/>
        <v>0</v>
      </c>
      <c r="AI84" s="132">
        <f t="shared" si="184"/>
        <v>0</v>
      </c>
      <c r="AJ84" s="132">
        <f t="shared" si="184"/>
        <v>0</v>
      </c>
      <c r="AK84" s="132">
        <f t="shared" si="184"/>
        <v>0</v>
      </c>
      <c r="AL84" s="132">
        <f t="shared" si="184"/>
        <v>0</v>
      </c>
      <c r="AM84" s="132">
        <f t="shared" si="184"/>
        <v>0</v>
      </c>
      <c r="AN84" s="132">
        <f t="shared" si="184"/>
        <v>0</v>
      </c>
      <c r="AO84" s="132">
        <f t="shared" si="184"/>
        <v>0</v>
      </c>
      <c r="AP84" s="132"/>
      <c r="AQ84" s="132">
        <f t="shared" si="172"/>
        <v>0</v>
      </c>
      <c r="AR84" s="132">
        <f t="shared" si="172"/>
        <v>-10412255.885072351</v>
      </c>
      <c r="AS84" s="132">
        <f t="shared" si="172"/>
        <v>-10412255.885072708</v>
      </c>
      <c r="AT84" s="132">
        <f t="shared" si="172"/>
        <v>0</v>
      </c>
      <c r="AU84" s="132">
        <f t="shared" si="172"/>
        <v>0</v>
      </c>
      <c r="AV84" s="132">
        <f t="shared" si="172"/>
        <v>0</v>
      </c>
      <c r="AW84" s="132">
        <f t="shared" si="172"/>
        <v>0</v>
      </c>
      <c r="AX84" s="132">
        <f>AX81-AX78</f>
        <v>0</v>
      </c>
      <c r="AY84" s="132">
        <f t="shared" ref="AY84:CD84" si="185">AY81-AY78</f>
        <v>0</v>
      </c>
      <c r="AZ84" s="132">
        <f t="shared" si="185"/>
        <v>0</v>
      </c>
      <c r="BA84" s="132">
        <f t="shared" si="185"/>
        <v>0</v>
      </c>
      <c r="BB84" s="132">
        <f t="shared" si="185"/>
        <v>0</v>
      </c>
      <c r="BC84" s="132">
        <f t="shared" si="185"/>
        <v>0</v>
      </c>
      <c r="BD84" s="132">
        <f t="shared" si="185"/>
        <v>0</v>
      </c>
      <c r="BE84" s="132">
        <f t="shared" si="185"/>
        <v>0</v>
      </c>
      <c r="BF84" s="132">
        <f t="shared" si="185"/>
        <v>0</v>
      </c>
      <c r="BG84" s="132">
        <f t="shared" si="185"/>
        <v>0</v>
      </c>
      <c r="BH84" s="132">
        <f t="shared" si="185"/>
        <v>0</v>
      </c>
      <c r="BI84" s="132">
        <f t="shared" si="185"/>
        <v>0</v>
      </c>
      <c r="BJ84" s="132">
        <f t="shared" si="185"/>
        <v>0</v>
      </c>
      <c r="BK84" s="132">
        <f t="shared" si="185"/>
        <v>0</v>
      </c>
      <c r="BL84" s="132">
        <f t="shared" si="185"/>
        <v>0</v>
      </c>
      <c r="BM84" s="132">
        <f t="shared" si="185"/>
        <v>0</v>
      </c>
      <c r="BN84" s="132">
        <f t="shared" si="185"/>
        <v>0</v>
      </c>
      <c r="BO84" s="132">
        <f t="shared" si="185"/>
        <v>0</v>
      </c>
      <c r="BP84" s="132">
        <f t="shared" si="185"/>
        <v>0</v>
      </c>
      <c r="BQ84" s="132">
        <f t="shared" si="185"/>
        <v>0</v>
      </c>
      <c r="BR84" s="132">
        <f t="shared" si="185"/>
        <v>0</v>
      </c>
      <c r="BS84" s="132">
        <f t="shared" si="185"/>
        <v>0</v>
      </c>
      <c r="BT84" s="132">
        <f t="shared" si="185"/>
        <v>-889107.57401499106</v>
      </c>
      <c r="BU84" s="132">
        <f t="shared" si="185"/>
        <v>0</v>
      </c>
      <c r="BV84" s="132">
        <f t="shared" si="185"/>
        <v>0</v>
      </c>
      <c r="BW84" s="132">
        <f t="shared" si="185"/>
        <v>0</v>
      </c>
      <c r="BX84" s="132">
        <f t="shared" si="185"/>
        <v>0</v>
      </c>
      <c r="BY84" s="132">
        <f t="shared" si="185"/>
        <v>0</v>
      </c>
      <c r="BZ84" s="132">
        <f t="shared" si="185"/>
        <v>0</v>
      </c>
      <c r="CA84" s="132">
        <f t="shared" si="185"/>
        <v>0</v>
      </c>
      <c r="CB84" s="132">
        <f t="shared" si="185"/>
        <v>0</v>
      </c>
      <c r="CC84" s="132">
        <f t="shared" si="185"/>
        <v>0</v>
      </c>
      <c r="CD84" s="132">
        <f t="shared" si="185"/>
        <v>0</v>
      </c>
      <c r="CE84" s="132">
        <f t="shared" ref="CE84:DJ84" si="186">CE81-CE78</f>
        <v>0</v>
      </c>
      <c r="CF84" s="132">
        <f t="shared" si="186"/>
        <v>0</v>
      </c>
      <c r="CG84" s="132">
        <f t="shared" si="186"/>
        <v>0</v>
      </c>
      <c r="CH84" s="132">
        <f t="shared" si="186"/>
        <v>0</v>
      </c>
      <c r="CI84" s="132">
        <f t="shared" si="186"/>
        <v>0</v>
      </c>
      <c r="CJ84" s="132">
        <f t="shared" si="186"/>
        <v>0</v>
      </c>
      <c r="CK84" s="132">
        <f t="shared" si="186"/>
        <v>0</v>
      </c>
      <c r="CL84" s="132">
        <f t="shared" si="186"/>
        <v>0</v>
      </c>
      <c r="CM84" s="132">
        <f t="shared" si="186"/>
        <v>0</v>
      </c>
      <c r="CN84" s="132">
        <f t="shared" si="186"/>
        <v>-889107.57401496172</v>
      </c>
      <c r="CO84" s="132">
        <f t="shared" si="186"/>
        <v>-11301363.459087372</v>
      </c>
      <c r="CP84" s="132">
        <f t="shared" si="186"/>
        <v>0</v>
      </c>
      <c r="CQ84" s="132">
        <f t="shared" si="186"/>
        <v>0</v>
      </c>
      <c r="CR84" s="132">
        <f t="shared" si="186"/>
        <v>0</v>
      </c>
      <c r="CS84" s="132">
        <f t="shared" si="186"/>
        <v>0</v>
      </c>
      <c r="CT84" s="132">
        <f t="shared" si="186"/>
        <v>0</v>
      </c>
      <c r="CU84" s="132">
        <f t="shared" si="186"/>
        <v>0</v>
      </c>
      <c r="CV84" s="132">
        <f t="shared" si="186"/>
        <v>0</v>
      </c>
      <c r="CW84" s="132">
        <f t="shared" si="186"/>
        <v>0</v>
      </c>
      <c r="CX84" s="132">
        <f t="shared" si="186"/>
        <v>0</v>
      </c>
      <c r="CY84" s="132">
        <f t="shared" si="186"/>
        <v>0</v>
      </c>
      <c r="CZ84" s="132">
        <f t="shared" si="186"/>
        <v>0</v>
      </c>
      <c r="DA84" s="132">
        <f t="shared" si="186"/>
        <v>0</v>
      </c>
      <c r="DB84" s="132">
        <f t="shared" si="186"/>
        <v>0</v>
      </c>
      <c r="DC84" s="132">
        <f t="shared" si="186"/>
        <v>0</v>
      </c>
      <c r="DD84" s="132">
        <f t="shared" si="186"/>
        <v>0</v>
      </c>
      <c r="DE84" s="132">
        <f t="shared" si="186"/>
        <v>0</v>
      </c>
      <c r="DF84" s="132">
        <f t="shared" si="186"/>
        <v>0</v>
      </c>
      <c r="DG84" s="132">
        <f t="shared" si="186"/>
        <v>0</v>
      </c>
      <c r="DH84" s="132">
        <f t="shared" si="186"/>
        <v>0</v>
      </c>
      <c r="DI84" s="132">
        <f t="shared" si="186"/>
        <v>0</v>
      </c>
      <c r="DJ84" s="132">
        <f t="shared" si="186"/>
        <v>0</v>
      </c>
      <c r="DK84" s="132">
        <f t="shared" ref="DK84:EP84" si="187">DK81-DK78</f>
        <v>0</v>
      </c>
      <c r="DL84" s="132">
        <f t="shared" si="187"/>
        <v>0</v>
      </c>
      <c r="DM84" s="132">
        <f t="shared" si="187"/>
        <v>0</v>
      </c>
      <c r="DN84" s="132">
        <f t="shared" si="187"/>
        <v>0</v>
      </c>
      <c r="DO84" s="132">
        <f t="shared" si="187"/>
        <v>0</v>
      </c>
      <c r="DP84" s="132">
        <f t="shared" si="187"/>
        <v>-444553.78700749594</v>
      </c>
      <c r="DQ84" s="132">
        <f t="shared" si="187"/>
        <v>0</v>
      </c>
      <c r="DR84" s="132">
        <f t="shared" si="187"/>
        <v>0</v>
      </c>
      <c r="DS84" s="132">
        <f t="shared" si="187"/>
        <v>0</v>
      </c>
      <c r="DT84" s="132">
        <f t="shared" si="187"/>
        <v>0</v>
      </c>
      <c r="DU84" s="132">
        <f t="shared" si="187"/>
        <v>0</v>
      </c>
      <c r="DV84" s="132">
        <f t="shared" si="187"/>
        <v>-1026127.3846299797</v>
      </c>
      <c r="DW84" s="132">
        <f t="shared" si="187"/>
        <v>0</v>
      </c>
      <c r="DX84" s="132">
        <f t="shared" si="187"/>
        <v>0</v>
      </c>
      <c r="DY84" s="132">
        <f t="shared" si="187"/>
        <v>0</v>
      </c>
      <c r="DZ84" s="132">
        <f t="shared" si="187"/>
        <v>0</v>
      </c>
      <c r="EA84" s="132">
        <f t="shared" si="187"/>
        <v>0</v>
      </c>
      <c r="EB84" s="132">
        <f t="shared" si="187"/>
        <v>0</v>
      </c>
      <c r="EC84" s="132">
        <f t="shared" si="187"/>
        <v>0</v>
      </c>
      <c r="ED84" s="132">
        <f t="shared" si="187"/>
        <v>0</v>
      </c>
      <c r="EE84" s="132">
        <f t="shared" si="187"/>
        <v>0</v>
      </c>
      <c r="EF84" s="132">
        <f t="shared" si="187"/>
        <v>0</v>
      </c>
      <c r="EG84" s="132">
        <f t="shared" si="187"/>
        <v>0</v>
      </c>
      <c r="EH84" s="132">
        <f t="shared" si="187"/>
        <v>36688763.215511516</v>
      </c>
      <c r="EI84" s="132">
        <f t="shared" si="187"/>
        <v>0</v>
      </c>
      <c r="EJ84" s="132">
        <f t="shared" si="187"/>
        <v>0</v>
      </c>
      <c r="EK84" s="132">
        <f t="shared" si="187"/>
        <v>35218082.043874085</v>
      </c>
      <c r="EL84" s="132">
        <f t="shared" si="187"/>
        <v>23916718.584786415</v>
      </c>
      <c r="EM84" s="132">
        <f t="shared" si="187"/>
        <v>0</v>
      </c>
      <c r="EN84" s="132">
        <f t="shared" si="187"/>
        <v>0</v>
      </c>
      <c r="EO84" s="132">
        <f t="shared" si="187"/>
        <v>0</v>
      </c>
      <c r="EP84" s="132">
        <f t="shared" si="187"/>
        <v>0</v>
      </c>
      <c r="EQ84" s="132">
        <f t="shared" ref="EQ84:FV84" si="188">EQ81-EQ78</f>
        <v>0</v>
      </c>
      <c r="ER84" s="132">
        <f t="shared" si="188"/>
        <v>0</v>
      </c>
      <c r="ES84" s="132">
        <f t="shared" si="188"/>
        <v>0</v>
      </c>
      <c r="ET84" s="132">
        <f t="shared" si="188"/>
        <v>0</v>
      </c>
      <c r="EU84" s="132">
        <f t="shared" si="188"/>
        <v>0</v>
      </c>
      <c r="EV84" s="132">
        <f t="shared" si="188"/>
        <v>0</v>
      </c>
      <c r="EW84" s="132">
        <f t="shared" si="188"/>
        <v>0</v>
      </c>
      <c r="EX84" s="132">
        <f t="shared" si="188"/>
        <v>0</v>
      </c>
      <c r="EY84" s="132">
        <f t="shared" si="188"/>
        <v>0</v>
      </c>
      <c r="EZ84" s="132">
        <f t="shared" si="188"/>
        <v>0</v>
      </c>
      <c r="FA84" s="132">
        <f t="shared" si="188"/>
        <v>0</v>
      </c>
      <c r="FB84" s="132">
        <f t="shared" si="188"/>
        <v>0</v>
      </c>
      <c r="FC84" s="132">
        <f t="shared" si="188"/>
        <v>0</v>
      </c>
      <c r="FD84" s="132">
        <f t="shared" si="188"/>
        <v>0</v>
      </c>
      <c r="FE84" s="132">
        <f t="shared" si="188"/>
        <v>0</v>
      </c>
      <c r="FF84" s="132">
        <f t="shared" si="188"/>
        <v>0</v>
      </c>
      <c r="FG84" s="132">
        <f t="shared" si="188"/>
        <v>0</v>
      </c>
      <c r="FH84" s="132">
        <f t="shared" si="188"/>
        <v>0</v>
      </c>
      <c r="FI84" s="132">
        <f t="shared" si="188"/>
        <v>0</v>
      </c>
      <c r="FJ84" s="132">
        <f t="shared" si="188"/>
        <v>0</v>
      </c>
      <c r="FK84" s="132">
        <f t="shared" si="188"/>
        <v>0</v>
      </c>
      <c r="FL84" s="132">
        <f t="shared" si="188"/>
        <v>0</v>
      </c>
      <c r="FM84" s="132">
        <f t="shared" si="188"/>
        <v>720245.25461098691</v>
      </c>
      <c r="FN84" s="132">
        <f t="shared" si="188"/>
        <v>0</v>
      </c>
      <c r="FO84" s="132">
        <f t="shared" si="188"/>
        <v>0</v>
      </c>
      <c r="FP84" s="132">
        <f t="shared" si="188"/>
        <v>0</v>
      </c>
      <c r="FQ84" s="132">
        <f t="shared" si="188"/>
        <v>0</v>
      </c>
      <c r="FR84" s="132">
        <f t="shared" si="188"/>
        <v>0</v>
      </c>
      <c r="FS84" s="132">
        <f t="shared" si="188"/>
        <v>-36679961.325192504</v>
      </c>
      <c r="FT84" s="132">
        <f t="shared" si="188"/>
        <v>0</v>
      </c>
      <c r="FU84" s="132">
        <f t="shared" si="188"/>
        <v>0</v>
      </c>
      <c r="FV84" s="132">
        <f t="shared" si="188"/>
        <v>0</v>
      </c>
      <c r="FW84" s="132">
        <f t="shared" ref="FW84:GD84" si="189">FW81-FW78</f>
        <v>0</v>
      </c>
      <c r="FX84" s="132">
        <f t="shared" si="189"/>
        <v>0</v>
      </c>
      <c r="FY84" s="132">
        <f t="shared" si="189"/>
        <v>0</v>
      </c>
      <c r="FZ84" s="132">
        <f t="shared" si="189"/>
        <v>0</v>
      </c>
      <c r="GA84" s="132">
        <f t="shared" si="189"/>
        <v>-8790214.1875838004</v>
      </c>
      <c r="GB84" s="132">
        <f t="shared" si="189"/>
        <v>0</v>
      </c>
      <c r="GC84" s="132">
        <f t="shared" si="189"/>
        <v>0</v>
      </c>
      <c r="GD84" s="132">
        <f t="shared" si="189"/>
        <v>0</v>
      </c>
      <c r="GE84" s="132"/>
      <c r="GF84" s="132"/>
      <c r="GG84" s="132">
        <f t="shared" ref="GG84:IB84" si="190">GG81-GG78</f>
        <v>0</v>
      </c>
      <c r="GH84" s="132">
        <f t="shared" si="190"/>
        <v>0</v>
      </c>
      <c r="GI84" s="132">
        <f t="shared" si="190"/>
        <v>-109898889.44121432</v>
      </c>
      <c r="GJ84" s="132">
        <f t="shared" si="190"/>
        <v>-85982170.856426239</v>
      </c>
      <c r="GK84" s="132">
        <f t="shared" si="190"/>
        <v>0</v>
      </c>
      <c r="GL84" s="132">
        <f t="shared" si="190"/>
        <v>0</v>
      </c>
      <c r="GM84" s="132">
        <f t="shared" si="190"/>
        <v>0</v>
      </c>
      <c r="GN84" s="132">
        <f t="shared" si="190"/>
        <v>0</v>
      </c>
      <c r="GO84" s="132">
        <f t="shared" si="190"/>
        <v>0</v>
      </c>
      <c r="GP84" s="132">
        <f t="shared" si="190"/>
        <v>0</v>
      </c>
      <c r="GQ84" s="132">
        <f t="shared" si="190"/>
        <v>0</v>
      </c>
      <c r="GR84" s="132">
        <f t="shared" si="190"/>
        <v>0</v>
      </c>
      <c r="GS84" s="132">
        <f t="shared" si="190"/>
        <v>0</v>
      </c>
      <c r="GT84" s="132">
        <f t="shared" si="190"/>
        <v>0</v>
      </c>
      <c r="GU84" s="132">
        <f t="shared" si="190"/>
        <v>0</v>
      </c>
      <c r="GV84" s="132">
        <f t="shared" si="190"/>
        <v>0</v>
      </c>
      <c r="GW84" s="132">
        <f t="shared" si="190"/>
        <v>0</v>
      </c>
      <c r="GX84" s="132">
        <f t="shared" si="190"/>
        <v>0</v>
      </c>
      <c r="GY84" s="132">
        <f t="shared" si="190"/>
        <v>0</v>
      </c>
      <c r="GZ84" s="132">
        <f t="shared" si="190"/>
        <v>0</v>
      </c>
      <c r="HA84" s="132">
        <f t="shared" si="190"/>
        <v>0</v>
      </c>
      <c r="HB84" s="132">
        <f t="shared" si="190"/>
        <v>0</v>
      </c>
      <c r="HC84" s="132">
        <f t="shared" si="190"/>
        <v>0</v>
      </c>
      <c r="HD84" s="132">
        <f t="shared" si="190"/>
        <v>0</v>
      </c>
      <c r="HE84" s="132">
        <f t="shared" si="190"/>
        <v>0</v>
      </c>
      <c r="HF84" s="132">
        <f t="shared" si="190"/>
        <v>0</v>
      </c>
      <c r="HG84" s="132">
        <f t="shared" si="190"/>
        <v>0</v>
      </c>
      <c r="HH84" s="132">
        <f t="shared" si="190"/>
        <v>0</v>
      </c>
      <c r="HI84" s="132">
        <f t="shared" si="190"/>
        <v>0</v>
      </c>
      <c r="HJ84" s="132">
        <f t="shared" si="190"/>
        <v>0</v>
      </c>
      <c r="HK84" s="132">
        <f t="shared" si="190"/>
        <v>1440490.5092219745</v>
      </c>
      <c r="HL84" s="132">
        <f t="shared" si="190"/>
        <v>0</v>
      </c>
      <c r="HM84" s="132">
        <f t="shared" si="190"/>
        <v>0</v>
      </c>
      <c r="HN84" s="132">
        <f t="shared" si="190"/>
        <v>0</v>
      </c>
      <c r="HO84" s="132">
        <f t="shared" si="190"/>
        <v>0</v>
      </c>
      <c r="HP84" s="132">
        <f t="shared" si="190"/>
        <v>0</v>
      </c>
      <c r="HQ84" s="132">
        <f t="shared" si="190"/>
        <v>-67354820.361097991</v>
      </c>
      <c r="HR84" s="132">
        <f t="shared" si="190"/>
        <v>0</v>
      </c>
      <c r="HS84" s="132">
        <f t="shared" si="190"/>
        <v>0</v>
      </c>
      <c r="HT84" s="132">
        <f t="shared" si="190"/>
        <v>0</v>
      </c>
      <c r="HU84" s="132">
        <f t="shared" si="190"/>
        <v>0</v>
      </c>
      <c r="HV84" s="132">
        <f t="shared" si="190"/>
        <v>0</v>
      </c>
      <c r="HW84" s="132">
        <f t="shared" si="190"/>
        <v>0</v>
      </c>
      <c r="HX84" s="132">
        <f t="shared" si="190"/>
        <v>0</v>
      </c>
      <c r="HY84" s="132">
        <f t="shared" si="190"/>
        <v>-17580428.375167601</v>
      </c>
      <c r="HZ84" s="132">
        <f t="shared" si="190"/>
        <v>0</v>
      </c>
      <c r="IA84" s="132">
        <f t="shared" si="190"/>
        <v>0</v>
      </c>
      <c r="IB84" s="132">
        <f t="shared" si="190"/>
        <v>0</v>
      </c>
      <c r="IC84" s="132"/>
      <c r="ID84" s="132"/>
      <c r="IE84" s="132">
        <f t="shared" ref="IE84:JZ84" si="191">IE81-IE78</f>
        <v>0</v>
      </c>
      <c r="IF84" s="132">
        <f t="shared" si="191"/>
        <v>0</v>
      </c>
      <c r="IG84" s="132">
        <f t="shared" si="191"/>
        <v>-242354985.79901221</v>
      </c>
      <c r="IH84" s="132">
        <f t="shared" si="191"/>
        <v>-328337156.65543747</v>
      </c>
      <c r="II84" s="132">
        <f t="shared" si="191"/>
        <v>0</v>
      </c>
      <c r="IJ84" s="132">
        <f t="shared" si="191"/>
        <v>0</v>
      </c>
      <c r="IK84" s="132">
        <f t="shared" si="191"/>
        <v>0</v>
      </c>
      <c r="IL84" s="132">
        <f t="shared" si="191"/>
        <v>0</v>
      </c>
      <c r="IM84" s="132">
        <f t="shared" si="191"/>
        <v>0</v>
      </c>
      <c r="IN84" s="132">
        <f t="shared" si="191"/>
        <v>0</v>
      </c>
      <c r="IO84" s="132">
        <f t="shared" si="191"/>
        <v>0</v>
      </c>
      <c r="IP84" s="132">
        <f t="shared" si="191"/>
        <v>0</v>
      </c>
      <c r="IQ84" s="132">
        <f t="shared" si="191"/>
        <v>0</v>
      </c>
      <c r="IR84" s="132">
        <f t="shared" si="191"/>
        <v>0</v>
      </c>
      <c r="IS84" s="132">
        <f t="shared" si="191"/>
        <v>0</v>
      </c>
      <c r="IT84" s="132">
        <f t="shared" si="191"/>
        <v>0</v>
      </c>
      <c r="IU84" s="132">
        <f t="shared" si="191"/>
        <v>0</v>
      </c>
      <c r="IV84" s="132">
        <f t="shared" si="191"/>
        <v>0</v>
      </c>
      <c r="IW84" s="132">
        <f t="shared" si="191"/>
        <v>0</v>
      </c>
      <c r="IX84" s="132">
        <f t="shared" si="191"/>
        <v>0</v>
      </c>
      <c r="IY84" s="132">
        <f t="shared" si="191"/>
        <v>0</v>
      </c>
      <c r="IZ84" s="132">
        <f t="shared" si="191"/>
        <v>0</v>
      </c>
      <c r="JA84" s="132">
        <f t="shared" si="191"/>
        <v>0</v>
      </c>
      <c r="JB84" s="132">
        <f t="shared" si="191"/>
        <v>0</v>
      </c>
      <c r="JC84" s="132">
        <f t="shared" si="191"/>
        <v>0</v>
      </c>
      <c r="JD84" s="132">
        <f t="shared" si="191"/>
        <v>0</v>
      </c>
      <c r="JE84" s="132">
        <f t="shared" si="191"/>
        <v>0</v>
      </c>
      <c r="JF84" s="132">
        <f t="shared" si="191"/>
        <v>0</v>
      </c>
      <c r="JG84" s="132">
        <f t="shared" si="191"/>
        <v>0</v>
      </c>
      <c r="JH84" s="132">
        <f t="shared" si="191"/>
        <v>0</v>
      </c>
      <c r="JI84" s="132">
        <f t="shared" si="191"/>
        <v>720245.25461098959</v>
      </c>
      <c r="JJ84" s="132">
        <f t="shared" si="191"/>
        <v>0</v>
      </c>
      <c r="JK84" s="132">
        <f t="shared" si="191"/>
        <v>0</v>
      </c>
      <c r="JL84" s="132">
        <f t="shared" si="191"/>
        <v>0</v>
      </c>
      <c r="JM84" s="132">
        <f t="shared" si="191"/>
        <v>0</v>
      </c>
      <c r="JN84" s="132">
        <f t="shared" si="191"/>
        <v>0</v>
      </c>
      <c r="JO84" s="132">
        <f t="shared" si="191"/>
        <v>0</v>
      </c>
      <c r="JP84" s="132">
        <f t="shared" si="191"/>
        <v>-183649873.38941455</v>
      </c>
      <c r="JQ84" s="132">
        <f t="shared" si="191"/>
        <v>0</v>
      </c>
      <c r="JR84" s="132">
        <f t="shared" si="191"/>
        <v>0</v>
      </c>
      <c r="JS84" s="132">
        <f t="shared" si="191"/>
        <v>0</v>
      </c>
      <c r="JT84" s="132">
        <f t="shared" si="191"/>
        <v>0</v>
      </c>
      <c r="JU84" s="132">
        <f t="shared" si="191"/>
        <v>0</v>
      </c>
      <c r="JV84" s="132">
        <f t="shared" si="191"/>
        <v>0</v>
      </c>
      <c r="JW84" s="132">
        <f t="shared" si="191"/>
        <v>-17580428.375167601</v>
      </c>
      <c r="JX84" s="132">
        <f t="shared" si="191"/>
        <v>0</v>
      </c>
      <c r="JY84" s="132">
        <f t="shared" si="191"/>
        <v>0</v>
      </c>
      <c r="JZ84" s="132">
        <f t="shared" si="191"/>
        <v>0</v>
      </c>
      <c r="KA84" s="132"/>
      <c r="KB84" s="132"/>
      <c r="KC84" s="132">
        <f>KC81-KC78</f>
        <v>0</v>
      </c>
      <c r="KD84" s="132">
        <f t="shared" si="183"/>
        <v>0</v>
      </c>
      <c r="KE84" s="132">
        <f t="shared" si="183"/>
        <v>-347039359.21654361</v>
      </c>
      <c r="KF84" s="132">
        <f t="shared" si="183"/>
        <v>-675376515.87197971</v>
      </c>
    </row>
    <row r="85" spans="1:293" customFormat="1" ht="14.5" x14ac:dyDescent="0.35"/>
    <row r="86" spans="1:293" customFormat="1" ht="14.5" x14ac:dyDescent="0.35"/>
    <row r="87" spans="1:293" customFormat="1" ht="14.5" x14ac:dyDescent="0.35"/>
    <row r="88" spans="1:293" customFormat="1" ht="14.5" x14ac:dyDescent="0.35">
      <c r="A88" s="58"/>
    </row>
    <row r="89" spans="1:293" customFormat="1" ht="14.5" x14ac:dyDescent="0.35">
      <c r="A89" s="58"/>
    </row>
    <row r="90" spans="1:293" customFormat="1" ht="14.5" x14ac:dyDescent="0.35">
      <c r="A90" s="58"/>
    </row>
    <row r="91" spans="1:293" x14ac:dyDescent="0.3">
      <c r="A91" s="58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9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90"/>
      <c r="AO91" s="90"/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90"/>
      <c r="BI91" s="90"/>
      <c r="BJ91" s="90"/>
      <c r="BK91" s="90"/>
      <c r="BL91" s="90"/>
      <c r="BM91" s="90"/>
      <c r="BN91" s="90"/>
      <c r="BO91" s="90"/>
      <c r="BP91" s="90"/>
      <c r="BQ91" s="90"/>
      <c r="BR91" s="90"/>
      <c r="BS91" s="90"/>
      <c r="BT91" s="90"/>
      <c r="BU91" s="90"/>
      <c r="BV91" s="90"/>
      <c r="BW91" s="90"/>
      <c r="BX91" s="90"/>
      <c r="BY91" s="90"/>
      <c r="BZ91" s="90"/>
      <c r="CA91" s="90"/>
      <c r="CB91" s="90"/>
      <c r="CC91" s="90"/>
      <c r="CD91" s="90"/>
      <c r="CE91" s="90"/>
      <c r="CF91" s="90"/>
      <c r="CG91" s="90"/>
      <c r="CH91" s="90"/>
      <c r="CI91" s="90"/>
      <c r="CJ91" s="90"/>
      <c r="CK91" s="90"/>
      <c r="CL91" s="90"/>
      <c r="CM91" s="90"/>
      <c r="CN91" s="90"/>
      <c r="CO91" s="90"/>
      <c r="CP91" s="90"/>
      <c r="CQ91" s="90"/>
      <c r="CR91" s="90"/>
      <c r="CS91" s="90"/>
      <c r="CT91" s="90"/>
      <c r="CU91" s="90"/>
      <c r="CV91" s="90"/>
      <c r="CW91" s="90"/>
      <c r="CX91" s="90"/>
      <c r="CY91" s="90"/>
      <c r="CZ91" s="90"/>
      <c r="DA91" s="90"/>
      <c r="DB91" s="90"/>
      <c r="DC91" s="90"/>
      <c r="DD91" s="90"/>
      <c r="DE91" s="90"/>
      <c r="DF91" s="90"/>
      <c r="DG91" s="90"/>
      <c r="DH91" s="90"/>
      <c r="DI91" s="90"/>
      <c r="DJ91" s="90"/>
      <c r="DK91" s="90"/>
      <c r="DL91" s="90"/>
      <c r="DM91" s="90"/>
      <c r="DN91" s="90"/>
      <c r="DO91" s="90"/>
      <c r="DP91" s="90"/>
      <c r="DQ91" s="90"/>
      <c r="DR91" s="90"/>
      <c r="DS91" s="90"/>
      <c r="DT91" s="90"/>
      <c r="DU91" s="90"/>
      <c r="DV91" s="90"/>
      <c r="DW91" s="90"/>
      <c r="DX91" s="90"/>
      <c r="DY91" s="90"/>
      <c r="DZ91" s="90"/>
      <c r="EA91" s="90"/>
      <c r="EB91" s="90"/>
      <c r="EC91" s="90"/>
      <c r="ED91" s="90"/>
      <c r="EE91" s="90"/>
      <c r="EF91" s="90"/>
      <c r="EG91" s="90"/>
      <c r="EH91" s="90"/>
      <c r="EI91" s="90"/>
      <c r="EJ91" s="90"/>
      <c r="EK91" s="90"/>
      <c r="EL91" s="90"/>
      <c r="EM91" s="90"/>
      <c r="EN91" s="90"/>
      <c r="EO91" s="90"/>
      <c r="EP91" s="90"/>
      <c r="EQ91" s="90"/>
      <c r="ER91" s="90"/>
      <c r="ES91" s="90"/>
      <c r="ET91" s="90"/>
      <c r="EU91" s="90"/>
      <c r="EV91" s="90"/>
      <c r="EW91" s="90"/>
      <c r="EX91" s="90"/>
      <c r="EY91" s="90"/>
      <c r="EZ91" s="90"/>
      <c r="FA91" s="90"/>
      <c r="FB91" s="90"/>
      <c r="FC91" s="90"/>
      <c r="FD91" s="90"/>
      <c r="FE91" s="90"/>
      <c r="FF91" s="90"/>
      <c r="FG91" s="90"/>
      <c r="FH91" s="90"/>
      <c r="FI91" s="90"/>
      <c r="FJ91" s="90"/>
      <c r="FK91" s="90"/>
      <c r="FL91" s="90"/>
      <c r="FM91" s="90"/>
      <c r="FN91" s="90"/>
      <c r="FO91" s="90"/>
      <c r="FP91" s="90"/>
      <c r="FQ91" s="90"/>
      <c r="FR91" s="90"/>
      <c r="FS91" s="90"/>
      <c r="FT91" s="90"/>
      <c r="FU91" s="90"/>
      <c r="FV91" s="90"/>
      <c r="FW91" s="90"/>
      <c r="FX91" s="90"/>
      <c r="FY91" s="90"/>
      <c r="FZ91" s="90"/>
      <c r="GA91" s="90"/>
      <c r="GB91" s="90"/>
      <c r="GC91" s="90"/>
      <c r="GD91" s="90"/>
      <c r="GE91" s="90"/>
      <c r="GF91" s="90"/>
      <c r="GG91" s="90"/>
      <c r="GH91" s="90"/>
      <c r="GI91" s="90"/>
      <c r="GJ91" s="90"/>
      <c r="GK91" s="90"/>
      <c r="GL91" s="90"/>
      <c r="GM91" s="90"/>
      <c r="GN91" s="90"/>
      <c r="GO91" s="90"/>
      <c r="GP91" s="90"/>
      <c r="GQ91" s="90"/>
      <c r="GR91" s="90"/>
      <c r="GS91" s="90"/>
      <c r="GT91" s="90"/>
      <c r="GU91" s="90"/>
      <c r="GV91" s="90"/>
      <c r="GW91" s="90"/>
      <c r="GX91" s="90"/>
      <c r="GY91" s="90"/>
      <c r="GZ91" s="90"/>
      <c r="HA91" s="90"/>
      <c r="HB91" s="90"/>
      <c r="HC91" s="90"/>
      <c r="HD91" s="90"/>
      <c r="HE91" s="90"/>
      <c r="HF91" s="90"/>
      <c r="HG91" s="90"/>
      <c r="HH91" s="90"/>
      <c r="HI91" s="90"/>
      <c r="HJ91" s="90"/>
      <c r="HK91" s="90"/>
      <c r="HL91" s="90"/>
      <c r="HM91" s="90"/>
      <c r="HN91" s="90"/>
      <c r="HO91" s="90"/>
      <c r="HP91" s="90"/>
      <c r="HQ91" s="90"/>
      <c r="HR91" s="90"/>
      <c r="HS91" s="90"/>
      <c r="HT91" s="90"/>
      <c r="HU91" s="90"/>
      <c r="HV91" s="90"/>
      <c r="HW91" s="90"/>
      <c r="HX91" s="90"/>
      <c r="HY91" s="90"/>
      <c r="HZ91" s="90"/>
      <c r="IA91" s="90"/>
      <c r="IB91" s="90"/>
      <c r="IC91" s="90"/>
      <c r="ID91" s="90"/>
      <c r="IE91" s="90"/>
      <c r="IF91" s="90"/>
      <c r="IG91" s="90"/>
      <c r="IH91" s="90"/>
      <c r="II91" s="90"/>
      <c r="IJ91" s="90"/>
      <c r="IK91" s="90"/>
      <c r="IL91" s="90"/>
      <c r="IM91" s="90"/>
      <c r="IN91" s="90"/>
      <c r="IO91" s="90"/>
      <c r="IP91" s="90"/>
      <c r="IQ91" s="90"/>
      <c r="IR91" s="90"/>
      <c r="IS91" s="90"/>
      <c r="IT91" s="90"/>
      <c r="IU91" s="90"/>
      <c r="IV91" s="90"/>
      <c r="IW91" s="90"/>
      <c r="IX91" s="90"/>
      <c r="IY91" s="90"/>
      <c r="IZ91" s="90"/>
      <c r="JA91" s="90"/>
      <c r="JB91" s="90"/>
      <c r="JC91" s="90"/>
      <c r="JD91" s="90"/>
      <c r="JE91" s="90"/>
      <c r="JF91" s="90"/>
      <c r="JG91" s="90"/>
      <c r="JH91" s="90"/>
      <c r="JI91" s="90"/>
      <c r="JJ91" s="90"/>
      <c r="JK91" s="90"/>
      <c r="JL91" s="90"/>
      <c r="JM91" s="90"/>
      <c r="JN91" s="90"/>
      <c r="JO91" s="90"/>
      <c r="JP91" s="90"/>
      <c r="JQ91" s="90"/>
      <c r="JR91" s="90"/>
      <c r="JS91" s="90"/>
      <c r="JT91" s="90"/>
      <c r="JU91" s="90"/>
      <c r="JV91" s="90"/>
      <c r="JW91" s="90"/>
      <c r="JX91" s="90"/>
      <c r="JY91" s="90"/>
      <c r="JZ91" s="90"/>
      <c r="KA91" s="90"/>
      <c r="KB91" s="90"/>
      <c r="KC91" s="90"/>
      <c r="KD91" s="90"/>
      <c r="KE91" s="90"/>
      <c r="KF91" s="90"/>
    </row>
    <row r="92" spans="1:293" x14ac:dyDescent="0.3">
      <c r="A92" s="58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I92" s="90"/>
      <c r="AJ92" s="90"/>
      <c r="AK92" s="90"/>
      <c r="AL92" s="90"/>
      <c r="AM92" s="90"/>
      <c r="AN92" s="90"/>
      <c r="AO92" s="90"/>
      <c r="AP92" s="79"/>
      <c r="AQ92" s="90"/>
      <c r="AT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  <c r="BH92" s="79"/>
      <c r="BI92" s="79"/>
      <c r="BJ92" s="51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  <c r="EO92" s="79"/>
      <c r="EP92" s="79"/>
      <c r="EQ92" s="79"/>
      <c r="ER92" s="79"/>
      <c r="ES92" s="79"/>
      <c r="ET92" s="79"/>
      <c r="EU92" s="79"/>
      <c r="EV92" s="79"/>
      <c r="EW92" s="79"/>
      <c r="EX92" s="79"/>
      <c r="EY92" s="79"/>
      <c r="EZ92" s="79"/>
      <c r="FA92" s="79"/>
      <c r="FB92" s="79"/>
      <c r="FC92" s="79"/>
      <c r="FD92" s="79"/>
      <c r="FE92" s="79"/>
      <c r="FF92" s="79"/>
      <c r="FG92" s="79"/>
      <c r="FH92" s="79"/>
      <c r="FI92" s="79"/>
      <c r="FJ92" s="79"/>
      <c r="FK92" s="79"/>
      <c r="FL92" s="79"/>
      <c r="FM92" s="79"/>
      <c r="FN92" s="79"/>
      <c r="FO92" s="79"/>
      <c r="FP92" s="79"/>
      <c r="FQ92" s="79"/>
      <c r="FR92" s="79"/>
      <c r="FS92" s="79"/>
      <c r="FT92" s="79"/>
      <c r="FU92" s="79"/>
      <c r="FV92" s="79"/>
      <c r="FW92" s="79"/>
      <c r="FX92" s="79"/>
      <c r="FY92" s="79"/>
      <c r="FZ92" s="79"/>
      <c r="GA92" s="79"/>
      <c r="GB92" s="79"/>
      <c r="GC92" s="79"/>
      <c r="GD92" s="79"/>
      <c r="GE92" s="79"/>
      <c r="GF92" s="79"/>
      <c r="GG92" s="79"/>
      <c r="GH92" s="79"/>
      <c r="GI92" s="79"/>
      <c r="GJ92" s="79"/>
      <c r="GK92" s="79"/>
      <c r="GL92" s="79"/>
      <c r="GM92" s="79"/>
      <c r="GN92" s="79"/>
      <c r="GO92" s="79"/>
      <c r="GP92" s="79"/>
      <c r="GQ92" s="79"/>
      <c r="GR92" s="79"/>
      <c r="GS92" s="79"/>
      <c r="GT92" s="79"/>
      <c r="GU92" s="79"/>
      <c r="GV92" s="79"/>
      <c r="GW92" s="79"/>
      <c r="GX92" s="79"/>
      <c r="GY92" s="79"/>
      <c r="GZ92" s="79"/>
      <c r="HA92" s="79"/>
      <c r="HB92" s="79"/>
      <c r="HC92" s="79"/>
      <c r="HD92" s="79"/>
      <c r="HE92" s="79"/>
      <c r="HF92" s="79"/>
      <c r="HG92" s="79"/>
      <c r="HH92" s="79"/>
      <c r="HI92" s="79"/>
      <c r="HJ92" s="79"/>
      <c r="HK92" s="79"/>
      <c r="HL92" s="79"/>
      <c r="HM92" s="79"/>
      <c r="HN92" s="79"/>
      <c r="HO92" s="79"/>
      <c r="HP92" s="79"/>
      <c r="HQ92" s="79"/>
      <c r="HR92" s="79"/>
      <c r="HS92" s="79"/>
      <c r="HT92" s="79"/>
      <c r="HU92" s="79"/>
      <c r="HV92" s="79"/>
      <c r="HW92" s="79"/>
      <c r="HX92" s="79"/>
      <c r="HY92" s="79"/>
      <c r="HZ92" s="79"/>
      <c r="IA92" s="79"/>
      <c r="IB92" s="79"/>
      <c r="IC92" s="79"/>
      <c r="ID92" s="79"/>
      <c r="IE92" s="79"/>
      <c r="IF92" s="79"/>
      <c r="IG92" s="79"/>
      <c r="IH92" s="79"/>
      <c r="II92" s="79"/>
      <c r="IJ92" s="79"/>
      <c r="IK92" s="79"/>
      <c r="IL92" s="79"/>
      <c r="IM92" s="79"/>
      <c r="IN92" s="79"/>
      <c r="IO92" s="79"/>
      <c r="IP92" s="79"/>
      <c r="IQ92" s="79"/>
      <c r="IR92" s="79"/>
      <c r="IS92" s="79"/>
      <c r="IT92" s="79"/>
      <c r="IU92" s="79"/>
      <c r="IV92" s="79"/>
      <c r="IW92" s="79"/>
      <c r="IX92" s="79"/>
      <c r="IY92" s="79"/>
      <c r="IZ92" s="79"/>
      <c r="JA92" s="79"/>
      <c r="JB92" s="79"/>
      <c r="JC92" s="79"/>
      <c r="JD92" s="79"/>
      <c r="JE92" s="79"/>
      <c r="JF92" s="79"/>
      <c r="JG92" s="79"/>
      <c r="JH92" s="79"/>
      <c r="JI92" s="79"/>
      <c r="JJ92" s="79"/>
      <c r="JK92" s="79"/>
      <c r="JL92" s="79"/>
      <c r="JM92" s="79"/>
      <c r="JN92" s="79"/>
      <c r="JO92" s="79"/>
      <c r="JP92" s="79"/>
      <c r="JQ92" s="79"/>
      <c r="JR92" s="79"/>
      <c r="JS92" s="79"/>
      <c r="JT92" s="79"/>
      <c r="JU92" s="79"/>
      <c r="JV92" s="79"/>
      <c r="JW92" s="79"/>
      <c r="JX92" s="79"/>
      <c r="JY92" s="79"/>
      <c r="JZ92" s="79"/>
      <c r="KA92" s="79"/>
      <c r="KB92" s="79"/>
      <c r="KC92" s="79"/>
      <c r="KD92" s="79"/>
      <c r="KE92" s="79"/>
      <c r="KF92" s="79"/>
    </row>
    <row r="93" spans="1:293" x14ac:dyDescent="0.3">
      <c r="A93" s="58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90"/>
      <c r="AO93" s="90"/>
      <c r="AP93" s="79"/>
      <c r="AQ93" s="90"/>
      <c r="AT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  <c r="EO93" s="79"/>
      <c r="EP93" s="79"/>
      <c r="EQ93" s="79"/>
      <c r="ER93" s="79"/>
      <c r="ES93" s="79"/>
      <c r="ET93" s="79"/>
      <c r="EU93" s="79"/>
      <c r="EV93" s="79"/>
      <c r="EW93" s="79"/>
      <c r="EX93" s="79"/>
      <c r="EY93" s="79"/>
      <c r="EZ93" s="79"/>
      <c r="FA93" s="79"/>
      <c r="FB93" s="79"/>
      <c r="FC93" s="79"/>
      <c r="FD93" s="79"/>
      <c r="FE93" s="79"/>
      <c r="FF93" s="79"/>
      <c r="FG93" s="79"/>
      <c r="FH93" s="79"/>
      <c r="FI93" s="79"/>
      <c r="FJ93" s="79"/>
      <c r="FK93" s="79"/>
      <c r="FL93" s="79"/>
      <c r="FM93" s="79"/>
      <c r="FN93" s="79"/>
      <c r="FO93" s="79"/>
      <c r="FP93" s="79"/>
      <c r="FQ93" s="79"/>
      <c r="FR93" s="79"/>
      <c r="FS93" s="79"/>
      <c r="FT93" s="79"/>
      <c r="FU93" s="79"/>
      <c r="FV93" s="79"/>
      <c r="FW93" s="79"/>
      <c r="FX93" s="79"/>
      <c r="FY93" s="79"/>
      <c r="FZ93" s="79"/>
      <c r="GA93" s="79"/>
      <c r="GB93" s="79"/>
      <c r="GC93" s="79"/>
      <c r="GD93" s="79"/>
      <c r="GE93" s="79"/>
      <c r="GF93" s="79"/>
      <c r="GG93" s="79"/>
      <c r="GH93" s="79"/>
      <c r="GI93" s="79"/>
      <c r="GJ93" s="79"/>
      <c r="GK93" s="79"/>
      <c r="GL93" s="79"/>
      <c r="GM93" s="79"/>
      <c r="GN93" s="79"/>
      <c r="GO93" s="79"/>
      <c r="GP93" s="79"/>
      <c r="GQ93" s="79"/>
      <c r="GR93" s="79"/>
      <c r="GS93" s="79"/>
      <c r="GT93" s="79"/>
      <c r="GU93" s="79"/>
      <c r="GV93" s="79"/>
      <c r="GW93" s="79"/>
      <c r="GX93" s="79"/>
      <c r="GY93" s="79"/>
      <c r="GZ93" s="79"/>
      <c r="HA93" s="79"/>
      <c r="HB93" s="79"/>
      <c r="HC93" s="79"/>
      <c r="HD93" s="79"/>
      <c r="HE93" s="79"/>
      <c r="HF93" s="79"/>
      <c r="HG93" s="79"/>
      <c r="HH93" s="79"/>
      <c r="HI93" s="79"/>
      <c r="HJ93" s="79"/>
      <c r="HK93" s="79"/>
      <c r="HL93" s="79"/>
      <c r="HM93" s="79"/>
      <c r="HN93" s="79"/>
      <c r="HO93" s="79"/>
      <c r="HP93" s="79"/>
      <c r="HQ93" s="79"/>
      <c r="HR93" s="79"/>
      <c r="HS93" s="79"/>
      <c r="HT93" s="79"/>
      <c r="HU93" s="79"/>
      <c r="HV93" s="79"/>
      <c r="HW93" s="79"/>
      <c r="HX93" s="79"/>
      <c r="HY93" s="79"/>
      <c r="HZ93" s="79"/>
      <c r="IA93" s="79"/>
      <c r="IB93" s="79"/>
      <c r="IC93" s="79"/>
      <c r="ID93" s="79"/>
      <c r="IE93" s="79"/>
      <c r="IF93" s="79"/>
      <c r="IG93" s="79"/>
      <c r="IH93" s="79"/>
      <c r="II93" s="79"/>
      <c r="IJ93" s="79"/>
      <c r="IK93" s="79"/>
      <c r="IL93" s="79"/>
      <c r="IM93" s="79"/>
      <c r="IN93" s="79"/>
      <c r="IO93" s="79"/>
      <c r="IP93" s="79"/>
      <c r="IQ93" s="79"/>
      <c r="IR93" s="79"/>
      <c r="IS93" s="79"/>
      <c r="IT93" s="79"/>
      <c r="IU93" s="79"/>
      <c r="IV93" s="79"/>
      <c r="IW93" s="79"/>
      <c r="IX93" s="79"/>
      <c r="IY93" s="79"/>
      <c r="IZ93" s="79"/>
      <c r="JA93" s="79"/>
      <c r="JB93" s="79"/>
      <c r="JC93" s="79"/>
      <c r="JD93" s="79"/>
      <c r="JE93" s="79"/>
      <c r="JF93" s="79"/>
      <c r="JG93" s="79"/>
      <c r="JH93" s="79"/>
      <c r="JI93" s="79"/>
      <c r="JJ93" s="79"/>
      <c r="JK93" s="79"/>
      <c r="JL93" s="79"/>
      <c r="JM93" s="79"/>
      <c r="JN93" s="79"/>
      <c r="JO93" s="79"/>
      <c r="JP93" s="79"/>
      <c r="JQ93" s="79"/>
      <c r="JR93" s="79"/>
      <c r="JS93" s="79"/>
      <c r="JT93" s="79"/>
      <c r="JU93" s="79"/>
      <c r="JV93" s="79"/>
      <c r="JW93" s="79"/>
      <c r="JX93" s="79"/>
      <c r="JY93" s="79"/>
      <c r="JZ93" s="79"/>
      <c r="KA93" s="79"/>
      <c r="KB93" s="79"/>
      <c r="KC93" s="79"/>
      <c r="KD93" s="79"/>
      <c r="KE93" s="79"/>
      <c r="KF93" s="79"/>
    </row>
    <row r="94" spans="1:293" x14ac:dyDescent="0.3">
      <c r="A94" s="58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I94" s="90"/>
      <c r="AJ94" s="90"/>
      <c r="AK94" s="90"/>
      <c r="AL94" s="90"/>
      <c r="AM94" s="90"/>
      <c r="AN94" s="90"/>
      <c r="AO94" s="90"/>
      <c r="AP94" s="79"/>
      <c r="AQ94" s="90"/>
      <c r="AT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  <c r="EO94" s="79"/>
      <c r="EP94" s="79"/>
      <c r="EQ94" s="79"/>
      <c r="ER94" s="79"/>
      <c r="ES94" s="79"/>
      <c r="ET94" s="79"/>
      <c r="EU94" s="79"/>
      <c r="EV94" s="79"/>
      <c r="EW94" s="79"/>
      <c r="EX94" s="79"/>
      <c r="EY94" s="79"/>
      <c r="EZ94" s="79"/>
      <c r="FA94" s="79"/>
      <c r="FB94" s="79"/>
      <c r="FC94" s="79"/>
      <c r="FD94" s="79"/>
      <c r="FE94" s="79"/>
      <c r="FF94" s="79"/>
      <c r="FG94" s="79"/>
      <c r="FH94" s="79"/>
      <c r="FI94" s="79"/>
      <c r="FJ94" s="79"/>
      <c r="FK94" s="79"/>
      <c r="FL94" s="79"/>
      <c r="FM94" s="79"/>
      <c r="FN94" s="79"/>
      <c r="FO94" s="79"/>
      <c r="FP94" s="79"/>
      <c r="FQ94" s="79"/>
      <c r="FR94" s="79"/>
      <c r="FS94" s="79"/>
      <c r="FT94" s="79"/>
      <c r="FU94" s="79"/>
      <c r="FV94" s="79"/>
      <c r="FW94" s="79"/>
      <c r="FX94" s="79"/>
      <c r="FY94" s="79"/>
      <c r="FZ94" s="79"/>
      <c r="GA94" s="79"/>
      <c r="GB94" s="79"/>
      <c r="GC94" s="79"/>
      <c r="GD94" s="79"/>
      <c r="GE94" s="79"/>
      <c r="GF94" s="79"/>
      <c r="GG94" s="79"/>
      <c r="GH94" s="79"/>
      <c r="GI94" s="79"/>
      <c r="GJ94" s="79"/>
      <c r="GK94" s="79"/>
      <c r="GL94" s="79"/>
      <c r="GM94" s="79"/>
      <c r="GN94" s="79"/>
      <c r="GO94" s="79"/>
      <c r="GP94" s="79"/>
      <c r="GQ94" s="79"/>
      <c r="GR94" s="79"/>
      <c r="GS94" s="79"/>
      <c r="GT94" s="79"/>
      <c r="GU94" s="79"/>
      <c r="GV94" s="79"/>
      <c r="GW94" s="79"/>
      <c r="GX94" s="79"/>
      <c r="GY94" s="79"/>
      <c r="GZ94" s="79"/>
      <c r="HA94" s="79"/>
      <c r="HB94" s="79"/>
      <c r="HC94" s="79"/>
      <c r="HD94" s="79"/>
      <c r="HE94" s="79"/>
      <c r="HF94" s="79"/>
      <c r="HG94" s="79"/>
      <c r="HH94" s="79"/>
      <c r="HI94" s="79"/>
      <c r="HJ94" s="79"/>
      <c r="HK94" s="79"/>
      <c r="HL94" s="79"/>
      <c r="HM94" s="79"/>
      <c r="HN94" s="79"/>
      <c r="HO94" s="79"/>
      <c r="HP94" s="79"/>
      <c r="HQ94" s="79"/>
      <c r="HR94" s="79"/>
      <c r="HS94" s="79"/>
      <c r="HT94" s="79"/>
      <c r="HU94" s="79"/>
      <c r="HV94" s="79"/>
      <c r="HW94" s="79"/>
      <c r="HX94" s="79"/>
      <c r="HY94" s="79"/>
      <c r="HZ94" s="79"/>
      <c r="IA94" s="79"/>
      <c r="IB94" s="79"/>
      <c r="IC94" s="79"/>
      <c r="ID94" s="79"/>
      <c r="IE94" s="79"/>
      <c r="IF94" s="79"/>
      <c r="IG94" s="79"/>
      <c r="IH94" s="79"/>
      <c r="II94" s="79"/>
      <c r="IJ94" s="79"/>
      <c r="IK94" s="79"/>
      <c r="IL94" s="79"/>
      <c r="IM94" s="79"/>
      <c r="IN94" s="79"/>
      <c r="IO94" s="79"/>
      <c r="IP94" s="79"/>
      <c r="IQ94" s="79"/>
      <c r="IR94" s="79"/>
      <c r="IS94" s="79"/>
      <c r="IT94" s="79"/>
      <c r="IU94" s="79"/>
      <c r="IV94" s="79"/>
      <c r="IW94" s="79"/>
      <c r="IX94" s="79"/>
      <c r="IY94" s="79"/>
      <c r="IZ94" s="79"/>
      <c r="JA94" s="79"/>
      <c r="JB94" s="79"/>
      <c r="JC94" s="79"/>
      <c r="JD94" s="79"/>
      <c r="JE94" s="79"/>
      <c r="JF94" s="79"/>
      <c r="JG94" s="79"/>
      <c r="JH94" s="79"/>
      <c r="JI94" s="79"/>
      <c r="JJ94" s="79"/>
      <c r="JK94" s="79"/>
      <c r="JL94" s="79"/>
      <c r="JM94" s="79"/>
      <c r="JN94" s="79"/>
      <c r="JO94" s="79"/>
      <c r="JP94" s="79"/>
      <c r="JQ94" s="79"/>
      <c r="JR94" s="79"/>
      <c r="JS94" s="79"/>
      <c r="JT94" s="79"/>
      <c r="JU94" s="79"/>
      <c r="JV94" s="79"/>
      <c r="JW94" s="79"/>
      <c r="JX94" s="79"/>
      <c r="JY94" s="79"/>
      <c r="JZ94" s="79"/>
      <c r="KA94" s="79"/>
      <c r="KB94" s="79"/>
      <c r="KC94" s="79"/>
      <c r="KD94" s="79"/>
      <c r="KE94" s="79"/>
      <c r="KF94" s="79"/>
    </row>
    <row r="95" spans="1:293" x14ac:dyDescent="0.3">
      <c r="A95" s="58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  <c r="AP95" s="51"/>
      <c r="AQ95" s="51"/>
      <c r="AT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51"/>
      <c r="GK95" s="51"/>
      <c r="GL95" s="51"/>
      <c r="GM95" s="51"/>
      <c r="GN95" s="51"/>
      <c r="GO95" s="51"/>
      <c r="GP95" s="51"/>
      <c r="GQ95" s="51"/>
      <c r="GR95" s="51"/>
      <c r="GS95" s="51"/>
      <c r="GT95" s="51"/>
      <c r="GU95" s="51"/>
      <c r="GV95" s="51"/>
      <c r="GW95" s="51"/>
      <c r="GX95" s="51"/>
      <c r="GY95" s="51"/>
      <c r="GZ95" s="51"/>
      <c r="HA95" s="51"/>
      <c r="HB95" s="51"/>
      <c r="HC95" s="51"/>
      <c r="HD95" s="51"/>
      <c r="HE95" s="51"/>
      <c r="HF95" s="51"/>
      <c r="HG95" s="51"/>
      <c r="HH95" s="51"/>
      <c r="HI95" s="51"/>
      <c r="HJ95" s="51"/>
      <c r="HK95" s="51"/>
      <c r="HL95" s="51"/>
      <c r="HM95" s="51"/>
      <c r="HN95" s="51"/>
      <c r="HO95" s="51"/>
      <c r="HP95" s="51"/>
      <c r="HQ95" s="51"/>
      <c r="HR95" s="51"/>
      <c r="HS95" s="51"/>
      <c r="HT95" s="51"/>
      <c r="HU95" s="51"/>
      <c r="HV95" s="51"/>
      <c r="HW95" s="51"/>
      <c r="HX95" s="51"/>
      <c r="HY95" s="51"/>
      <c r="HZ95" s="51"/>
      <c r="IA95" s="51"/>
      <c r="IB95" s="51"/>
      <c r="IC95" s="51"/>
      <c r="ID95" s="51"/>
      <c r="IE95" s="51"/>
      <c r="IF95" s="51"/>
      <c r="IG95" s="51"/>
      <c r="IH95" s="51"/>
      <c r="II95" s="51"/>
      <c r="IJ95" s="51"/>
      <c r="IK95" s="51"/>
      <c r="IL95" s="51"/>
      <c r="IM95" s="51"/>
      <c r="IN95" s="51"/>
      <c r="IO95" s="51"/>
      <c r="IP95" s="51"/>
      <c r="IQ95" s="51"/>
      <c r="IR95" s="51"/>
      <c r="IS95" s="51"/>
      <c r="IT95" s="51"/>
      <c r="IU95" s="51"/>
      <c r="IV95" s="51"/>
      <c r="IW95" s="51"/>
      <c r="IX95" s="51"/>
      <c r="IY95" s="51"/>
      <c r="IZ95" s="51"/>
      <c r="JA95" s="51"/>
      <c r="JB95" s="51"/>
      <c r="JC95" s="51"/>
      <c r="JD95" s="51"/>
      <c r="JE95" s="51"/>
      <c r="JF95" s="51"/>
      <c r="JG95" s="51"/>
      <c r="JH95" s="51"/>
      <c r="JI95" s="51"/>
      <c r="JJ95" s="51"/>
      <c r="JK95" s="51"/>
      <c r="JL95" s="51"/>
      <c r="JM95" s="51"/>
      <c r="JN95" s="51"/>
      <c r="JO95" s="51"/>
      <c r="JP95" s="51"/>
      <c r="JQ95" s="51"/>
      <c r="JR95" s="51"/>
      <c r="JS95" s="51"/>
      <c r="JT95" s="51"/>
      <c r="JU95" s="51"/>
      <c r="JV95" s="51"/>
      <c r="JW95" s="51"/>
      <c r="JX95" s="51"/>
      <c r="JY95" s="51"/>
      <c r="JZ95" s="51"/>
      <c r="KA95" s="51"/>
      <c r="KB95" s="51"/>
      <c r="KC95" s="51"/>
      <c r="KD95" s="51"/>
      <c r="KE95" s="51"/>
      <c r="KF95" s="51"/>
    </row>
    <row r="98" spans="1:292" x14ac:dyDescent="0.3">
      <c r="A98" s="58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I98" s="79"/>
      <c r="AJ98" s="79"/>
      <c r="AK98" s="79"/>
      <c r="AL98" s="79"/>
      <c r="AM98" s="79"/>
      <c r="AN98" s="79"/>
      <c r="AO98" s="79"/>
      <c r="AP98" s="79"/>
      <c r="AQ98" s="79"/>
      <c r="AT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79"/>
      <c r="EB98" s="79"/>
      <c r="EC98" s="79"/>
      <c r="ED98" s="79"/>
      <c r="EE98" s="79"/>
      <c r="EF98" s="79"/>
      <c r="EG98" s="79"/>
      <c r="EH98" s="79"/>
      <c r="EI98" s="79"/>
      <c r="EJ98" s="79"/>
      <c r="EK98" s="79"/>
      <c r="EL98" s="79"/>
      <c r="EM98" s="79"/>
      <c r="EN98" s="79"/>
      <c r="EO98" s="79"/>
      <c r="EP98" s="79"/>
      <c r="EQ98" s="79"/>
      <c r="ER98" s="79"/>
      <c r="ES98" s="79"/>
      <c r="ET98" s="79"/>
      <c r="EU98" s="79"/>
      <c r="EV98" s="79"/>
      <c r="EW98" s="79"/>
      <c r="EX98" s="79"/>
      <c r="EY98" s="79"/>
      <c r="EZ98" s="79"/>
      <c r="FA98" s="79"/>
      <c r="FB98" s="79"/>
      <c r="FC98" s="79"/>
      <c r="FD98" s="79"/>
      <c r="FE98" s="79"/>
      <c r="FF98" s="79"/>
      <c r="FG98" s="79"/>
      <c r="FH98" s="79"/>
      <c r="FI98" s="79"/>
      <c r="FJ98" s="79"/>
      <c r="FK98" s="79"/>
      <c r="FL98" s="79"/>
      <c r="FM98" s="79"/>
      <c r="FN98" s="79"/>
      <c r="FO98" s="79"/>
      <c r="FP98" s="79"/>
      <c r="FQ98" s="79"/>
      <c r="FR98" s="79"/>
      <c r="FS98" s="79"/>
      <c r="FT98" s="79"/>
      <c r="FU98" s="79"/>
      <c r="FV98" s="79"/>
      <c r="FW98" s="79"/>
      <c r="FX98" s="79"/>
      <c r="FY98" s="79"/>
      <c r="FZ98" s="79"/>
      <c r="GA98" s="79"/>
      <c r="GB98" s="79"/>
      <c r="GC98" s="79"/>
      <c r="GD98" s="79"/>
      <c r="GE98" s="79"/>
      <c r="GF98" s="79"/>
      <c r="GG98" s="79"/>
      <c r="GH98" s="79"/>
      <c r="GI98" s="79"/>
      <c r="GJ98" s="79"/>
      <c r="GK98" s="79"/>
      <c r="GL98" s="79"/>
      <c r="GM98" s="79"/>
      <c r="GN98" s="79"/>
      <c r="GO98" s="79"/>
      <c r="GP98" s="79"/>
      <c r="GQ98" s="79"/>
      <c r="GR98" s="79"/>
      <c r="GS98" s="79"/>
      <c r="GT98" s="79"/>
      <c r="GU98" s="79"/>
      <c r="GV98" s="79"/>
      <c r="GW98" s="79"/>
      <c r="GX98" s="79"/>
      <c r="GY98" s="79"/>
      <c r="GZ98" s="79"/>
      <c r="HA98" s="79"/>
      <c r="HB98" s="79"/>
      <c r="HC98" s="79"/>
      <c r="HD98" s="79"/>
      <c r="HE98" s="79"/>
      <c r="HF98" s="79"/>
      <c r="HG98" s="79"/>
      <c r="HH98" s="79"/>
      <c r="HI98" s="79"/>
      <c r="HJ98" s="79"/>
      <c r="HK98" s="79"/>
      <c r="HL98" s="79"/>
      <c r="HM98" s="79"/>
      <c r="HN98" s="79"/>
      <c r="HO98" s="79"/>
      <c r="HP98" s="79"/>
      <c r="HQ98" s="79"/>
      <c r="HR98" s="79"/>
      <c r="HS98" s="79"/>
      <c r="HT98" s="79"/>
      <c r="HU98" s="79"/>
      <c r="HV98" s="79"/>
      <c r="HW98" s="79"/>
      <c r="HX98" s="79"/>
      <c r="HY98" s="79"/>
      <c r="HZ98" s="79"/>
      <c r="IA98" s="79"/>
      <c r="IB98" s="79"/>
      <c r="IC98" s="79"/>
      <c r="ID98" s="79"/>
      <c r="IE98" s="79"/>
      <c r="IF98" s="79"/>
      <c r="IG98" s="79"/>
      <c r="IH98" s="79"/>
      <c r="II98" s="79"/>
      <c r="IJ98" s="79"/>
      <c r="IK98" s="79"/>
      <c r="IL98" s="79"/>
      <c r="IM98" s="79"/>
      <c r="IN98" s="79"/>
      <c r="IO98" s="79"/>
      <c r="IP98" s="79"/>
      <c r="IQ98" s="79"/>
      <c r="IR98" s="79"/>
      <c r="IS98" s="79"/>
      <c r="IT98" s="79"/>
      <c r="IU98" s="79"/>
      <c r="IV98" s="79"/>
      <c r="IW98" s="79"/>
      <c r="IX98" s="79"/>
      <c r="IY98" s="79"/>
      <c r="IZ98" s="79"/>
      <c r="JA98" s="79"/>
      <c r="JB98" s="79"/>
      <c r="JC98" s="79"/>
      <c r="JD98" s="79"/>
      <c r="JE98" s="79"/>
      <c r="JF98" s="79"/>
      <c r="JG98" s="79"/>
      <c r="JH98" s="79"/>
      <c r="JI98" s="79"/>
      <c r="JJ98" s="79"/>
      <c r="JK98" s="79"/>
      <c r="JL98" s="79"/>
      <c r="JM98" s="79"/>
      <c r="JN98" s="79"/>
      <c r="JO98" s="79"/>
      <c r="JP98" s="79"/>
      <c r="JQ98" s="79"/>
      <c r="JR98" s="79"/>
      <c r="JS98" s="79"/>
      <c r="JT98" s="79"/>
      <c r="JU98" s="79"/>
      <c r="JV98" s="79"/>
      <c r="JW98" s="79"/>
      <c r="JX98" s="79"/>
      <c r="JY98" s="79"/>
      <c r="JZ98" s="79"/>
      <c r="KA98" s="79"/>
      <c r="KB98" s="79"/>
      <c r="KC98" s="79"/>
      <c r="KD98" s="79"/>
      <c r="KE98" s="79"/>
      <c r="KF98" s="79"/>
    </row>
    <row r="99" spans="1:292" x14ac:dyDescent="0.3">
      <c r="A99" s="58"/>
      <c r="B99" s="100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I99" s="51"/>
      <c r="AJ99" s="51"/>
      <c r="AK99" s="51"/>
      <c r="AL99" s="51"/>
      <c r="AM99" s="51"/>
      <c r="AN99" s="51"/>
      <c r="AO99" s="51"/>
      <c r="AP99" s="51"/>
      <c r="AQ99" s="51"/>
      <c r="AT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1"/>
      <c r="ES99" s="51"/>
      <c r="ET99" s="51"/>
      <c r="EU99" s="51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51"/>
      <c r="GK99" s="51"/>
      <c r="GL99" s="51"/>
      <c r="GM99" s="51"/>
      <c r="GN99" s="51"/>
      <c r="GO99" s="51"/>
      <c r="GP99" s="51"/>
      <c r="GQ99" s="51"/>
      <c r="GR99" s="51"/>
      <c r="GS99" s="51"/>
      <c r="GT99" s="51"/>
      <c r="GU99" s="51"/>
      <c r="GV99" s="51"/>
      <c r="GW99" s="51"/>
      <c r="GX99" s="51"/>
      <c r="GY99" s="51"/>
      <c r="GZ99" s="51"/>
      <c r="HA99" s="51"/>
      <c r="HB99" s="51"/>
      <c r="HC99" s="51"/>
      <c r="HD99" s="51"/>
      <c r="HE99" s="51"/>
      <c r="HF99" s="51"/>
      <c r="HG99" s="51"/>
      <c r="HH99" s="51"/>
      <c r="HI99" s="51"/>
      <c r="HJ99" s="51"/>
      <c r="HK99" s="51"/>
      <c r="HL99" s="51"/>
      <c r="HM99" s="51"/>
      <c r="HN99" s="51"/>
      <c r="HO99" s="51"/>
      <c r="HP99" s="51"/>
      <c r="HQ99" s="51"/>
      <c r="HR99" s="51"/>
      <c r="HS99" s="51"/>
      <c r="HT99" s="51"/>
      <c r="HU99" s="51"/>
      <c r="HV99" s="51"/>
      <c r="HW99" s="51"/>
      <c r="HX99" s="51"/>
      <c r="HY99" s="51"/>
      <c r="HZ99" s="51"/>
      <c r="IA99" s="51"/>
      <c r="IB99" s="51"/>
      <c r="IC99" s="51"/>
      <c r="ID99" s="51"/>
      <c r="IE99" s="51"/>
      <c r="IF99" s="51"/>
      <c r="IG99" s="51"/>
      <c r="IH99" s="51"/>
      <c r="II99" s="51"/>
      <c r="IJ99" s="51"/>
      <c r="IK99" s="51"/>
      <c r="IL99" s="51"/>
      <c r="IM99" s="51"/>
      <c r="IN99" s="51"/>
      <c r="IO99" s="51"/>
      <c r="IP99" s="51"/>
      <c r="IQ99" s="51"/>
      <c r="IR99" s="51"/>
      <c r="IS99" s="51"/>
      <c r="IT99" s="51"/>
      <c r="IU99" s="51"/>
      <c r="IV99" s="51"/>
      <c r="IW99" s="51"/>
      <c r="IX99" s="51"/>
      <c r="IY99" s="51"/>
      <c r="IZ99" s="51"/>
      <c r="JA99" s="51"/>
      <c r="JB99" s="51"/>
      <c r="JC99" s="51"/>
      <c r="JD99" s="51"/>
      <c r="JE99" s="51"/>
      <c r="JF99" s="51"/>
      <c r="JG99" s="51"/>
      <c r="JH99" s="51"/>
      <c r="JI99" s="51"/>
      <c r="JJ99" s="51"/>
      <c r="JK99" s="51"/>
      <c r="JL99" s="51"/>
      <c r="JM99" s="51"/>
      <c r="JN99" s="51"/>
      <c r="JO99" s="51"/>
      <c r="JP99" s="51"/>
      <c r="JQ99" s="51"/>
      <c r="JR99" s="51"/>
      <c r="JS99" s="51"/>
      <c r="JT99" s="51"/>
      <c r="JU99" s="51"/>
      <c r="JV99" s="51"/>
      <c r="JW99" s="51"/>
      <c r="JX99" s="51"/>
      <c r="JY99" s="51"/>
      <c r="JZ99" s="51"/>
      <c r="KA99" s="51"/>
      <c r="KB99" s="51"/>
      <c r="KC99" s="51"/>
      <c r="KD99" s="51"/>
      <c r="KE99" s="51"/>
      <c r="KF99" s="51"/>
    </row>
    <row r="100" spans="1:292" x14ac:dyDescent="0.3">
      <c r="A100" s="58"/>
      <c r="B100" s="10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79"/>
      <c r="AQ100" s="90"/>
      <c r="AT100" s="79"/>
      <c r="AV100" s="79"/>
      <c r="AW100" s="79"/>
      <c r="AX100" s="79"/>
      <c r="AY100" s="79"/>
      <c r="AZ100" s="79"/>
      <c r="BA100" s="79"/>
      <c r="BB100" s="79"/>
      <c r="BC100" s="79"/>
      <c r="BD100" s="79"/>
      <c r="BE100" s="79"/>
      <c r="BF100" s="79"/>
      <c r="BG100" s="79"/>
      <c r="BH100" s="79"/>
      <c r="BI100" s="79"/>
      <c r="BJ100" s="51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  <c r="EO100" s="79"/>
      <c r="EP100" s="79"/>
      <c r="EQ100" s="79"/>
      <c r="ER100" s="79"/>
      <c r="ES100" s="79"/>
      <c r="ET100" s="79"/>
      <c r="EU100" s="79"/>
      <c r="EV100" s="79"/>
      <c r="EW100" s="79"/>
      <c r="EX100" s="79"/>
      <c r="EY100" s="79"/>
      <c r="EZ100" s="79"/>
      <c r="FA100" s="79"/>
      <c r="FB100" s="79"/>
      <c r="FC100" s="79"/>
      <c r="FD100" s="79"/>
      <c r="FE100" s="79"/>
      <c r="FF100" s="79"/>
      <c r="FG100" s="79"/>
      <c r="FH100" s="79"/>
      <c r="FI100" s="79"/>
      <c r="FJ100" s="79"/>
      <c r="FK100" s="79"/>
      <c r="FL100" s="79"/>
      <c r="FM100" s="79"/>
      <c r="FN100" s="79"/>
      <c r="FO100" s="79"/>
      <c r="FP100" s="79"/>
      <c r="FQ100" s="79"/>
      <c r="FR100" s="79"/>
      <c r="FS100" s="79"/>
      <c r="FT100" s="79"/>
      <c r="FU100" s="79"/>
      <c r="FV100" s="79"/>
      <c r="FW100" s="79"/>
      <c r="FX100" s="79"/>
      <c r="FY100" s="79"/>
      <c r="FZ100" s="79"/>
      <c r="GA100" s="79"/>
      <c r="GB100" s="79"/>
      <c r="GC100" s="79"/>
      <c r="GD100" s="79"/>
      <c r="GE100" s="79"/>
      <c r="GF100" s="79"/>
      <c r="GG100" s="79"/>
      <c r="GH100" s="79"/>
      <c r="GI100" s="79"/>
      <c r="GJ100" s="79"/>
      <c r="GK100" s="79"/>
      <c r="GL100" s="79"/>
      <c r="GM100" s="79"/>
      <c r="GN100" s="79"/>
      <c r="GO100" s="79"/>
      <c r="GP100" s="79"/>
      <c r="GQ100" s="79"/>
      <c r="GR100" s="79"/>
      <c r="GS100" s="79"/>
      <c r="GT100" s="79"/>
      <c r="GU100" s="79"/>
      <c r="GV100" s="79"/>
      <c r="GW100" s="79"/>
      <c r="GX100" s="79"/>
      <c r="GY100" s="79"/>
      <c r="GZ100" s="79"/>
      <c r="HA100" s="79"/>
      <c r="HB100" s="79"/>
      <c r="HC100" s="79"/>
      <c r="HD100" s="79"/>
      <c r="HE100" s="79"/>
      <c r="HF100" s="79"/>
      <c r="HG100" s="79"/>
      <c r="HH100" s="79"/>
      <c r="HI100" s="79"/>
      <c r="HJ100" s="79"/>
      <c r="HK100" s="79"/>
      <c r="HL100" s="79"/>
      <c r="HM100" s="79"/>
      <c r="HN100" s="79"/>
      <c r="HO100" s="79"/>
      <c r="HP100" s="79"/>
      <c r="HQ100" s="79"/>
      <c r="HR100" s="79"/>
      <c r="HS100" s="79"/>
      <c r="HT100" s="79"/>
      <c r="HU100" s="79"/>
      <c r="HV100" s="79"/>
      <c r="HW100" s="79"/>
      <c r="HX100" s="79"/>
      <c r="HY100" s="79"/>
      <c r="HZ100" s="79"/>
      <c r="IA100" s="79"/>
      <c r="IB100" s="79"/>
      <c r="IC100" s="79"/>
      <c r="ID100" s="79"/>
      <c r="IE100" s="79"/>
      <c r="IF100" s="79"/>
      <c r="IG100" s="79"/>
      <c r="IH100" s="79"/>
      <c r="II100" s="79"/>
      <c r="IJ100" s="79"/>
      <c r="IK100" s="79"/>
      <c r="IL100" s="79"/>
      <c r="IM100" s="79"/>
      <c r="IN100" s="79"/>
      <c r="IO100" s="79"/>
      <c r="IP100" s="79"/>
      <c r="IQ100" s="79"/>
      <c r="IR100" s="79"/>
      <c r="IS100" s="79"/>
      <c r="IT100" s="79"/>
      <c r="IU100" s="79"/>
      <c r="IV100" s="79"/>
      <c r="IW100" s="79"/>
      <c r="IX100" s="79"/>
      <c r="IY100" s="79"/>
      <c r="IZ100" s="79"/>
      <c r="JA100" s="79"/>
      <c r="JB100" s="79"/>
      <c r="JC100" s="79"/>
      <c r="JD100" s="79"/>
      <c r="JE100" s="79"/>
      <c r="JF100" s="79"/>
      <c r="JG100" s="79"/>
      <c r="JH100" s="79"/>
      <c r="JI100" s="79"/>
      <c r="JJ100" s="79"/>
      <c r="JK100" s="79"/>
      <c r="JL100" s="79"/>
      <c r="JM100" s="79"/>
      <c r="JN100" s="79"/>
      <c r="JO100" s="79"/>
      <c r="JP100" s="79"/>
      <c r="JQ100" s="79"/>
      <c r="JR100" s="79"/>
      <c r="JS100" s="79"/>
      <c r="JT100" s="79"/>
      <c r="JU100" s="79"/>
      <c r="JV100" s="79"/>
      <c r="JW100" s="79"/>
      <c r="JX100" s="79"/>
      <c r="JY100" s="79"/>
      <c r="JZ100" s="79"/>
      <c r="KA100" s="79"/>
      <c r="KB100" s="79"/>
      <c r="KC100" s="79"/>
      <c r="KD100" s="79"/>
      <c r="KE100" s="79"/>
      <c r="KF100" s="79"/>
    </row>
    <row r="101" spans="1:292" x14ac:dyDescent="0.3">
      <c r="A101" s="58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I101" s="90"/>
      <c r="AJ101" s="90"/>
      <c r="AK101" s="90"/>
      <c r="AL101" s="90"/>
      <c r="AM101" s="90"/>
      <c r="AN101" s="90"/>
      <c r="AO101" s="90"/>
      <c r="AP101" s="79"/>
      <c r="AQ101" s="90"/>
      <c r="AT101" s="79"/>
      <c r="AV101" s="79"/>
      <c r="AW101" s="79"/>
      <c r="AX101" s="79"/>
      <c r="AY101" s="79"/>
      <c r="AZ101" s="79"/>
      <c r="BA101" s="79"/>
      <c r="BB101" s="79"/>
      <c r="BC101" s="79"/>
      <c r="BD101" s="79"/>
      <c r="BE101" s="79"/>
      <c r="BF101" s="79"/>
      <c r="BG101" s="79"/>
      <c r="BH101" s="79"/>
      <c r="BI101" s="79"/>
      <c r="BJ101" s="51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  <c r="EO101" s="79"/>
      <c r="EP101" s="79"/>
      <c r="EQ101" s="79"/>
      <c r="ER101" s="79"/>
      <c r="ES101" s="79"/>
      <c r="ET101" s="79"/>
      <c r="EU101" s="79"/>
      <c r="EV101" s="79"/>
      <c r="EW101" s="79"/>
      <c r="EX101" s="79"/>
      <c r="EY101" s="79"/>
      <c r="EZ101" s="79"/>
      <c r="FA101" s="79"/>
      <c r="FB101" s="79"/>
      <c r="FC101" s="79"/>
      <c r="FD101" s="79"/>
      <c r="FE101" s="79"/>
      <c r="FF101" s="79"/>
      <c r="FG101" s="79"/>
      <c r="FH101" s="79"/>
      <c r="FI101" s="79"/>
      <c r="FJ101" s="79"/>
      <c r="FK101" s="79"/>
      <c r="FL101" s="79"/>
      <c r="FM101" s="79"/>
      <c r="FN101" s="79"/>
      <c r="FO101" s="79"/>
      <c r="FP101" s="79"/>
      <c r="FQ101" s="79"/>
      <c r="FR101" s="79"/>
      <c r="FS101" s="79"/>
      <c r="FT101" s="79"/>
      <c r="FU101" s="79"/>
      <c r="FV101" s="79"/>
      <c r="FW101" s="79"/>
      <c r="FX101" s="79"/>
      <c r="FY101" s="79"/>
      <c r="FZ101" s="79"/>
      <c r="GA101" s="79"/>
      <c r="GB101" s="79"/>
      <c r="GC101" s="79"/>
      <c r="GD101" s="79"/>
      <c r="GE101" s="79"/>
      <c r="GF101" s="79"/>
      <c r="GG101" s="79"/>
      <c r="GH101" s="79"/>
      <c r="GI101" s="79"/>
      <c r="GJ101" s="79"/>
      <c r="GK101" s="79"/>
      <c r="GL101" s="79"/>
      <c r="GM101" s="79"/>
      <c r="GN101" s="79"/>
      <c r="GO101" s="79"/>
      <c r="GP101" s="79"/>
      <c r="GQ101" s="79"/>
      <c r="GR101" s="79"/>
      <c r="GS101" s="79"/>
      <c r="GT101" s="79"/>
      <c r="GU101" s="79"/>
      <c r="GV101" s="79"/>
      <c r="GW101" s="79"/>
      <c r="GX101" s="79"/>
      <c r="GY101" s="79"/>
      <c r="GZ101" s="79"/>
      <c r="HA101" s="79"/>
      <c r="HB101" s="79"/>
      <c r="HC101" s="79"/>
      <c r="HD101" s="79"/>
      <c r="HE101" s="79"/>
      <c r="HF101" s="79"/>
      <c r="HG101" s="79"/>
      <c r="HH101" s="79"/>
      <c r="HI101" s="79"/>
      <c r="HJ101" s="79"/>
      <c r="HK101" s="79"/>
      <c r="HL101" s="79"/>
      <c r="HM101" s="79"/>
      <c r="HN101" s="79"/>
      <c r="HO101" s="79"/>
      <c r="HP101" s="79"/>
      <c r="HQ101" s="79"/>
      <c r="HR101" s="79"/>
      <c r="HS101" s="79"/>
      <c r="HT101" s="79"/>
      <c r="HU101" s="79"/>
      <c r="HV101" s="79"/>
      <c r="HW101" s="79"/>
      <c r="HX101" s="79"/>
      <c r="HY101" s="79"/>
      <c r="HZ101" s="79"/>
      <c r="IA101" s="79"/>
      <c r="IB101" s="79"/>
      <c r="IC101" s="79"/>
      <c r="ID101" s="79"/>
      <c r="IE101" s="79"/>
      <c r="IF101" s="79"/>
      <c r="IG101" s="79"/>
      <c r="IH101" s="79"/>
      <c r="II101" s="79"/>
      <c r="IJ101" s="79"/>
      <c r="IK101" s="79"/>
      <c r="IL101" s="79"/>
      <c r="IM101" s="79"/>
      <c r="IN101" s="79"/>
      <c r="IO101" s="79"/>
      <c r="IP101" s="79"/>
      <c r="IQ101" s="79"/>
      <c r="IR101" s="79"/>
      <c r="IS101" s="79"/>
      <c r="IT101" s="79"/>
      <c r="IU101" s="79"/>
      <c r="IV101" s="79"/>
      <c r="IW101" s="79"/>
      <c r="IX101" s="79"/>
      <c r="IY101" s="79"/>
      <c r="IZ101" s="79"/>
      <c r="JA101" s="79"/>
      <c r="JB101" s="79"/>
      <c r="JC101" s="79"/>
      <c r="JD101" s="79"/>
      <c r="JE101" s="79"/>
      <c r="JF101" s="79"/>
      <c r="JG101" s="79"/>
      <c r="JH101" s="79"/>
      <c r="JI101" s="79"/>
      <c r="JJ101" s="79"/>
      <c r="JK101" s="79"/>
      <c r="JL101" s="79"/>
      <c r="JM101" s="79"/>
      <c r="JN101" s="79"/>
      <c r="JO101" s="79"/>
      <c r="JP101" s="79"/>
      <c r="JQ101" s="79"/>
      <c r="JR101" s="79"/>
      <c r="JS101" s="79"/>
      <c r="JT101" s="79"/>
      <c r="JU101" s="79"/>
      <c r="JV101" s="79"/>
      <c r="JW101" s="79"/>
      <c r="JX101" s="79"/>
      <c r="JY101" s="79"/>
      <c r="JZ101" s="79"/>
      <c r="KA101" s="79"/>
      <c r="KB101" s="79"/>
      <c r="KC101" s="79"/>
      <c r="KD101" s="79"/>
      <c r="KE101" s="79"/>
      <c r="KF101" s="79"/>
    </row>
    <row r="102" spans="1:292" x14ac:dyDescent="0.3">
      <c r="A102" s="58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I102" s="90"/>
      <c r="AJ102" s="90"/>
      <c r="AK102" s="90"/>
      <c r="AL102" s="90"/>
      <c r="AM102" s="90"/>
      <c r="AN102" s="90"/>
      <c r="AO102" s="90"/>
      <c r="AP102" s="79"/>
      <c r="AQ102" s="90"/>
      <c r="AT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  <c r="BH102" s="79"/>
      <c r="BI102" s="79"/>
      <c r="BJ102" s="51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  <c r="EO102" s="79"/>
      <c r="EP102" s="79"/>
      <c r="EQ102" s="79"/>
      <c r="ER102" s="79"/>
      <c r="ES102" s="79"/>
      <c r="ET102" s="79"/>
      <c r="EU102" s="79"/>
      <c r="EV102" s="79"/>
      <c r="EW102" s="79"/>
      <c r="EX102" s="79"/>
      <c r="EY102" s="79"/>
      <c r="EZ102" s="79"/>
      <c r="FA102" s="79"/>
      <c r="FB102" s="79"/>
      <c r="FC102" s="79"/>
      <c r="FD102" s="79"/>
      <c r="FE102" s="79"/>
      <c r="FF102" s="79"/>
      <c r="FG102" s="79"/>
      <c r="FH102" s="79"/>
      <c r="FI102" s="79"/>
      <c r="FJ102" s="79"/>
      <c r="FK102" s="79"/>
      <c r="FL102" s="79"/>
      <c r="FM102" s="79"/>
      <c r="FN102" s="79"/>
      <c r="FO102" s="79"/>
      <c r="FP102" s="79"/>
      <c r="FQ102" s="79"/>
      <c r="FR102" s="79"/>
      <c r="FS102" s="79"/>
      <c r="FT102" s="79"/>
      <c r="FU102" s="79"/>
      <c r="FV102" s="79"/>
      <c r="FW102" s="79"/>
      <c r="FX102" s="79"/>
      <c r="FY102" s="79"/>
      <c r="FZ102" s="79"/>
      <c r="GA102" s="79"/>
      <c r="GB102" s="79"/>
      <c r="GC102" s="79"/>
      <c r="GD102" s="79"/>
      <c r="GE102" s="79"/>
      <c r="GF102" s="79"/>
      <c r="GG102" s="79"/>
      <c r="GH102" s="79"/>
      <c r="GI102" s="79"/>
      <c r="GJ102" s="79"/>
      <c r="GK102" s="79"/>
      <c r="GL102" s="79"/>
      <c r="GM102" s="79"/>
      <c r="GN102" s="79"/>
      <c r="GO102" s="79"/>
      <c r="GP102" s="79"/>
      <c r="GQ102" s="79"/>
      <c r="GR102" s="79"/>
      <c r="GS102" s="79"/>
      <c r="GT102" s="79"/>
      <c r="GU102" s="79"/>
      <c r="GV102" s="79"/>
      <c r="GW102" s="79"/>
      <c r="GX102" s="79"/>
      <c r="GY102" s="79"/>
      <c r="GZ102" s="79"/>
      <c r="HA102" s="79"/>
      <c r="HB102" s="79"/>
      <c r="HC102" s="79"/>
      <c r="HD102" s="79"/>
      <c r="HE102" s="79"/>
      <c r="HF102" s="79"/>
      <c r="HG102" s="79"/>
      <c r="HH102" s="79"/>
      <c r="HI102" s="79"/>
      <c r="HJ102" s="79"/>
      <c r="HK102" s="79"/>
      <c r="HL102" s="79"/>
      <c r="HM102" s="79"/>
      <c r="HN102" s="79"/>
      <c r="HO102" s="79"/>
      <c r="HP102" s="79"/>
      <c r="HQ102" s="79"/>
      <c r="HR102" s="79"/>
      <c r="HS102" s="79"/>
      <c r="HT102" s="79"/>
      <c r="HU102" s="79"/>
      <c r="HV102" s="79"/>
      <c r="HW102" s="79"/>
      <c r="HX102" s="79"/>
      <c r="HY102" s="79"/>
      <c r="HZ102" s="79"/>
      <c r="IA102" s="79"/>
      <c r="IB102" s="79"/>
      <c r="IC102" s="79"/>
      <c r="ID102" s="79"/>
      <c r="IE102" s="79"/>
      <c r="IF102" s="79"/>
      <c r="IG102" s="79"/>
      <c r="IH102" s="79"/>
      <c r="II102" s="79"/>
      <c r="IJ102" s="79"/>
      <c r="IK102" s="79"/>
      <c r="IL102" s="79"/>
      <c r="IM102" s="79"/>
      <c r="IN102" s="79"/>
      <c r="IO102" s="79"/>
      <c r="IP102" s="79"/>
      <c r="IQ102" s="79"/>
      <c r="IR102" s="79"/>
      <c r="IS102" s="79"/>
      <c r="IT102" s="79"/>
      <c r="IU102" s="79"/>
      <c r="IV102" s="79"/>
      <c r="IW102" s="79"/>
      <c r="IX102" s="79"/>
      <c r="IY102" s="79"/>
      <c r="IZ102" s="79"/>
      <c r="JA102" s="79"/>
      <c r="JB102" s="79"/>
      <c r="JC102" s="79"/>
      <c r="JD102" s="79"/>
      <c r="JE102" s="79"/>
      <c r="JF102" s="79"/>
      <c r="JG102" s="79"/>
      <c r="JH102" s="79"/>
      <c r="JI102" s="79"/>
      <c r="JJ102" s="79"/>
      <c r="JK102" s="79"/>
      <c r="JL102" s="79"/>
      <c r="JM102" s="79"/>
      <c r="JN102" s="79"/>
      <c r="JO102" s="79"/>
      <c r="JP102" s="79"/>
      <c r="JQ102" s="79"/>
      <c r="JR102" s="79"/>
      <c r="JS102" s="79"/>
      <c r="JT102" s="79"/>
      <c r="JU102" s="79"/>
      <c r="JV102" s="79"/>
      <c r="JW102" s="79"/>
      <c r="JX102" s="79"/>
      <c r="JY102" s="79"/>
      <c r="JZ102" s="79"/>
      <c r="KA102" s="79"/>
      <c r="KB102" s="79"/>
      <c r="KC102" s="79"/>
      <c r="KD102" s="79"/>
      <c r="KE102" s="79"/>
      <c r="KF102" s="79"/>
    </row>
    <row r="103" spans="1:292" x14ac:dyDescent="0.3">
      <c r="A103" s="58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I103" s="90"/>
      <c r="AJ103" s="90"/>
      <c r="AK103" s="90"/>
      <c r="AL103" s="90"/>
      <c r="AM103" s="90"/>
      <c r="AN103" s="90"/>
      <c r="AO103" s="90"/>
      <c r="AP103" s="79"/>
      <c r="AQ103" s="90"/>
      <c r="AT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79"/>
      <c r="GM103" s="79"/>
      <c r="GN103" s="79"/>
      <c r="GO103" s="79"/>
      <c r="GP103" s="79"/>
      <c r="GQ103" s="79"/>
      <c r="GR103" s="79"/>
      <c r="GS103" s="79"/>
      <c r="GT103" s="79"/>
      <c r="GU103" s="79"/>
      <c r="GV103" s="79"/>
      <c r="GW103" s="79"/>
      <c r="GX103" s="79"/>
      <c r="GY103" s="79"/>
      <c r="GZ103" s="79"/>
      <c r="HA103" s="79"/>
      <c r="HB103" s="79"/>
      <c r="HC103" s="79"/>
      <c r="HD103" s="79"/>
      <c r="HE103" s="79"/>
      <c r="HF103" s="79"/>
      <c r="HG103" s="79"/>
      <c r="HH103" s="79"/>
      <c r="HI103" s="79"/>
      <c r="HJ103" s="79"/>
      <c r="HK103" s="79"/>
      <c r="HL103" s="79"/>
      <c r="HM103" s="79"/>
      <c r="HN103" s="79"/>
      <c r="HO103" s="79"/>
      <c r="HP103" s="79"/>
      <c r="HQ103" s="79"/>
      <c r="HR103" s="79"/>
      <c r="HS103" s="79"/>
      <c r="HT103" s="79"/>
      <c r="HU103" s="79"/>
      <c r="HV103" s="79"/>
      <c r="HW103" s="79"/>
      <c r="HX103" s="79"/>
      <c r="HY103" s="79"/>
      <c r="HZ103" s="79"/>
      <c r="IA103" s="79"/>
      <c r="IB103" s="79"/>
      <c r="IC103" s="79"/>
      <c r="ID103" s="79"/>
      <c r="IE103" s="79"/>
      <c r="IF103" s="79"/>
      <c r="IG103" s="79"/>
      <c r="IH103" s="79"/>
      <c r="II103" s="79"/>
      <c r="IJ103" s="79"/>
      <c r="IK103" s="79"/>
      <c r="IL103" s="79"/>
      <c r="IM103" s="79"/>
      <c r="IN103" s="79"/>
      <c r="IO103" s="79"/>
      <c r="IP103" s="79"/>
      <c r="IQ103" s="79"/>
      <c r="IR103" s="79"/>
      <c r="IS103" s="79"/>
      <c r="IT103" s="79"/>
      <c r="IU103" s="79"/>
      <c r="IV103" s="79"/>
      <c r="IW103" s="79"/>
      <c r="IX103" s="79"/>
      <c r="IY103" s="79"/>
      <c r="IZ103" s="79"/>
      <c r="JA103" s="79"/>
      <c r="JB103" s="79"/>
      <c r="JC103" s="79"/>
      <c r="JD103" s="79"/>
      <c r="JE103" s="79"/>
      <c r="JF103" s="79"/>
      <c r="JG103" s="79"/>
      <c r="JH103" s="79"/>
      <c r="JI103" s="79"/>
      <c r="JJ103" s="79"/>
      <c r="JK103" s="79"/>
      <c r="JL103" s="79"/>
      <c r="JM103" s="79"/>
      <c r="JN103" s="79"/>
      <c r="JO103" s="79"/>
      <c r="JP103" s="79"/>
      <c r="JQ103" s="79"/>
      <c r="JR103" s="79"/>
      <c r="JS103" s="79"/>
      <c r="JT103" s="79"/>
      <c r="JU103" s="79"/>
      <c r="JV103" s="79"/>
      <c r="JW103" s="79"/>
      <c r="JX103" s="79"/>
      <c r="JY103" s="79"/>
      <c r="JZ103" s="79"/>
      <c r="KA103" s="79"/>
      <c r="KB103" s="79"/>
      <c r="KC103" s="79"/>
      <c r="KD103" s="79"/>
      <c r="KE103" s="79"/>
      <c r="KF103" s="79"/>
    </row>
    <row r="104" spans="1:292" x14ac:dyDescent="0.3">
      <c r="A104" s="58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I104" s="90"/>
      <c r="AJ104" s="90"/>
      <c r="AK104" s="90"/>
      <c r="AL104" s="90"/>
      <c r="AM104" s="90"/>
      <c r="AN104" s="90"/>
      <c r="AO104" s="90"/>
      <c r="AP104" s="79"/>
      <c r="AQ104" s="90"/>
      <c r="AT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79"/>
      <c r="GM104" s="79"/>
      <c r="GN104" s="79"/>
      <c r="GO104" s="79"/>
      <c r="GP104" s="79"/>
      <c r="GQ104" s="79"/>
      <c r="GR104" s="79"/>
      <c r="GS104" s="79"/>
      <c r="GT104" s="79"/>
      <c r="GU104" s="79"/>
      <c r="GV104" s="79"/>
      <c r="GW104" s="79"/>
      <c r="GX104" s="79"/>
      <c r="GY104" s="79"/>
      <c r="GZ104" s="79"/>
      <c r="HA104" s="79"/>
      <c r="HB104" s="79"/>
      <c r="HC104" s="79"/>
      <c r="HD104" s="79"/>
      <c r="HE104" s="79"/>
      <c r="HF104" s="79"/>
      <c r="HG104" s="79"/>
      <c r="HH104" s="79"/>
      <c r="HI104" s="79"/>
      <c r="HJ104" s="79"/>
      <c r="HK104" s="79"/>
      <c r="HL104" s="79"/>
      <c r="HM104" s="79"/>
      <c r="HN104" s="79"/>
      <c r="HO104" s="79"/>
      <c r="HP104" s="79"/>
      <c r="HQ104" s="79"/>
      <c r="HR104" s="79"/>
      <c r="HS104" s="79"/>
      <c r="HT104" s="79"/>
      <c r="HU104" s="79"/>
      <c r="HV104" s="79"/>
      <c r="HW104" s="79"/>
      <c r="HX104" s="79"/>
      <c r="HY104" s="79"/>
      <c r="HZ104" s="79"/>
      <c r="IA104" s="79"/>
      <c r="IB104" s="79"/>
      <c r="IC104" s="79"/>
      <c r="ID104" s="79"/>
      <c r="IE104" s="79"/>
      <c r="IF104" s="79"/>
      <c r="IG104" s="79"/>
      <c r="IH104" s="79"/>
      <c r="II104" s="79"/>
      <c r="IJ104" s="79"/>
      <c r="IK104" s="79"/>
      <c r="IL104" s="79"/>
      <c r="IM104" s="79"/>
      <c r="IN104" s="79"/>
      <c r="IO104" s="79"/>
      <c r="IP104" s="79"/>
      <c r="IQ104" s="79"/>
      <c r="IR104" s="79"/>
      <c r="IS104" s="79"/>
      <c r="IT104" s="79"/>
      <c r="IU104" s="79"/>
      <c r="IV104" s="79"/>
      <c r="IW104" s="79"/>
      <c r="IX104" s="79"/>
      <c r="IY104" s="79"/>
      <c r="IZ104" s="79"/>
      <c r="JA104" s="79"/>
      <c r="JB104" s="79"/>
      <c r="JC104" s="79"/>
      <c r="JD104" s="79"/>
      <c r="JE104" s="79"/>
      <c r="JF104" s="79"/>
      <c r="JG104" s="79"/>
      <c r="JH104" s="79"/>
      <c r="JI104" s="79"/>
      <c r="JJ104" s="79"/>
      <c r="JK104" s="79"/>
      <c r="JL104" s="79"/>
      <c r="JM104" s="79"/>
      <c r="JN104" s="79"/>
      <c r="JO104" s="79"/>
      <c r="JP104" s="79"/>
      <c r="JQ104" s="79"/>
      <c r="JR104" s="79"/>
      <c r="JS104" s="79"/>
      <c r="JT104" s="79"/>
      <c r="JU104" s="79"/>
      <c r="JV104" s="79"/>
      <c r="JW104" s="79"/>
      <c r="JX104" s="79"/>
      <c r="JY104" s="79"/>
      <c r="JZ104" s="79"/>
      <c r="KA104" s="79"/>
      <c r="KB104" s="79"/>
      <c r="KC104" s="79"/>
      <c r="KD104" s="79"/>
      <c r="KE104" s="79"/>
      <c r="KF104" s="79"/>
    </row>
    <row r="105" spans="1:292" x14ac:dyDescent="0.3">
      <c r="A105" s="58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I105" s="51"/>
      <c r="AJ105" s="51"/>
      <c r="AK105" s="51"/>
      <c r="AL105" s="51"/>
      <c r="AM105" s="51"/>
      <c r="AN105" s="51"/>
      <c r="AO105" s="51"/>
      <c r="AP105" s="51"/>
      <c r="AQ105" s="51"/>
      <c r="AT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51"/>
      <c r="GR105" s="51"/>
      <c r="GS105" s="51"/>
      <c r="GT105" s="51"/>
      <c r="GU105" s="51"/>
      <c r="GV105" s="51"/>
      <c r="GW105" s="51"/>
      <c r="GX105" s="51"/>
      <c r="GY105" s="51"/>
      <c r="GZ105" s="51"/>
      <c r="HA105" s="51"/>
      <c r="HB105" s="51"/>
      <c r="HC105" s="51"/>
      <c r="HD105" s="51"/>
      <c r="HE105" s="51"/>
      <c r="HF105" s="51"/>
      <c r="HG105" s="51"/>
      <c r="HH105" s="51"/>
      <c r="HI105" s="51"/>
      <c r="HJ105" s="51"/>
      <c r="HK105" s="51"/>
      <c r="HL105" s="51"/>
      <c r="HM105" s="51"/>
      <c r="HN105" s="51"/>
      <c r="HO105" s="51"/>
      <c r="HP105" s="51"/>
      <c r="HQ105" s="51"/>
      <c r="HR105" s="51"/>
      <c r="HS105" s="51"/>
      <c r="HT105" s="51"/>
      <c r="HU105" s="51"/>
      <c r="HV105" s="51"/>
      <c r="HW105" s="51"/>
      <c r="HX105" s="51"/>
      <c r="HY105" s="51"/>
      <c r="HZ105" s="51"/>
      <c r="IA105" s="51"/>
      <c r="IB105" s="51"/>
      <c r="IC105" s="51"/>
      <c r="ID105" s="51"/>
      <c r="IE105" s="51"/>
      <c r="IF105" s="51"/>
      <c r="IG105" s="51"/>
      <c r="IH105" s="51"/>
      <c r="II105" s="51"/>
      <c r="IJ105" s="51"/>
      <c r="IK105" s="51"/>
      <c r="IL105" s="51"/>
      <c r="IM105" s="51"/>
      <c r="IN105" s="51"/>
      <c r="IO105" s="51"/>
      <c r="IP105" s="51"/>
      <c r="IQ105" s="51"/>
      <c r="IR105" s="51"/>
      <c r="IS105" s="51"/>
      <c r="IT105" s="51"/>
      <c r="IU105" s="51"/>
      <c r="IV105" s="51"/>
      <c r="IW105" s="51"/>
      <c r="IX105" s="51"/>
      <c r="IY105" s="51"/>
      <c r="IZ105" s="51"/>
      <c r="JA105" s="51"/>
      <c r="JB105" s="51"/>
      <c r="JC105" s="51"/>
      <c r="JD105" s="51"/>
      <c r="JE105" s="51"/>
      <c r="JF105" s="51"/>
      <c r="JG105" s="51"/>
      <c r="JH105" s="51"/>
      <c r="JI105" s="51"/>
      <c r="JJ105" s="51"/>
      <c r="JK105" s="51"/>
      <c r="JL105" s="51"/>
      <c r="JM105" s="51"/>
      <c r="JN105" s="51"/>
      <c r="JO105" s="51"/>
      <c r="JP105" s="51"/>
      <c r="JQ105" s="51"/>
      <c r="JR105" s="51"/>
      <c r="JS105" s="51"/>
      <c r="JT105" s="51"/>
      <c r="JU105" s="51"/>
      <c r="JV105" s="51"/>
      <c r="JW105" s="51"/>
      <c r="JX105" s="51"/>
      <c r="JY105" s="51"/>
      <c r="JZ105" s="51"/>
      <c r="KA105" s="51"/>
      <c r="KB105" s="51"/>
      <c r="KC105" s="51"/>
      <c r="KD105" s="51"/>
      <c r="KE105" s="51"/>
      <c r="KF105" s="51"/>
    </row>
  </sheetData>
  <conditionalFormatting sqref="AR9:BM9 BO9:BW9 D9:AJ9 CB9:CM9">
    <cfRule type="containsErrors" dxfId="647" priority="177">
      <formula>ISERROR(D9)</formula>
    </cfRule>
  </conditionalFormatting>
  <conditionalFormatting sqref="C73 D1:AD1">
    <cfRule type="cellIs" dxfId="646" priority="176" operator="notEqual">
      <formula>0</formula>
    </cfRule>
  </conditionalFormatting>
  <conditionalFormatting sqref="C74">
    <cfRule type="cellIs" dxfId="645" priority="175" operator="notEqual">
      <formula>0</formula>
    </cfRule>
  </conditionalFormatting>
  <conditionalFormatting sqref="AS73">
    <cfRule type="cellIs" dxfId="644" priority="174" operator="notEqual">
      <formula>0</formula>
    </cfRule>
  </conditionalFormatting>
  <conditionalFormatting sqref="AS74">
    <cfRule type="cellIs" dxfId="643" priority="173" operator="notEqual">
      <formula>0</formula>
    </cfRule>
  </conditionalFormatting>
  <conditionalFormatting sqref="CO73">
    <cfRule type="cellIs" dxfId="642" priority="172" operator="notEqual">
      <formula>0</formula>
    </cfRule>
  </conditionalFormatting>
  <conditionalFormatting sqref="CO74">
    <cfRule type="cellIs" dxfId="641" priority="171" operator="notEqual">
      <formula>0</formula>
    </cfRule>
  </conditionalFormatting>
  <conditionalFormatting sqref="EL73">
    <cfRule type="cellIs" dxfId="640" priority="170" operator="notEqual">
      <formula>0</formula>
    </cfRule>
  </conditionalFormatting>
  <conditionalFormatting sqref="EL74">
    <cfRule type="cellIs" dxfId="639" priority="169" operator="notEqual">
      <formula>0</formula>
    </cfRule>
  </conditionalFormatting>
  <conditionalFormatting sqref="GJ73">
    <cfRule type="cellIs" dxfId="638" priority="168" operator="notEqual">
      <formula>0</formula>
    </cfRule>
  </conditionalFormatting>
  <conditionalFormatting sqref="GJ74">
    <cfRule type="cellIs" dxfId="637" priority="167" operator="notEqual">
      <formula>0</formula>
    </cfRule>
  </conditionalFormatting>
  <conditionalFormatting sqref="IH73">
    <cfRule type="cellIs" dxfId="636" priority="166" operator="notEqual">
      <formula>0</formula>
    </cfRule>
  </conditionalFormatting>
  <conditionalFormatting sqref="IH74">
    <cfRule type="cellIs" dxfId="635" priority="165" operator="notEqual">
      <formula>0</formula>
    </cfRule>
  </conditionalFormatting>
  <conditionalFormatting sqref="KF73">
    <cfRule type="cellIs" dxfId="634" priority="164" operator="notEqual">
      <formula>0</formula>
    </cfRule>
  </conditionalFormatting>
  <conditionalFormatting sqref="KF74">
    <cfRule type="cellIs" dxfId="633" priority="163" operator="notEqual">
      <formula>0</formula>
    </cfRule>
  </conditionalFormatting>
  <conditionalFormatting sqref="AK9:AO9">
    <cfRule type="containsErrors" dxfId="632" priority="162">
      <formula>ISERROR(AK9)</formula>
    </cfRule>
  </conditionalFormatting>
  <conditionalFormatting sqref="C9">
    <cfRule type="containsErrors" dxfId="631" priority="161">
      <formula>ISERROR(C9)</formula>
    </cfRule>
  </conditionalFormatting>
  <conditionalFormatting sqref="CP9:DI9 DK9:DS9 DX9:EJ9">
    <cfRule type="containsErrors" dxfId="630" priority="160">
      <formula>ISERROR(CP9)</formula>
    </cfRule>
  </conditionalFormatting>
  <conditionalFormatting sqref="AE1:AJ1 AR1:AV1 CB1:CG1 CI1 CN1:CR1 CT1:DI1 DK1 DM1:DO1 DX1:EC1 EQ1:FF1 FH1 FJ1:FL1 FU1:FZ1 GB1 GO1:HD1 HF1 HH1:HJ1 HS1:HX1 HZ1 IG1:IK1 JD1 JF1:JH1 JQ1:JV1 JX1 AX1:BM1 IM1:JB1 BO1:BS1 EE1:EO1 JZ1:KF1 IB1:IE1 GD1:GM1 CK1:CL1 AN1:AP1">
    <cfRule type="cellIs" dxfId="629" priority="159" operator="notEqual">
      <formula>0</formula>
    </cfRule>
  </conditionalFormatting>
  <conditionalFormatting sqref="CF1">
    <cfRule type="cellIs" dxfId="628" priority="158" operator="notEqual">
      <formula>0</formula>
    </cfRule>
  </conditionalFormatting>
  <conditionalFormatting sqref="EB1">
    <cfRule type="cellIs" dxfId="627" priority="157" operator="notEqual">
      <formula>0</formula>
    </cfRule>
  </conditionalFormatting>
  <conditionalFormatting sqref="FY1">
    <cfRule type="cellIs" dxfId="626" priority="156" operator="notEqual">
      <formula>0</formula>
    </cfRule>
  </conditionalFormatting>
  <conditionalFormatting sqref="HW1">
    <cfRule type="cellIs" dxfId="625" priority="155" operator="notEqual">
      <formula>0</formula>
    </cfRule>
  </conditionalFormatting>
  <conditionalFormatting sqref="JU1">
    <cfRule type="cellIs" dxfId="624" priority="154" operator="notEqual">
      <formula>0</formula>
    </cfRule>
  </conditionalFormatting>
  <conditionalFormatting sqref="BU1">
    <cfRule type="cellIs" dxfId="623" priority="153" operator="notEqual">
      <formula>0</formula>
    </cfRule>
  </conditionalFormatting>
  <conditionalFormatting sqref="DL1">
    <cfRule type="cellIs" dxfId="622" priority="152" operator="notEqual">
      <formula>0</formula>
    </cfRule>
  </conditionalFormatting>
  <conditionalFormatting sqref="DQ1">
    <cfRule type="cellIs" dxfId="621" priority="151" operator="notEqual">
      <formula>0</formula>
    </cfRule>
  </conditionalFormatting>
  <conditionalFormatting sqref="BT1">
    <cfRule type="cellIs" dxfId="620" priority="143" operator="notEqual">
      <formula>0</formula>
    </cfRule>
  </conditionalFormatting>
  <conditionalFormatting sqref="FI1">
    <cfRule type="cellIs" dxfId="619" priority="150" operator="notEqual">
      <formula>0</formula>
    </cfRule>
  </conditionalFormatting>
  <conditionalFormatting sqref="FN1">
    <cfRule type="cellIs" dxfId="618" priority="149" operator="notEqual">
      <formula>0</formula>
    </cfRule>
  </conditionalFormatting>
  <conditionalFormatting sqref="GA1">
    <cfRule type="cellIs" dxfId="617" priority="148" operator="notEqual">
      <formula>0</formula>
    </cfRule>
  </conditionalFormatting>
  <conditionalFormatting sqref="HG1">
    <cfRule type="cellIs" dxfId="616" priority="147" operator="notEqual">
      <formula>0</formula>
    </cfRule>
  </conditionalFormatting>
  <conditionalFormatting sqref="HL1">
    <cfRule type="cellIs" dxfId="615" priority="146" operator="notEqual">
      <formula>0</formula>
    </cfRule>
  </conditionalFormatting>
  <conditionalFormatting sqref="HK1">
    <cfRule type="cellIs" dxfId="614" priority="145" operator="notEqual">
      <formula>0</formula>
    </cfRule>
  </conditionalFormatting>
  <conditionalFormatting sqref="JJ1">
    <cfRule type="cellIs" dxfId="613" priority="144" operator="notEqual">
      <formula>0</formula>
    </cfRule>
  </conditionalFormatting>
  <conditionalFormatting sqref="DP1">
    <cfRule type="cellIs" dxfId="612" priority="142" operator="notEqual">
      <formula>0</formula>
    </cfRule>
  </conditionalFormatting>
  <conditionalFormatting sqref="FM1">
    <cfRule type="cellIs" dxfId="611" priority="141" operator="notEqual">
      <formula>0</formula>
    </cfRule>
  </conditionalFormatting>
  <conditionalFormatting sqref="AQ9">
    <cfRule type="containsErrors" dxfId="610" priority="140">
      <formula>ISERROR(AQ9)</formula>
    </cfRule>
  </conditionalFormatting>
  <conditionalFormatting sqref="B6">
    <cfRule type="cellIs" dxfId="609" priority="139" operator="equal">
      <formula>"NEEDS ATTENTION!!!"</formula>
    </cfRule>
  </conditionalFormatting>
  <conditionalFormatting sqref="HG3:HJ3 JE3:JH3 JQ3:JV3 HT3:HX3 FV3:FZ3 CB3:DS3 D3:BW3 GB3:HE3 HZ3:JC3 JX3:KD3 FM3:FP3 HL3:HN3 JJ3:JL3 DX3:EO3 EQ3:FK3">
    <cfRule type="containsText" dxfId="608" priority="138" operator="containsText" text="CHECK NEEDED">
      <formula>NOT(ISERROR(SEARCH("CHECK NEEDED",D3)))</formula>
    </cfRule>
  </conditionalFormatting>
  <conditionalFormatting sqref="EM9:FF9 FH9:FP9 FU9:GE9 GG9:GH9">
    <cfRule type="containsErrors" dxfId="607" priority="137">
      <formula>ISERROR(EM9)</formula>
    </cfRule>
  </conditionalFormatting>
  <conditionalFormatting sqref="GK9:HD9 HF9:HN9 HS9:IC9 IE9:IF9">
    <cfRule type="containsErrors" dxfId="606" priority="136">
      <formula>ISERROR(GK9)</formula>
    </cfRule>
  </conditionalFormatting>
  <conditionalFormatting sqref="II9:JB9 JD9:JL9 JQ9:KD9">
    <cfRule type="containsErrors" dxfId="605" priority="135">
      <formula>ISERROR(II9)</formula>
    </cfRule>
  </conditionalFormatting>
  <conditionalFormatting sqref="AK1">
    <cfRule type="cellIs" dxfId="604" priority="134" operator="notEqual">
      <formula>0</formula>
    </cfRule>
  </conditionalFormatting>
  <conditionalFormatting sqref="HY1">
    <cfRule type="cellIs" dxfId="603" priority="133" operator="notEqual">
      <formula>0</formula>
    </cfRule>
  </conditionalFormatting>
  <conditionalFormatting sqref="JW1">
    <cfRule type="cellIs" dxfId="602" priority="132" operator="notEqual">
      <formula>0</formula>
    </cfRule>
  </conditionalFormatting>
  <conditionalFormatting sqref="ED1">
    <cfRule type="cellIs" dxfId="601" priority="131" operator="notEqual">
      <formula>0</formula>
    </cfRule>
  </conditionalFormatting>
  <conditionalFormatting sqref="CH1">
    <cfRule type="cellIs" dxfId="600" priority="130" operator="notEqual">
      <formula>0</formula>
    </cfRule>
  </conditionalFormatting>
  <conditionalFormatting sqref="AW1">
    <cfRule type="cellIs" dxfId="599" priority="129" operator="notEqual">
      <formula>0</formula>
    </cfRule>
  </conditionalFormatting>
  <conditionalFormatting sqref="CS1">
    <cfRule type="cellIs" dxfId="598" priority="128" operator="notEqual">
      <formula>0</formula>
    </cfRule>
  </conditionalFormatting>
  <conditionalFormatting sqref="EP1">
    <cfRule type="cellIs" dxfId="597" priority="127" operator="notEqual">
      <formula>0</formula>
    </cfRule>
  </conditionalFormatting>
  <conditionalFormatting sqref="GN1">
    <cfRule type="cellIs" dxfId="596" priority="126" operator="notEqual">
      <formula>0</formula>
    </cfRule>
  </conditionalFormatting>
  <conditionalFormatting sqref="IL1">
    <cfRule type="cellIs" dxfId="595" priority="125" operator="notEqual">
      <formula>0</formula>
    </cfRule>
  </conditionalFormatting>
  <conditionalFormatting sqref="BN9">
    <cfRule type="containsErrors" dxfId="594" priority="124">
      <formula>ISERROR(BN9)</formula>
    </cfRule>
  </conditionalFormatting>
  <conditionalFormatting sqref="DJ9">
    <cfRule type="containsErrors" dxfId="593" priority="123">
      <formula>ISERROR(DJ9)</formula>
    </cfRule>
  </conditionalFormatting>
  <conditionalFormatting sqref="FG9">
    <cfRule type="containsErrors" dxfId="592" priority="122">
      <formula>ISERROR(FG9)</formula>
    </cfRule>
  </conditionalFormatting>
  <conditionalFormatting sqref="HE9">
    <cfRule type="containsErrors" dxfId="591" priority="121">
      <formula>ISERROR(HE9)</formula>
    </cfRule>
  </conditionalFormatting>
  <conditionalFormatting sqref="JC9">
    <cfRule type="containsErrors" dxfId="590" priority="120">
      <formula>ISERROR(JC9)</formula>
    </cfRule>
  </conditionalFormatting>
  <conditionalFormatting sqref="BY1">
    <cfRule type="cellIs" dxfId="589" priority="96" operator="notEqual">
      <formula>0</formula>
    </cfRule>
  </conditionalFormatting>
  <conditionalFormatting sqref="BZ9:CA9">
    <cfRule type="containsErrors" dxfId="588" priority="119">
      <formula>ISERROR(BZ9)</formula>
    </cfRule>
  </conditionalFormatting>
  <conditionalFormatting sqref="BZ3:CA3">
    <cfRule type="containsText" dxfId="587" priority="118" operator="containsText" text="CHECK NEEDED">
      <formula>NOT(ISERROR(SEARCH("CHECK NEEDED",BZ3)))</formula>
    </cfRule>
  </conditionalFormatting>
  <conditionalFormatting sqref="BX9:BY9">
    <cfRule type="containsErrors" dxfId="586" priority="117">
      <formula>ISERROR(BX9)</formula>
    </cfRule>
  </conditionalFormatting>
  <conditionalFormatting sqref="BX3:BY3">
    <cfRule type="containsText" dxfId="585" priority="116" operator="containsText" text="CHECK NEEDED">
      <formula>NOT(ISERROR(SEARCH("CHECK NEEDED",BX3)))</formula>
    </cfRule>
  </conditionalFormatting>
  <conditionalFormatting sqref="DT9:DU9">
    <cfRule type="containsErrors" dxfId="584" priority="115">
      <formula>ISERROR(DT9)</formula>
    </cfRule>
  </conditionalFormatting>
  <conditionalFormatting sqref="DT3:DU3">
    <cfRule type="containsText" dxfId="583" priority="114" operator="containsText" text="CHECK NEEDED">
      <formula>NOT(ISERROR(SEARCH("CHECK NEEDED",DT3)))</formula>
    </cfRule>
  </conditionalFormatting>
  <conditionalFormatting sqref="DV9:DW9">
    <cfRule type="containsErrors" dxfId="582" priority="113">
      <formula>ISERROR(DV9)</formula>
    </cfRule>
  </conditionalFormatting>
  <conditionalFormatting sqref="DW3">
    <cfRule type="containsText" dxfId="581" priority="112" operator="containsText" text="CHECK NEEDED">
      <formula>NOT(ISERROR(SEARCH("CHECK NEEDED",DW3)))</formula>
    </cfRule>
  </conditionalFormatting>
  <conditionalFormatting sqref="BY1">
    <cfRule type="cellIs" dxfId="580" priority="97" operator="notEqual">
      <formula>0</formula>
    </cfRule>
  </conditionalFormatting>
  <conditionalFormatting sqref="FQ3:FR3">
    <cfRule type="containsText" dxfId="579" priority="111" operator="containsText" text="CHECK NEEDED">
      <formula>NOT(ISERROR(SEARCH("CHECK NEEDED",FQ3)))</formula>
    </cfRule>
  </conditionalFormatting>
  <conditionalFormatting sqref="FQ9:FR9">
    <cfRule type="containsErrors" dxfId="578" priority="110">
      <formula>ISERROR(FQ9)</formula>
    </cfRule>
  </conditionalFormatting>
  <conditionalFormatting sqref="FS3:FU3">
    <cfRule type="containsText" dxfId="577" priority="109" operator="containsText" text="CHECK NEEDED">
      <formula>NOT(ISERROR(SEARCH("CHECK NEEDED",FS3)))</formula>
    </cfRule>
  </conditionalFormatting>
  <conditionalFormatting sqref="FS9:FT9">
    <cfRule type="containsErrors" dxfId="576" priority="108">
      <formula>ISERROR(FS9)</formula>
    </cfRule>
  </conditionalFormatting>
  <conditionalFormatting sqref="HO3:HP3">
    <cfRule type="containsText" dxfId="575" priority="107" operator="containsText" text="CHECK NEEDED">
      <formula>NOT(ISERROR(SEARCH("CHECK NEEDED",HO3)))</formula>
    </cfRule>
  </conditionalFormatting>
  <conditionalFormatting sqref="HO9:HP9">
    <cfRule type="containsErrors" dxfId="574" priority="106">
      <formula>ISERROR(HO9)</formula>
    </cfRule>
  </conditionalFormatting>
  <conditionalFormatting sqref="HQ3:HS3">
    <cfRule type="containsText" dxfId="573" priority="105" operator="containsText" text="CHECK NEEDED">
      <formula>NOT(ISERROR(SEARCH("CHECK NEEDED",HQ3)))</formula>
    </cfRule>
  </conditionalFormatting>
  <conditionalFormatting sqref="HQ9:HR9">
    <cfRule type="containsErrors" dxfId="572" priority="104">
      <formula>ISERROR(HQ9)</formula>
    </cfRule>
  </conditionalFormatting>
  <conditionalFormatting sqref="JM3:JN3">
    <cfRule type="containsText" dxfId="571" priority="103" operator="containsText" text="CHECK NEEDED">
      <formula>NOT(ISERROR(SEARCH("CHECK NEEDED",JM3)))</formula>
    </cfRule>
  </conditionalFormatting>
  <conditionalFormatting sqref="JM9:JN9">
    <cfRule type="containsErrors" dxfId="570" priority="102">
      <formula>ISERROR(JM9)</formula>
    </cfRule>
  </conditionalFormatting>
  <conditionalFormatting sqref="JO3:JP3">
    <cfRule type="containsText" dxfId="569" priority="101" operator="containsText" text="CHECK NEEDED">
      <formula>NOT(ISERROR(SEARCH("CHECK NEEDED",JO3)))</formula>
    </cfRule>
  </conditionalFormatting>
  <conditionalFormatting sqref="JO9:JP9">
    <cfRule type="containsErrors" dxfId="568" priority="100">
      <formula>ISERROR(JO9)</formula>
    </cfRule>
  </conditionalFormatting>
  <conditionalFormatting sqref="BX1">
    <cfRule type="cellIs" dxfId="567" priority="99" operator="notEqual">
      <formula>0</formula>
    </cfRule>
  </conditionalFormatting>
  <conditionalFormatting sqref="BZ1">
    <cfRule type="cellIs" dxfId="566" priority="95" operator="notEqual">
      <formula>0</formula>
    </cfRule>
  </conditionalFormatting>
  <conditionalFormatting sqref="CA1">
    <cfRule type="cellIs" dxfId="565" priority="92" operator="notEqual">
      <formula>0</formula>
    </cfRule>
  </conditionalFormatting>
  <conditionalFormatting sqref="BX1">
    <cfRule type="cellIs" dxfId="564" priority="98" operator="notEqual">
      <formula>0</formula>
    </cfRule>
  </conditionalFormatting>
  <conditionalFormatting sqref="BZ1">
    <cfRule type="cellIs" dxfId="563" priority="94" operator="notEqual">
      <formula>0</formula>
    </cfRule>
  </conditionalFormatting>
  <conditionalFormatting sqref="CA1">
    <cfRule type="cellIs" dxfId="562" priority="93" operator="notEqual">
      <formula>0</formula>
    </cfRule>
  </conditionalFormatting>
  <conditionalFormatting sqref="DT1">
    <cfRule type="cellIs" dxfId="561" priority="91" operator="notEqual">
      <formula>0</formula>
    </cfRule>
  </conditionalFormatting>
  <conditionalFormatting sqref="DT1">
    <cfRule type="cellIs" dxfId="560" priority="90" operator="notEqual">
      <formula>0</formula>
    </cfRule>
  </conditionalFormatting>
  <conditionalFormatting sqref="DU1">
    <cfRule type="cellIs" dxfId="559" priority="89" operator="notEqual">
      <formula>0</formula>
    </cfRule>
  </conditionalFormatting>
  <conditionalFormatting sqref="DU1">
    <cfRule type="cellIs" dxfId="558" priority="88" operator="notEqual">
      <formula>0</formula>
    </cfRule>
  </conditionalFormatting>
  <conditionalFormatting sqref="DV1">
    <cfRule type="cellIs" dxfId="557" priority="87" operator="notEqual">
      <formula>0</formula>
    </cfRule>
  </conditionalFormatting>
  <conditionalFormatting sqref="DV1">
    <cfRule type="cellIs" dxfId="556" priority="86" operator="notEqual">
      <formula>0</formula>
    </cfRule>
  </conditionalFormatting>
  <conditionalFormatting sqref="DW1">
    <cfRule type="cellIs" dxfId="555" priority="85" operator="notEqual">
      <formula>0</formula>
    </cfRule>
  </conditionalFormatting>
  <conditionalFormatting sqref="DW1">
    <cfRule type="cellIs" dxfId="554" priority="84" operator="notEqual">
      <formula>0</formula>
    </cfRule>
  </conditionalFormatting>
  <conditionalFormatting sqref="FT1">
    <cfRule type="cellIs" dxfId="553" priority="77" operator="notEqual">
      <formula>0</formula>
    </cfRule>
  </conditionalFormatting>
  <conditionalFormatting sqref="FT1">
    <cfRule type="cellIs" dxfId="552" priority="76" operator="notEqual">
      <formula>0</formula>
    </cfRule>
  </conditionalFormatting>
  <conditionalFormatting sqref="FQ1">
    <cfRule type="cellIs" dxfId="551" priority="83" operator="notEqual">
      <formula>0</formula>
    </cfRule>
  </conditionalFormatting>
  <conditionalFormatting sqref="FQ1">
    <cfRule type="cellIs" dxfId="550" priority="82" operator="notEqual">
      <formula>0</formula>
    </cfRule>
  </conditionalFormatting>
  <conditionalFormatting sqref="FR1">
    <cfRule type="cellIs" dxfId="549" priority="81" operator="notEqual">
      <formula>0</formula>
    </cfRule>
  </conditionalFormatting>
  <conditionalFormatting sqref="FR1">
    <cfRule type="cellIs" dxfId="548" priority="80" operator="notEqual">
      <formula>0</formula>
    </cfRule>
  </conditionalFormatting>
  <conditionalFormatting sqref="FS1">
    <cfRule type="cellIs" dxfId="547" priority="79" operator="notEqual">
      <formula>0</formula>
    </cfRule>
  </conditionalFormatting>
  <conditionalFormatting sqref="FS1">
    <cfRule type="cellIs" dxfId="546" priority="78" operator="notEqual">
      <formula>0</formula>
    </cfRule>
  </conditionalFormatting>
  <conditionalFormatting sqref="JP1">
    <cfRule type="cellIs" dxfId="545" priority="60" operator="notEqual">
      <formula>0</formula>
    </cfRule>
  </conditionalFormatting>
  <conditionalFormatting sqref="HR1">
    <cfRule type="cellIs" dxfId="544" priority="69" operator="notEqual">
      <formula>0</formula>
    </cfRule>
  </conditionalFormatting>
  <conditionalFormatting sqref="HR1">
    <cfRule type="cellIs" dxfId="543" priority="68" operator="notEqual">
      <formula>0</formula>
    </cfRule>
  </conditionalFormatting>
  <conditionalFormatting sqref="HO1">
    <cfRule type="cellIs" dxfId="542" priority="75" operator="notEqual">
      <formula>0</formula>
    </cfRule>
  </conditionalFormatting>
  <conditionalFormatting sqref="HO1">
    <cfRule type="cellIs" dxfId="541" priority="74" operator="notEqual">
      <formula>0</formula>
    </cfRule>
  </conditionalFormatting>
  <conditionalFormatting sqref="HP1">
    <cfRule type="cellIs" dxfId="540" priority="73" operator="notEqual">
      <formula>0</formula>
    </cfRule>
  </conditionalFormatting>
  <conditionalFormatting sqref="HP1">
    <cfRule type="cellIs" dxfId="539" priority="72" operator="notEqual">
      <formula>0</formula>
    </cfRule>
  </conditionalFormatting>
  <conditionalFormatting sqref="HQ1">
    <cfRule type="cellIs" dxfId="538" priority="71" operator="notEqual">
      <formula>0</formula>
    </cfRule>
  </conditionalFormatting>
  <conditionalFormatting sqref="HQ1">
    <cfRule type="cellIs" dxfId="537" priority="70" operator="notEqual">
      <formula>0</formula>
    </cfRule>
  </conditionalFormatting>
  <conditionalFormatting sqref="JP1">
    <cfRule type="cellIs" dxfId="536" priority="61" operator="notEqual">
      <formula>0</formula>
    </cfRule>
  </conditionalFormatting>
  <conditionalFormatting sqref="JM1">
    <cfRule type="cellIs" dxfId="535" priority="67" operator="notEqual">
      <formula>0</formula>
    </cfRule>
  </conditionalFormatting>
  <conditionalFormatting sqref="JM1">
    <cfRule type="cellIs" dxfId="534" priority="66" operator="notEqual">
      <formula>0</formula>
    </cfRule>
  </conditionalFormatting>
  <conditionalFormatting sqref="JN1">
    <cfRule type="cellIs" dxfId="533" priority="65" operator="notEqual">
      <formula>0</formula>
    </cfRule>
  </conditionalFormatting>
  <conditionalFormatting sqref="JN1">
    <cfRule type="cellIs" dxfId="532" priority="64" operator="notEqual">
      <formula>0</formula>
    </cfRule>
  </conditionalFormatting>
  <conditionalFormatting sqref="JO1">
    <cfRule type="cellIs" dxfId="531" priority="63" operator="notEqual">
      <formula>0</formula>
    </cfRule>
  </conditionalFormatting>
  <conditionalFormatting sqref="JO1">
    <cfRule type="cellIs" dxfId="530" priority="62" operator="notEqual">
      <formula>0</formula>
    </cfRule>
  </conditionalFormatting>
  <conditionalFormatting sqref="BV1">
    <cfRule type="cellIs" dxfId="529" priority="59" operator="notEqual">
      <formula>0</formula>
    </cfRule>
  </conditionalFormatting>
  <conditionalFormatting sqref="BV1">
    <cfRule type="cellIs" dxfId="528" priority="58" operator="notEqual">
      <formula>0</formula>
    </cfRule>
  </conditionalFormatting>
  <conditionalFormatting sqref="BW1">
    <cfRule type="cellIs" dxfId="527" priority="57" operator="notEqual">
      <formula>0</formula>
    </cfRule>
  </conditionalFormatting>
  <conditionalFormatting sqref="BW1">
    <cfRule type="cellIs" dxfId="526" priority="56" operator="notEqual">
      <formula>0</formula>
    </cfRule>
  </conditionalFormatting>
  <conditionalFormatting sqref="DS1">
    <cfRule type="cellIs" dxfId="525" priority="55" operator="notEqual">
      <formula>0</formula>
    </cfRule>
  </conditionalFormatting>
  <conditionalFormatting sqref="DS1">
    <cfRule type="cellIs" dxfId="524" priority="54" operator="notEqual">
      <formula>0</formula>
    </cfRule>
  </conditionalFormatting>
  <conditionalFormatting sqref="FP1">
    <cfRule type="cellIs" dxfId="523" priority="53" operator="notEqual">
      <formula>0</formula>
    </cfRule>
  </conditionalFormatting>
  <conditionalFormatting sqref="FP1">
    <cfRule type="cellIs" dxfId="522" priority="52" operator="notEqual">
      <formula>0</formula>
    </cfRule>
  </conditionalFormatting>
  <conditionalFormatting sqref="HN1">
    <cfRule type="cellIs" dxfId="521" priority="51" operator="notEqual">
      <formula>0</formula>
    </cfRule>
  </conditionalFormatting>
  <conditionalFormatting sqref="HN1">
    <cfRule type="cellIs" dxfId="520" priority="50" operator="notEqual">
      <formula>0</formula>
    </cfRule>
  </conditionalFormatting>
  <conditionalFormatting sqref="JL1">
    <cfRule type="cellIs" dxfId="519" priority="49" operator="notEqual">
      <formula>0</formula>
    </cfRule>
  </conditionalFormatting>
  <conditionalFormatting sqref="JL1">
    <cfRule type="cellIs" dxfId="518" priority="48" operator="notEqual">
      <formula>0</formula>
    </cfRule>
  </conditionalFormatting>
  <conditionalFormatting sqref="BN1">
    <cfRule type="cellIs" dxfId="517" priority="47" operator="notEqual">
      <formula>0</formula>
    </cfRule>
  </conditionalFormatting>
  <conditionalFormatting sqref="DJ1">
    <cfRule type="cellIs" dxfId="516" priority="46" operator="notEqual">
      <formula>0</formula>
    </cfRule>
  </conditionalFormatting>
  <conditionalFormatting sqref="FO1">
    <cfRule type="cellIs" dxfId="515" priority="42" operator="notEqual">
      <formula>0</formula>
    </cfRule>
  </conditionalFormatting>
  <conditionalFormatting sqref="FO1">
    <cfRule type="cellIs" dxfId="514" priority="41" operator="notEqual">
      <formula>0</formula>
    </cfRule>
  </conditionalFormatting>
  <conditionalFormatting sqref="DR1">
    <cfRule type="cellIs" dxfId="513" priority="45" operator="notEqual">
      <formula>0</formula>
    </cfRule>
  </conditionalFormatting>
  <conditionalFormatting sqref="DR1">
    <cfRule type="cellIs" dxfId="512" priority="44" operator="notEqual">
      <formula>0</formula>
    </cfRule>
  </conditionalFormatting>
  <conditionalFormatting sqref="FG1">
    <cfRule type="cellIs" dxfId="511" priority="43" operator="notEqual">
      <formula>0</formula>
    </cfRule>
  </conditionalFormatting>
  <conditionalFormatting sqref="HE1">
    <cfRule type="cellIs" dxfId="510" priority="40" operator="notEqual">
      <formula>0</formula>
    </cfRule>
  </conditionalFormatting>
  <conditionalFormatting sqref="HM1">
    <cfRule type="cellIs" dxfId="509" priority="39" operator="notEqual">
      <formula>0</formula>
    </cfRule>
  </conditionalFormatting>
  <conditionalFormatting sqref="HM1">
    <cfRule type="cellIs" dxfId="508" priority="38" operator="notEqual">
      <formula>0</formula>
    </cfRule>
  </conditionalFormatting>
  <conditionalFormatting sqref="JC1">
    <cfRule type="cellIs" dxfId="507" priority="37" operator="notEqual">
      <formula>0</formula>
    </cfRule>
  </conditionalFormatting>
  <conditionalFormatting sqref="JK1">
    <cfRule type="cellIs" dxfId="506" priority="36" operator="notEqual">
      <formula>0</formula>
    </cfRule>
  </conditionalFormatting>
  <conditionalFormatting sqref="JK1">
    <cfRule type="cellIs" dxfId="505" priority="35" operator="notEqual">
      <formula>0</formula>
    </cfRule>
  </conditionalFormatting>
  <conditionalFormatting sqref="AM1">
    <cfRule type="cellIs" dxfId="504" priority="34" operator="notEqual">
      <formula>0</formula>
    </cfRule>
  </conditionalFormatting>
  <conditionalFormatting sqref="CJ1">
    <cfRule type="cellIs" dxfId="503" priority="33" operator="notEqual">
      <formula>0</formula>
    </cfRule>
  </conditionalFormatting>
  <conditionalFormatting sqref="GC1">
    <cfRule type="cellIs" dxfId="502" priority="32" operator="notEqual">
      <formula>0</formula>
    </cfRule>
  </conditionalFormatting>
  <conditionalFormatting sqref="IA1">
    <cfRule type="cellIs" dxfId="501" priority="31" operator="notEqual">
      <formula>0</formula>
    </cfRule>
  </conditionalFormatting>
  <conditionalFormatting sqref="JY1">
    <cfRule type="cellIs" dxfId="500" priority="30" operator="notEqual">
      <formula>0</formula>
    </cfRule>
  </conditionalFormatting>
  <conditionalFormatting sqref="AL1">
    <cfRule type="cellIs" dxfId="499" priority="29" operator="notEqual">
      <formula>0</formula>
    </cfRule>
  </conditionalFormatting>
  <conditionalFormatting sqref="AQ1">
    <cfRule type="cellIs" dxfId="498" priority="28" operator="notEqual">
      <formula>0</formula>
    </cfRule>
  </conditionalFormatting>
  <conditionalFormatting sqref="CM1">
    <cfRule type="cellIs" dxfId="497" priority="27" operator="notEqual">
      <formula>0</formula>
    </cfRule>
  </conditionalFormatting>
  <conditionalFormatting sqref="IF1">
    <cfRule type="cellIs" dxfId="496" priority="26" operator="notEqual">
      <formula>0</formula>
    </cfRule>
  </conditionalFormatting>
  <conditionalFormatting sqref="JE1">
    <cfRule type="cellIs" dxfId="495" priority="25" operator="notEqual">
      <formula>0</formula>
    </cfRule>
  </conditionalFormatting>
  <conditionalFormatting sqref="JI1">
    <cfRule type="cellIs" dxfId="494" priority="24" operator="notEqual">
      <formula>0</formula>
    </cfRule>
  </conditionalFormatting>
  <conditionalFormatting sqref="C72">
    <cfRule type="cellIs" dxfId="493" priority="23" operator="notEqual">
      <formula>0</formula>
    </cfRule>
  </conditionalFormatting>
  <conditionalFormatting sqref="AS72">
    <cfRule type="cellIs" dxfId="492" priority="22" operator="notEqual">
      <formula>0</formula>
    </cfRule>
  </conditionalFormatting>
  <conditionalFormatting sqref="CO72">
    <cfRule type="cellIs" dxfId="491" priority="21" operator="notEqual">
      <formula>0</formula>
    </cfRule>
  </conditionalFormatting>
  <conditionalFormatting sqref="EL72">
    <cfRule type="cellIs" dxfId="490" priority="20" operator="notEqual">
      <formula>0</formula>
    </cfRule>
  </conditionalFormatting>
  <conditionalFormatting sqref="GJ72">
    <cfRule type="cellIs" dxfId="489" priority="19" operator="notEqual">
      <formula>0</formula>
    </cfRule>
  </conditionalFormatting>
  <conditionalFormatting sqref="IH72">
    <cfRule type="cellIs" dxfId="488" priority="18" operator="notEqual">
      <formula>0</formula>
    </cfRule>
  </conditionalFormatting>
  <conditionalFormatting sqref="KF72">
    <cfRule type="cellIs" dxfId="487" priority="17" operator="notEqual">
      <formula>0</formula>
    </cfRule>
  </conditionalFormatting>
  <conditionalFormatting sqref="C72:KF72">
    <cfRule type="cellIs" dxfId="486" priority="16" operator="notEqual">
      <formula>0</formula>
    </cfRule>
  </conditionalFormatting>
  <conditionalFormatting sqref="EH4">
    <cfRule type="containsErrors" dxfId="485" priority="15">
      <formula>ISERROR(EH4)</formula>
    </cfRule>
  </conditionalFormatting>
  <conditionalFormatting sqref="GE4">
    <cfRule type="containsErrors" dxfId="484" priority="14">
      <formula>ISERROR(GE4)</formula>
    </cfRule>
  </conditionalFormatting>
  <conditionalFormatting sqref="DV3">
    <cfRule type="containsText" dxfId="483" priority="13" operator="containsText" text="CHECK NEEDED">
      <formula>NOT(ISERROR(SEARCH("CHECK NEEDED",DV3)))</formula>
    </cfRule>
  </conditionalFormatting>
  <conditionalFormatting sqref="HF3">
    <cfRule type="containsText" dxfId="482" priority="12" operator="containsText" text="CHECK NEEDED">
      <formula>NOT(ISERROR(SEARCH("CHECK NEEDED",HF3)))</formula>
    </cfRule>
  </conditionalFormatting>
  <conditionalFormatting sqref="JD3">
    <cfRule type="containsText" dxfId="481" priority="11" operator="containsText" text="CHECK NEEDED">
      <formula>NOT(ISERROR(SEARCH("CHECK NEEDED",JD3)))</formula>
    </cfRule>
  </conditionalFormatting>
  <conditionalFormatting sqref="ID9">
    <cfRule type="containsErrors" dxfId="480" priority="10">
      <formula>ISERROR(ID9)</formula>
    </cfRule>
  </conditionalFormatting>
  <conditionalFormatting sqref="GF9">
    <cfRule type="containsErrors" dxfId="479" priority="9">
      <formula>ISERROR(GF9)</formula>
    </cfRule>
  </conditionalFormatting>
  <conditionalFormatting sqref="AP9">
    <cfRule type="containsErrors" dxfId="478" priority="6">
      <formula>ISERROR(AP9)</formula>
    </cfRule>
  </conditionalFormatting>
  <conditionalFormatting sqref="GA3">
    <cfRule type="containsText" dxfId="477" priority="5" operator="containsText" text="CHECK NEEDED">
      <formula>NOT(ISERROR(SEARCH("CHECK NEEDED",GA3)))</formula>
    </cfRule>
  </conditionalFormatting>
  <conditionalFormatting sqref="HY3">
    <cfRule type="containsText" dxfId="476" priority="4" operator="containsText" text="CHECK NEEDED">
      <formula>NOT(ISERROR(SEARCH("CHECK NEEDED",HY3)))</formula>
    </cfRule>
  </conditionalFormatting>
  <conditionalFormatting sqref="JW3">
    <cfRule type="containsText" dxfId="475" priority="3" operator="containsText" text="CHECK NEEDED">
      <formula>NOT(ISERROR(SEARCH("CHECK NEEDED",JW3)))</formula>
    </cfRule>
  </conditionalFormatting>
  <conditionalFormatting sqref="HK3">
    <cfRule type="containsText" dxfId="474" priority="2" operator="containsText" text="CHECK NEEDED">
      <formula>NOT(ISERROR(SEARCH("CHECK NEEDED",HK3)))</formula>
    </cfRule>
  </conditionalFormatting>
  <conditionalFormatting sqref="JI3">
    <cfRule type="containsText" dxfId="473" priority="1" operator="containsText" text="CHECK NEEDED">
      <formula>NOT(ISERROR(SEARCH("CHECK NEEDED",JI3)))</formula>
    </cfRule>
  </conditionalFormatting>
  <pageMargins left="0.7" right="0.7" top="0.75" bottom="0.75" header="0.3" footer="0.3"/>
  <pageSetup scale="54" fitToWidth="0" orientation="landscape" horizontalDpi="300" verticalDpi="3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CAA2F-C535-4571-A0BE-70108222D379}">
  <sheetPr codeName="Sheet3">
    <tabColor rgb="FFD5B89B"/>
  </sheetPr>
  <dimension ref="A1:AX279"/>
  <sheetViews>
    <sheetView zoomScale="85" zoomScaleNormal="85" zoomScaleSheetLayoutView="85" workbookViewId="0"/>
  </sheetViews>
  <sheetFormatPr defaultColWidth="9.1796875" defaultRowHeight="13" x14ac:dyDescent="0.3"/>
  <cols>
    <col min="1" max="1" width="1.453125" style="1" customWidth="1"/>
    <col min="2" max="2" width="5.7265625" style="1" customWidth="1"/>
    <col min="3" max="3" width="1.453125" style="1" customWidth="1"/>
    <col min="4" max="4" width="8" style="1" customWidth="1"/>
    <col min="5" max="5" width="1.453125" style="1" customWidth="1"/>
    <col min="6" max="6" width="31.54296875" style="1" customWidth="1"/>
    <col min="7" max="8" width="1.453125" style="2" customWidth="1"/>
    <col min="9" max="9" width="10.453125" style="1" customWidth="1"/>
    <col min="10" max="10" width="1.453125" style="1" customWidth="1"/>
    <col min="11" max="11" width="10.453125" style="1" customWidth="1"/>
    <col min="12" max="12" width="1.453125" style="1" customWidth="1"/>
    <col min="13" max="13" width="12" style="1" customWidth="1"/>
    <col min="14" max="14" width="1.453125" style="2" customWidth="1"/>
    <col min="15" max="15" width="1.453125" style="1" customWidth="1"/>
    <col min="16" max="16" width="10.453125" style="1" customWidth="1"/>
    <col min="17" max="17" width="1.453125" style="1" customWidth="1"/>
    <col min="18" max="18" width="10.453125" style="1" customWidth="1"/>
    <col min="19" max="19" width="1.453125" style="1" customWidth="1"/>
    <col min="20" max="20" width="10.453125" style="1" customWidth="1"/>
    <col min="21" max="22" width="1.453125" style="1" customWidth="1"/>
    <col min="23" max="23" width="10.453125" style="2" customWidth="1"/>
    <col min="24" max="24" width="1.453125" style="2" customWidth="1"/>
    <col min="25" max="25" width="10.453125" style="2" customWidth="1"/>
    <col min="26" max="26" width="1.26953125" style="2" customWidth="1"/>
    <col min="27" max="27" width="10.453125" style="2" customWidth="1"/>
    <col min="28" max="28" width="1.453125" style="2" customWidth="1"/>
    <col min="29" max="29" width="10.453125" style="2" customWidth="1"/>
    <col min="30" max="30" width="1.453125" style="2" customWidth="1"/>
    <col min="31" max="32" width="17.54296875" style="2" customWidth="1"/>
    <col min="33" max="34" width="2.7265625" style="2" customWidth="1"/>
    <col min="35" max="35" width="21.1796875" style="2" customWidth="1"/>
    <col min="36" max="38" width="11.81640625" style="1" customWidth="1"/>
    <col min="39" max="40" width="9.1796875" style="1"/>
    <col min="41" max="41" width="12" style="1" customWidth="1"/>
    <col min="42" max="16384" width="9.1796875" style="1"/>
  </cols>
  <sheetData>
    <row r="1" spans="1:50" x14ac:dyDescent="0.3">
      <c r="A1" s="7" t="s">
        <v>33</v>
      </c>
      <c r="B1" s="7"/>
      <c r="C1" s="7"/>
      <c r="E1" s="7"/>
      <c r="F1" s="7"/>
      <c r="I1" s="2"/>
      <c r="J1" s="7"/>
      <c r="K1" s="7"/>
      <c r="L1" s="7"/>
      <c r="M1" s="7"/>
      <c r="O1" s="7"/>
      <c r="P1" s="7"/>
      <c r="Q1" s="7"/>
      <c r="R1" s="7"/>
      <c r="S1" s="7"/>
      <c r="T1" s="7"/>
      <c r="X1" s="9"/>
      <c r="AH1" s="8"/>
      <c r="AJ1" s="2"/>
      <c r="AK1" s="2"/>
      <c r="AL1" s="2"/>
      <c r="AM1" s="2"/>
      <c r="AN1" s="2"/>
      <c r="AO1" s="7"/>
    </row>
    <row r="2" spans="1:50" x14ac:dyDescent="0.3">
      <c r="B2" s="7"/>
      <c r="C2" s="7"/>
      <c r="D2" s="7"/>
      <c r="E2" s="7"/>
      <c r="F2" s="7"/>
      <c r="H2" s="15"/>
      <c r="I2" s="41" t="s">
        <v>410</v>
      </c>
      <c r="J2" s="42"/>
      <c r="K2" s="42"/>
      <c r="L2" s="42"/>
      <c r="M2" s="42"/>
      <c r="O2" s="7"/>
      <c r="P2" s="41" t="s">
        <v>32</v>
      </c>
      <c r="Q2" s="34"/>
      <c r="R2" s="34"/>
      <c r="S2" s="34"/>
      <c r="T2" s="34"/>
      <c r="W2" s="41" t="s">
        <v>31</v>
      </c>
      <c r="X2" s="40"/>
      <c r="Y2" s="39"/>
      <c r="Z2" s="39"/>
      <c r="AA2" s="39"/>
      <c r="AB2" s="39"/>
      <c r="AC2" s="39"/>
      <c r="AD2" s="9"/>
      <c r="AE2" s="9"/>
      <c r="AF2" s="9"/>
      <c r="AH2" s="8"/>
      <c r="AI2" s="38" t="s">
        <v>30</v>
      </c>
      <c r="AJ2" s="38"/>
      <c r="AK2" s="38"/>
      <c r="AL2" s="38"/>
      <c r="AM2" s="2"/>
      <c r="AN2" s="2"/>
      <c r="AO2" s="199" t="s">
        <v>660</v>
      </c>
    </row>
    <row r="3" spans="1:50" x14ac:dyDescent="0.3">
      <c r="B3" s="7"/>
      <c r="C3" s="7"/>
      <c r="D3" s="7"/>
      <c r="E3" s="7"/>
      <c r="F3" s="7"/>
      <c r="I3" s="9"/>
      <c r="J3" s="9"/>
      <c r="K3" s="9"/>
      <c r="L3" s="9"/>
      <c r="M3" s="9" t="s">
        <v>28</v>
      </c>
      <c r="P3" s="9"/>
      <c r="Q3" s="9"/>
      <c r="R3" s="9"/>
      <c r="S3" s="9"/>
      <c r="T3" s="9" t="s">
        <v>28</v>
      </c>
      <c r="W3" s="9" t="s">
        <v>29</v>
      </c>
      <c r="X3" s="9"/>
      <c r="Y3" s="9"/>
      <c r="Z3" s="9"/>
      <c r="AA3" s="9"/>
      <c r="AB3" s="9"/>
      <c r="AC3" s="9" t="s">
        <v>28</v>
      </c>
      <c r="AD3" s="9"/>
      <c r="AE3" s="9"/>
      <c r="AF3" s="9"/>
      <c r="AH3" s="8"/>
      <c r="AI3" s="1"/>
      <c r="AO3" s="9" t="s">
        <v>28</v>
      </c>
    </row>
    <row r="4" spans="1:50" x14ac:dyDescent="0.3">
      <c r="B4" s="7"/>
      <c r="C4" s="7"/>
      <c r="D4" s="37" t="s">
        <v>27</v>
      </c>
      <c r="E4" s="7"/>
      <c r="F4" s="7"/>
      <c r="I4" s="9" t="s">
        <v>26</v>
      </c>
      <c r="J4" s="9"/>
      <c r="K4" s="9"/>
      <c r="L4" s="9"/>
      <c r="M4" s="9" t="s">
        <v>25</v>
      </c>
      <c r="P4" s="9" t="s">
        <v>26</v>
      </c>
      <c r="Q4" s="9"/>
      <c r="R4" s="9"/>
      <c r="S4" s="9"/>
      <c r="T4" s="9" t="s">
        <v>25</v>
      </c>
      <c r="W4" s="9" t="s">
        <v>26</v>
      </c>
      <c r="X4" s="9"/>
      <c r="Y4" s="9" t="s">
        <v>26</v>
      </c>
      <c r="Z4" s="9"/>
      <c r="AA4" s="9"/>
      <c r="AB4" s="9"/>
      <c r="AC4" s="9" t="s">
        <v>25</v>
      </c>
      <c r="AD4" s="9"/>
      <c r="AE4" s="9"/>
      <c r="AF4" s="9"/>
      <c r="AH4" s="8"/>
      <c r="AI4" s="1" t="s">
        <v>24</v>
      </c>
      <c r="AJ4" s="36">
        <v>0.75480100000000006</v>
      </c>
      <c r="AO4" s="9" t="s">
        <v>25</v>
      </c>
    </row>
    <row r="5" spans="1:50" x14ac:dyDescent="0.3">
      <c r="B5" s="34" t="s">
        <v>23</v>
      </c>
      <c r="C5" s="7"/>
      <c r="D5" s="35" t="s">
        <v>22</v>
      </c>
      <c r="E5" s="7"/>
      <c r="F5" s="34" t="s">
        <v>21</v>
      </c>
      <c r="I5" s="33" t="s">
        <v>20</v>
      </c>
      <c r="J5" s="9"/>
      <c r="K5" s="33" t="s">
        <v>19</v>
      </c>
      <c r="L5" s="9"/>
      <c r="M5" s="33" t="s">
        <v>629</v>
      </c>
      <c r="P5" s="33" t="s">
        <v>20</v>
      </c>
      <c r="Q5" s="9"/>
      <c r="R5" s="33" t="s">
        <v>19</v>
      </c>
      <c r="S5" s="9"/>
      <c r="T5" s="33" t="s">
        <v>629</v>
      </c>
      <c r="W5" s="33" t="s">
        <v>20</v>
      </c>
      <c r="X5" s="9"/>
      <c r="Y5" s="33" t="s">
        <v>20</v>
      </c>
      <c r="Z5" s="9"/>
      <c r="AA5" s="33" t="s">
        <v>19</v>
      </c>
      <c r="AB5" s="9"/>
      <c r="AC5" s="33" t="s">
        <v>18</v>
      </c>
      <c r="AD5" s="9"/>
      <c r="AE5" s="33" t="s">
        <v>17</v>
      </c>
      <c r="AF5" s="177"/>
      <c r="AH5" s="8"/>
      <c r="AI5" s="1" t="s">
        <v>16</v>
      </c>
      <c r="AJ5" s="32">
        <v>0.21</v>
      </c>
      <c r="AO5" s="33" t="s">
        <v>629</v>
      </c>
    </row>
    <row r="6" spans="1:50" x14ac:dyDescent="0.3">
      <c r="AE6" s="9"/>
      <c r="AF6" s="9"/>
      <c r="AH6" s="8"/>
      <c r="AI6" s="1" t="s">
        <v>15</v>
      </c>
    </row>
    <row r="7" spans="1:50" x14ac:dyDescent="0.3">
      <c r="B7" s="1">
        <v>1</v>
      </c>
      <c r="D7" s="31"/>
      <c r="E7" s="7"/>
      <c r="F7" s="7" t="s">
        <v>14</v>
      </c>
      <c r="I7" s="6">
        <f>+'Exh. BGM-4 (2)'!C44/1000</f>
        <v>148876.03575999988</v>
      </c>
      <c r="J7" s="6"/>
      <c r="K7" s="6">
        <f>+'Exh. BGM-4 (2)'!C57/1000</f>
        <v>2470296.8224115521</v>
      </c>
      <c r="L7" s="6"/>
      <c r="M7" s="6">
        <f>+($K7*$AL$16-$I7)/$AJ$4</f>
        <v>38401.294451957372</v>
      </c>
      <c r="O7" s="7"/>
      <c r="P7" s="30">
        <f>+I7</f>
        <v>148876.03575999988</v>
      </c>
      <c r="Q7" s="6"/>
      <c r="R7" s="6">
        <f>+K7</f>
        <v>2470296.8224115521</v>
      </c>
      <c r="S7" s="6"/>
      <c r="T7" s="6">
        <f>+($R7*$AL$16-$P7)/$AJ$4</f>
        <v>38401.294451957372</v>
      </c>
      <c r="AE7" s="9"/>
      <c r="AF7" s="9"/>
      <c r="AH7" s="8"/>
      <c r="AI7" s="1"/>
      <c r="AO7" s="6">
        <v>44619.574452357367</v>
      </c>
      <c r="AU7" s="29"/>
      <c r="AV7" s="28"/>
      <c r="AW7" s="28"/>
      <c r="AX7" s="28"/>
    </row>
    <row r="8" spans="1:50" x14ac:dyDescent="0.3">
      <c r="D8" s="11"/>
      <c r="I8" s="3"/>
      <c r="J8" s="3"/>
      <c r="K8" s="3"/>
      <c r="L8" s="3"/>
      <c r="M8" s="3"/>
      <c r="P8" s="3"/>
      <c r="Q8" s="3"/>
      <c r="R8" s="3"/>
      <c r="S8" s="3"/>
      <c r="T8" s="3"/>
      <c r="AE8" s="9"/>
      <c r="AF8" s="9"/>
      <c r="AH8" s="8"/>
      <c r="AO8" s="3"/>
      <c r="AU8" s="29"/>
      <c r="AV8" s="28"/>
      <c r="AW8" s="28"/>
      <c r="AX8" s="28"/>
    </row>
    <row r="9" spans="1:50" x14ac:dyDescent="0.3">
      <c r="B9" s="15" t="s">
        <v>12</v>
      </c>
      <c r="D9" s="11"/>
      <c r="I9" s="3"/>
      <c r="J9" s="3"/>
      <c r="K9" s="3"/>
      <c r="L9" s="3"/>
      <c r="M9" s="3"/>
      <c r="P9" s="3"/>
      <c r="Q9" s="3"/>
      <c r="R9" s="3"/>
      <c r="S9" s="3"/>
      <c r="T9" s="3"/>
      <c r="AE9" s="9"/>
      <c r="AF9" s="9"/>
      <c r="AH9" s="8"/>
      <c r="AO9" s="3"/>
      <c r="AV9" s="28"/>
      <c r="AW9" s="28"/>
    </row>
    <row r="10" spans="1:50" x14ac:dyDescent="0.3">
      <c r="B10" s="1">
        <f t="shared" ref="B10:B23" ca="1" si="0">+MAX(OFFSET($B$7,0,0,ROW($B10)-ROW($B$7),1))+1</f>
        <v>2</v>
      </c>
      <c r="D10" s="133" t="s">
        <v>412</v>
      </c>
      <c r="F10" s="1" t="str">
        <f>+INDEX('Exh. BGM-4 (2)'!$10:$10,1,MATCH($D10,'Exh. BGM-4 (2)'!$4:$4,0))</f>
        <v>REVENUES AND EXPENSES</v>
      </c>
      <c r="I10" s="3">
        <v>4268.0949130006939</v>
      </c>
      <c r="J10" s="3"/>
      <c r="K10" s="3">
        <v>0</v>
      </c>
      <c r="L10" s="3"/>
      <c r="M10" s="3">
        <f>+($K10*$AL$16-$I10)/$AJ$4</f>
        <v>-5654.5962617970745</v>
      </c>
      <c r="P10" s="3">
        <f>+I10+Y10</f>
        <v>4268.0949130006939</v>
      </c>
      <c r="Q10" s="3"/>
      <c r="R10" s="3">
        <f>+K10+AA10</f>
        <v>0</v>
      </c>
      <c r="S10" s="3"/>
      <c r="T10" s="3">
        <f>+($R10*$AL$16-$P10)/$AJ$4</f>
        <v>-5654.5962617970745</v>
      </c>
      <c r="W10" s="3">
        <v>0</v>
      </c>
      <c r="X10" s="3"/>
      <c r="Y10" s="3">
        <f>+W10*(1-$AJ$5)</f>
        <v>0</v>
      </c>
      <c r="Z10" s="3"/>
      <c r="AA10" s="3">
        <v>0</v>
      </c>
      <c r="AB10" s="5"/>
      <c r="AC10" s="3">
        <f>+T10-M10</f>
        <v>0</v>
      </c>
      <c r="AE10" s="9"/>
      <c r="AF10" s="9"/>
      <c r="AH10" s="8"/>
      <c r="AI10" s="2" t="s">
        <v>407</v>
      </c>
      <c r="AO10" s="3">
        <v>-5654.5962617970745</v>
      </c>
    </row>
    <row r="11" spans="1:50" x14ac:dyDescent="0.3">
      <c r="B11" s="1">
        <f t="shared" ca="1" si="0"/>
        <v>3</v>
      </c>
      <c r="D11" s="11" t="s">
        <v>413</v>
      </c>
      <c r="F11" s="1" t="str">
        <f>+INDEX('Exh. BGM-4 (2)'!$10:$10,1,MATCH($D11,'Exh. BGM-4 (2)'!$4:$4,0))</f>
        <v>PASS-THROUGH REVENUE &amp; EXPENSE</v>
      </c>
      <c r="I11" s="3">
        <v>-611.83808835041521</v>
      </c>
      <c r="J11" s="3"/>
      <c r="K11" s="3">
        <v>0</v>
      </c>
      <c r="L11" s="3"/>
      <c r="M11" s="3">
        <f t="shared" ref="M11:M40" si="1">+($K11*$AL$16-$I11)/$AJ$4</f>
        <v>810.59522755059299</v>
      </c>
      <c r="P11" s="3">
        <f t="shared" ref="P11:P40" si="2">+I11+Y11</f>
        <v>-611.83808835041521</v>
      </c>
      <c r="Q11" s="3"/>
      <c r="R11" s="3">
        <f t="shared" ref="R11:R40" si="3">+K11+AA11</f>
        <v>0</v>
      </c>
      <c r="S11" s="3"/>
      <c r="T11" s="3">
        <f t="shared" ref="T11:T40" si="4">+($R11*$AL$16-$P11)/$AJ$4</f>
        <v>810.59522755059299</v>
      </c>
      <c r="W11" s="3">
        <v>0</v>
      </c>
      <c r="X11" s="3"/>
      <c r="Y11" s="3">
        <f t="shared" ref="Y11:Y40" si="5">+W11*(1-$AJ$5)</f>
        <v>0</v>
      </c>
      <c r="Z11" s="3"/>
      <c r="AA11" s="3">
        <v>0</v>
      </c>
      <c r="AB11" s="5"/>
      <c r="AC11" s="3">
        <f t="shared" ref="AC11:AC40" si="6">+T11-M11</f>
        <v>0</v>
      </c>
      <c r="AE11" s="9"/>
      <c r="AF11" s="9"/>
      <c r="AH11" s="8"/>
      <c r="AO11" s="3">
        <v>810.59522755059299</v>
      </c>
    </row>
    <row r="12" spans="1:50" x14ac:dyDescent="0.3">
      <c r="B12" s="1">
        <f t="shared" ca="1" si="0"/>
        <v>4</v>
      </c>
      <c r="D12" s="11" t="s">
        <v>414</v>
      </c>
      <c r="F12" s="1" t="str">
        <f>+INDEX('Exh. BGM-4 (2)'!$10:$10,1,MATCH($D12,'Exh. BGM-4 (2)'!$4:$4,0))</f>
        <v>TEMPERATURE NORMALIZATION</v>
      </c>
      <c r="I12" s="3">
        <v>36.56413596203047</v>
      </c>
      <c r="J12" s="3"/>
      <c r="K12" s="3">
        <v>0</v>
      </c>
      <c r="L12" s="3"/>
      <c r="M12" s="3">
        <f t="shared" si="1"/>
        <v>-48.442087334317876</v>
      </c>
      <c r="P12" s="3">
        <f t="shared" si="2"/>
        <v>36.56413596203047</v>
      </c>
      <c r="Q12" s="3"/>
      <c r="R12" s="3">
        <f t="shared" si="3"/>
        <v>0</v>
      </c>
      <c r="S12" s="3"/>
      <c r="T12" s="3">
        <f t="shared" si="4"/>
        <v>-48.442087334317876</v>
      </c>
      <c r="W12" s="3">
        <v>0</v>
      </c>
      <c r="X12" s="3"/>
      <c r="Y12" s="3">
        <f t="shared" si="5"/>
        <v>0</v>
      </c>
      <c r="Z12" s="3"/>
      <c r="AA12" s="3">
        <v>0</v>
      </c>
      <c r="AB12" s="5"/>
      <c r="AC12" s="3">
        <f t="shared" si="6"/>
        <v>0</v>
      </c>
      <c r="AE12" s="9"/>
      <c r="AF12" s="9"/>
      <c r="AH12" s="8"/>
      <c r="AI12" s="27" t="s">
        <v>13</v>
      </c>
      <c r="AJ12" s="181" t="s">
        <v>10</v>
      </c>
      <c r="AK12" s="181"/>
      <c r="AL12" s="182" t="s">
        <v>9</v>
      </c>
      <c r="AO12" s="3">
        <v>-48.442087334317876</v>
      </c>
    </row>
    <row r="13" spans="1:50" x14ac:dyDescent="0.3">
      <c r="B13" s="1">
        <f t="shared" ca="1" si="0"/>
        <v>5</v>
      </c>
      <c r="D13" s="11" t="s">
        <v>415</v>
      </c>
      <c r="F13" s="1" t="str">
        <f>+INDEX('Exh. BGM-4 (2)'!$10:$10,1,MATCH($D13,'Exh. BGM-4 (2)'!$4:$4,0))</f>
        <v>FEDERAL INCOME TAX</v>
      </c>
      <c r="I13" s="3">
        <v>4083.4686190756047</v>
      </c>
      <c r="J13" s="3"/>
      <c r="K13" s="3">
        <v>0</v>
      </c>
      <c r="L13" s="3"/>
      <c r="M13" s="3">
        <f t="shared" si="1"/>
        <v>-5409.993652731785</v>
      </c>
      <c r="P13" s="3">
        <f t="shared" si="2"/>
        <v>4083.4686190756047</v>
      </c>
      <c r="Q13" s="3"/>
      <c r="R13" s="3">
        <f t="shared" si="3"/>
        <v>0</v>
      </c>
      <c r="S13" s="3"/>
      <c r="T13" s="3">
        <f t="shared" si="4"/>
        <v>-5409.993652731785</v>
      </c>
      <c r="W13" s="3">
        <v>0</v>
      </c>
      <c r="X13" s="3"/>
      <c r="Y13" s="3">
        <f t="shared" si="5"/>
        <v>0</v>
      </c>
      <c r="Z13" s="3"/>
      <c r="AA13" s="3">
        <v>0</v>
      </c>
      <c r="AB13" s="5"/>
      <c r="AC13" s="3">
        <f t="shared" si="6"/>
        <v>0</v>
      </c>
      <c r="AE13" s="9"/>
      <c r="AF13" s="9"/>
      <c r="AH13" s="8"/>
      <c r="AI13" s="20" t="s">
        <v>8</v>
      </c>
      <c r="AJ13" s="183" t="s">
        <v>7</v>
      </c>
      <c r="AK13" s="183" t="s">
        <v>6</v>
      </c>
      <c r="AL13" s="184" t="s">
        <v>6</v>
      </c>
      <c r="AO13" s="3">
        <v>-5409.993652731785</v>
      </c>
    </row>
    <row r="14" spans="1:50" x14ac:dyDescent="0.3">
      <c r="B14" s="1">
        <f t="shared" ca="1" si="0"/>
        <v>6</v>
      </c>
      <c r="D14" s="11" t="s">
        <v>416</v>
      </c>
      <c r="F14" s="1" t="str">
        <f>+INDEX('Exh. BGM-4 (2)'!$10:$10,1,MATCH($D14,'Exh. BGM-4 (2)'!$4:$4,0))</f>
        <v>TAX BENEFIT OF INTEREST</v>
      </c>
      <c r="I14" s="3">
        <v>13470.187035978961</v>
      </c>
      <c r="J14" s="3"/>
      <c r="K14" s="3">
        <v>0</v>
      </c>
      <c r="L14" s="3"/>
      <c r="M14" s="3">
        <f t="shared" si="1"/>
        <v>-17846.011115484689</v>
      </c>
      <c r="P14" s="3">
        <f t="shared" si="2"/>
        <v>13470.187035978961</v>
      </c>
      <c r="Q14" s="3"/>
      <c r="R14" s="3">
        <f t="shared" si="3"/>
        <v>0</v>
      </c>
      <c r="S14" s="3"/>
      <c r="T14" s="3">
        <f t="shared" si="4"/>
        <v>-17846.011115484689</v>
      </c>
      <c r="W14" s="3">
        <v>0</v>
      </c>
      <c r="X14" s="3"/>
      <c r="Y14" s="3">
        <f t="shared" si="5"/>
        <v>0</v>
      </c>
      <c r="Z14" s="3"/>
      <c r="AA14" s="3">
        <v>0</v>
      </c>
      <c r="AB14" s="5"/>
      <c r="AC14" s="3">
        <f t="shared" si="6"/>
        <v>0</v>
      </c>
      <c r="AE14" s="9"/>
      <c r="AF14" s="9"/>
      <c r="AH14" s="8"/>
      <c r="AI14" s="22" t="s">
        <v>5</v>
      </c>
      <c r="AJ14" s="21">
        <v>0.51</v>
      </c>
      <c r="AK14" s="21">
        <v>4.9799999999999997E-2</v>
      </c>
      <c r="AL14" s="23">
        <f>ROUND(AJ14*AK14,4)</f>
        <v>2.5399999999999999E-2</v>
      </c>
      <c r="AO14" s="3">
        <v>-17846.011115484689</v>
      </c>
    </row>
    <row r="15" spans="1:50" x14ac:dyDescent="0.3">
      <c r="B15" s="1">
        <f t="shared" ca="1" si="0"/>
        <v>7</v>
      </c>
      <c r="D15" s="11" t="s">
        <v>417</v>
      </c>
      <c r="F15" s="1" t="str">
        <f>+INDEX('Exh. BGM-4 (2)'!$10:$10,1,MATCH($D15,'Exh. BGM-4 (2)'!$4:$4,0))</f>
        <v>BAD DEBT EXPENSE</v>
      </c>
      <c r="I15" s="3">
        <v>332.32722565972779</v>
      </c>
      <c r="J15" s="3"/>
      <c r="K15" s="3">
        <v>0</v>
      </c>
      <c r="L15" s="3"/>
      <c r="M15" s="3">
        <f t="shared" si="1"/>
        <v>-440.2845593205729</v>
      </c>
      <c r="P15" s="3">
        <f t="shared" si="2"/>
        <v>332.32722565972779</v>
      </c>
      <c r="Q15" s="3"/>
      <c r="R15" s="3">
        <f t="shared" si="3"/>
        <v>0</v>
      </c>
      <c r="S15" s="3"/>
      <c r="T15" s="3">
        <f t="shared" si="4"/>
        <v>-440.2845593205729</v>
      </c>
      <c r="W15" s="3">
        <v>0</v>
      </c>
      <c r="X15" s="3"/>
      <c r="Y15" s="3">
        <f t="shared" si="5"/>
        <v>0</v>
      </c>
      <c r="Z15" s="3"/>
      <c r="AA15" s="3">
        <v>0</v>
      </c>
      <c r="AB15" s="5"/>
      <c r="AC15" s="3">
        <f t="shared" si="6"/>
        <v>0</v>
      </c>
      <c r="AE15" s="9"/>
      <c r="AF15" s="9"/>
      <c r="AH15" s="8"/>
      <c r="AI15" s="22" t="s">
        <v>4</v>
      </c>
      <c r="AJ15" s="19">
        <f>1-AJ14</f>
        <v>0.49</v>
      </c>
      <c r="AK15" s="21">
        <v>9.5000000000000001E-2</v>
      </c>
      <c r="AL15" s="17">
        <f>ROUND(AJ15*AK15,4)</f>
        <v>4.6600000000000003E-2</v>
      </c>
      <c r="AO15" s="3">
        <v>-440.2845593205729</v>
      </c>
    </row>
    <row r="16" spans="1:50" x14ac:dyDescent="0.3">
      <c r="B16" s="1">
        <f t="shared" ca="1" si="0"/>
        <v>8</v>
      </c>
      <c r="D16" s="11" t="s">
        <v>418</v>
      </c>
      <c r="F16" s="1" t="str">
        <f>+INDEX('Exh. BGM-4 (2)'!$10:$10,1,MATCH($D16,'Exh. BGM-4 (2)'!$4:$4,0))</f>
        <v>RATE CASE EXPENSE</v>
      </c>
      <c r="I16" s="3">
        <v>-30.618301992259962</v>
      </c>
      <c r="J16" s="3"/>
      <c r="K16" s="3">
        <v>0</v>
      </c>
      <c r="L16" s="3"/>
      <c r="M16" s="3">
        <f t="shared" si="1"/>
        <v>40.564734270701763</v>
      </c>
      <c r="P16" s="3">
        <f t="shared" si="2"/>
        <v>-30.618301992259962</v>
      </c>
      <c r="Q16" s="3"/>
      <c r="R16" s="3">
        <f t="shared" si="3"/>
        <v>0</v>
      </c>
      <c r="S16" s="3"/>
      <c r="T16" s="3">
        <f t="shared" si="4"/>
        <v>40.564734270701763</v>
      </c>
      <c r="W16" s="3">
        <v>0</v>
      </c>
      <c r="X16" s="3"/>
      <c r="Y16" s="3">
        <f t="shared" si="5"/>
        <v>0</v>
      </c>
      <c r="Z16" s="3"/>
      <c r="AA16" s="3">
        <v>0</v>
      </c>
      <c r="AB16" s="5"/>
      <c r="AC16" s="3">
        <f t="shared" si="6"/>
        <v>0</v>
      </c>
      <c r="AE16" s="9"/>
      <c r="AF16" s="9"/>
      <c r="AH16" s="8"/>
      <c r="AI16" s="20" t="s">
        <v>3</v>
      </c>
      <c r="AJ16" s="19">
        <v>1</v>
      </c>
      <c r="AK16" s="18"/>
      <c r="AL16" s="17">
        <f>+SUM(AL14:AL15)</f>
        <v>7.2000000000000008E-2</v>
      </c>
      <c r="AO16" s="3">
        <v>40.564734270701763</v>
      </c>
    </row>
    <row r="17" spans="2:41" x14ac:dyDescent="0.3">
      <c r="B17" s="1">
        <f t="shared" ca="1" si="0"/>
        <v>9</v>
      </c>
      <c r="D17" s="11" t="s">
        <v>419</v>
      </c>
      <c r="F17" s="1" t="str">
        <f>+INDEX('Exh. BGM-4 (2)'!$10:$10,1,MATCH($D17,'Exh. BGM-4 (2)'!$4:$4,0))</f>
        <v xml:space="preserve">EXCISE TAX </v>
      </c>
      <c r="I17" s="3">
        <v>0.95077666197940713</v>
      </c>
      <c r="J17" s="3"/>
      <c r="K17" s="3">
        <v>0</v>
      </c>
      <c r="L17" s="3"/>
      <c r="M17" s="3">
        <f t="shared" si="1"/>
        <v>-1.2596388478279799</v>
      </c>
      <c r="P17" s="3">
        <f t="shared" si="2"/>
        <v>0.95077666197940713</v>
      </c>
      <c r="Q17" s="3"/>
      <c r="R17" s="3">
        <f t="shared" si="3"/>
        <v>0</v>
      </c>
      <c r="S17" s="3"/>
      <c r="T17" s="3">
        <f t="shared" si="4"/>
        <v>-1.2596388478279799</v>
      </c>
      <c r="W17" s="3">
        <v>0</v>
      </c>
      <c r="X17" s="3"/>
      <c r="Y17" s="3">
        <f t="shared" si="5"/>
        <v>0</v>
      </c>
      <c r="Z17" s="3"/>
      <c r="AA17" s="3">
        <v>0</v>
      </c>
      <c r="AB17" s="5"/>
      <c r="AC17" s="3">
        <f t="shared" si="6"/>
        <v>0</v>
      </c>
      <c r="AE17" s="9"/>
      <c r="AF17" s="9"/>
      <c r="AH17" s="8"/>
      <c r="AO17" s="3">
        <v>-1.2596388478279799</v>
      </c>
    </row>
    <row r="18" spans="2:41" x14ac:dyDescent="0.3">
      <c r="B18" s="1">
        <f t="shared" ca="1" si="0"/>
        <v>10</v>
      </c>
      <c r="D18" s="11" t="s">
        <v>420</v>
      </c>
      <c r="F18" s="1" t="str">
        <f>+INDEX('Exh. BGM-4 (2)'!$10:$10,1,MATCH($D18,'Exh. BGM-4 (2)'!$4:$4,0))</f>
        <v>EMPLOYEE INSURANCE</v>
      </c>
      <c r="I18" s="3">
        <v>13.767210054030084</v>
      </c>
      <c r="J18" s="3"/>
      <c r="K18" s="3">
        <v>0</v>
      </c>
      <c r="L18" s="3"/>
      <c r="M18" s="3">
        <f t="shared" si="1"/>
        <v>-18.239522806713403</v>
      </c>
      <c r="P18" s="3">
        <f t="shared" si="2"/>
        <v>13.767210054030084</v>
      </c>
      <c r="Q18" s="3"/>
      <c r="R18" s="3">
        <f t="shared" si="3"/>
        <v>0</v>
      </c>
      <c r="S18" s="3"/>
      <c r="T18" s="3">
        <f t="shared" si="4"/>
        <v>-18.239522806713403</v>
      </c>
      <c r="W18" s="3">
        <v>0</v>
      </c>
      <c r="X18" s="3"/>
      <c r="Y18" s="3">
        <f t="shared" si="5"/>
        <v>0</v>
      </c>
      <c r="Z18" s="3"/>
      <c r="AA18" s="3">
        <v>0</v>
      </c>
      <c r="AB18" s="5"/>
      <c r="AC18" s="3">
        <f t="shared" si="6"/>
        <v>0</v>
      </c>
      <c r="AE18" s="9"/>
      <c r="AF18" s="9"/>
      <c r="AH18" s="8"/>
      <c r="AI18" s="27" t="s">
        <v>11</v>
      </c>
      <c r="AJ18" s="26" t="s">
        <v>10</v>
      </c>
      <c r="AK18" s="26"/>
      <c r="AL18" s="25" t="s">
        <v>9</v>
      </c>
      <c r="AO18" s="3">
        <v>-18.239522806713403</v>
      </c>
    </row>
    <row r="19" spans="2:41" x14ac:dyDescent="0.3">
      <c r="B19" s="1">
        <f t="shared" ca="1" si="0"/>
        <v>11</v>
      </c>
      <c r="D19" s="11" t="s">
        <v>421</v>
      </c>
      <c r="F19" s="1" t="str">
        <f>+INDEX('Exh. BGM-4 (2)'!$10:$10,1,MATCH($D19,'Exh. BGM-4 (2)'!$4:$4,0))</f>
        <v>INJURIES &amp; DAMAGES</v>
      </c>
      <c r="I19" s="3">
        <v>662.27535417178285</v>
      </c>
      <c r="J19" s="3"/>
      <c r="K19" s="3">
        <v>0</v>
      </c>
      <c r="L19" s="3"/>
      <c r="M19" s="3">
        <f t="shared" si="1"/>
        <v>-877.41716581162825</v>
      </c>
      <c r="P19" s="3">
        <f t="shared" si="2"/>
        <v>662.27535417178285</v>
      </c>
      <c r="Q19" s="3"/>
      <c r="R19" s="3">
        <f t="shared" si="3"/>
        <v>0</v>
      </c>
      <c r="S19" s="3"/>
      <c r="T19" s="3">
        <f t="shared" si="4"/>
        <v>-877.41716581162825</v>
      </c>
      <c r="W19" s="3">
        <v>0</v>
      </c>
      <c r="X19" s="3"/>
      <c r="Y19" s="3">
        <f t="shared" si="5"/>
        <v>0</v>
      </c>
      <c r="Z19" s="3"/>
      <c r="AA19" s="3">
        <v>0</v>
      </c>
      <c r="AB19" s="5"/>
      <c r="AC19" s="3">
        <f t="shared" si="6"/>
        <v>0</v>
      </c>
      <c r="AE19" s="9"/>
      <c r="AF19" s="9"/>
      <c r="AH19" s="8"/>
      <c r="AI19" s="20" t="s">
        <v>8</v>
      </c>
      <c r="AJ19" s="18" t="s">
        <v>7</v>
      </c>
      <c r="AK19" s="18" t="s">
        <v>6</v>
      </c>
      <c r="AL19" s="24" t="s">
        <v>6</v>
      </c>
      <c r="AO19" s="3">
        <v>-877.41716581162825</v>
      </c>
    </row>
    <row r="20" spans="2:41" x14ac:dyDescent="0.3">
      <c r="B20" s="1">
        <f t="shared" ca="1" si="0"/>
        <v>12</v>
      </c>
      <c r="D20" s="11" t="s">
        <v>422</v>
      </c>
      <c r="F20" s="1" t="str">
        <f>+INDEX('Exh. BGM-4 (2)'!$10:$10,1,MATCH($D20,'Exh. BGM-4 (2)'!$4:$4,0))</f>
        <v>INCENTIVE PAY</v>
      </c>
      <c r="I20" s="3">
        <v>-2217.5529012950092</v>
      </c>
      <c r="J20" s="3"/>
      <c r="K20" s="3">
        <v>0</v>
      </c>
      <c r="L20" s="3"/>
      <c r="M20" s="3">
        <f t="shared" si="1"/>
        <v>2937.9305290997349</v>
      </c>
      <c r="P20" s="3">
        <f t="shared" si="2"/>
        <v>-2217.5529012950092</v>
      </c>
      <c r="Q20" s="3"/>
      <c r="R20" s="3">
        <f t="shared" si="3"/>
        <v>0</v>
      </c>
      <c r="S20" s="3"/>
      <c r="T20" s="3">
        <f t="shared" si="4"/>
        <v>2937.9305290997349</v>
      </c>
      <c r="W20" s="3">
        <v>0</v>
      </c>
      <c r="X20" s="3"/>
      <c r="Y20" s="3">
        <f t="shared" si="5"/>
        <v>0</v>
      </c>
      <c r="Z20" s="3"/>
      <c r="AA20" s="3">
        <v>0</v>
      </c>
      <c r="AB20" s="5"/>
      <c r="AC20" s="3">
        <f t="shared" si="6"/>
        <v>0</v>
      </c>
      <c r="AE20" s="9"/>
      <c r="AF20" s="9"/>
      <c r="AH20" s="8"/>
      <c r="AI20" s="22" t="s">
        <v>5</v>
      </c>
      <c r="AJ20" s="21">
        <v>0.51</v>
      </c>
      <c r="AK20" s="21">
        <v>4.9799999999999997E-2</v>
      </c>
      <c r="AL20" s="23">
        <f>ROUND(AJ20*AK20,4)</f>
        <v>2.5399999999999999E-2</v>
      </c>
      <c r="AO20" s="3">
        <v>2937.9305290997349</v>
      </c>
    </row>
    <row r="21" spans="2:41" x14ac:dyDescent="0.3">
      <c r="B21" s="1">
        <f t="shared" ca="1" si="0"/>
        <v>13</v>
      </c>
      <c r="D21" s="11" t="s">
        <v>423</v>
      </c>
      <c r="F21" s="1" t="str">
        <f>+INDEX('Exh. BGM-4 (2)'!$10:$10,1,MATCH($D21,'Exh. BGM-4 (2)'!$4:$4,0))</f>
        <v>INVESTMENT PLAN</v>
      </c>
      <c r="I21" s="3">
        <v>-49.077570371584741</v>
      </c>
      <c r="J21" s="3"/>
      <c r="K21" s="3">
        <v>0</v>
      </c>
      <c r="L21" s="3"/>
      <c r="M21" s="3">
        <f t="shared" si="1"/>
        <v>65.020542330474839</v>
      </c>
      <c r="P21" s="3">
        <f t="shared" si="2"/>
        <v>-49.077570371584741</v>
      </c>
      <c r="Q21" s="3"/>
      <c r="R21" s="3">
        <f t="shared" si="3"/>
        <v>0</v>
      </c>
      <c r="S21" s="3"/>
      <c r="T21" s="3">
        <f t="shared" si="4"/>
        <v>65.020542330474839</v>
      </c>
      <c r="W21" s="3">
        <v>0</v>
      </c>
      <c r="X21" s="3"/>
      <c r="Y21" s="3">
        <f t="shared" si="5"/>
        <v>0</v>
      </c>
      <c r="Z21" s="3"/>
      <c r="AA21" s="3">
        <v>0</v>
      </c>
      <c r="AB21" s="5"/>
      <c r="AC21" s="3">
        <f t="shared" si="6"/>
        <v>0</v>
      </c>
      <c r="AE21" s="9"/>
      <c r="AF21" s="9"/>
      <c r="AH21" s="8"/>
      <c r="AI21" s="22" t="s">
        <v>4</v>
      </c>
      <c r="AJ21" s="19">
        <f>1-AJ20</f>
        <v>0.49</v>
      </c>
      <c r="AK21" s="21">
        <v>9.9000000000000005E-2</v>
      </c>
      <c r="AL21" s="17">
        <f>ROUND(AJ21*AK21,4)</f>
        <v>4.8500000000000001E-2</v>
      </c>
      <c r="AO21" s="3">
        <v>65.020542330474839</v>
      </c>
    </row>
    <row r="22" spans="2:41" x14ac:dyDescent="0.3">
      <c r="B22" s="1">
        <f t="shared" ca="1" si="0"/>
        <v>14</v>
      </c>
      <c r="D22" s="11" t="s">
        <v>424</v>
      </c>
      <c r="F22" s="1" t="str">
        <f>+INDEX('Exh. BGM-4 (2)'!$10:$10,1,MATCH($D22,'Exh. BGM-4 (2)'!$4:$4,0))</f>
        <v>INTEREST ON  CUSTOMER DEPOSITS</v>
      </c>
      <c r="I22" s="3">
        <v>-3.8706276671299307</v>
      </c>
      <c r="J22" s="3"/>
      <c r="K22" s="3">
        <v>0</v>
      </c>
      <c r="L22" s="3"/>
      <c r="M22" s="3">
        <f t="shared" si="1"/>
        <v>5.1280107831467241</v>
      </c>
      <c r="P22" s="3">
        <f t="shared" si="2"/>
        <v>-3.8706276671299307</v>
      </c>
      <c r="Q22" s="3"/>
      <c r="R22" s="3">
        <f t="shared" si="3"/>
        <v>0</v>
      </c>
      <c r="S22" s="3"/>
      <c r="T22" s="3">
        <f t="shared" si="4"/>
        <v>5.1280107831467241</v>
      </c>
      <c r="W22" s="3">
        <v>0</v>
      </c>
      <c r="X22" s="3"/>
      <c r="Y22" s="3">
        <f t="shared" si="5"/>
        <v>0</v>
      </c>
      <c r="Z22" s="3"/>
      <c r="AA22" s="3">
        <v>0</v>
      </c>
      <c r="AB22" s="5"/>
      <c r="AC22" s="3">
        <f t="shared" si="6"/>
        <v>0</v>
      </c>
      <c r="AE22" s="9"/>
      <c r="AF22" s="9"/>
      <c r="AH22" s="8"/>
      <c r="AI22" s="20" t="s">
        <v>3</v>
      </c>
      <c r="AJ22" s="19">
        <v>1</v>
      </c>
      <c r="AK22" s="18"/>
      <c r="AL22" s="17">
        <f>+SUM(AL20:AL21)</f>
        <v>7.3899999999999993E-2</v>
      </c>
      <c r="AO22" s="3">
        <v>5.1280107831467241</v>
      </c>
    </row>
    <row r="23" spans="2:41" ht="13.5" x14ac:dyDescent="0.35">
      <c r="B23" s="1">
        <f t="shared" ca="1" si="0"/>
        <v>15</v>
      </c>
      <c r="D23" s="11" t="s">
        <v>425</v>
      </c>
      <c r="F23" s="1" t="str">
        <f>+INDEX('Exh. BGM-4 (2)'!$10:$10,1,MATCH($D23,'Exh. BGM-4 (2)'!$4:$4,0))</f>
        <v>PROPERTY AND LIAB INSURANCE</v>
      </c>
      <c r="I23" s="3">
        <v>-238.40368133350944</v>
      </c>
      <c r="J23" s="3"/>
      <c r="K23" s="3">
        <v>0</v>
      </c>
      <c r="L23" s="3"/>
      <c r="M23" s="3">
        <f t="shared" si="1"/>
        <v>315.84971579728887</v>
      </c>
      <c r="P23" s="3">
        <f t="shared" si="2"/>
        <v>-238.40368133350944</v>
      </c>
      <c r="Q23" s="3"/>
      <c r="R23" s="3">
        <f t="shared" si="3"/>
        <v>0</v>
      </c>
      <c r="S23" s="3"/>
      <c r="T23" s="3">
        <f t="shared" si="4"/>
        <v>315.84971579728887</v>
      </c>
      <c r="W23" s="3">
        <v>0</v>
      </c>
      <c r="X23" s="3"/>
      <c r="Y23" s="3">
        <f t="shared" si="5"/>
        <v>0</v>
      </c>
      <c r="Z23" s="3"/>
      <c r="AA23" s="3">
        <v>0</v>
      </c>
      <c r="AB23" s="5"/>
      <c r="AC23" s="3">
        <f t="shared" si="6"/>
        <v>0</v>
      </c>
      <c r="AE23" s="9"/>
      <c r="AF23" s="9"/>
      <c r="AH23" s="8"/>
      <c r="AI23" s="16"/>
      <c r="AK23" s="10"/>
      <c r="AL23" s="3"/>
      <c r="AO23" s="3">
        <v>315.84971579728887</v>
      </c>
    </row>
    <row r="24" spans="2:41" ht="13.5" x14ac:dyDescent="0.35">
      <c r="B24" s="1">
        <f t="shared" ref="B24:B40" ca="1" si="7">+MAX(OFFSET($B$7,0,0,ROW($B24)-ROW($B$7),1))+1</f>
        <v>16</v>
      </c>
      <c r="D24" s="11" t="s">
        <v>426</v>
      </c>
      <c r="F24" s="1" t="str">
        <f>+INDEX('Exh. BGM-4 (2)'!$10:$10,1,MATCH($D24,'Exh. BGM-4 (2)'!$4:$4,0))</f>
        <v>DEFERRED GAINS AND LOSSES ON PROPERTY SALES</v>
      </c>
      <c r="I24" s="3">
        <v>18.053427599999996</v>
      </c>
      <c r="J24" s="3"/>
      <c r="K24" s="3">
        <v>0</v>
      </c>
      <c r="L24" s="3"/>
      <c r="M24" s="3">
        <f t="shared" si="1"/>
        <v>-23.918128884301947</v>
      </c>
      <c r="P24" s="3">
        <f t="shared" si="2"/>
        <v>18.053427599999996</v>
      </c>
      <c r="Q24" s="3"/>
      <c r="R24" s="3">
        <f t="shared" si="3"/>
        <v>0</v>
      </c>
      <c r="S24" s="3"/>
      <c r="T24" s="3">
        <f t="shared" si="4"/>
        <v>-23.918128884301947</v>
      </c>
      <c r="W24" s="3">
        <v>0</v>
      </c>
      <c r="X24" s="3"/>
      <c r="Y24" s="3">
        <f t="shared" si="5"/>
        <v>0</v>
      </c>
      <c r="Z24" s="3"/>
      <c r="AA24" s="3">
        <v>0</v>
      </c>
      <c r="AB24" s="5"/>
      <c r="AC24" s="3">
        <f t="shared" si="6"/>
        <v>0</v>
      </c>
      <c r="AE24" s="9"/>
      <c r="AF24" s="9"/>
      <c r="AH24" s="8"/>
      <c r="AI24" s="16"/>
      <c r="AK24" s="10"/>
      <c r="AL24" s="3"/>
      <c r="AO24" s="3">
        <v>-23.918128884301947</v>
      </c>
    </row>
    <row r="25" spans="2:41" x14ac:dyDescent="0.3">
      <c r="B25" s="1">
        <f t="shared" ca="1" si="7"/>
        <v>17</v>
      </c>
      <c r="D25" s="11" t="s">
        <v>427</v>
      </c>
      <c r="F25" s="1" t="str">
        <f>+INDEX('Exh. BGM-4 (2)'!$10:$10,1,MATCH($D25,'Exh. BGM-4 (2)'!$4:$4,0))</f>
        <v>D&amp;O INSURANCE</v>
      </c>
      <c r="I25" s="3">
        <v>47.549921461222837</v>
      </c>
      <c r="J25" s="3"/>
      <c r="K25" s="3">
        <v>0</v>
      </c>
      <c r="L25" s="3"/>
      <c r="M25" s="3">
        <f t="shared" si="1"/>
        <v>-62.996632835969791</v>
      </c>
      <c r="P25" s="3">
        <f t="shared" si="2"/>
        <v>47.549921461222837</v>
      </c>
      <c r="Q25" s="3"/>
      <c r="R25" s="3">
        <f t="shared" si="3"/>
        <v>0</v>
      </c>
      <c r="S25" s="3"/>
      <c r="T25" s="3">
        <f t="shared" si="4"/>
        <v>-62.996632835969791</v>
      </c>
      <c r="W25" s="3">
        <v>0</v>
      </c>
      <c r="X25" s="3"/>
      <c r="Y25" s="3">
        <f t="shared" si="5"/>
        <v>0</v>
      </c>
      <c r="Z25" s="3"/>
      <c r="AA25" s="3">
        <v>0</v>
      </c>
      <c r="AB25" s="5"/>
      <c r="AC25" s="3">
        <f t="shared" si="6"/>
        <v>0</v>
      </c>
      <c r="AE25" s="9"/>
      <c r="AF25" s="9"/>
      <c r="AH25" s="8"/>
      <c r="AI25" s="2" t="s">
        <v>408</v>
      </c>
      <c r="AO25" s="3">
        <v>-62.996632835969791</v>
      </c>
    </row>
    <row r="26" spans="2:41" x14ac:dyDescent="0.3">
      <c r="B26" s="1">
        <f t="shared" ca="1" si="7"/>
        <v>18</v>
      </c>
      <c r="D26" s="11" t="s">
        <v>428</v>
      </c>
      <c r="F26" s="1" t="str">
        <f>+INDEX('Exh. BGM-4 (2)'!$10:$10,1,MATCH($D26,'Exh. BGM-4 (2)'!$4:$4,0))</f>
        <v>PENSION PLAN</v>
      </c>
      <c r="I26" s="3">
        <v>629.81127671236459</v>
      </c>
      <c r="J26" s="3"/>
      <c r="K26" s="3">
        <v>0</v>
      </c>
      <c r="L26" s="3"/>
      <c r="M26" s="3">
        <f t="shared" si="1"/>
        <v>-834.40705127889942</v>
      </c>
      <c r="P26" s="3">
        <f t="shared" si="2"/>
        <v>629.81127671236459</v>
      </c>
      <c r="Q26" s="3"/>
      <c r="R26" s="3">
        <f t="shared" si="3"/>
        <v>0</v>
      </c>
      <c r="S26" s="3"/>
      <c r="T26" s="3">
        <f t="shared" si="4"/>
        <v>-834.40705127889942</v>
      </c>
      <c r="W26" s="3">
        <v>0</v>
      </c>
      <c r="X26" s="3"/>
      <c r="Y26" s="3">
        <f t="shared" si="5"/>
        <v>0</v>
      </c>
      <c r="Z26" s="3"/>
      <c r="AA26" s="3">
        <v>0</v>
      </c>
      <c r="AB26" s="5"/>
      <c r="AC26" s="3">
        <f t="shared" si="6"/>
        <v>0</v>
      </c>
      <c r="AE26" s="9"/>
      <c r="AF26" s="9"/>
      <c r="AH26" s="8"/>
      <c r="AO26" s="3">
        <v>-834.40705127889942</v>
      </c>
    </row>
    <row r="27" spans="2:41" x14ac:dyDescent="0.3">
      <c r="B27" s="1">
        <f t="shared" ca="1" si="7"/>
        <v>19</v>
      </c>
      <c r="D27" s="11" t="s">
        <v>429</v>
      </c>
      <c r="F27" s="1" t="str">
        <f>+INDEX('Exh. BGM-4 (2)'!$10:$10,1,MATCH($D27,'Exh. BGM-4 (2)'!$4:$4,0))</f>
        <v>WAGE INCREASE</v>
      </c>
      <c r="I27" s="3">
        <v>-939.59336042031589</v>
      </c>
      <c r="J27" s="3"/>
      <c r="K27" s="3">
        <v>0</v>
      </c>
      <c r="L27" s="3"/>
      <c r="M27" s="3">
        <f t="shared" si="1"/>
        <v>1244.8226226784489</v>
      </c>
      <c r="P27" s="3">
        <f t="shared" si="2"/>
        <v>-939.59336042031589</v>
      </c>
      <c r="Q27" s="3"/>
      <c r="R27" s="3">
        <f t="shared" si="3"/>
        <v>0</v>
      </c>
      <c r="S27" s="3"/>
      <c r="T27" s="3">
        <f t="shared" si="4"/>
        <v>1244.8226226784489</v>
      </c>
      <c r="W27" s="3">
        <v>0</v>
      </c>
      <c r="X27" s="3"/>
      <c r="Y27" s="3">
        <f t="shared" si="5"/>
        <v>0</v>
      </c>
      <c r="Z27" s="3"/>
      <c r="AA27" s="3">
        <v>0</v>
      </c>
      <c r="AB27" s="5"/>
      <c r="AC27" s="3">
        <f t="shared" si="6"/>
        <v>0</v>
      </c>
      <c r="AE27" s="9"/>
      <c r="AF27" s="9"/>
      <c r="AH27" s="8"/>
      <c r="AI27" s="27" t="s">
        <v>13</v>
      </c>
      <c r="AJ27" s="26" t="s">
        <v>10</v>
      </c>
      <c r="AK27" s="26"/>
      <c r="AL27" s="25" t="s">
        <v>9</v>
      </c>
      <c r="AO27" s="3">
        <v>1244.8226226784489</v>
      </c>
    </row>
    <row r="28" spans="2:41" x14ac:dyDescent="0.3">
      <c r="B28" s="1">
        <f t="shared" ca="1" si="7"/>
        <v>20</v>
      </c>
      <c r="D28" s="11" t="s">
        <v>430</v>
      </c>
      <c r="F28" s="1" t="str">
        <f>+INDEX('Exh. BGM-4 (2)'!$10:$10,1,MATCH($D28,'Exh. BGM-4 (2)'!$4:$4,0))</f>
        <v>AMA TO EOP RATE BASE</v>
      </c>
      <c r="I28" s="3">
        <v>0</v>
      </c>
      <c r="J28" s="3"/>
      <c r="K28" s="3">
        <v>67075.380913949484</v>
      </c>
      <c r="L28" s="3"/>
      <c r="M28" s="3">
        <f t="shared" si="1"/>
        <v>6398.2790507754535</v>
      </c>
      <c r="P28" s="3">
        <f t="shared" si="2"/>
        <v>0</v>
      </c>
      <c r="Q28" s="3"/>
      <c r="R28" s="3">
        <f t="shared" si="3"/>
        <v>67075.380913949484</v>
      </c>
      <c r="S28" s="3"/>
      <c r="T28" s="3">
        <f t="shared" si="4"/>
        <v>6398.2790507754535</v>
      </c>
      <c r="W28" s="3">
        <v>0</v>
      </c>
      <c r="X28" s="3"/>
      <c r="Y28" s="3">
        <f t="shared" si="5"/>
        <v>0</v>
      </c>
      <c r="Z28" s="3"/>
      <c r="AA28" s="3">
        <v>0</v>
      </c>
      <c r="AB28" s="5"/>
      <c r="AC28" s="3">
        <f t="shared" si="6"/>
        <v>0</v>
      </c>
      <c r="AE28" s="9"/>
      <c r="AF28" s="9"/>
      <c r="AH28" s="8"/>
      <c r="AI28" s="20" t="s">
        <v>8</v>
      </c>
      <c r="AJ28" s="18" t="s">
        <v>7</v>
      </c>
      <c r="AK28" s="18" t="s">
        <v>6</v>
      </c>
      <c r="AL28" s="24" t="s">
        <v>6</v>
      </c>
      <c r="AO28" s="3">
        <v>6567.1225257264705</v>
      </c>
    </row>
    <row r="29" spans="2:41" x14ac:dyDescent="0.3">
      <c r="B29" s="1">
        <f t="shared" ca="1" si="7"/>
        <v>21</v>
      </c>
      <c r="D29" s="11" t="s">
        <v>431</v>
      </c>
      <c r="F29" s="1" t="str">
        <f>+INDEX('Exh. BGM-4 (2)'!$10:$10,1,MATCH($D29,'Exh. BGM-4 (2)'!$4:$4,0))</f>
        <v>AMA TO EOP DEPRECIATION</v>
      </c>
      <c r="I29" s="3">
        <v>210.10048828822755</v>
      </c>
      <c r="J29" s="3"/>
      <c r="K29" s="3">
        <v>210.10048828822772</v>
      </c>
      <c r="L29" s="3"/>
      <c r="M29" s="3">
        <f t="shared" si="1"/>
        <v>-258.31080394895497</v>
      </c>
      <c r="P29" s="3">
        <f t="shared" si="2"/>
        <v>210.10048828822755</v>
      </c>
      <c r="Q29" s="3"/>
      <c r="R29" s="3">
        <f t="shared" si="3"/>
        <v>210.10048828822772</v>
      </c>
      <c r="S29" s="3"/>
      <c r="T29" s="3">
        <f t="shared" si="4"/>
        <v>-258.31080394895497</v>
      </c>
      <c r="W29" s="3">
        <v>0</v>
      </c>
      <c r="X29" s="3"/>
      <c r="Y29" s="3">
        <f t="shared" si="5"/>
        <v>0</v>
      </c>
      <c r="Z29" s="3"/>
      <c r="AA29" s="3">
        <v>0</v>
      </c>
      <c r="AB29" s="5"/>
      <c r="AC29" s="3">
        <f t="shared" si="6"/>
        <v>0</v>
      </c>
      <c r="AE29" s="9"/>
      <c r="AF29" s="9"/>
      <c r="AH29" s="8"/>
      <c r="AI29" s="22" t="s">
        <v>5</v>
      </c>
      <c r="AJ29" s="21">
        <v>0.51</v>
      </c>
      <c r="AK29" s="21">
        <f>+AK14</f>
        <v>4.9799999999999997E-2</v>
      </c>
      <c r="AL29" s="23">
        <f>ROUND(AJ29*AK29,4)</f>
        <v>2.5399999999999999E-2</v>
      </c>
      <c r="AO29" s="3">
        <v>-257.78193484604219</v>
      </c>
    </row>
    <row r="30" spans="2:41" x14ac:dyDescent="0.3">
      <c r="B30" s="1">
        <f t="shared" ca="1" si="7"/>
        <v>22</v>
      </c>
      <c r="D30" s="11" t="s">
        <v>432</v>
      </c>
      <c r="F30" s="1" t="str">
        <f>+INDEX('Exh. BGM-4 (2)'!$10:$10,1,MATCH($D30,'Exh. BGM-4 (2)'!$4:$4,0))</f>
        <v>WUTC FILING FEE</v>
      </c>
      <c r="I30" s="3">
        <v>6.4860668321998958</v>
      </c>
      <c r="J30" s="3"/>
      <c r="K30" s="3">
        <v>0</v>
      </c>
      <c r="L30" s="3"/>
      <c r="M30" s="3">
        <f t="shared" si="1"/>
        <v>-8.593081927819247</v>
      </c>
      <c r="P30" s="3">
        <f t="shared" si="2"/>
        <v>6.4860668321998958</v>
      </c>
      <c r="Q30" s="3"/>
      <c r="R30" s="3">
        <f t="shared" si="3"/>
        <v>0</v>
      </c>
      <c r="S30" s="3"/>
      <c r="T30" s="3">
        <f t="shared" si="4"/>
        <v>-8.593081927819247</v>
      </c>
      <c r="W30" s="3">
        <v>0</v>
      </c>
      <c r="X30" s="3"/>
      <c r="Y30" s="3">
        <f t="shared" si="5"/>
        <v>0</v>
      </c>
      <c r="Z30" s="3"/>
      <c r="AA30" s="3">
        <v>0</v>
      </c>
      <c r="AB30" s="5"/>
      <c r="AC30" s="3">
        <f t="shared" si="6"/>
        <v>0</v>
      </c>
      <c r="AE30" s="9"/>
      <c r="AF30" s="9"/>
      <c r="AH30" s="8"/>
      <c r="AI30" s="22" t="s">
        <v>4</v>
      </c>
      <c r="AJ30" s="19">
        <f>1-AJ29</f>
        <v>0.49</v>
      </c>
      <c r="AK30" s="21">
        <f>+AK15</f>
        <v>9.5000000000000001E-2</v>
      </c>
      <c r="AL30" s="17">
        <f>ROUND(AJ30*AK30,4)</f>
        <v>4.6600000000000003E-2</v>
      </c>
      <c r="AO30" s="3">
        <v>-8.593081927819247</v>
      </c>
    </row>
    <row r="31" spans="2:41" x14ac:dyDescent="0.3">
      <c r="B31" s="1">
        <f t="shared" ca="1" si="7"/>
        <v>23</v>
      </c>
      <c r="D31" s="11" t="s">
        <v>433</v>
      </c>
      <c r="F31" s="1" t="str">
        <f>+INDEX('Exh. BGM-4 (2)'!$10:$10,1,MATCH($D31,'Exh. BGM-4 (2)'!$4:$4,0))</f>
        <v>PRO FORMA O&amp;M</v>
      </c>
      <c r="I31" s="3">
        <v>0</v>
      </c>
      <c r="J31" s="3"/>
      <c r="K31" s="3">
        <v>0</v>
      </c>
      <c r="L31" s="3"/>
      <c r="M31" s="3">
        <f t="shared" si="1"/>
        <v>0</v>
      </c>
      <c r="P31" s="3">
        <f t="shared" si="2"/>
        <v>0</v>
      </c>
      <c r="Q31" s="3"/>
      <c r="R31" s="3">
        <f t="shared" si="3"/>
        <v>0</v>
      </c>
      <c r="S31" s="3"/>
      <c r="T31" s="3">
        <f t="shared" si="4"/>
        <v>0</v>
      </c>
      <c r="W31" s="3">
        <v>0</v>
      </c>
      <c r="X31" s="3"/>
      <c r="Y31" s="3">
        <f t="shared" si="5"/>
        <v>0</v>
      </c>
      <c r="Z31" s="3"/>
      <c r="AA31" s="3">
        <v>0</v>
      </c>
      <c r="AB31" s="5"/>
      <c r="AC31" s="3">
        <f t="shared" si="6"/>
        <v>0</v>
      </c>
      <c r="AE31" s="9"/>
      <c r="AF31" s="9"/>
      <c r="AH31" s="8"/>
      <c r="AI31" s="20" t="s">
        <v>3</v>
      </c>
      <c r="AJ31" s="19">
        <v>1</v>
      </c>
      <c r="AK31" s="18"/>
      <c r="AL31" s="17">
        <f>+SUM(AL29:AL30)</f>
        <v>7.2000000000000008E-2</v>
      </c>
      <c r="AO31" s="3">
        <v>0</v>
      </c>
    </row>
    <row r="32" spans="2:41" x14ac:dyDescent="0.3">
      <c r="B32" s="1">
        <f t="shared" ca="1" si="7"/>
        <v>24</v>
      </c>
      <c r="D32" s="11" t="s">
        <v>434</v>
      </c>
      <c r="F32" s="1" t="str">
        <f>+INDEX('Exh. BGM-4 (2)'!$10:$10,1,MATCH($D32,'Exh. BGM-4 (2)'!$4:$4,0))</f>
        <v>AMR REGULATORY ASSET</v>
      </c>
      <c r="I32" s="3">
        <v>0</v>
      </c>
      <c r="J32" s="3"/>
      <c r="K32" s="3">
        <v>0</v>
      </c>
      <c r="L32" s="3"/>
      <c r="M32" s="3">
        <f t="shared" si="1"/>
        <v>0</v>
      </c>
      <c r="P32" s="3">
        <f t="shared" si="2"/>
        <v>0</v>
      </c>
      <c r="Q32" s="3"/>
      <c r="R32" s="3">
        <f t="shared" si="3"/>
        <v>0</v>
      </c>
      <c r="S32" s="3"/>
      <c r="T32" s="3">
        <f t="shared" si="4"/>
        <v>0</v>
      </c>
      <c r="W32" s="3">
        <v>0</v>
      </c>
      <c r="X32" s="3"/>
      <c r="Y32" s="3">
        <f t="shared" si="5"/>
        <v>0</v>
      </c>
      <c r="Z32" s="3"/>
      <c r="AA32" s="3">
        <v>0</v>
      </c>
      <c r="AB32" s="5"/>
      <c r="AC32" s="3">
        <f t="shared" si="6"/>
        <v>0</v>
      </c>
      <c r="AE32" s="9"/>
      <c r="AF32" s="9"/>
      <c r="AH32" s="8"/>
      <c r="AO32" s="3">
        <v>0</v>
      </c>
    </row>
    <row r="33" spans="2:42" x14ac:dyDescent="0.3">
      <c r="B33" s="1">
        <f t="shared" ca="1" si="7"/>
        <v>25</v>
      </c>
      <c r="D33" s="11" t="s">
        <v>435</v>
      </c>
      <c r="F33" s="1" t="str">
        <f>+INDEX('Exh. BGM-4 (2)'!$10:$10,1,MATCH($D33,'Exh. BGM-4 (2)'!$4:$4,0))</f>
        <v>AMI PLANT AND DEFERRAL</v>
      </c>
      <c r="I33" s="3">
        <v>0</v>
      </c>
      <c r="J33" s="3"/>
      <c r="K33" s="3">
        <v>-65577.643509571993</v>
      </c>
      <c r="L33" s="3"/>
      <c r="M33" s="3">
        <f t="shared" si="1"/>
        <v>-6255.4108072050558</v>
      </c>
      <c r="P33" s="3">
        <f t="shared" si="2"/>
        <v>0</v>
      </c>
      <c r="Q33" s="3"/>
      <c r="R33" s="3">
        <f t="shared" si="3"/>
        <v>-65577.643509571993</v>
      </c>
      <c r="S33" s="3"/>
      <c r="T33" s="3">
        <f t="shared" si="4"/>
        <v>-6255.4108072050558</v>
      </c>
      <c r="W33" s="3">
        <v>0</v>
      </c>
      <c r="X33" s="3"/>
      <c r="Y33" s="3">
        <f t="shared" si="5"/>
        <v>0</v>
      </c>
      <c r="Z33" s="3"/>
      <c r="AA33" s="3">
        <v>0</v>
      </c>
      <c r="AB33" s="5"/>
      <c r="AC33" s="3">
        <f t="shared" si="6"/>
        <v>0</v>
      </c>
      <c r="AE33" s="9"/>
      <c r="AF33" s="9"/>
      <c r="AH33" s="8"/>
      <c r="AI33" s="27" t="s">
        <v>11</v>
      </c>
      <c r="AJ33" s="26" t="s">
        <v>10</v>
      </c>
      <c r="AK33" s="26"/>
      <c r="AL33" s="25" t="s">
        <v>9</v>
      </c>
      <c r="AO33" s="3">
        <v>-6420.484147950744</v>
      </c>
    </row>
    <row r="34" spans="2:42" x14ac:dyDescent="0.3">
      <c r="B34" s="1">
        <f t="shared" ca="1" si="7"/>
        <v>26</v>
      </c>
      <c r="D34" s="11" t="s">
        <v>436</v>
      </c>
      <c r="F34" s="1" t="str">
        <f>+INDEX('Exh. BGM-4 (2)'!$10:$10,1,MATCH($D34,'Exh. BGM-4 (2)'!$4:$4,0))</f>
        <v>GTZ DEFERRAL</v>
      </c>
      <c r="I34" s="3">
        <v>0</v>
      </c>
      <c r="J34" s="3"/>
      <c r="K34" s="3">
        <v>0</v>
      </c>
      <c r="L34" s="3"/>
      <c r="M34" s="3">
        <f t="shared" si="1"/>
        <v>0</v>
      </c>
      <c r="P34" s="3">
        <f t="shared" si="2"/>
        <v>0</v>
      </c>
      <c r="Q34" s="3"/>
      <c r="R34" s="3">
        <f t="shared" si="3"/>
        <v>0</v>
      </c>
      <c r="S34" s="3"/>
      <c r="T34" s="3">
        <f t="shared" si="4"/>
        <v>0</v>
      </c>
      <c r="W34" s="3">
        <v>0</v>
      </c>
      <c r="X34" s="3"/>
      <c r="Y34" s="3">
        <f t="shared" si="5"/>
        <v>0</v>
      </c>
      <c r="Z34" s="3"/>
      <c r="AA34" s="3">
        <v>0</v>
      </c>
      <c r="AB34" s="5"/>
      <c r="AC34" s="3">
        <f t="shared" si="6"/>
        <v>0</v>
      </c>
      <c r="AE34" s="9"/>
      <c r="AF34" s="9"/>
      <c r="AH34" s="8"/>
      <c r="AI34" s="20" t="s">
        <v>8</v>
      </c>
      <c r="AJ34" s="18" t="s">
        <v>7</v>
      </c>
      <c r="AK34" s="18" t="s">
        <v>6</v>
      </c>
      <c r="AL34" s="24" t="s">
        <v>6</v>
      </c>
      <c r="AO34" s="3">
        <v>0</v>
      </c>
    </row>
    <row r="35" spans="2:42" x14ac:dyDescent="0.3">
      <c r="B35" s="1">
        <f t="shared" ca="1" si="7"/>
        <v>27</v>
      </c>
      <c r="D35" s="11" t="s">
        <v>437</v>
      </c>
      <c r="F35" s="1" t="str">
        <f>+INDEX('Exh. BGM-4 (2)'!$10:$10,1,MATCH($D35,'Exh. BGM-4 (2)'!$4:$4,0))</f>
        <v>ENVIRONMENTAL REMEDIATION</v>
      </c>
      <c r="I35" s="3">
        <v>697.85435301457926</v>
      </c>
      <c r="J35" s="3"/>
      <c r="K35" s="3">
        <v>0</v>
      </c>
      <c r="L35" s="3"/>
      <c r="M35" s="3">
        <f t="shared" si="1"/>
        <v>-924.5540917600523</v>
      </c>
      <c r="P35" s="3">
        <f t="shared" si="2"/>
        <v>697.85435301457926</v>
      </c>
      <c r="Q35" s="3"/>
      <c r="R35" s="3">
        <f t="shared" si="3"/>
        <v>0</v>
      </c>
      <c r="S35" s="3"/>
      <c r="T35" s="3">
        <f t="shared" si="4"/>
        <v>-924.5540917600523</v>
      </c>
      <c r="W35" s="3">
        <v>0</v>
      </c>
      <c r="X35" s="3"/>
      <c r="Y35" s="3">
        <f t="shared" si="5"/>
        <v>0</v>
      </c>
      <c r="Z35" s="3"/>
      <c r="AA35" s="3">
        <v>0</v>
      </c>
      <c r="AB35" s="5"/>
      <c r="AC35" s="3">
        <f t="shared" si="6"/>
        <v>0</v>
      </c>
      <c r="AE35" s="9"/>
      <c r="AF35" s="9"/>
      <c r="AH35" s="8"/>
      <c r="AI35" s="22" t="s">
        <v>5</v>
      </c>
      <c r="AJ35" s="21">
        <v>0.505</v>
      </c>
      <c r="AK35" s="21">
        <v>5.0299999999999997E-2</v>
      </c>
      <c r="AL35" s="23">
        <f>ROUND(AJ35*AK35,4)</f>
        <v>2.5399999999999999E-2</v>
      </c>
      <c r="AO35" s="3">
        <v>-924.5540917600523</v>
      </c>
    </row>
    <row r="36" spans="2:42" x14ac:dyDescent="0.3">
      <c r="B36" s="1">
        <f t="shared" ca="1" si="7"/>
        <v>28</v>
      </c>
      <c r="D36" s="11" t="s">
        <v>438</v>
      </c>
      <c r="F36" s="1" t="str">
        <f>+INDEX('Exh. BGM-4 (2)'!$10:$10,1,MATCH($D36,'Exh. BGM-4 (2)'!$4:$4,0))</f>
        <v>COVID DEFERRAL</v>
      </c>
      <c r="I36" s="3">
        <v>0</v>
      </c>
      <c r="J36" s="3"/>
      <c r="K36" s="3">
        <v>0</v>
      </c>
      <c r="L36" s="3"/>
      <c r="M36" s="3">
        <f t="shared" si="1"/>
        <v>0</v>
      </c>
      <c r="P36" s="3">
        <f t="shared" si="2"/>
        <v>0</v>
      </c>
      <c r="Q36" s="3"/>
      <c r="R36" s="3">
        <f t="shared" si="3"/>
        <v>0</v>
      </c>
      <c r="S36" s="3"/>
      <c r="T36" s="3">
        <f t="shared" si="4"/>
        <v>0</v>
      </c>
      <c r="W36" s="3">
        <v>0</v>
      </c>
      <c r="X36" s="3"/>
      <c r="Y36" s="3">
        <f t="shared" si="5"/>
        <v>0</v>
      </c>
      <c r="Z36" s="3"/>
      <c r="AA36" s="3">
        <v>0</v>
      </c>
      <c r="AB36" s="5"/>
      <c r="AC36" s="3">
        <f t="shared" si="6"/>
        <v>0</v>
      </c>
      <c r="AE36" s="9"/>
      <c r="AF36" s="9"/>
      <c r="AH36" s="8"/>
      <c r="AI36" s="22" t="s">
        <v>4</v>
      </c>
      <c r="AJ36" s="19">
        <f>1-AJ35</f>
        <v>0.495</v>
      </c>
      <c r="AK36" s="21">
        <v>9.9000000000000005E-2</v>
      </c>
      <c r="AL36" s="17">
        <f>ROUND(AJ36*AK36,4)</f>
        <v>4.9000000000000002E-2</v>
      </c>
      <c r="AO36" s="3">
        <v>0</v>
      </c>
    </row>
    <row r="37" spans="2:42" x14ac:dyDescent="0.3">
      <c r="B37" s="1">
        <f t="shared" ca="1" si="7"/>
        <v>29</v>
      </c>
      <c r="D37" s="11" t="s">
        <v>439</v>
      </c>
      <c r="F37" s="1" t="str">
        <f>+INDEX('Exh. BGM-4 (2)'!$10:$10,1,MATCH($D37,'Exh. BGM-4 (2)'!$4:$4,0))</f>
        <v>OPEN 1A</v>
      </c>
      <c r="I37" s="3">
        <v>0</v>
      </c>
      <c r="J37" s="3"/>
      <c r="K37" s="3">
        <v>0</v>
      </c>
      <c r="L37" s="3"/>
      <c r="M37" s="3">
        <f t="shared" si="1"/>
        <v>0</v>
      </c>
      <c r="P37" s="3">
        <f t="shared" si="2"/>
        <v>0</v>
      </c>
      <c r="Q37" s="3"/>
      <c r="R37" s="3">
        <f t="shared" si="3"/>
        <v>0</v>
      </c>
      <c r="S37" s="3"/>
      <c r="T37" s="3">
        <f t="shared" si="4"/>
        <v>0</v>
      </c>
      <c r="W37" s="3">
        <v>0</v>
      </c>
      <c r="X37" s="3"/>
      <c r="Y37" s="3">
        <f t="shared" si="5"/>
        <v>0</v>
      </c>
      <c r="Z37" s="3"/>
      <c r="AA37" s="3">
        <v>0</v>
      </c>
      <c r="AB37" s="5"/>
      <c r="AC37" s="3">
        <f t="shared" si="6"/>
        <v>0</v>
      </c>
      <c r="AE37" s="9"/>
      <c r="AF37" s="9"/>
      <c r="AH37" s="8"/>
      <c r="AI37" s="20" t="s">
        <v>3</v>
      </c>
      <c r="AJ37" s="19">
        <v>1</v>
      </c>
      <c r="AK37" s="18"/>
      <c r="AL37" s="17">
        <f>+SUM(AL35:AL36)</f>
        <v>7.4399999999999994E-2</v>
      </c>
      <c r="AO37" s="3">
        <v>0</v>
      </c>
    </row>
    <row r="38" spans="2:42" ht="13.5" x14ac:dyDescent="0.35">
      <c r="B38" s="1">
        <f t="shared" ca="1" si="7"/>
        <v>30</v>
      </c>
      <c r="D38" s="11" t="s">
        <v>440</v>
      </c>
      <c r="F38" s="1" t="str">
        <f>+INDEX('Exh. BGM-4 (2)'!$10:$10,1,MATCH($D38,'Exh. BGM-4 (2)'!$4:$4,0))</f>
        <v>TACOMA LNG UPGRADE PLANT AND DEFERRAL</v>
      </c>
      <c r="I38" s="3">
        <v>0</v>
      </c>
      <c r="J38" s="3"/>
      <c r="K38" s="3">
        <v>-23770.011816583439</v>
      </c>
      <c r="L38" s="3"/>
      <c r="M38" s="3">
        <f t="shared" si="1"/>
        <v>-2267.4067082502643</v>
      </c>
      <c r="P38" s="3">
        <f t="shared" si="2"/>
        <v>0</v>
      </c>
      <c r="Q38" s="3"/>
      <c r="R38" s="3">
        <f t="shared" si="3"/>
        <v>-23770.011816583439</v>
      </c>
      <c r="S38" s="3"/>
      <c r="T38" s="3">
        <f t="shared" si="4"/>
        <v>-2267.4067082502643</v>
      </c>
      <c r="W38" s="3">
        <v>0</v>
      </c>
      <c r="X38" s="3"/>
      <c r="Y38" s="3">
        <f t="shared" si="5"/>
        <v>0</v>
      </c>
      <c r="Z38" s="3"/>
      <c r="AA38" s="3">
        <v>0</v>
      </c>
      <c r="AB38" s="5"/>
      <c r="AC38" s="3">
        <f t="shared" si="6"/>
        <v>0</v>
      </c>
      <c r="AE38" s="9"/>
      <c r="AF38" s="9"/>
      <c r="AH38" s="8"/>
      <c r="AI38" s="16"/>
      <c r="AK38" s="10"/>
      <c r="AL38" s="3"/>
      <c r="AO38" s="3">
        <v>-2327.2410519402015</v>
      </c>
    </row>
    <row r="39" spans="2:42" ht="13.5" x14ac:dyDescent="0.35">
      <c r="B39" s="1">
        <f t="shared" ca="1" si="7"/>
        <v>31</v>
      </c>
      <c r="D39" s="11" t="s">
        <v>441</v>
      </c>
      <c r="F39" s="1" t="str">
        <f>+INDEX('Exh. BGM-4 (2)'!$10:$10,1,MATCH($D39,'Exh. BGM-4 (2)'!$4:$4,0))</f>
        <v>REGULATORY ASSETS &amp; LIAB</v>
      </c>
      <c r="I39" s="3">
        <v>0</v>
      </c>
      <c r="J39" s="3"/>
      <c r="K39" s="3">
        <v>0</v>
      </c>
      <c r="L39" s="3"/>
      <c r="M39" s="3">
        <f t="shared" si="1"/>
        <v>0</v>
      </c>
      <c r="P39" s="3">
        <f t="shared" si="2"/>
        <v>0</v>
      </c>
      <c r="Q39" s="3"/>
      <c r="R39" s="3">
        <f t="shared" si="3"/>
        <v>0</v>
      </c>
      <c r="S39" s="3"/>
      <c r="T39" s="3">
        <f t="shared" si="4"/>
        <v>0</v>
      </c>
      <c r="W39" s="3">
        <v>0</v>
      </c>
      <c r="X39" s="3"/>
      <c r="Y39" s="3">
        <f t="shared" si="5"/>
        <v>0</v>
      </c>
      <c r="Z39" s="3"/>
      <c r="AA39" s="3">
        <v>0</v>
      </c>
      <c r="AB39" s="5"/>
      <c r="AC39" s="3">
        <f t="shared" si="6"/>
        <v>0</v>
      </c>
      <c r="AE39" s="9"/>
      <c r="AF39" s="9"/>
      <c r="AH39" s="8"/>
      <c r="AI39" s="16"/>
      <c r="AK39" s="10"/>
      <c r="AL39" s="3"/>
      <c r="AO39" s="3">
        <v>0</v>
      </c>
    </row>
    <row r="40" spans="2:42" x14ac:dyDescent="0.3">
      <c r="B40" s="1">
        <f t="shared" ca="1" si="7"/>
        <v>32</v>
      </c>
      <c r="D40" s="11" t="s">
        <v>442</v>
      </c>
      <c r="F40" s="1" t="str">
        <f>+INDEX('Exh. BGM-4 (2)'!$10:$10,1,MATCH($D40,'Exh. BGM-4 (2)'!$4:$4,0))</f>
        <v>TACOMA LNG PLANT DEFERRAL</v>
      </c>
      <c r="I40" s="3">
        <v>0</v>
      </c>
      <c r="J40" s="3"/>
      <c r="K40" s="3">
        <v>0</v>
      </c>
      <c r="L40" s="3"/>
      <c r="M40" s="3">
        <f t="shared" si="1"/>
        <v>0</v>
      </c>
      <c r="P40" s="3">
        <f t="shared" si="2"/>
        <v>0</v>
      </c>
      <c r="Q40" s="3"/>
      <c r="R40" s="3">
        <f t="shared" si="3"/>
        <v>0</v>
      </c>
      <c r="S40" s="3"/>
      <c r="T40" s="3">
        <f t="shared" si="4"/>
        <v>0</v>
      </c>
      <c r="W40" s="3">
        <v>0</v>
      </c>
      <c r="X40" s="3"/>
      <c r="Y40" s="3">
        <f t="shared" si="5"/>
        <v>0</v>
      </c>
      <c r="Z40" s="3"/>
      <c r="AA40" s="3">
        <v>0</v>
      </c>
      <c r="AB40" s="5"/>
      <c r="AC40" s="3">
        <f t="shared" si="6"/>
        <v>0</v>
      </c>
      <c r="AE40" s="9"/>
      <c r="AF40" s="9"/>
      <c r="AH40" s="8"/>
      <c r="AI40" s="2" t="s">
        <v>409</v>
      </c>
      <c r="AO40" s="3">
        <v>0</v>
      </c>
    </row>
    <row r="41" spans="2:42" x14ac:dyDescent="0.3">
      <c r="I41" s="3"/>
      <c r="J41" s="3"/>
      <c r="K41" s="3"/>
      <c r="L41" s="3"/>
      <c r="M41" s="3"/>
      <c r="P41" s="3"/>
      <c r="Q41" s="3"/>
      <c r="R41" s="3"/>
      <c r="S41" s="3"/>
      <c r="T41" s="3"/>
      <c r="W41" s="3"/>
      <c r="X41" s="3"/>
      <c r="Y41" s="3"/>
      <c r="Z41" s="3"/>
      <c r="AA41" s="3"/>
      <c r="AB41" s="5"/>
      <c r="AC41" s="3"/>
      <c r="AE41" s="9"/>
      <c r="AF41" s="9"/>
      <c r="AH41" s="8"/>
      <c r="AO41" s="3"/>
    </row>
    <row r="42" spans="2:42" x14ac:dyDescent="0.3">
      <c r="D42" s="11"/>
      <c r="I42" s="14"/>
      <c r="J42" s="6"/>
      <c r="K42" s="14"/>
      <c r="L42" s="6"/>
      <c r="M42" s="14"/>
      <c r="O42" s="7"/>
      <c r="P42" s="14"/>
      <c r="Q42" s="6"/>
      <c r="R42" s="14"/>
      <c r="S42" s="6"/>
      <c r="T42" s="14"/>
      <c r="W42" s="14"/>
      <c r="X42" s="3"/>
      <c r="Y42" s="14"/>
      <c r="Z42" s="3"/>
      <c r="AA42" s="14"/>
      <c r="AB42" s="5"/>
      <c r="AC42" s="14"/>
      <c r="AE42" s="9"/>
      <c r="AF42" s="9"/>
      <c r="AH42" s="8"/>
      <c r="AI42" s="27" t="s">
        <v>13</v>
      </c>
      <c r="AJ42" s="26" t="s">
        <v>10</v>
      </c>
      <c r="AK42" s="26"/>
      <c r="AL42" s="25" t="s">
        <v>9</v>
      </c>
      <c r="AO42" s="14"/>
    </row>
    <row r="43" spans="2:42" x14ac:dyDescent="0.3">
      <c r="D43" s="11"/>
      <c r="F43" s="7" t="s">
        <v>2</v>
      </c>
      <c r="I43" s="6">
        <f>+SUM(I$7:I$42)</f>
        <v>169262.57203304314</v>
      </c>
      <c r="J43" s="6"/>
      <c r="K43" s="6">
        <f>+SUM(K$7:K$42)</f>
        <v>2448234.6484876345</v>
      </c>
      <c r="L43" s="6"/>
      <c r="M43" s="6">
        <f>+($K43*$AL$16-$I43)/$AJ$4</f>
        <v>9287.6435750172277</v>
      </c>
      <c r="O43" s="7"/>
      <c r="P43" s="6">
        <f>+SUM(P$7:P$42)</f>
        <v>169262.57203304314</v>
      </c>
      <c r="Q43" s="6"/>
      <c r="R43" s="6">
        <f>+SUM(R$7:R$42)</f>
        <v>2448234.6484876345</v>
      </c>
      <c r="S43" s="6"/>
      <c r="T43" s="6">
        <f>+($R43*$AL$16-$P43)/$AJ$4</f>
        <v>9287.6435750172277</v>
      </c>
      <c r="W43" s="6">
        <f>+SUM(W$7:W$42)</f>
        <v>0</v>
      </c>
      <c r="X43" s="3"/>
      <c r="Y43" s="6">
        <f>+SUM(Y$7:Y$42)</f>
        <v>0</v>
      </c>
      <c r="Z43" s="3"/>
      <c r="AA43" s="6">
        <f>+SUM(AA$7:AA$42)</f>
        <v>0</v>
      </c>
      <c r="AB43" s="5"/>
      <c r="AC43" s="6">
        <f>+SUM(AC$7:AC$42)</f>
        <v>0</v>
      </c>
      <c r="AE43" s="9"/>
      <c r="AF43" s="9"/>
      <c r="AH43" s="8"/>
      <c r="AI43" s="20" t="s">
        <v>8</v>
      </c>
      <c r="AJ43" s="18" t="s">
        <v>7</v>
      </c>
      <c r="AK43" s="18" t="s">
        <v>6</v>
      </c>
      <c r="AL43" s="24" t="s">
        <v>6</v>
      </c>
      <c r="AO43" s="6">
        <v>15450.388235035518</v>
      </c>
      <c r="AP43" s="3">
        <f>+M43-AO43</f>
        <v>-6162.7446600182902</v>
      </c>
    </row>
    <row r="44" spans="2:42" x14ac:dyDescent="0.3">
      <c r="D44" s="11"/>
      <c r="I44" s="3"/>
      <c r="J44" s="3"/>
      <c r="K44" s="3"/>
      <c r="L44" s="3"/>
      <c r="M44" s="3"/>
      <c r="P44" s="3"/>
      <c r="Q44" s="3"/>
      <c r="R44" s="3"/>
      <c r="S44" s="202" t="s">
        <v>671</v>
      </c>
      <c r="T44" s="202">
        <f>+T43-'Exh. BGM-4 (2)'!AJ70/1000</f>
        <v>0</v>
      </c>
      <c r="W44" s="3"/>
      <c r="X44" s="3"/>
      <c r="Y44" s="3"/>
      <c r="Z44" s="3"/>
      <c r="AA44" s="3"/>
      <c r="AB44" s="5"/>
      <c r="AC44" s="3"/>
      <c r="AE44" s="9"/>
      <c r="AF44" s="9"/>
      <c r="AH44" s="8"/>
      <c r="AI44" s="22" t="s">
        <v>5</v>
      </c>
      <c r="AJ44" s="21">
        <v>0.51</v>
      </c>
      <c r="AK44" s="21">
        <f>+AK29</f>
        <v>4.9799999999999997E-2</v>
      </c>
      <c r="AL44" s="23">
        <f>ROUND(AJ44*AK44,4)</f>
        <v>2.5399999999999999E-2</v>
      </c>
      <c r="AO44" s="3"/>
    </row>
    <row r="45" spans="2:42" x14ac:dyDescent="0.3">
      <c r="D45" s="11"/>
      <c r="I45" s="3"/>
      <c r="J45" s="3"/>
      <c r="K45" s="3"/>
      <c r="L45" s="3"/>
      <c r="M45" s="3"/>
      <c r="P45" s="3"/>
      <c r="Q45" s="3"/>
      <c r="R45" s="3"/>
      <c r="S45" s="3"/>
      <c r="T45" s="3"/>
      <c r="W45" s="3"/>
      <c r="X45" s="3"/>
      <c r="Y45" s="3"/>
      <c r="Z45" s="3"/>
      <c r="AA45" s="3"/>
      <c r="AB45" s="5"/>
      <c r="AC45" s="3"/>
      <c r="AE45" s="9"/>
      <c r="AF45" s="9"/>
      <c r="AH45" s="8"/>
      <c r="AI45" s="22" t="s">
        <v>4</v>
      </c>
      <c r="AJ45" s="19">
        <f>1-AJ44</f>
        <v>0.49</v>
      </c>
      <c r="AK45" s="21">
        <f>+AK15</f>
        <v>9.5000000000000001E-2</v>
      </c>
      <c r="AL45" s="17">
        <f>ROUND(AJ45*AK45,4)</f>
        <v>4.6600000000000003E-2</v>
      </c>
      <c r="AO45" s="3"/>
    </row>
    <row r="46" spans="2:42" x14ac:dyDescent="0.3">
      <c r="B46" s="15" t="s">
        <v>1</v>
      </c>
      <c r="D46" s="11"/>
      <c r="I46" s="3"/>
      <c r="J46" s="3"/>
      <c r="K46" s="3"/>
      <c r="L46" s="3"/>
      <c r="M46" s="3"/>
      <c r="P46" s="3"/>
      <c r="Q46" s="3"/>
      <c r="R46" s="3"/>
      <c r="S46" s="3"/>
      <c r="T46" s="3"/>
      <c r="W46" s="3"/>
      <c r="X46" s="3"/>
      <c r="Y46" s="3"/>
      <c r="Z46" s="3"/>
      <c r="AA46" s="3"/>
      <c r="AB46" s="5"/>
      <c r="AC46" s="3"/>
      <c r="AE46" s="9"/>
      <c r="AF46" s="9"/>
      <c r="AH46" s="8"/>
      <c r="AI46" s="20" t="s">
        <v>3</v>
      </c>
      <c r="AJ46" s="19">
        <v>1</v>
      </c>
      <c r="AK46" s="18"/>
      <c r="AL46" s="17">
        <f>+SUM(AL44:AL45)</f>
        <v>7.2000000000000008E-2</v>
      </c>
      <c r="AO46" s="3"/>
    </row>
    <row r="47" spans="2:42" x14ac:dyDescent="0.3">
      <c r="B47" s="1">
        <f ca="1">+MAX(OFFSET($B$7,0,0,ROW($B47)-ROW($B$7),1))+1</f>
        <v>33</v>
      </c>
      <c r="D47" s="11" t="s">
        <v>443</v>
      </c>
      <c r="F47" s="1" t="str">
        <f>+INDEX('Exh. BGM-4 (2)'!$10:$10,1,MATCH($D47,'Exh. BGM-4 (2)'!$4:$4,0))</f>
        <v>REVENUES AND EXPENSES</v>
      </c>
      <c r="I47" s="3">
        <v>-29612.974840182618</v>
      </c>
      <c r="J47" s="3"/>
      <c r="K47" s="3">
        <v>0</v>
      </c>
      <c r="L47" s="3"/>
      <c r="M47" s="3">
        <f t="shared" ref="M47:M84" si="8">+($K47*$AL$16-$I47)/$AJ$4</f>
        <v>39232.824069102477</v>
      </c>
      <c r="P47" s="3">
        <f t="shared" ref="P47:P84" si="9">+I47+Y47</f>
        <v>-29612.974840182618</v>
      </c>
      <c r="Q47" s="3"/>
      <c r="R47" s="3">
        <f t="shared" ref="R47:R84" si="10">+K47+AA47</f>
        <v>0</v>
      </c>
      <c r="S47" s="3"/>
      <c r="T47" s="3">
        <f t="shared" ref="T47:T84" si="11">+($R47*$AL$16-$P47)/$AJ$4</f>
        <v>39232.824069102477</v>
      </c>
      <c r="W47" s="3">
        <v>0</v>
      </c>
      <c r="X47" s="3"/>
      <c r="Y47" s="3">
        <f t="shared" ref="Y47:Y84" si="12">+W47*(1-$AJ$5)</f>
        <v>0</v>
      </c>
      <c r="Z47" s="3"/>
      <c r="AA47" s="3">
        <v>0</v>
      </c>
      <c r="AB47" s="5"/>
      <c r="AC47" s="3">
        <f t="shared" ref="AC47:AC84" si="13">+T47-M47</f>
        <v>0</v>
      </c>
      <c r="AE47" s="9"/>
      <c r="AF47" s="9"/>
      <c r="AH47" s="8"/>
      <c r="AO47" s="3">
        <v>39232.824069102477</v>
      </c>
    </row>
    <row r="48" spans="2:42" x14ac:dyDescent="0.3">
      <c r="B48" s="1">
        <f ca="1">+MAX(OFFSET($B$7,0,0,ROW($B48)-ROW($B$7),1))+1</f>
        <v>34</v>
      </c>
      <c r="D48" s="11" t="s">
        <v>444</v>
      </c>
      <c r="F48" s="1" t="str">
        <f>+INDEX('Exh. BGM-4 (2)'!$10:$10,1,MATCH($D48,'Exh. BGM-4 (2)'!$4:$4,0))</f>
        <v>PASS-THROUGH REVENUE &amp; EXPENSE</v>
      </c>
      <c r="I48" s="3">
        <v>0</v>
      </c>
      <c r="J48" s="3"/>
      <c r="K48" s="3">
        <v>0</v>
      </c>
      <c r="L48" s="3"/>
      <c r="M48" s="3">
        <f t="shared" si="8"/>
        <v>0</v>
      </c>
      <c r="P48" s="3">
        <f t="shared" si="9"/>
        <v>0</v>
      </c>
      <c r="Q48" s="3"/>
      <c r="R48" s="3">
        <f t="shared" si="10"/>
        <v>0</v>
      </c>
      <c r="S48" s="3"/>
      <c r="T48" s="3">
        <f t="shared" si="11"/>
        <v>0</v>
      </c>
      <c r="W48" s="3">
        <v>0</v>
      </c>
      <c r="X48" s="3"/>
      <c r="Y48" s="3">
        <f t="shared" si="12"/>
        <v>0</v>
      </c>
      <c r="Z48" s="3"/>
      <c r="AA48" s="3">
        <v>0</v>
      </c>
      <c r="AB48" s="5"/>
      <c r="AC48" s="3">
        <f t="shared" si="13"/>
        <v>0</v>
      </c>
      <c r="AE48" s="9"/>
      <c r="AF48" s="9"/>
      <c r="AH48" s="8"/>
      <c r="AI48" s="27" t="s">
        <v>11</v>
      </c>
      <c r="AJ48" s="26" t="s">
        <v>10</v>
      </c>
      <c r="AK48" s="26"/>
      <c r="AL48" s="25" t="s">
        <v>9</v>
      </c>
      <c r="AO48" s="3">
        <v>0</v>
      </c>
    </row>
    <row r="49" spans="2:41" x14ac:dyDescent="0.3">
      <c r="B49" s="1">
        <f ca="1">+MAX(OFFSET($B$7,0,0,ROW($B49)-ROW($B$7),1))+1</f>
        <v>35</v>
      </c>
      <c r="D49" s="11" t="s">
        <v>445</v>
      </c>
      <c r="F49" s="1" t="str">
        <f>+INDEX('Exh. BGM-4 (2)'!$10:$10,1,MATCH($D49,'Exh. BGM-4 (2)'!$4:$4,0))</f>
        <v>TEMPERATURE NORMALIZATION</v>
      </c>
      <c r="I49" s="3">
        <v>9813.5288017177954</v>
      </c>
      <c r="J49" s="3"/>
      <c r="K49" s="3">
        <v>0</v>
      </c>
      <c r="L49" s="3"/>
      <c r="M49" s="3">
        <f t="shared" si="8"/>
        <v>-13001.478272707369</v>
      </c>
      <c r="P49" s="3">
        <f t="shared" si="9"/>
        <v>9813.5288017177954</v>
      </c>
      <c r="Q49" s="3"/>
      <c r="R49" s="3">
        <f t="shared" si="10"/>
        <v>0</v>
      </c>
      <c r="S49" s="3"/>
      <c r="T49" s="3">
        <f t="shared" si="11"/>
        <v>-13001.478272707369</v>
      </c>
      <c r="W49" s="3">
        <v>0</v>
      </c>
      <c r="X49" s="3"/>
      <c r="Y49" s="3">
        <f t="shared" si="12"/>
        <v>0</v>
      </c>
      <c r="Z49" s="3"/>
      <c r="AA49" s="3">
        <v>0</v>
      </c>
      <c r="AB49" s="5"/>
      <c r="AC49" s="3">
        <f t="shared" si="13"/>
        <v>0</v>
      </c>
      <c r="AE49" s="9"/>
      <c r="AF49" s="9"/>
      <c r="AH49" s="8"/>
      <c r="AI49" s="20" t="s">
        <v>8</v>
      </c>
      <c r="AJ49" s="18" t="s">
        <v>7</v>
      </c>
      <c r="AK49" s="18" t="s">
        <v>6</v>
      </c>
      <c r="AL49" s="24" t="s">
        <v>6</v>
      </c>
      <c r="AO49" s="3">
        <v>-13001.478272707369</v>
      </c>
    </row>
    <row r="50" spans="2:41" x14ac:dyDescent="0.3">
      <c r="B50" s="1">
        <f ca="1">+MAX(OFFSET($B$7,0,0,ROW($B50)-ROW($B$7),1))+1</f>
        <v>36</v>
      </c>
      <c r="D50" s="11" t="s">
        <v>446</v>
      </c>
      <c r="F50" s="1" t="str">
        <f>+INDEX('Exh. BGM-4 (2)'!$10:$10,1,MATCH($D50,'Exh. BGM-4 (2)'!$4:$4,0))</f>
        <v>FEDERAL INCOME TAX</v>
      </c>
      <c r="I50" s="3">
        <v>-489.53439253912518</v>
      </c>
      <c r="J50" s="3"/>
      <c r="K50" s="3">
        <v>4356.7177706340253</v>
      </c>
      <c r="L50" s="3"/>
      <c r="M50" s="3">
        <f t="shared" si="8"/>
        <v>1064.1454794373285</v>
      </c>
      <c r="P50" s="3">
        <f t="shared" si="9"/>
        <v>-489.53439253912518</v>
      </c>
      <c r="Q50" s="3"/>
      <c r="R50" s="3">
        <f t="shared" si="10"/>
        <v>4356.7177706340253</v>
      </c>
      <c r="S50" s="3"/>
      <c r="T50" s="3">
        <f t="shared" si="11"/>
        <v>1064.1454794373285</v>
      </c>
      <c r="W50" s="3">
        <v>0</v>
      </c>
      <c r="X50" s="3"/>
      <c r="Y50" s="3">
        <f t="shared" si="12"/>
        <v>0</v>
      </c>
      <c r="Z50" s="3"/>
      <c r="AA50" s="3">
        <v>0</v>
      </c>
      <c r="AB50" s="5"/>
      <c r="AC50" s="3">
        <f t="shared" si="13"/>
        <v>0</v>
      </c>
      <c r="AE50" s="9"/>
      <c r="AF50" s="9"/>
      <c r="AH50" s="8"/>
      <c r="AI50" s="22" t="s">
        <v>5</v>
      </c>
      <c r="AJ50" s="21">
        <v>0.5</v>
      </c>
      <c r="AK50" s="21">
        <v>5.0799999999999998E-2</v>
      </c>
      <c r="AL50" s="23">
        <f>ROUND(AJ50*AK50,4)</f>
        <v>2.5399999999999999E-2</v>
      </c>
      <c r="AO50" s="3">
        <v>1075.1122955440965</v>
      </c>
    </row>
    <row r="51" spans="2:41" x14ac:dyDescent="0.3">
      <c r="B51" s="222">
        <f ca="1">+MAX(OFFSET($B$7,0,0,ROW($B51)-ROW($B$7),1))+1</f>
        <v>37</v>
      </c>
      <c r="C51" s="222"/>
      <c r="D51" s="224" t="s">
        <v>447</v>
      </c>
      <c r="E51" s="222"/>
      <c r="F51" s="222" t="str">
        <f>+INDEX('Exh. BGM-4 (2)'!$10:$10,1,MATCH($D51,'Exh. BGM-4 (2)'!$4:$4,0))</f>
        <v>TAX BENEFIT OF INTEREST</v>
      </c>
      <c r="G51" s="225"/>
      <c r="H51" s="225"/>
      <c r="I51" s="226">
        <v>678.36306193641065</v>
      </c>
      <c r="J51" s="226"/>
      <c r="K51" s="226">
        <v>0</v>
      </c>
      <c r="L51" s="226"/>
      <c r="M51" s="226">
        <f t="shared" si="8"/>
        <v>-898.73100583651933</v>
      </c>
      <c r="N51" s="225"/>
      <c r="O51" s="222"/>
      <c r="P51" s="226">
        <f t="shared" si="9"/>
        <v>549.69416513885847</v>
      </c>
      <c r="Q51" s="226"/>
      <c r="R51" s="226">
        <f t="shared" si="10"/>
        <v>0</v>
      </c>
      <c r="S51" s="226"/>
      <c r="T51" s="226">
        <f t="shared" si="11"/>
        <v>-728.26369485315786</v>
      </c>
      <c r="U51" s="222"/>
      <c r="V51" s="222"/>
      <c r="W51" s="226">
        <v>0</v>
      </c>
      <c r="X51" s="226"/>
      <c r="Y51" s="226">
        <f>+SUM(AA52:AA84)*$AL$14*$AJ$5</f>
        <v>-128.66889679755218</v>
      </c>
      <c r="Z51" s="226"/>
      <c r="AA51" s="226">
        <v>0</v>
      </c>
      <c r="AB51" s="227"/>
      <c r="AC51" s="226">
        <f t="shared" si="13"/>
        <v>170.46731098336147</v>
      </c>
      <c r="AD51" s="225"/>
      <c r="AE51" s="232" t="s">
        <v>1065</v>
      </c>
      <c r="AF51" s="9"/>
      <c r="AH51" s="8"/>
      <c r="AI51" s="22" t="s">
        <v>4</v>
      </c>
      <c r="AJ51" s="19">
        <f>1-AJ50</f>
        <v>0.5</v>
      </c>
      <c r="AK51" s="21">
        <v>9.9000000000000005E-2</v>
      </c>
      <c r="AL51" s="17">
        <f>ROUND(AJ51*AK51,4)</f>
        <v>4.9500000000000002E-2</v>
      </c>
      <c r="AO51" s="3">
        <v>-898.73100583651933</v>
      </c>
    </row>
    <row r="52" spans="2:41" x14ac:dyDescent="0.3">
      <c r="B52" s="1">
        <f t="shared" ref="B52:B84" ca="1" si="14">+MAX(OFFSET($B$7,0,0,ROW($B52)-ROW($B$7),1))+1</f>
        <v>38</v>
      </c>
      <c r="D52" s="11" t="s">
        <v>448</v>
      </c>
      <c r="F52" s="1" t="str">
        <f>+INDEX('Exh. BGM-4 (2)'!$10:$10,1,MATCH($D52,'Exh. BGM-4 (2)'!$4:$4,0))</f>
        <v>BAD DEBT EXPENSE</v>
      </c>
      <c r="I52" s="3">
        <v>0</v>
      </c>
      <c r="J52" s="3"/>
      <c r="K52" s="3">
        <v>0</v>
      </c>
      <c r="L52" s="3"/>
      <c r="M52" s="3">
        <f t="shared" si="8"/>
        <v>0</v>
      </c>
      <c r="P52" s="3">
        <f t="shared" si="9"/>
        <v>0</v>
      </c>
      <c r="Q52" s="3"/>
      <c r="R52" s="3">
        <f t="shared" si="10"/>
        <v>0</v>
      </c>
      <c r="S52" s="3"/>
      <c r="T52" s="3">
        <f t="shared" si="11"/>
        <v>0</v>
      </c>
      <c r="W52" s="3">
        <v>0</v>
      </c>
      <c r="X52" s="3"/>
      <c r="Y52" s="3">
        <f t="shared" si="12"/>
        <v>0</v>
      </c>
      <c r="Z52" s="3"/>
      <c r="AA52" s="3">
        <v>0</v>
      </c>
      <c r="AB52" s="5"/>
      <c r="AC52" s="3">
        <f t="shared" si="13"/>
        <v>0</v>
      </c>
      <c r="AE52" s="9"/>
      <c r="AF52" s="9"/>
      <c r="AH52" s="8"/>
      <c r="AI52" s="20" t="s">
        <v>3</v>
      </c>
      <c r="AJ52" s="19">
        <v>1</v>
      </c>
      <c r="AK52" s="18"/>
      <c r="AL52" s="17">
        <f>+SUM(AL50:AL51)</f>
        <v>7.4899999999999994E-2</v>
      </c>
      <c r="AO52" s="3">
        <v>0</v>
      </c>
    </row>
    <row r="53" spans="2:41" x14ac:dyDescent="0.3">
      <c r="B53" s="1">
        <f t="shared" ca="1" si="14"/>
        <v>39</v>
      </c>
      <c r="D53" s="11" t="s">
        <v>449</v>
      </c>
      <c r="F53" s="1" t="str">
        <f>+INDEX('Exh. BGM-4 (2)'!$10:$10,1,MATCH($D53,'Exh. BGM-4 (2)'!$4:$4,0))</f>
        <v>RATE CASE EXPENSE</v>
      </c>
      <c r="I53" s="3">
        <v>0</v>
      </c>
      <c r="J53" s="3"/>
      <c r="K53" s="3">
        <v>0</v>
      </c>
      <c r="L53" s="3"/>
      <c r="M53" s="3">
        <f t="shared" si="8"/>
        <v>0</v>
      </c>
      <c r="P53" s="3">
        <f t="shared" si="9"/>
        <v>0</v>
      </c>
      <c r="Q53" s="3"/>
      <c r="R53" s="3">
        <f t="shared" si="10"/>
        <v>0</v>
      </c>
      <c r="S53" s="3"/>
      <c r="T53" s="3">
        <f t="shared" si="11"/>
        <v>0</v>
      </c>
      <c r="W53" s="3">
        <v>0</v>
      </c>
      <c r="X53" s="3"/>
      <c r="Y53" s="3">
        <f t="shared" si="12"/>
        <v>0</v>
      </c>
      <c r="Z53" s="3"/>
      <c r="AA53" s="3">
        <v>0</v>
      </c>
      <c r="AB53" s="5"/>
      <c r="AC53" s="3">
        <f t="shared" si="13"/>
        <v>0</v>
      </c>
      <c r="AE53" s="9"/>
      <c r="AF53" s="9"/>
      <c r="AH53" s="8"/>
      <c r="AI53" s="1"/>
      <c r="AO53" s="3">
        <v>0</v>
      </c>
    </row>
    <row r="54" spans="2:41" x14ac:dyDescent="0.3">
      <c r="B54" s="1">
        <f t="shared" ca="1" si="14"/>
        <v>40</v>
      </c>
      <c r="D54" s="11" t="s">
        <v>450</v>
      </c>
      <c r="F54" s="1" t="str">
        <f>+INDEX('Exh. BGM-4 (2)'!$10:$10,1,MATCH($D54,'Exh. BGM-4 (2)'!$4:$4,0))</f>
        <v xml:space="preserve">EXCISE TAX </v>
      </c>
      <c r="I54" s="3">
        <v>0</v>
      </c>
      <c r="J54" s="3"/>
      <c r="K54" s="3">
        <v>0</v>
      </c>
      <c r="L54" s="3"/>
      <c r="M54" s="3">
        <f t="shared" si="8"/>
        <v>0</v>
      </c>
      <c r="P54" s="3">
        <f t="shared" si="9"/>
        <v>0</v>
      </c>
      <c r="Q54" s="3"/>
      <c r="R54" s="3">
        <f t="shared" si="10"/>
        <v>0</v>
      </c>
      <c r="S54" s="3"/>
      <c r="T54" s="3">
        <f t="shared" si="11"/>
        <v>0</v>
      </c>
      <c r="W54" s="3">
        <v>0</v>
      </c>
      <c r="X54" s="3"/>
      <c r="Y54" s="3">
        <f t="shared" si="12"/>
        <v>0</v>
      </c>
      <c r="Z54" s="3"/>
      <c r="AA54" s="3">
        <v>0</v>
      </c>
      <c r="AB54" s="5"/>
      <c r="AC54" s="3">
        <f t="shared" si="13"/>
        <v>0</v>
      </c>
      <c r="AE54" s="9"/>
      <c r="AF54" s="9"/>
      <c r="AH54" s="8"/>
      <c r="AI54" s="1"/>
      <c r="AK54" s="173"/>
      <c r="AL54" s="174"/>
      <c r="AO54" s="3">
        <v>0</v>
      </c>
    </row>
    <row r="55" spans="2:41" x14ac:dyDescent="0.3">
      <c r="B55" s="1">
        <f t="shared" ca="1" si="14"/>
        <v>41</v>
      </c>
      <c r="D55" s="11" t="s">
        <v>451</v>
      </c>
      <c r="F55" s="1" t="str">
        <f>+INDEX('Exh. BGM-4 (2)'!$10:$10,1,MATCH($D55,'Exh. BGM-4 (2)'!$4:$4,0))</f>
        <v>EMPLOYEE INSURANCE</v>
      </c>
      <c r="I55" s="3">
        <v>-35.344100019756894</v>
      </c>
      <c r="J55" s="3"/>
      <c r="K55" s="3">
        <v>0</v>
      </c>
      <c r="L55" s="3"/>
      <c r="M55" s="3">
        <f t="shared" si="8"/>
        <v>46.825719652937515</v>
      </c>
      <c r="P55" s="3">
        <f t="shared" si="9"/>
        <v>-35.344100019756894</v>
      </c>
      <c r="Q55" s="3"/>
      <c r="R55" s="3">
        <f t="shared" si="10"/>
        <v>0</v>
      </c>
      <c r="S55" s="3"/>
      <c r="T55" s="3">
        <f t="shared" si="11"/>
        <v>46.825719652937515</v>
      </c>
      <c r="W55" s="3">
        <v>0</v>
      </c>
      <c r="X55" s="3"/>
      <c r="Y55" s="3">
        <f t="shared" si="12"/>
        <v>0</v>
      </c>
      <c r="Z55" s="3"/>
      <c r="AA55" s="3">
        <v>0</v>
      </c>
      <c r="AB55" s="5"/>
      <c r="AC55" s="3">
        <f t="shared" si="13"/>
        <v>0</v>
      </c>
      <c r="AE55" s="9"/>
      <c r="AF55" s="9"/>
      <c r="AH55" s="8"/>
      <c r="AI55" s="1"/>
      <c r="AK55" s="135"/>
      <c r="AL55" s="175"/>
      <c r="AO55" s="3">
        <v>46.825719652937515</v>
      </c>
    </row>
    <row r="56" spans="2:41" x14ac:dyDescent="0.3">
      <c r="B56" s="1">
        <f t="shared" ca="1" si="14"/>
        <v>42</v>
      </c>
      <c r="D56" s="11" t="s">
        <v>452</v>
      </c>
      <c r="F56" s="1" t="str">
        <f>+INDEX('Exh. BGM-4 (2)'!$10:$10,1,MATCH($D56,'Exh. BGM-4 (2)'!$4:$4,0))</f>
        <v>INJURIES &amp; DAMAGES</v>
      </c>
      <c r="I56" s="3">
        <v>0</v>
      </c>
      <c r="J56" s="3"/>
      <c r="K56" s="3">
        <v>0</v>
      </c>
      <c r="L56" s="3"/>
      <c r="M56" s="3">
        <f t="shared" si="8"/>
        <v>0</v>
      </c>
      <c r="P56" s="3">
        <f t="shared" si="9"/>
        <v>0</v>
      </c>
      <c r="Q56" s="3"/>
      <c r="R56" s="3">
        <f t="shared" si="10"/>
        <v>0</v>
      </c>
      <c r="S56" s="3"/>
      <c r="T56" s="3">
        <f t="shared" si="11"/>
        <v>0</v>
      </c>
      <c r="W56" s="3">
        <v>0</v>
      </c>
      <c r="X56" s="3"/>
      <c r="Y56" s="3">
        <f t="shared" si="12"/>
        <v>0</v>
      </c>
      <c r="Z56" s="3"/>
      <c r="AA56" s="3">
        <v>0</v>
      </c>
      <c r="AB56" s="5"/>
      <c r="AC56" s="3">
        <f t="shared" si="13"/>
        <v>0</v>
      </c>
      <c r="AE56" s="9"/>
      <c r="AF56" s="9"/>
      <c r="AH56" s="8"/>
      <c r="AI56" s="1"/>
      <c r="AK56" s="135"/>
      <c r="AL56" s="174"/>
      <c r="AO56" s="3">
        <v>0</v>
      </c>
    </row>
    <row r="57" spans="2:41" x14ac:dyDescent="0.3">
      <c r="B57" s="1">
        <f t="shared" ca="1" si="14"/>
        <v>43</v>
      </c>
      <c r="D57" s="11" t="s">
        <v>453</v>
      </c>
      <c r="F57" s="1" t="str">
        <f>+INDEX('Exh. BGM-4 (2)'!$10:$10,1,MATCH($D57,'Exh. BGM-4 (2)'!$4:$4,0))</f>
        <v>INCENTIVE PAY</v>
      </c>
      <c r="I57" s="3">
        <v>918.68231335913856</v>
      </c>
      <c r="J57" s="3"/>
      <c r="K57" s="3">
        <v>0</v>
      </c>
      <c r="L57" s="3"/>
      <c r="M57" s="3">
        <f t="shared" si="8"/>
        <v>-1217.1185694761116</v>
      </c>
      <c r="P57" s="3">
        <f t="shared" si="9"/>
        <v>918.68231335913856</v>
      </c>
      <c r="Q57" s="3"/>
      <c r="R57" s="3">
        <f t="shared" si="10"/>
        <v>0</v>
      </c>
      <c r="S57" s="3"/>
      <c r="T57" s="3">
        <f t="shared" si="11"/>
        <v>-1217.1185694761116</v>
      </c>
      <c r="W57" s="3">
        <v>0</v>
      </c>
      <c r="X57" s="3"/>
      <c r="Y57" s="3">
        <f t="shared" si="12"/>
        <v>0</v>
      </c>
      <c r="Z57" s="3"/>
      <c r="AA57" s="3">
        <v>0</v>
      </c>
      <c r="AB57" s="5"/>
      <c r="AC57" s="3">
        <f t="shared" si="13"/>
        <v>0</v>
      </c>
      <c r="AE57" s="9"/>
      <c r="AF57" s="9"/>
      <c r="AH57" s="8"/>
      <c r="AI57" s="1"/>
      <c r="AK57" s="135"/>
      <c r="AL57" s="174"/>
      <c r="AO57" s="3">
        <v>-1217.1185694761116</v>
      </c>
    </row>
    <row r="58" spans="2:41" x14ac:dyDescent="0.3">
      <c r="B58" s="1">
        <f t="shared" ca="1" si="14"/>
        <v>44</v>
      </c>
      <c r="D58" s="11" t="s">
        <v>454</v>
      </c>
      <c r="F58" s="1" t="str">
        <f>+INDEX('Exh. BGM-4 (2)'!$10:$10,1,MATCH($D58,'Exh. BGM-4 (2)'!$4:$4,0))</f>
        <v>INVESTMENT PLAN</v>
      </c>
      <c r="I58" s="3">
        <v>0</v>
      </c>
      <c r="J58" s="3"/>
      <c r="K58" s="3">
        <v>0</v>
      </c>
      <c r="L58" s="3"/>
      <c r="M58" s="3">
        <f t="shared" si="8"/>
        <v>0</v>
      </c>
      <c r="P58" s="3">
        <f t="shared" si="9"/>
        <v>0</v>
      </c>
      <c r="Q58" s="3"/>
      <c r="R58" s="3">
        <f t="shared" si="10"/>
        <v>0</v>
      </c>
      <c r="S58" s="3"/>
      <c r="T58" s="3">
        <f t="shared" si="11"/>
        <v>0</v>
      </c>
      <c r="W58" s="3">
        <v>0</v>
      </c>
      <c r="X58" s="3"/>
      <c r="Y58" s="3">
        <f t="shared" si="12"/>
        <v>0</v>
      </c>
      <c r="Z58" s="3"/>
      <c r="AA58" s="3">
        <v>0</v>
      </c>
      <c r="AB58" s="5"/>
      <c r="AC58" s="3">
        <f t="shared" si="13"/>
        <v>0</v>
      </c>
      <c r="AE58" s="9"/>
      <c r="AF58" s="9"/>
      <c r="AH58" s="8"/>
      <c r="AI58" s="1"/>
      <c r="AK58" s="135"/>
      <c r="AL58" s="174"/>
      <c r="AO58" s="3">
        <v>0</v>
      </c>
    </row>
    <row r="59" spans="2:41" x14ac:dyDescent="0.3">
      <c r="B59" s="1">
        <f t="shared" ca="1" si="14"/>
        <v>45</v>
      </c>
      <c r="D59" s="11" t="s">
        <v>455</v>
      </c>
      <c r="F59" s="1" t="str">
        <f>+INDEX('Exh. BGM-4 (2)'!$10:$10,1,MATCH($D59,'Exh. BGM-4 (2)'!$4:$4,0))</f>
        <v>INTEREST ON  CUSTOMER DEPOSITS</v>
      </c>
      <c r="I59" s="3">
        <v>0</v>
      </c>
      <c r="J59" s="3"/>
      <c r="K59" s="3">
        <v>0</v>
      </c>
      <c r="L59" s="3"/>
      <c r="M59" s="3">
        <f t="shared" si="8"/>
        <v>0</v>
      </c>
      <c r="P59" s="3">
        <f t="shared" si="9"/>
        <v>0</v>
      </c>
      <c r="Q59" s="3"/>
      <c r="R59" s="3">
        <f t="shared" si="10"/>
        <v>0</v>
      </c>
      <c r="S59" s="3"/>
      <c r="T59" s="3">
        <f t="shared" si="11"/>
        <v>0</v>
      </c>
      <c r="W59" s="3">
        <v>0</v>
      </c>
      <c r="X59" s="3"/>
      <c r="Y59" s="3">
        <f t="shared" si="12"/>
        <v>0</v>
      </c>
      <c r="Z59" s="3"/>
      <c r="AA59" s="3">
        <v>0</v>
      </c>
      <c r="AB59" s="5"/>
      <c r="AC59" s="3">
        <f t="shared" si="13"/>
        <v>0</v>
      </c>
      <c r="AE59" s="9"/>
      <c r="AF59" s="9"/>
      <c r="AH59" s="8"/>
      <c r="AI59" s="1"/>
      <c r="AK59" s="135"/>
      <c r="AL59" s="174"/>
      <c r="AO59" s="3">
        <v>0</v>
      </c>
    </row>
    <row r="60" spans="2:41" x14ac:dyDescent="0.3">
      <c r="B60" s="1">
        <f t="shared" ca="1" si="14"/>
        <v>46</v>
      </c>
      <c r="D60" s="11" t="s">
        <v>456</v>
      </c>
      <c r="F60" s="1" t="str">
        <f>+INDEX('Exh. BGM-4 (2)'!$10:$10,1,MATCH($D60,'Exh. BGM-4 (2)'!$4:$4,0))</f>
        <v>PROPERTY AND LIAB INSURANCE</v>
      </c>
      <c r="I60" s="3">
        <v>-445.73437112307164</v>
      </c>
      <c r="J60" s="3"/>
      <c r="K60" s="3">
        <v>0</v>
      </c>
      <c r="L60" s="3"/>
      <c r="M60" s="3">
        <f t="shared" si="8"/>
        <v>590.5323007296912</v>
      </c>
      <c r="P60" s="3">
        <f t="shared" si="9"/>
        <v>-445.73437112307164</v>
      </c>
      <c r="Q60" s="3"/>
      <c r="R60" s="3">
        <f t="shared" si="10"/>
        <v>0</v>
      </c>
      <c r="S60" s="3"/>
      <c r="T60" s="3">
        <f t="shared" si="11"/>
        <v>590.5323007296912</v>
      </c>
      <c r="W60" s="3">
        <v>0</v>
      </c>
      <c r="X60" s="3"/>
      <c r="Y60" s="3">
        <f t="shared" si="12"/>
        <v>0</v>
      </c>
      <c r="Z60" s="3"/>
      <c r="AA60" s="3">
        <v>0</v>
      </c>
      <c r="AB60" s="5"/>
      <c r="AC60" s="3">
        <f t="shared" si="13"/>
        <v>0</v>
      </c>
      <c r="AE60" s="9"/>
      <c r="AF60" s="9"/>
      <c r="AH60" s="8"/>
      <c r="AI60" s="1"/>
      <c r="AK60" s="10"/>
      <c r="AL60" s="3"/>
      <c r="AO60" s="3">
        <v>590.5323007296912</v>
      </c>
    </row>
    <row r="61" spans="2:41" x14ac:dyDescent="0.3">
      <c r="B61" s="1">
        <f t="shared" ca="1" si="14"/>
        <v>47</v>
      </c>
      <c r="D61" s="11" t="s">
        <v>457</v>
      </c>
      <c r="F61" s="1" t="str">
        <f>+INDEX('Exh. BGM-4 (2)'!$10:$10,1,MATCH($D61,'Exh. BGM-4 (2)'!$4:$4,0))</f>
        <v>DEFERRED GAINS AND LOSSES ON PROPERTY SALES</v>
      </c>
      <c r="I61" s="3">
        <v>19.234896299999981</v>
      </c>
      <c r="J61" s="3"/>
      <c r="K61" s="3">
        <v>0</v>
      </c>
      <c r="L61" s="3"/>
      <c r="M61" s="3">
        <f t="shared" si="8"/>
        <v>-25.483400657921731</v>
      </c>
      <c r="P61" s="3">
        <f t="shared" si="9"/>
        <v>19.234896299999981</v>
      </c>
      <c r="Q61" s="3"/>
      <c r="R61" s="3">
        <f t="shared" si="10"/>
        <v>0</v>
      </c>
      <c r="S61" s="3"/>
      <c r="T61" s="3">
        <f t="shared" si="11"/>
        <v>-25.483400657921731</v>
      </c>
      <c r="W61" s="3">
        <v>0</v>
      </c>
      <c r="X61" s="3"/>
      <c r="Y61" s="3">
        <f t="shared" si="12"/>
        <v>0</v>
      </c>
      <c r="Z61" s="3"/>
      <c r="AA61" s="3">
        <v>0</v>
      </c>
      <c r="AB61" s="5"/>
      <c r="AC61" s="3">
        <f t="shared" si="13"/>
        <v>0</v>
      </c>
      <c r="AE61" s="9"/>
      <c r="AF61" s="9"/>
      <c r="AH61" s="8"/>
      <c r="AI61" s="1"/>
      <c r="AK61" s="10"/>
      <c r="AL61" s="3"/>
      <c r="AO61" s="3">
        <v>-25.483400657921731</v>
      </c>
    </row>
    <row r="62" spans="2:41" x14ac:dyDescent="0.3">
      <c r="B62" s="1">
        <f t="shared" ca="1" si="14"/>
        <v>48</v>
      </c>
      <c r="D62" s="11" t="s">
        <v>458</v>
      </c>
      <c r="F62" s="1" t="str">
        <f>+INDEX('Exh. BGM-4 (2)'!$10:$10,1,MATCH($D62,'Exh. BGM-4 (2)'!$4:$4,0))</f>
        <v>D&amp;O INSURANCE</v>
      </c>
      <c r="I62" s="3">
        <v>0</v>
      </c>
      <c r="J62" s="3"/>
      <c r="K62" s="3">
        <v>0</v>
      </c>
      <c r="L62" s="3"/>
      <c r="M62" s="3">
        <f t="shared" si="8"/>
        <v>0</v>
      </c>
      <c r="P62" s="3">
        <f t="shared" si="9"/>
        <v>0</v>
      </c>
      <c r="Q62" s="3"/>
      <c r="R62" s="3">
        <f t="shared" si="10"/>
        <v>0</v>
      </c>
      <c r="S62" s="3"/>
      <c r="T62" s="3">
        <f t="shared" si="11"/>
        <v>0</v>
      </c>
      <c r="W62" s="3">
        <v>0</v>
      </c>
      <c r="X62" s="3"/>
      <c r="Y62" s="3">
        <f t="shared" si="12"/>
        <v>0</v>
      </c>
      <c r="Z62" s="3"/>
      <c r="AA62" s="3">
        <v>0</v>
      </c>
      <c r="AB62" s="5"/>
      <c r="AC62" s="3">
        <f t="shared" si="13"/>
        <v>0</v>
      </c>
      <c r="AE62" s="9"/>
      <c r="AF62" s="9"/>
      <c r="AH62" s="8"/>
      <c r="AI62" s="1"/>
      <c r="AK62" s="10"/>
      <c r="AL62" s="3"/>
      <c r="AO62" s="3">
        <v>0</v>
      </c>
    </row>
    <row r="63" spans="2:41" x14ac:dyDescent="0.3">
      <c r="B63" s="1">
        <f t="shared" ca="1" si="14"/>
        <v>49</v>
      </c>
      <c r="D63" s="11" t="s">
        <v>459</v>
      </c>
      <c r="F63" s="1" t="str">
        <f>+INDEX('Exh. BGM-4 (2)'!$10:$10,1,MATCH($D63,'Exh. BGM-4 (2)'!$4:$4,0))</f>
        <v>PENSION PLAN</v>
      </c>
      <c r="I63" s="3">
        <v>-489.30065499830749</v>
      </c>
      <c r="J63" s="3"/>
      <c r="K63" s="3">
        <v>0</v>
      </c>
      <c r="L63" s="3"/>
      <c r="M63" s="3">
        <f t="shared" si="8"/>
        <v>648.25120130777179</v>
      </c>
      <c r="P63" s="3">
        <f t="shared" si="9"/>
        <v>-489.30065499830749</v>
      </c>
      <c r="Q63" s="3"/>
      <c r="R63" s="3">
        <f t="shared" si="10"/>
        <v>0</v>
      </c>
      <c r="S63" s="3"/>
      <c r="T63" s="3">
        <f t="shared" si="11"/>
        <v>648.25120130777179</v>
      </c>
      <c r="W63" s="3">
        <v>0</v>
      </c>
      <c r="X63" s="3"/>
      <c r="Y63" s="3">
        <f t="shared" si="12"/>
        <v>0</v>
      </c>
      <c r="Z63" s="3"/>
      <c r="AA63" s="3">
        <v>0</v>
      </c>
      <c r="AB63" s="5"/>
      <c r="AC63" s="3">
        <f t="shared" si="13"/>
        <v>0</v>
      </c>
      <c r="AE63" s="9"/>
      <c r="AF63" s="9"/>
      <c r="AH63" s="8"/>
      <c r="AI63" s="1"/>
      <c r="AK63" s="10"/>
      <c r="AL63" s="3"/>
      <c r="AO63" s="3">
        <v>648.25120130777179</v>
      </c>
    </row>
    <row r="64" spans="2:41" x14ac:dyDescent="0.3">
      <c r="B64" s="1">
        <f t="shared" ca="1" si="14"/>
        <v>50</v>
      </c>
      <c r="D64" s="11" t="s">
        <v>460</v>
      </c>
      <c r="F64" s="1" t="str">
        <f>+INDEX('Exh. BGM-4 (2)'!$10:$10,1,MATCH($D64,'Exh. BGM-4 (2)'!$4:$4,0))</f>
        <v>WAGE INCREASE</v>
      </c>
      <c r="I64" s="3">
        <v>0</v>
      </c>
      <c r="J64" s="3"/>
      <c r="K64" s="3">
        <v>0</v>
      </c>
      <c r="L64" s="3"/>
      <c r="M64" s="3">
        <f t="shared" si="8"/>
        <v>0</v>
      </c>
      <c r="P64" s="3">
        <f t="shared" si="9"/>
        <v>0</v>
      </c>
      <c r="Q64" s="3"/>
      <c r="R64" s="3">
        <f t="shared" si="10"/>
        <v>0</v>
      </c>
      <c r="S64" s="3"/>
      <c r="T64" s="3">
        <f t="shared" si="11"/>
        <v>0</v>
      </c>
      <c r="W64" s="3">
        <v>0</v>
      </c>
      <c r="X64" s="3"/>
      <c r="Y64" s="3">
        <f t="shared" si="12"/>
        <v>0</v>
      </c>
      <c r="Z64" s="3"/>
      <c r="AA64" s="3">
        <v>0</v>
      </c>
      <c r="AB64" s="5"/>
      <c r="AC64" s="3">
        <f t="shared" si="13"/>
        <v>0</v>
      </c>
      <c r="AE64" s="9"/>
      <c r="AF64" s="9"/>
      <c r="AH64" s="8"/>
      <c r="AI64" s="1"/>
      <c r="AK64" s="10"/>
      <c r="AL64" s="3"/>
      <c r="AO64" s="3">
        <v>0</v>
      </c>
    </row>
    <row r="65" spans="2:41" x14ac:dyDescent="0.3">
      <c r="B65" s="1">
        <f t="shared" ca="1" si="14"/>
        <v>51</v>
      </c>
      <c r="D65" s="11" t="s">
        <v>461</v>
      </c>
      <c r="F65" s="1" t="str">
        <f>+INDEX('Exh. BGM-4 (2)'!$10:$10,1,MATCH($D65,'Exh. BGM-4 (2)'!$4:$4,0))</f>
        <v>AMA TO EOP RATE BASE</v>
      </c>
      <c r="I65" s="3">
        <v>0</v>
      </c>
      <c r="J65" s="3"/>
      <c r="K65" s="3">
        <v>0</v>
      </c>
      <c r="L65" s="3"/>
      <c r="M65" s="3">
        <f t="shared" si="8"/>
        <v>0</v>
      </c>
      <c r="P65" s="3">
        <f t="shared" si="9"/>
        <v>0</v>
      </c>
      <c r="Q65" s="3"/>
      <c r="R65" s="3">
        <f t="shared" si="10"/>
        <v>0</v>
      </c>
      <c r="S65" s="3"/>
      <c r="T65" s="3">
        <f t="shared" si="11"/>
        <v>0</v>
      </c>
      <c r="W65" s="3">
        <v>0</v>
      </c>
      <c r="X65" s="3"/>
      <c r="Y65" s="3">
        <f t="shared" si="12"/>
        <v>0</v>
      </c>
      <c r="Z65" s="3"/>
      <c r="AA65" s="3">
        <v>0</v>
      </c>
      <c r="AB65" s="5"/>
      <c r="AC65" s="3">
        <f t="shared" si="13"/>
        <v>0</v>
      </c>
      <c r="AE65" s="9"/>
      <c r="AF65" s="9"/>
      <c r="AH65" s="8"/>
      <c r="AI65" s="1"/>
      <c r="AK65" s="10"/>
      <c r="AL65" s="3"/>
      <c r="AO65" s="3">
        <v>0</v>
      </c>
    </row>
    <row r="66" spans="2:41" x14ac:dyDescent="0.3">
      <c r="B66" s="1">
        <f t="shared" ca="1" si="14"/>
        <v>52</v>
      </c>
      <c r="D66" s="11" t="s">
        <v>462</v>
      </c>
      <c r="F66" s="1" t="str">
        <f>+INDEX('Exh. BGM-4 (2)'!$10:$10,1,MATCH($D66,'Exh. BGM-4 (2)'!$4:$4,0))</f>
        <v>AMA TO EOP DEPRECIATION</v>
      </c>
      <c r="I66" s="3">
        <v>0</v>
      </c>
      <c r="J66" s="3"/>
      <c r="K66" s="3">
        <v>0</v>
      </c>
      <c r="L66" s="3"/>
      <c r="M66" s="3">
        <f t="shared" si="8"/>
        <v>0</v>
      </c>
      <c r="P66" s="3">
        <f t="shared" si="9"/>
        <v>0</v>
      </c>
      <c r="Q66" s="3"/>
      <c r="R66" s="3">
        <f t="shared" si="10"/>
        <v>0</v>
      </c>
      <c r="S66" s="3"/>
      <c r="T66" s="3">
        <f t="shared" si="11"/>
        <v>0</v>
      </c>
      <c r="W66" s="3">
        <v>0</v>
      </c>
      <c r="X66" s="3"/>
      <c r="Y66" s="3">
        <f t="shared" si="12"/>
        <v>0</v>
      </c>
      <c r="Z66" s="3"/>
      <c r="AA66" s="3">
        <v>0</v>
      </c>
      <c r="AB66" s="5"/>
      <c r="AC66" s="3">
        <f t="shared" si="13"/>
        <v>0</v>
      </c>
      <c r="AE66" s="9"/>
      <c r="AF66" s="9"/>
      <c r="AH66" s="8"/>
      <c r="AI66" s="1"/>
      <c r="AK66" s="10"/>
      <c r="AL66" s="3"/>
      <c r="AO66" s="3">
        <v>0</v>
      </c>
    </row>
    <row r="67" spans="2:41" x14ac:dyDescent="0.3">
      <c r="B67" s="1">
        <f t="shared" ca="1" si="14"/>
        <v>53</v>
      </c>
      <c r="D67" s="11" t="s">
        <v>463</v>
      </c>
      <c r="F67" s="1" t="str">
        <f>+INDEX('Exh. BGM-4 (2)'!$10:$10,1,MATCH($D67,'Exh. BGM-4 (2)'!$4:$4,0))</f>
        <v>WUTC FILING FEE</v>
      </c>
      <c r="I67" s="3">
        <v>0</v>
      </c>
      <c r="J67" s="3"/>
      <c r="K67" s="3">
        <v>0</v>
      </c>
      <c r="L67" s="3"/>
      <c r="M67" s="3">
        <f t="shared" si="8"/>
        <v>0</v>
      </c>
      <c r="P67" s="3">
        <f t="shared" si="9"/>
        <v>0</v>
      </c>
      <c r="Q67" s="3"/>
      <c r="R67" s="3">
        <f t="shared" si="10"/>
        <v>0</v>
      </c>
      <c r="S67" s="3"/>
      <c r="T67" s="3">
        <f t="shared" si="11"/>
        <v>0</v>
      </c>
      <c r="W67" s="3">
        <v>0</v>
      </c>
      <c r="X67" s="3"/>
      <c r="Y67" s="3">
        <f t="shared" si="12"/>
        <v>0</v>
      </c>
      <c r="Z67" s="3"/>
      <c r="AA67" s="3">
        <v>0</v>
      </c>
      <c r="AB67" s="5"/>
      <c r="AC67" s="3">
        <f t="shared" si="13"/>
        <v>0</v>
      </c>
      <c r="AE67" s="9"/>
      <c r="AF67" s="9"/>
      <c r="AH67" s="8"/>
      <c r="AI67" s="1"/>
      <c r="AK67" s="10"/>
      <c r="AL67" s="3"/>
      <c r="AO67" s="3">
        <v>0</v>
      </c>
    </row>
    <row r="68" spans="2:41" x14ac:dyDescent="0.3">
      <c r="B68" s="1">
        <f t="shared" ca="1" si="14"/>
        <v>54</v>
      </c>
      <c r="D68" s="11" t="s">
        <v>464</v>
      </c>
      <c r="F68" s="1" t="str">
        <f>+INDEX('Exh. BGM-4 (2)'!$10:$10,1,MATCH($D68,'Exh. BGM-4 (2)'!$4:$4,0))</f>
        <v>PRO FORMA O&amp;M</v>
      </c>
      <c r="I68" s="3">
        <v>0</v>
      </c>
      <c r="J68" s="3"/>
      <c r="K68" s="3">
        <v>0</v>
      </c>
      <c r="L68" s="3"/>
      <c r="M68" s="3">
        <f t="shared" si="8"/>
        <v>0</v>
      </c>
      <c r="P68" s="3">
        <f t="shared" si="9"/>
        <v>0</v>
      </c>
      <c r="Q68" s="3"/>
      <c r="R68" s="3">
        <f t="shared" si="10"/>
        <v>0</v>
      </c>
      <c r="S68" s="3"/>
      <c r="T68" s="3">
        <f t="shared" si="11"/>
        <v>0</v>
      </c>
      <c r="W68" s="3">
        <v>0</v>
      </c>
      <c r="X68" s="3"/>
      <c r="Y68" s="3">
        <f t="shared" si="12"/>
        <v>0</v>
      </c>
      <c r="Z68" s="3"/>
      <c r="AA68" s="3">
        <v>0</v>
      </c>
      <c r="AB68" s="5"/>
      <c r="AC68" s="3">
        <f t="shared" si="13"/>
        <v>0</v>
      </c>
      <c r="AE68" s="9"/>
      <c r="AF68" s="9"/>
      <c r="AH68" s="8"/>
      <c r="AI68" s="1"/>
      <c r="AK68" s="10"/>
      <c r="AL68" s="3"/>
      <c r="AO68" s="3">
        <v>0</v>
      </c>
    </row>
    <row r="69" spans="2:41" x14ac:dyDescent="0.3">
      <c r="B69" s="1">
        <f t="shared" ca="1" si="14"/>
        <v>55</v>
      </c>
      <c r="D69" s="11" t="s">
        <v>465</v>
      </c>
      <c r="F69" s="1" t="str">
        <f>+INDEX('Exh. BGM-4 (2)'!$10:$10,1,MATCH($D69,'Exh. BGM-4 (2)'!$4:$4,0))</f>
        <v>AMR REGULATORY ASSET</v>
      </c>
      <c r="I69" s="3">
        <v>0</v>
      </c>
      <c r="J69" s="3"/>
      <c r="K69" s="3">
        <v>0</v>
      </c>
      <c r="L69" s="3"/>
      <c r="M69" s="3">
        <f t="shared" si="8"/>
        <v>0</v>
      </c>
      <c r="P69" s="3">
        <f t="shared" si="9"/>
        <v>0</v>
      </c>
      <c r="Q69" s="3"/>
      <c r="R69" s="3">
        <f t="shared" si="10"/>
        <v>0</v>
      </c>
      <c r="S69" s="3"/>
      <c r="T69" s="3">
        <f t="shared" si="11"/>
        <v>0</v>
      </c>
      <c r="W69" s="3">
        <v>0</v>
      </c>
      <c r="X69" s="3"/>
      <c r="Y69" s="3">
        <f t="shared" si="12"/>
        <v>0</v>
      </c>
      <c r="Z69" s="3"/>
      <c r="AA69" s="3">
        <v>0</v>
      </c>
      <c r="AB69" s="5"/>
      <c r="AC69" s="3">
        <f t="shared" si="13"/>
        <v>0</v>
      </c>
      <c r="AE69" s="9"/>
      <c r="AF69" s="9"/>
      <c r="AH69" s="8"/>
      <c r="AI69" s="1"/>
      <c r="AK69" s="10"/>
      <c r="AL69" s="3"/>
      <c r="AO69" s="3">
        <v>0</v>
      </c>
    </row>
    <row r="70" spans="2:41" x14ac:dyDescent="0.3">
      <c r="B70" s="1">
        <f t="shared" ca="1" si="14"/>
        <v>56</v>
      </c>
      <c r="D70" s="11" t="s">
        <v>466</v>
      </c>
      <c r="F70" s="1" t="str">
        <f>+INDEX('Exh. BGM-4 (2)'!$10:$10,1,MATCH($D70,'Exh. BGM-4 (2)'!$4:$4,0))</f>
        <v>AMI PLANT AND DEFERRAL</v>
      </c>
      <c r="I70" s="3">
        <v>-2162.5761780000003</v>
      </c>
      <c r="J70" s="3"/>
      <c r="K70" s="3">
        <v>65577.643509571993</v>
      </c>
      <c r="L70" s="3"/>
      <c r="M70" s="3">
        <f t="shared" si="8"/>
        <v>9120.505286412159</v>
      </c>
      <c r="P70" s="3">
        <f t="shared" si="9"/>
        <v>-2162.5761780000003</v>
      </c>
      <c r="Q70" s="3"/>
      <c r="R70" s="3">
        <f t="shared" si="10"/>
        <v>65577.643509571993</v>
      </c>
      <c r="S70" s="3"/>
      <c r="T70" s="3">
        <f t="shared" si="11"/>
        <v>9120.505286412159</v>
      </c>
      <c r="W70" s="3">
        <v>0</v>
      </c>
      <c r="X70" s="3"/>
      <c r="Y70" s="3">
        <f t="shared" si="12"/>
        <v>0</v>
      </c>
      <c r="Z70" s="3"/>
      <c r="AA70" s="3">
        <v>0</v>
      </c>
      <c r="AB70" s="5"/>
      <c r="AC70" s="3">
        <f t="shared" si="13"/>
        <v>0</v>
      </c>
      <c r="AE70" s="9"/>
      <c r="AF70" s="9"/>
      <c r="AH70" s="8"/>
      <c r="AI70" s="1"/>
      <c r="AK70" s="10"/>
      <c r="AL70" s="3"/>
      <c r="AO70" s="3">
        <v>9285.5786271578454</v>
      </c>
    </row>
    <row r="71" spans="2:41" x14ac:dyDescent="0.3">
      <c r="B71" s="1">
        <f t="shared" ca="1" si="14"/>
        <v>57</v>
      </c>
      <c r="D71" s="11" t="s">
        <v>467</v>
      </c>
      <c r="F71" s="1" t="str">
        <f>+INDEX('Exh. BGM-4 (2)'!$10:$10,1,MATCH($D71,'Exh. BGM-4 (2)'!$4:$4,0))</f>
        <v>GTZ DEFERRAL</v>
      </c>
      <c r="I71" s="3">
        <v>-4620.8484321740007</v>
      </c>
      <c r="J71" s="3"/>
      <c r="K71" s="3">
        <v>3230.2723808734195</v>
      </c>
      <c r="L71" s="3"/>
      <c r="M71" s="3">
        <f t="shared" si="8"/>
        <v>6430.0763295184906</v>
      </c>
      <c r="P71" s="3">
        <f t="shared" si="9"/>
        <v>-4620.8484321740007</v>
      </c>
      <c r="Q71" s="3"/>
      <c r="R71" s="3">
        <f t="shared" si="10"/>
        <v>3230.2723808734195</v>
      </c>
      <c r="S71" s="3"/>
      <c r="T71" s="3">
        <f t="shared" si="11"/>
        <v>6430.0763295184906</v>
      </c>
      <c r="W71" s="3">
        <v>0</v>
      </c>
      <c r="X71" s="3"/>
      <c r="Y71" s="3">
        <f t="shared" si="12"/>
        <v>0</v>
      </c>
      <c r="Z71" s="3"/>
      <c r="AA71" s="3">
        <v>0</v>
      </c>
      <c r="AB71" s="5"/>
      <c r="AC71" s="3">
        <f t="shared" si="13"/>
        <v>0</v>
      </c>
      <c r="AE71" s="9"/>
      <c r="AF71" s="9"/>
      <c r="AH71" s="8"/>
      <c r="AI71" s="1"/>
      <c r="AK71" s="10"/>
      <c r="AL71" s="3"/>
      <c r="AO71" s="3">
        <v>6438.2076350197549</v>
      </c>
    </row>
    <row r="72" spans="2:41" x14ac:dyDescent="0.3">
      <c r="B72" s="1">
        <f t="shared" ca="1" si="14"/>
        <v>58</v>
      </c>
      <c r="D72" s="11" t="s">
        <v>468</v>
      </c>
      <c r="F72" s="1" t="str">
        <f>+INDEX('Exh. BGM-4 (2)'!$10:$10,1,MATCH($D72,'Exh. BGM-4 (2)'!$4:$4,0))</f>
        <v>ENVIRONMENTAL REMEDIATION</v>
      </c>
      <c r="I72" s="3">
        <v>0</v>
      </c>
      <c r="J72" s="3"/>
      <c r="K72" s="3">
        <v>0</v>
      </c>
      <c r="L72" s="3"/>
      <c r="M72" s="3">
        <f t="shared" si="8"/>
        <v>0</v>
      </c>
      <c r="P72" s="3">
        <f t="shared" si="9"/>
        <v>0</v>
      </c>
      <c r="Q72" s="3"/>
      <c r="R72" s="3">
        <f t="shared" si="10"/>
        <v>0</v>
      </c>
      <c r="S72" s="3"/>
      <c r="T72" s="3">
        <f t="shared" si="11"/>
        <v>0</v>
      </c>
      <c r="W72" s="3">
        <v>0</v>
      </c>
      <c r="X72" s="3"/>
      <c r="Y72" s="3">
        <f t="shared" si="12"/>
        <v>0</v>
      </c>
      <c r="Z72" s="3"/>
      <c r="AA72" s="3">
        <v>0</v>
      </c>
      <c r="AB72" s="5"/>
      <c r="AC72" s="3">
        <f t="shared" si="13"/>
        <v>0</v>
      </c>
      <c r="AE72" s="9"/>
      <c r="AF72" s="9"/>
      <c r="AH72" s="8"/>
      <c r="AI72" s="1"/>
      <c r="AK72" s="10"/>
      <c r="AL72" s="3"/>
      <c r="AO72" s="3">
        <v>0</v>
      </c>
    </row>
    <row r="73" spans="2:41" x14ac:dyDescent="0.3">
      <c r="B73" s="222">
        <f t="shared" ca="1" si="14"/>
        <v>59</v>
      </c>
      <c r="C73" s="222"/>
      <c r="D73" s="224" t="s">
        <v>469</v>
      </c>
      <c r="E73" s="222"/>
      <c r="F73" s="222" t="str">
        <f>+INDEX('Exh. BGM-4 (2)'!$10:$10,1,MATCH($D73,'Exh. BGM-4 (2)'!$4:$4,0))</f>
        <v>COVID DEFERRAL</v>
      </c>
      <c r="G73" s="225"/>
      <c r="H73" s="225"/>
      <c r="I73" s="226">
        <v>0</v>
      </c>
      <c r="J73" s="226"/>
      <c r="K73" s="226">
        <v>16.32515643394958</v>
      </c>
      <c r="L73" s="226"/>
      <c r="M73" s="226">
        <f t="shared" si="8"/>
        <v>1.5572465633251278</v>
      </c>
      <c r="N73" s="225"/>
      <c r="O73" s="222"/>
      <c r="P73" s="226">
        <f t="shared" si="9"/>
        <v>0</v>
      </c>
      <c r="Q73" s="226"/>
      <c r="R73" s="226">
        <f t="shared" si="10"/>
        <v>-336.06587616749994</v>
      </c>
      <c r="S73" s="226"/>
      <c r="T73" s="226">
        <f t="shared" si="11"/>
        <v>-32.057115827959947</v>
      </c>
      <c r="U73" s="222"/>
      <c r="V73" s="222"/>
      <c r="W73" s="226">
        <v>0</v>
      </c>
      <c r="X73" s="226"/>
      <c r="Y73" s="226">
        <f t="shared" si="12"/>
        <v>0</v>
      </c>
      <c r="Z73" s="226"/>
      <c r="AA73" s="226">
        <f>+'[21]Lead G'!$G$21/1000</f>
        <v>-352.39103260144952</v>
      </c>
      <c r="AB73" s="227"/>
      <c r="AC73" s="226">
        <f t="shared" si="13"/>
        <v>-33.614362391285077</v>
      </c>
      <c r="AD73" s="225"/>
      <c r="AE73" s="232" t="s">
        <v>1026</v>
      </c>
      <c r="AF73" s="9"/>
      <c r="AH73" s="8"/>
      <c r="AI73" s="1"/>
      <c r="AK73" s="10"/>
      <c r="AL73" s="3"/>
      <c r="AO73" s="3">
        <v>1.5983405698573183</v>
      </c>
    </row>
    <row r="74" spans="2:41" x14ac:dyDescent="0.3">
      <c r="B74" s="1">
        <f t="shared" ca="1" si="14"/>
        <v>60</v>
      </c>
      <c r="D74" s="11" t="s">
        <v>470</v>
      </c>
      <c r="F74" s="1" t="str">
        <f>+INDEX('Exh. BGM-4 (2)'!$10:$10,1,MATCH($D74,'Exh. BGM-4 (2)'!$4:$4,0))</f>
        <v>ESTIMATED PLANT RETIREMENTS RATE BASE</v>
      </c>
      <c r="I74" s="3">
        <v>0</v>
      </c>
      <c r="J74" s="3"/>
      <c r="K74" s="3">
        <v>0</v>
      </c>
      <c r="L74" s="3"/>
      <c r="M74" s="3">
        <f t="shared" si="8"/>
        <v>0</v>
      </c>
      <c r="P74" s="3">
        <f t="shared" si="9"/>
        <v>0</v>
      </c>
      <c r="Q74" s="3"/>
      <c r="R74" s="3">
        <f t="shared" si="10"/>
        <v>0</v>
      </c>
      <c r="S74" s="3"/>
      <c r="T74" s="3">
        <f t="shared" si="11"/>
        <v>0</v>
      </c>
      <c r="W74" s="3">
        <v>0</v>
      </c>
      <c r="X74" s="3"/>
      <c r="Y74" s="3">
        <f t="shared" si="12"/>
        <v>0</v>
      </c>
      <c r="Z74" s="3"/>
      <c r="AA74" s="3">
        <v>0</v>
      </c>
      <c r="AB74" s="5"/>
      <c r="AC74" s="3">
        <f t="shared" si="13"/>
        <v>0</v>
      </c>
      <c r="AE74" s="9"/>
      <c r="AF74" s="9"/>
      <c r="AH74" s="8"/>
      <c r="AI74" s="1"/>
      <c r="AK74" s="10"/>
      <c r="AL74" s="3"/>
      <c r="AO74" s="3">
        <v>0</v>
      </c>
    </row>
    <row r="75" spans="2:41" x14ac:dyDescent="0.3">
      <c r="B75" s="1">
        <f t="shared" ca="1" si="14"/>
        <v>61</v>
      </c>
      <c r="D75" s="11" t="s">
        <v>471</v>
      </c>
      <c r="F75" s="1" t="str">
        <f>+INDEX('Exh. BGM-4 (2)'!$10:$10,1,MATCH($D75,'Exh. BGM-4 (2)'!$4:$4,0))</f>
        <v>TEST YEAR PLANT ROLL FORWARD</v>
      </c>
      <c r="I75" s="3">
        <v>1654.1587874142606</v>
      </c>
      <c r="J75" s="3"/>
      <c r="K75" s="3">
        <v>-94088.202464300994</v>
      </c>
      <c r="L75" s="3"/>
      <c r="M75" s="3">
        <f t="shared" si="8"/>
        <v>-11166.531794266213</v>
      </c>
      <c r="P75" s="3">
        <f t="shared" si="9"/>
        <v>1654.1587874142606</v>
      </c>
      <c r="Q75" s="3"/>
      <c r="R75" s="3">
        <f t="shared" si="10"/>
        <v>-94088.202464300994</v>
      </c>
      <c r="S75" s="3"/>
      <c r="T75" s="3">
        <f t="shared" si="11"/>
        <v>-11166.531794266213</v>
      </c>
      <c r="W75" s="3">
        <v>0</v>
      </c>
      <c r="X75" s="3"/>
      <c r="Y75" s="3">
        <f t="shared" si="12"/>
        <v>0</v>
      </c>
      <c r="Z75" s="3"/>
      <c r="AA75" s="3">
        <v>0</v>
      </c>
      <c r="AB75" s="5"/>
      <c r="AC75" s="3">
        <f t="shared" si="13"/>
        <v>0</v>
      </c>
      <c r="AE75" s="9"/>
      <c r="AF75" s="9"/>
      <c r="AH75" s="8"/>
      <c r="AI75" s="1"/>
      <c r="AK75" s="10"/>
      <c r="AL75" s="3"/>
      <c r="AO75" s="3">
        <v>-11403.372477681009</v>
      </c>
    </row>
    <row r="76" spans="2:41" x14ac:dyDescent="0.3">
      <c r="B76" s="1">
        <f t="shared" ca="1" si="14"/>
        <v>62</v>
      </c>
      <c r="D76" s="11" t="s">
        <v>472</v>
      </c>
      <c r="F76" s="1" t="str">
        <f>+INDEX('Exh. BGM-4 (2)'!$10:$10,1,MATCH($D76,'Exh. BGM-4 (2)'!$4:$4,0))</f>
        <v>PROVISIONAL PROFORMA RETIREMENTS DEPRECIATION</v>
      </c>
      <c r="I76" s="3">
        <v>159.53106440274004</v>
      </c>
      <c r="J76" s="3"/>
      <c r="K76" s="3">
        <v>201.93805620600006</v>
      </c>
      <c r="L76" s="3"/>
      <c r="M76" s="3">
        <f t="shared" si="8"/>
        <v>-192.09238508680835</v>
      </c>
      <c r="P76" s="3">
        <f t="shared" si="9"/>
        <v>159.53106440274004</v>
      </c>
      <c r="Q76" s="3"/>
      <c r="R76" s="3">
        <f t="shared" si="10"/>
        <v>201.93805620600006</v>
      </c>
      <c r="S76" s="3"/>
      <c r="T76" s="3">
        <f t="shared" si="11"/>
        <v>-192.09238508680835</v>
      </c>
      <c r="W76" s="3">
        <v>0</v>
      </c>
      <c r="X76" s="3"/>
      <c r="Y76" s="3">
        <f t="shared" si="12"/>
        <v>0</v>
      </c>
      <c r="Z76" s="3"/>
      <c r="AA76" s="3">
        <v>0</v>
      </c>
      <c r="AB76" s="5"/>
      <c r="AC76" s="3">
        <f t="shared" si="13"/>
        <v>0</v>
      </c>
      <c r="AE76" s="9"/>
      <c r="AF76" s="9"/>
      <c r="AH76" s="8"/>
      <c r="AI76" s="1"/>
      <c r="AK76" s="10"/>
      <c r="AL76" s="3"/>
      <c r="AO76" s="3">
        <v>-191.58406261930844</v>
      </c>
    </row>
    <row r="77" spans="2:41" x14ac:dyDescent="0.3">
      <c r="B77" s="1">
        <f t="shared" ca="1" si="14"/>
        <v>63</v>
      </c>
      <c r="D77" s="11" t="s">
        <v>473</v>
      </c>
      <c r="F77" s="1" t="str">
        <f>+INDEX('Exh. BGM-4 (2)'!$10:$10,1,MATCH($D77,'Exh. BGM-4 (2)'!$4:$4,0))</f>
        <v>PROGRAMMATIC PROVISIONAL PROFORMA</v>
      </c>
      <c r="I77" s="3">
        <v>-295.58578159274009</v>
      </c>
      <c r="J77" s="3"/>
      <c r="K77" s="3">
        <v>44675.564118710005</v>
      </c>
      <c r="L77" s="3"/>
      <c r="M77" s="3">
        <f t="shared" si="8"/>
        <v>4653.1819620533897</v>
      </c>
      <c r="P77" s="3">
        <f t="shared" si="9"/>
        <v>-295.58578159274009</v>
      </c>
      <c r="Q77" s="3"/>
      <c r="R77" s="3">
        <f t="shared" si="10"/>
        <v>44675.564118710005</v>
      </c>
      <c r="S77" s="3"/>
      <c r="T77" s="3">
        <f t="shared" si="11"/>
        <v>4653.1819620533897</v>
      </c>
      <c r="W77" s="3">
        <v>0</v>
      </c>
      <c r="X77" s="3"/>
      <c r="Y77" s="3">
        <f t="shared" si="12"/>
        <v>0</v>
      </c>
      <c r="Z77" s="3"/>
      <c r="AA77" s="3">
        <v>0</v>
      </c>
      <c r="AB77" s="5"/>
      <c r="AC77" s="3">
        <f t="shared" si="13"/>
        <v>0</v>
      </c>
      <c r="AE77" s="9"/>
      <c r="AF77" s="9"/>
      <c r="AH77" s="8"/>
      <c r="AI77" s="1"/>
      <c r="AK77" s="10"/>
      <c r="AL77" s="3"/>
      <c r="AO77" s="3">
        <v>4765.6401753116506</v>
      </c>
    </row>
    <row r="78" spans="2:41" x14ac:dyDescent="0.3">
      <c r="B78" s="1">
        <f t="shared" ca="1" si="14"/>
        <v>64</v>
      </c>
      <c r="D78" s="11" t="s">
        <v>474</v>
      </c>
      <c r="F78" s="1" t="str">
        <f>+INDEX('Exh. BGM-4 (2)'!$10:$10,1,MATCH($D78,'Exh. BGM-4 (2)'!$4:$4,0))</f>
        <v>CUSTOMER DRIVEN PROGRAMMATIC PROVISIONAL PROFORMA</v>
      </c>
      <c r="I78" s="3">
        <v>-308.09226589999997</v>
      </c>
      <c r="J78" s="3"/>
      <c r="K78" s="3">
        <v>55278.78551999999</v>
      </c>
      <c r="L78" s="3"/>
      <c r="M78" s="3">
        <f t="shared" si="8"/>
        <v>5681.1859329015197</v>
      </c>
      <c r="P78" s="3">
        <f t="shared" si="9"/>
        <v>-308.09226589999997</v>
      </c>
      <c r="Q78" s="3"/>
      <c r="R78" s="3">
        <f t="shared" si="10"/>
        <v>55278.78551999999</v>
      </c>
      <c r="S78" s="3"/>
      <c r="T78" s="3">
        <f t="shared" si="11"/>
        <v>5681.1859329015197</v>
      </c>
      <c r="W78" s="3">
        <v>0</v>
      </c>
      <c r="X78" s="3"/>
      <c r="Y78" s="3">
        <f t="shared" si="12"/>
        <v>0</v>
      </c>
      <c r="Z78" s="3"/>
      <c r="AA78" s="3">
        <v>0</v>
      </c>
      <c r="AB78" s="5"/>
      <c r="AC78" s="3">
        <f t="shared" si="13"/>
        <v>0</v>
      </c>
      <c r="AE78" s="9"/>
      <c r="AF78" s="9"/>
      <c r="AH78" s="8"/>
      <c r="AI78" s="1"/>
      <c r="AK78" s="10"/>
      <c r="AL78" s="3"/>
      <c r="AO78" s="3">
        <v>5820.3347847021905</v>
      </c>
    </row>
    <row r="79" spans="2:41" x14ac:dyDescent="0.3">
      <c r="B79" s="1">
        <f t="shared" ca="1" si="14"/>
        <v>65</v>
      </c>
      <c r="D79" s="11" t="s">
        <v>475</v>
      </c>
      <c r="F79" s="1" t="str">
        <f>+INDEX('Exh. BGM-4 (2)'!$10:$10,1,MATCH($D79,'Exh. BGM-4 (2)'!$4:$4,0))</f>
        <v>SPECIFIC PROVISIONAL PROFORMA</v>
      </c>
      <c r="I79" s="3">
        <v>-2.0966130740000002E-2</v>
      </c>
      <c r="J79" s="3"/>
      <c r="K79" s="3">
        <v>2.5974953720000005</v>
      </c>
      <c r="L79" s="3"/>
      <c r="M79" s="3">
        <f t="shared" si="8"/>
        <v>0.27555050605921305</v>
      </c>
      <c r="P79" s="3">
        <f t="shared" si="9"/>
        <v>-2.0966130740000002E-2</v>
      </c>
      <c r="Q79" s="3"/>
      <c r="R79" s="3">
        <f t="shared" si="10"/>
        <v>2.5974953720000005</v>
      </c>
      <c r="S79" s="3"/>
      <c r="T79" s="3">
        <f t="shared" si="11"/>
        <v>0.27555050605921305</v>
      </c>
      <c r="W79" s="3">
        <v>0</v>
      </c>
      <c r="X79" s="3"/>
      <c r="Y79" s="3">
        <f t="shared" si="12"/>
        <v>0</v>
      </c>
      <c r="Z79" s="3"/>
      <c r="AA79" s="3">
        <v>0</v>
      </c>
      <c r="AB79" s="5"/>
      <c r="AC79" s="3">
        <f t="shared" si="13"/>
        <v>0</v>
      </c>
      <c r="AE79" s="9"/>
      <c r="AF79" s="9"/>
      <c r="AH79" s="8"/>
      <c r="AI79" s="1"/>
      <c r="AK79" s="10"/>
      <c r="AL79" s="3"/>
      <c r="AO79" s="3">
        <v>0.2820889727634171</v>
      </c>
    </row>
    <row r="80" spans="2:41" x14ac:dyDescent="0.3">
      <c r="B80" s="1">
        <f t="shared" ca="1" si="14"/>
        <v>66</v>
      </c>
      <c r="D80" s="11" t="s">
        <v>476</v>
      </c>
      <c r="F80" s="1" t="str">
        <f>+INDEX('Exh. BGM-4 (2)'!$10:$10,1,MATCH($D80,'Exh. BGM-4 (2)'!$4:$4,0))</f>
        <v>PROJECTED PROVISIONAL PROFORMA</v>
      </c>
      <c r="I80" s="3">
        <v>-394.22889515679998</v>
      </c>
      <c r="J80" s="3"/>
      <c r="K80" s="3">
        <v>22124.980888263999</v>
      </c>
      <c r="L80" s="3"/>
      <c r="M80" s="3">
        <f t="shared" si="8"/>
        <v>2632.7833682146788</v>
      </c>
      <c r="P80" s="3">
        <f t="shared" si="9"/>
        <v>-394.22889515679998</v>
      </c>
      <c r="Q80" s="3"/>
      <c r="R80" s="3">
        <f t="shared" si="10"/>
        <v>22124.980888263999</v>
      </c>
      <c r="S80" s="3"/>
      <c r="T80" s="3">
        <f t="shared" si="11"/>
        <v>2632.7833682146788</v>
      </c>
      <c r="W80" s="3">
        <v>0</v>
      </c>
      <c r="X80" s="3"/>
      <c r="Y80" s="3">
        <f t="shared" si="12"/>
        <v>0</v>
      </c>
      <c r="Z80" s="3"/>
      <c r="AA80" s="3">
        <v>0</v>
      </c>
      <c r="AB80" s="5"/>
      <c r="AC80" s="3">
        <f t="shared" si="13"/>
        <v>0</v>
      </c>
      <c r="AE80" s="9"/>
      <c r="AF80" s="9"/>
      <c r="AH80" s="8"/>
      <c r="AI80" s="1"/>
      <c r="AK80" s="10"/>
      <c r="AL80" s="3"/>
      <c r="AO80" s="3">
        <v>2688.4768075287516</v>
      </c>
    </row>
    <row r="81" spans="2:42" x14ac:dyDescent="0.3">
      <c r="B81" s="1">
        <f t="shared" ca="1" si="14"/>
        <v>67</v>
      </c>
      <c r="D81" s="11" t="s">
        <v>477</v>
      </c>
      <c r="F81" s="1" t="str">
        <f>+INDEX('Exh. BGM-4 (2)'!$10:$10,1,MATCH($D81,'Exh. BGM-4 (2)'!$4:$4,0))</f>
        <v>OPEN 1A</v>
      </c>
      <c r="I81" s="3">
        <v>0</v>
      </c>
      <c r="J81" s="3"/>
      <c r="K81" s="3">
        <v>0</v>
      </c>
      <c r="L81" s="3"/>
      <c r="M81" s="3">
        <f t="shared" si="8"/>
        <v>0</v>
      </c>
      <c r="P81" s="3">
        <f t="shared" si="9"/>
        <v>0</v>
      </c>
      <c r="Q81" s="3"/>
      <c r="R81" s="3">
        <f t="shared" si="10"/>
        <v>0</v>
      </c>
      <c r="S81" s="3"/>
      <c r="T81" s="3">
        <f t="shared" si="11"/>
        <v>0</v>
      </c>
      <c r="W81" s="3">
        <v>0</v>
      </c>
      <c r="X81" s="3"/>
      <c r="Y81" s="3">
        <f t="shared" si="12"/>
        <v>0</v>
      </c>
      <c r="Z81" s="3"/>
      <c r="AA81" s="3">
        <v>0</v>
      </c>
      <c r="AB81" s="5"/>
      <c r="AC81" s="3">
        <f t="shared" si="13"/>
        <v>0</v>
      </c>
      <c r="AE81" s="9"/>
      <c r="AF81" s="9"/>
      <c r="AH81" s="8"/>
      <c r="AI81" s="1"/>
      <c r="AK81" s="10"/>
      <c r="AL81" s="3"/>
      <c r="AO81" s="3">
        <v>0</v>
      </c>
    </row>
    <row r="82" spans="2:42" x14ac:dyDescent="0.3">
      <c r="B82" s="222">
        <f t="shared" ca="1" si="14"/>
        <v>68</v>
      </c>
      <c r="C82" s="222"/>
      <c r="D82" s="224" t="s">
        <v>478</v>
      </c>
      <c r="E82" s="222"/>
      <c r="F82" s="222" t="str">
        <f>+INDEX('Exh. BGM-4 (2)'!$10:$10,1,MATCH($D82,'Exh. BGM-4 (2)'!$4:$4,0))</f>
        <v>TACOMA LNG UPGRADE PLANT AND DEFERRAL</v>
      </c>
      <c r="G82" s="225"/>
      <c r="H82" s="225"/>
      <c r="I82" s="226">
        <v>-423.89140592988753</v>
      </c>
      <c r="J82" s="226"/>
      <c r="K82" s="226">
        <v>23770.011816583439</v>
      </c>
      <c r="L82" s="226"/>
      <c r="M82" s="226">
        <f t="shared" si="8"/>
        <v>2829.0003017005747</v>
      </c>
      <c r="N82" s="225"/>
      <c r="O82" s="222"/>
      <c r="P82" s="226">
        <f t="shared" si="9"/>
        <v>0</v>
      </c>
      <c r="Q82" s="226"/>
      <c r="R82" s="226">
        <f t="shared" si="10"/>
        <v>0</v>
      </c>
      <c r="S82" s="226"/>
      <c r="T82" s="226">
        <f t="shared" si="11"/>
        <v>0</v>
      </c>
      <c r="U82" s="222"/>
      <c r="V82" s="222"/>
      <c r="W82" s="226">
        <f>-I82/(1-0.21)</f>
        <v>536.57139991124996</v>
      </c>
      <c r="X82" s="226"/>
      <c r="Y82" s="226">
        <f t="shared" si="12"/>
        <v>423.89140592988747</v>
      </c>
      <c r="Z82" s="226"/>
      <c r="AA82" s="226">
        <f>-K82</f>
        <v>-23770.011816583439</v>
      </c>
      <c r="AB82" s="227"/>
      <c r="AC82" s="226">
        <f t="shared" si="13"/>
        <v>-2829.0003017005747</v>
      </c>
      <c r="AD82" s="225"/>
      <c r="AE82" s="232" t="s">
        <v>1026</v>
      </c>
      <c r="AF82" s="9"/>
      <c r="AH82" s="8"/>
      <c r="AI82" s="1"/>
      <c r="AK82" s="10"/>
      <c r="AL82" s="3"/>
      <c r="AO82" s="3">
        <v>2888.8346453905115</v>
      </c>
    </row>
    <row r="83" spans="2:42" x14ac:dyDescent="0.3">
      <c r="B83" s="1">
        <f t="shared" ca="1" si="14"/>
        <v>69</v>
      </c>
      <c r="D83" s="11" t="s">
        <v>479</v>
      </c>
      <c r="F83" s="1" t="str">
        <f>+INDEX('Exh. BGM-4 (2)'!$10:$10,1,MATCH($D83,'Exh. BGM-4 (2)'!$4:$4,0))</f>
        <v>REGULATORY ASSETS &amp; LIAB</v>
      </c>
      <c r="I83" s="3">
        <v>-335.52580576325812</v>
      </c>
      <c r="J83" s="3"/>
      <c r="K83" s="3">
        <v>-1852.7298615047848</v>
      </c>
      <c r="L83" s="3"/>
      <c r="M83" s="3">
        <f t="shared" si="8"/>
        <v>267.79145196537041</v>
      </c>
      <c r="P83" s="3">
        <f t="shared" si="9"/>
        <v>-335.52580576325812</v>
      </c>
      <c r="Q83" s="3"/>
      <c r="R83" s="3">
        <f t="shared" si="10"/>
        <v>-1852.7298615047848</v>
      </c>
      <c r="S83" s="3"/>
      <c r="T83" s="3">
        <f t="shared" si="11"/>
        <v>267.79145196537041</v>
      </c>
      <c r="W83" s="3">
        <v>0</v>
      </c>
      <c r="X83" s="3"/>
      <c r="Y83" s="3">
        <f t="shared" si="12"/>
        <v>0</v>
      </c>
      <c r="Z83" s="3"/>
      <c r="AA83" s="3">
        <v>0</v>
      </c>
      <c r="AB83" s="5"/>
      <c r="AC83" s="3">
        <f t="shared" si="13"/>
        <v>0</v>
      </c>
      <c r="AE83" s="9"/>
      <c r="AF83" s="9"/>
      <c r="AH83" s="8"/>
      <c r="AI83" s="1"/>
      <c r="AK83" s="10"/>
      <c r="AL83" s="3"/>
      <c r="AO83" s="3">
        <v>263.12772372857819</v>
      </c>
    </row>
    <row r="84" spans="2:42" x14ac:dyDescent="0.3">
      <c r="B84" s="1">
        <f t="shared" ca="1" si="14"/>
        <v>70</v>
      </c>
      <c r="D84" s="11" t="s">
        <v>480</v>
      </c>
      <c r="F84" s="1" t="str">
        <f>+INDEX('Exh. BGM-4 (2)'!$10:$10,1,MATCH($D84,'Exh. BGM-4 (2)'!$4:$4,0))</f>
        <v>TACOMA LNG PLANT DEFERRAL</v>
      </c>
      <c r="I84" s="3">
        <v>0</v>
      </c>
      <c r="J84" s="3"/>
      <c r="K84" s="3">
        <v>0</v>
      </c>
      <c r="L84" s="3"/>
      <c r="M84" s="3">
        <f t="shared" si="8"/>
        <v>0</v>
      </c>
      <c r="P84" s="3">
        <f t="shared" si="9"/>
        <v>0</v>
      </c>
      <c r="Q84" s="3"/>
      <c r="R84" s="3">
        <f t="shared" si="10"/>
        <v>0</v>
      </c>
      <c r="S84" s="3"/>
      <c r="T84" s="3">
        <f t="shared" si="11"/>
        <v>0</v>
      </c>
      <c r="W84" s="3">
        <v>0</v>
      </c>
      <c r="X84" s="3"/>
      <c r="Y84" s="3">
        <f t="shared" si="12"/>
        <v>0</v>
      </c>
      <c r="Z84" s="3"/>
      <c r="AA84" s="3">
        <v>0</v>
      </c>
      <c r="AB84" s="5"/>
      <c r="AC84" s="3">
        <f t="shared" si="13"/>
        <v>0</v>
      </c>
      <c r="AE84" s="9"/>
      <c r="AF84" s="9"/>
      <c r="AH84" s="8"/>
      <c r="AI84" s="1"/>
      <c r="AK84" s="10"/>
      <c r="AL84" s="3"/>
      <c r="AO84" s="3">
        <v>0</v>
      </c>
    </row>
    <row r="85" spans="2:42" x14ac:dyDescent="0.3">
      <c r="C85" s="7"/>
      <c r="D85" s="11"/>
      <c r="E85" s="7"/>
      <c r="I85" s="6"/>
      <c r="J85" s="6"/>
      <c r="K85" s="6"/>
      <c r="L85" s="6"/>
      <c r="M85" s="6"/>
      <c r="O85" s="7"/>
      <c r="P85" s="6"/>
      <c r="Q85" s="6"/>
      <c r="R85" s="6"/>
      <c r="S85" s="6"/>
      <c r="T85" s="6"/>
      <c r="W85" s="6"/>
      <c r="X85" s="1"/>
      <c r="Y85" s="6"/>
      <c r="Z85" s="6"/>
      <c r="AA85" s="6"/>
      <c r="AB85" s="6"/>
      <c r="AC85" s="3"/>
      <c r="AE85" s="9"/>
      <c r="AF85" s="9"/>
      <c r="AH85" s="8"/>
      <c r="AI85" s="1"/>
      <c r="AK85" s="10"/>
      <c r="AL85" s="3"/>
      <c r="AO85" s="6"/>
    </row>
    <row r="86" spans="2:42" x14ac:dyDescent="0.3">
      <c r="C86" s="7"/>
      <c r="D86" s="11"/>
      <c r="E86" s="7"/>
      <c r="I86" s="14"/>
      <c r="J86" s="6"/>
      <c r="K86" s="14"/>
      <c r="L86" s="6"/>
      <c r="M86" s="14"/>
      <c r="O86" s="7"/>
      <c r="P86" s="14"/>
      <c r="Q86" s="6"/>
      <c r="R86" s="14"/>
      <c r="S86" s="6"/>
      <c r="T86" s="14"/>
      <c r="W86" s="14"/>
      <c r="X86" s="1"/>
      <c r="Y86" s="14"/>
      <c r="Z86" s="6"/>
      <c r="AA86" s="14"/>
      <c r="AB86" s="6"/>
      <c r="AC86" s="13"/>
      <c r="AE86" s="9"/>
      <c r="AF86" s="9"/>
      <c r="AH86" s="8"/>
      <c r="AI86" s="1"/>
      <c r="AK86" s="10"/>
      <c r="AL86" s="3"/>
      <c r="AO86" s="14"/>
    </row>
    <row r="87" spans="2:42" ht="13.5" thickBot="1" x14ac:dyDescent="0.35">
      <c r="B87" s="1">
        <f ca="1">+MAX(OFFSET($B$7,0,0,ROW($B87)-ROW($B$7),1))+1</f>
        <v>71</v>
      </c>
      <c r="D87" s="11"/>
      <c r="F87" s="7" t="s">
        <v>0</v>
      </c>
      <c r="I87" s="12">
        <f>+SUM(I43:I86)</f>
        <v>142892.4128686632</v>
      </c>
      <c r="J87" s="3"/>
      <c r="K87" s="12">
        <f>+SUM(K43:K86)</f>
        <v>2571528.5528744771</v>
      </c>
      <c r="L87" s="3"/>
      <c r="M87" s="12">
        <f>+($K87*$AL$16-$I87)/$AJ$4</f>
        <v>55985.144347051952</v>
      </c>
      <c r="P87" s="12">
        <f>+SUM(P43:P86)</f>
        <v>143187.63537779555</v>
      </c>
      <c r="Q87" s="3"/>
      <c r="R87" s="12">
        <f>+SUM(R43:R86)</f>
        <v>2547406.1500252923</v>
      </c>
      <c r="S87" s="3"/>
      <c r="T87" s="12">
        <f>+($R87*$AL$16-$P87)/$AJ$4</f>
        <v>53292.996993943445</v>
      </c>
      <c r="W87" s="12">
        <f>+SUM(W43:W86)</f>
        <v>536.57139991124996</v>
      </c>
      <c r="X87" s="5"/>
      <c r="Y87" s="12">
        <f>+SUM(Y43:Y86)</f>
        <v>295.22250913233529</v>
      </c>
      <c r="Z87" s="3"/>
      <c r="AA87" s="12">
        <f>+SUM(AA43:AA86)</f>
        <v>-24122.402849184888</v>
      </c>
      <c r="AB87" s="3"/>
      <c r="AC87" s="12">
        <f>+SUM(AC43:AC86)</f>
        <v>-2692.1473531084985</v>
      </c>
      <c r="AE87" s="9"/>
      <c r="AF87" s="9"/>
      <c r="AH87" s="8"/>
      <c r="AI87" s="1"/>
      <c r="AK87" s="10"/>
      <c r="AL87" s="3"/>
      <c r="AO87" s="12">
        <v>62458.246860776046</v>
      </c>
      <c r="AP87" s="3">
        <f>+M87-AO87</f>
        <v>-6473.102513724094</v>
      </c>
    </row>
    <row r="88" spans="2:42" ht="13.5" thickTop="1" x14ac:dyDescent="0.3">
      <c r="D88" s="11"/>
      <c r="S88" s="202" t="s">
        <v>671</v>
      </c>
      <c r="T88" s="202">
        <f>+T87-'Exh. BGM-4 (2)'!BX70/1000</f>
        <v>0</v>
      </c>
      <c r="AH88" s="8"/>
      <c r="AI88" s="1"/>
      <c r="AK88" s="10"/>
      <c r="AL88" s="3"/>
    </row>
    <row r="89" spans="2:42" x14ac:dyDescent="0.3">
      <c r="D89" s="11"/>
      <c r="AH89" s="8"/>
      <c r="AI89" s="1"/>
      <c r="AK89" s="10"/>
      <c r="AL89" s="3"/>
    </row>
    <row r="90" spans="2:42" x14ac:dyDescent="0.3">
      <c r="B90" s="15" t="s">
        <v>403</v>
      </c>
      <c r="D90" s="11"/>
      <c r="AH90" s="8"/>
      <c r="AI90" s="1"/>
      <c r="AK90" s="10"/>
      <c r="AL90" s="3"/>
    </row>
    <row r="91" spans="2:42" x14ac:dyDescent="0.3">
      <c r="B91" s="1">
        <f t="shared" ref="B91:B129" ca="1" si="15">+MAX(OFFSET($B$7,0,0,ROW($B91)-ROW($B$7),1))+1</f>
        <v>72</v>
      </c>
      <c r="D91" s="11" t="s">
        <v>481</v>
      </c>
      <c r="F91" s="1" t="str">
        <f>+INDEX('Exh. BGM-4 (2)'!$10:$10,1,MATCH($D91,'Exh. BGM-4 (2)'!$4:$4,0))</f>
        <v>REVENUES AND EXPENSES</v>
      </c>
      <c r="I91" s="3">
        <v>11331.219433740547</v>
      </c>
      <c r="J91" s="3"/>
      <c r="K91" s="3">
        <v>0</v>
      </c>
      <c r="L91" s="3"/>
      <c r="M91" s="3">
        <f t="shared" ref="M91:M129" si="16">+($K91*$AL$16-$I91)/$AJ$4</f>
        <v>-15012.194517151602</v>
      </c>
      <c r="P91" s="3">
        <f t="shared" ref="P91:P128" si="17">+I91+Y91</f>
        <v>11331.219433740547</v>
      </c>
      <c r="Q91" s="3"/>
      <c r="R91" s="3">
        <f t="shared" ref="R91:R128" si="18">+K91+AA91</f>
        <v>0</v>
      </c>
      <c r="S91" s="3"/>
      <c r="T91" s="3">
        <f t="shared" ref="T91:T129" si="19">+($R91*$AL$16-$P91)/$AJ$4</f>
        <v>-15012.194517151602</v>
      </c>
      <c r="W91" s="3">
        <v>0</v>
      </c>
      <c r="X91" s="3"/>
      <c r="Y91" s="3">
        <f t="shared" ref="Y91:Y128" si="20">+W91*(1-$AJ$5)</f>
        <v>0</v>
      </c>
      <c r="Z91" s="3"/>
      <c r="AA91" s="3">
        <v>0</v>
      </c>
      <c r="AB91" s="5"/>
      <c r="AC91" s="3">
        <f t="shared" ref="AC91:AC128" si="21">+T91-M91</f>
        <v>0</v>
      </c>
      <c r="AE91" s="9"/>
      <c r="AF91" s="9"/>
      <c r="AH91" s="8"/>
      <c r="AI91" s="1"/>
      <c r="AK91" s="10"/>
      <c r="AL91" s="3"/>
      <c r="AO91" s="3">
        <v>-15012.194517151602</v>
      </c>
    </row>
    <row r="92" spans="2:42" x14ac:dyDescent="0.3">
      <c r="B92" s="1">
        <f t="shared" ca="1" si="15"/>
        <v>73</v>
      </c>
      <c r="D92" s="11" t="s">
        <v>482</v>
      </c>
      <c r="F92" s="1" t="str">
        <f>+INDEX('Exh. BGM-4 (2)'!$10:$10,1,MATCH($D92,'Exh. BGM-4 (2)'!$4:$4,0))</f>
        <v>PASS-THROUGH REVENUE &amp; EXPENSE</v>
      </c>
      <c r="I92" s="3">
        <v>0</v>
      </c>
      <c r="J92" s="3"/>
      <c r="K92" s="3">
        <v>0</v>
      </c>
      <c r="L92" s="3"/>
      <c r="M92" s="3">
        <f t="shared" si="16"/>
        <v>0</v>
      </c>
      <c r="P92" s="3">
        <f t="shared" si="17"/>
        <v>0</v>
      </c>
      <c r="Q92" s="3"/>
      <c r="R92" s="3">
        <f t="shared" si="18"/>
        <v>0</v>
      </c>
      <c r="S92" s="3"/>
      <c r="T92" s="3">
        <f t="shared" si="19"/>
        <v>0</v>
      </c>
      <c r="W92" s="3">
        <v>0</v>
      </c>
      <c r="X92" s="3"/>
      <c r="Y92" s="3">
        <f t="shared" si="20"/>
        <v>0</v>
      </c>
      <c r="Z92" s="3"/>
      <c r="AA92" s="3">
        <v>0</v>
      </c>
      <c r="AB92" s="5"/>
      <c r="AC92" s="3">
        <f t="shared" si="21"/>
        <v>0</v>
      </c>
      <c r="AE92" s="9"/>
      <c r="AF92" s="9"/>
      <c r="AH92" s="8"/>
      <c r="AI92" s="1"/>
      <c r="AK92" s="10"/>
      <c r="AL92" s="3"/>
      <c r="AO92" s="3">
        <v>0</v>
      </c>
    </row>
    <row r="93" spans="2:42" x14ac:dyDescent="0.3">
      <c r="B93" s="1">
        <f t="shared" ca="1" si="15"/>
        <v>74</v>
      </c>
      <c r="D93" s="11" t="s">
        <v>483</v>
      </c>
      <c r="F93" s="1" t="str">
        <f>+INDEX('Exh. BGM-4 (2)'!$10:$10,1,MATCH($D93,'Exh. BGM-4 (2)'!$4:$4,0))</f>
        <v>TEMPERATURE NORMALIZATION</v>
      </c>
      <c r="I93" s="3">
        <v>0</v>
      </c>
      <c r="J93" s="3"/>
      <c r="K93" s="3">
        <v>0</v>
      </c>
      <c r="L93" s="3"/>
      <c r="M93" s="3">
        <f t="shared" si="16"/>
        <v>0</v>
      </c>
      <c r="P93" s="3">
        <f t="shared" si="17"/>
        <v>0</v>
      </c>
      <c r="Q93" s="3"/>
      <c r="R93" s="3">
        <f t="shared" si="18"/>
        <v>0</v>
      </c>
      <c r="S93" s="3"/>
      <c r="T93" s="3">
        <f t="shared" si="19"/>
        <v>0</v>
      </c>
      <c r="W93" s="3">
        <v>0</v>
      </c>
      <c r="X93" s="3"/>
      <c r="Y93" s="3">
        <f t="shared" si="20"/>
        <v>0</v>
      </c>
      <c r="Z93" s="3"/>
      <c r="AA93" s="3">
        <v>0</v>
      </c>
      <c r="AB93" s="5"/>
      <c r="AC93" s="3">
        <f t="shared" si="21"/>
        <v>0</v>
      </c>
      <c r="AE93" s="9"/>
      <c r="AF93" s="9"/>
      <c r="AH93" s="8"/>
      <c r="AI93" s="1"/>
      <c r="AO93" s="3">
        <v>0</v>
      </c>
    </row>
    <row r="94" spans="2:42" x14ac:dyDescent="0.3">
      <c r="B94" s="1">
        <f t="shared" ca="1" si="15"/>
        <v>75</v>
      </c>
      <c r="D94" s="11" t="s">
        <v>484</v>
      </c>
      <c r="F94" s="1" t="str">
        <f>+INDEX('Exh. BGM-4 (2)'!$10:$10,1,MATCH($D94,'Exh. BGM-4 (2)'!$4:$4,0))</f>
        <v>FEDERAL INCOME TAX</v>
      </c>
      <c r="I94" s="3">
        <v>252.77903881400135</v>
      </c>
      <c r="J94" s="3"/>
      <c r="K94" s="3">
        <v>5370.0427846080065</v>
      </c>
      <c r="L94" s="3"/>
      <c r="M94" s="3">
        <f t="shared" si="16"/>
        <v>177.35011172186464</v>
      </c>
      <c r="P94" s="3">
        <f t="shared" si="17"/>
        <v>252.77903881400135</v>
      </c>
      <c r="Q94" s="3"/>
      <c r="R94" s="3">
        <f t="shared" si="18"/>
        <v>5370.0427846080065</v>
      </c>
      <c r="S94" s="3"/>
      <c r="T94" s="3">
        <f t="shared" si="19"/>
        <v>177.35011172186464</v>
      </c>
      <c r="W94" s="3">
        <v>0</v>
      </c>
      <c r="X94" s="3"/>
      <c r="Y94" s="3">
        <f t="shared" si="20"/>
        <v>0</v>
      </c>
      <c r="Z94" s="3"/>
      <c r="AA94" s="3">
        <v>0</v>
      </c>
      <c r="AB94" s="5"/>
      <c r="AC94" s="3">
        <f t="shared" si="21"/>
        <v>0</v>
      </c>
      <c r="AE94" s="9"/>
      <c r="AF94" s="9"/>
      <c r="AH94" s="8"/>
      <c r="AO94" s="3">
        <v>190.86768958775923</v>
      </c>
    </row>
    <row r="95" spans="2:42" x14ac:dyDescent="0.3">
      <c r="B95" s="222">
        <f t="shared" ca="1" si="15"/>
        <v>76</v>
      </c>
      <c r="C95" s="222"/>
      <c r="D95" s="224" t="s">
        <v>485</v>
      </c>
      <c r="E95" s="222"/>
      <c r="F95" s="222" t="str">
        <f>+INDEX('Exh. BGM-4 (2)'!$10:$10,1,MATCH($D95,'Exh. BGM-4 (2)'!$4:$4,0))</f>
        <v>TAX BENEFIT OF INTEREST</v>
      </c>
      <c r="G95" s="225"/>
      <c r="H95" s="225"/>
      <c r="I95" s="226">
        <v>1849.6390504073493</v>
      </c>
      <c r="J95" s="226"/>
      <c r="K95" s="226">
        <v>0</v>
      </c>
      <c r="L95" s="226"/>
      <c r="M95" s="226">
        <f t="shared" si="16"/>
        <v>-2450.4989399952428</v>
      </c>
      <c r="N95" s="225"/>
      <c r="O95" s="222"/>
      <c r="P95" s="226">
        <f t="shared" si="17"/>
        <v>246.12865813437247</v>
      </c>
      <c r="Q95" s="226"/>
      <c r="R95" s="226">
        <f t="shared" si="18"/>
        <v>0</v>
      </c>
      <c r="S95" s="226"/>
      <c r="T95" s="226">
        <f t="shared" si="19"/>
        <v>-326.08417070773947</v>
      </c>
      <c r="U95" s="222"/>
      <c r="V95" s="222"/>
      <c r="W95" s="226">
        <v>0</v>
      </c>
      <c r="X95" s="226"/>
      <c r="Y95" s="226">
        <f>+SUM(AA96:AA129)*$AL$14*$AJ$5</f>
        <v>-1603.5103922729768</v>
      </c>
      <c r="Z95" s="226"/>
      <c r="AA95" s="226">
        <v>0</v>
      </c>
      <c r="AB95" s="227"/>
      <c r="AC95" s="226">
        <f t="shared" si="21"/>
        <v>2124.4147692875035</v>
      </c>
      <c r="AD95" s="225"/>
      <c r="AE95" s="232" t="s">
        <v>1065</v>
      </c>
      <c r="AF95" s="9"/>
      <c r="AH95" s="8"/>
      <c r="AL95" s="3"/>
      <c r="AO95" s="3">
        <v>-2450.4989399952428</v>
      </c>
    </row>
    <row r="96" spans="2:42" x14ac:dyDescent="0.3">
      <c r="B96" s="1">
        <f t="shared" ca="1" si="15"/>
        <v>77</v>
      </c>
      <c r="D96" s="11" t="s">
        <v>486</v>
      </c>
      <c r="F96" s="1" t="str">
        <f>+INDEX('Exh. BGM-4 (2)'!$10:$10,1,MATCH($D96,'Exh. BGM-4 (2)'!$4:$4,0))</f>
        <v>BAD DEBT EXPENSE</v>
      </c>
      <c r="I96" s="3">
        <v>0</v>
      </c>
      <c r="J96" s="3"/>
      <c r="K96" s="3">
        <v>0</v>
      </c>
      <c r="L96" s="3"/>
      <c r="M96" s="3">
        <f t="shared" si="16"/>
        <v>0</v>
      </c>
      <c r="P96" s="3">
        <f t="shared" si="17"/>
        <v>0</v>
      </c>
      <c r="Q96" s="3"/>
      <c r="R96" s="3">
        <f t="shared" si="18"/>
        <v>0</v>
      </c>
      <c r="S96" s="3"/>
      <c r="T96" s="3">
        <f t="shared" si="19"/>
        <v>0</v>
      </c>
      <c r="W96" s="3">
        <v>0</v>
      </c>
      <c r="X96" s="3"/>
      <c r="Y96" s="3">
        <f t="shared" si="20"/>
        <v>0</v>
      </c>
      <c r="Z96" s="3"/>
      <c r="AA96" s="3">
        <v>0</v>
      </c>
      <c r="AB96" s="5"/>
      <c r="AC96" s="3">
        <f t="shared" si="21"/>
        <v>0</v>
      </c>
      <c r="AE96" s="9"/>
      <c r="AF96" s="9"/>
      <c r="AH96" s="8"/>
      <c r="AL96" s="3"/>
      <c r="AO96" s="3">
        <v>0</v>
      </c>
    </row>
    <row r="97" spans="2:41" x14ac:dyDescent="0.3">
      <c r="B97" s="1">
        <f t="shared" ca="1" si="15"/>
        <v>78</v>
      </c>
      <c r="D97" s="11" t="s">
        <v>487</v>
      </c>
      <c r="F97" s="1" t="str">
        <f>+INDEX('Exh. BGM-4 (2)'!$10:$10,1,MATCH($D97,'Exh. BGM-4 (2)'!$4:$4,0))</f>
        <v>RATE CASE EXPENSE</v>
      </c>
      <c r="I97" s="3">
        <v>0</v>
      </c>
      <c r="J97" s="3"/>
      <c r="K97" s="3">
        <v>0</v>
      </c>
      <c r="L97" s="3"/>
      <c r="M97" s="3">
        <f t="shared" si="16"/>
        <v>0</v>
      </c>
      <c r="P97" s="3">
        <f t="shared" si="17"/>
        <v>0</v>
      </c>
      <c r="Q97" s="3"/>
      <c r="R97" s="3">
        <f t="shared" si="18"/>
        <v>0</v>
      </c>
      <c r="S97" s="3"/>
      <c r="T97" s="3">
        <f t="shared" si="19"/>
        <v>0</v>
      </c>
      <c r="W97" s="3">
        <v>0</v>
      </c>
      <c r="X97" s="3"/>
      <c r="Y97" s="3">
        <f t="shared" si="20"/>
        <v>0</v>
      </c>
      <c r="Z97" s="3"/>
      <c r="AA97" s="3">
        <v>0</v>
      </c>
      <c r="AB97" s="5"/>
      <c r="AC97" s="3">
        <f t="shared" si="21"/>
        <v>0</v>
      </c>
      <c r="AE97" s="9"/>
      <c r="AF97" s="9"/>
      <c r="AH97" s="8"/>
      <c r="AL97" s="3"/>
      <c r="AO97" s="3">
        <v>0</v>
      </c>
    </row>
    <row r="98" spans="2:41" x14ac:dyDescent="0.3">
      <c r="B98" s="1">
        <f t="shared" ca="1" si="15"/>
        <v>79</v>
      </c>
      <c r="D98" s="11" t="s">
        <v>488</v>
      </c>
      <c r="F98" s="1" t="str">
        <f>+INDEX('Exh. BGM-4 (2)'!$10:$10,1,MATCH($D98,'Exh. BGM-4 (2)'!$4:$4,0))</f>
        <v xml:space="preserve">EXCISE TAX </v>
      </c>
      <c r="I98" s="3">
        <v>0</v>
      </c>
      <c r="J98" s="3"/>
      <c r="K98" s="3">
        <v>0</v>
      </c>
      <c r="L98" s="3"/>
      <c r="M98" s="3">
        <f t="shared" si="16"/>
        <v>0</v>
      </c>
      <c r="P98" s="3">
        <f t="shared" si="17"/>
        <v>0</v>
      </c>
      <c r="Q98" s="3"/>
      <c r="R98" s="3">
        <f t="shared" si="18"/>
        <v>0</v>
      </c>
      <c r="S98" s="3"/>
      <c r="T98" s="3">
        <f t="shared" si="19"/>
        <v>0</v>
      </c>
      <c r="W98" s="3">
        <v>0</v>
      </c>
      <c r="X98" s="3"/>
      <c r="Y98" s="3">
        <f t="shared" si="20"/>
        <v>0</v>
      </c>
      <c r="Z98" s="3"/>
      <c r="AA98" s="3">
        <v>0</v>
      </c>
      <c r="AB98" s="5"/>
      <c r="AC98" s="3">
        <f t="shared" si="21"/>
        <v>0</v>
      </c>
      <c r="AE98" s="9"/>
      <c r="AF98" s="9"/>
      <c r="AH98" s="8"/>
      <c r="AL98" s="3"/>
      <c r="AO98" s="3">
        <v>0</v>
      </c>
    </row>
    <row r="99" spans="2:41" x14ac:dyDescent="0.3">
      <c r="B99" s="1">
        <f t="shared" ca="1" si="15"/>
        <v>80</v>
      </c>
      <c r="D99" s="11" t="s">
        <v>489</v>
      </c>
      <c r="F99" s="1" t="str">
        <f>+INDEX('Exh. BGM-4 (2)'!$10:$10,1,MATCH($D99,'Exh. BGM-4 (2)'!$4:$4,0))</f>
        <v>EMPLOYEE INSURANCE</v>
      </c>
      <c r="I99" s="3">
        <v>0</v>
      </c>
      <c r="J99" s="3"/>
      <c r="K99" s="3">
        <v>0</v>
      </c>
      <c r="L99" s="3"/>
      <c r="M99" s="3">
        <f t="shared" si="16"/>
        <v>0</v>
      </c>
      <c r="P99" s="3">
        <f t="shared" si="17"/>
        <v>0</v>
      </c>
      <c r="Q99" s="3"/>
      <c r="R99" s="3">
        <f t="shared" si="18"/>
        <v>0</v>
      </c>
      <c r="S99" s="3"/>
      <c r="T99" s="3">
        <f t="shared" si="19"/>
        <v>0</v>
      </c>
      <c r="W99" s="3">
        <v>0</v>
      </c>
      <c r="X99" s="3"/>
      <c r="Y99" s="3">
        <f t="shared" si="20"/>
        <v>0</v>
      </c>
      <c r="Z99" s="3"/>
      <c r="AA99" s="3">
        <v>0</v>
      </c>
      <c r="AB99" s="5"/>
      <c r="AC99" s="3">
        <f t="shared" si="21"/>
        <v>0</v>
      </c>
      <c r="AE99" s="9"/>
      <c r="AF99" s="9"/>
      <c r="AH99" s="8"/>
      <c r="AL99" s="3"/>
      <c r="AO99" s="3">
        <v>0</v>
      </c>
    </row>
    <row r="100" spans="2:41" x14ac:dyDescent="0.3">
      <c r="B100" s="1">
        <f t="shared" ca="1" si="15"/>
        <v>81</v>
      </c>
      <c r="D100" s="11" t="s">
        <v>490</v>
      </c>
      <c r="F100" s="1" t="str">
        <f>+INDEX('Exh. BGM-4 (2)'!$10:$10,1,MATCH($D100,'Exh. BGM-4 (2)'!$4:$4,0))</f>
        <v>INJURIES &amp; DAMAGES</v>
      </c>
      <c r="I100" s="3">
        <v>0</v>
      </c>
      <c r="J100" s="3"/>
      <c r="K100" s="3">
        <v>0</v>
      </c>
      <c r="L100" s="3"/>
      <c r="M100" s="3">
        <f t="shared" si="16"/>
        <v>0</v>
      </c>
      <c r="P100" s="3">
        <f t="shared" si="17"/>
        <v>0</v>
      </c>
      <c r="Q100" s="3"/>
      <c r="R100" s="3">
        <f t="shared" si="18"/>
        <v>0</v>
      </c>
      <c r="S100" s="3"/>
      <c r="T100" s="3">
        <f t="shared" si="19"/>
        <v>0</v>
      </c>
      <c r="W100" s="3">
        <v>0</v>
      </c>
      <c r="X100" s="3"/>
      <c r="Y100" s="3">
        <f t="shared" si="20"/>
        <v>0</v>
      </c>
      <c r="Z100" s="3"/>
      <c r="AA100" s="3">
        <v>0</v>
      </c>
      <c r="AB100" s="5"/>
      <c r="AC100" s="3">
        <f t="shared" si="21"/>
        <v>0</v>
      </c>
      <c r="AE100" s="9"/>
      <c r="AF100" s="9"/>
      <c r="AH100" s="8"/>
      <c r="AL100" s="3"/>
      <c r="AO100" s="3">
        <v>0</v>
      </c>
    </row>
    <row r="101" spans="2:41" x14ac:dyDescent="0.3">
      <c r="B101" s="1">
        <f t="shared" ca="1" si="15"/>
        <v>82</v>
      </c>
      <c r="D101" s="11" t="s">
        <v>491</v>
      </c>
      <c r="F101" s="1" t="str">
        <f>+INDEX('Exh. BGM-4 (2)'!$10:$10,1,MATCH($D101,'Exh. BGM-4 (2)'!$4:$4,0))</f>
        <v>INCENTIVE PAY</v>
      </c>
      <c r="I101" s="3">
        <v>-33.965106110777221</v>
      </c>
      <c r="J101" s="3"/>
      <c r="K101" s="3">
        <v>0</v>
      </c>
      <c r="L101" s="3"/>
      <c r="M101" s="3">
        <f t="shared" si="16"/>
        <v>44.99875611025584</v>
      </c>
      <c r="P101" s="3">
        <f t="shared" si="17"/>
        <v>-33.965106110777221</v>
      </c>
      <c r="Q101" s="3"/>
      <c r="R101" s="3">
        <f t="shared" si="18"/>
        <v>0</v>
      </c>
      <c r="S101" s="3"/>
      <c r="T101" s="3">
        <f t="shared" si="19"/>
        <v>44.99875611025584</v>
      </c>
      <c r="W101" s="3">
        <v>0</v>
      </c>
      <c r="X101" s="3"/>
      <c r="Y101" s="3">
        <f t="shared" si="20"/>
        <v>0</v>
      </c>
      <c r="Z101" s="3"/>
      <c r="AA101" s="3">
        <v>0</v>
      </c>
      <c r="AB101" s="5"/>
      <c r="AC101" s="3">
        <f t="shared" si="21"/>
        <v>0</v>
      </c>
      <c r="AE101" s="9"/>
      <c r="AF101" s="9"/>
      <c r="AH101" s="8"/>
      <c r="AL101" s="3"/>
      <c r="AO101" s="3">
        <v>44.99875611025584</v>
      </c>
    </row>
    <row r="102" spans="2:41" x14ac:dyDescent="0.3">
      <c r="B102" s="1">
        <f t="shared" ca="1" si="15"/>
        <v>83</v>
      </c>
      <c r="D102" s="11" t="s">
        <v>492</v>
      </c>
      <c r="F102" s="1" t="str">
        <f>+INDEX('Exh. BGM-4 (2)'!$10:$10,1,MATCH($D102,'Exh. BGM-4 (2)'!$4:$4,0))</f>
        <v>INVESTMENT PLAN</v>
      </c>
      <c r="I102" s="3">
        <v>0</v>
      </c>
      <c r="J102" s="3"/>
      <c r="K102" s="3">
        <v>0</v>
      </c>
      <c r="L102" s="3"/>
      <c r="M102" s="3">
        <f t="shared" si="16"/>
        <v>0</v>
      </c>
      <c r="P102" s="3">
        <f t="shared" si="17"/>
        <v>0</v>
      </c>
      <c r="Q102" s="3"/>
      <c r="R102" s="3">
        <f t="shared" si="18"/>
        <v>0</v>
      </c>
      <c r="S102" s="3"/>
      <c r="T102" s="3">
        <f t="shared" si="19"/>
        <v>0</v>
      </c>
      <c r="W102" s="3">
        <v>0</v>
      </c>
      <c r="X102" s="3"/>
      <c r="Y102" s="3">
        <f t="shared" si="20"/>
        <v>0</v>
      </c>
      <c r="Z102" s="3"/>
      <c r="AA102" s="3">
        <v>0</v>
      </c>
      <c r="AB102" s="5"/>
      <c r="AC102" s="3">
        <f t="shared" si="21"/>
        <v>0</v>
      </c>
      <c r="AE102" s="9"/>
      <c r="AF102" s="9"/>
      <c r="AH102" s="8"/>
      <c r="AL102" s="3"/>
      <c r="AO102" s="3">
        <v>0</v>
      </c>
    </row>
    <row r="103" spans="2:41" x14ac:dyDescent="0.3">
      <c r="B103" s="1">
        <f t="shared" ca="1" si="15"/>
        <v>84</v>
      </c>
      <c r="D103" s="11" t="s">
        <v>493</v>
      </c>
      <c r="F103" s="1" t="str">
        <f>+INDEX('Exh. BGM-4 (2)'!$10:$10,1,MATCH($D103,'Exh. BGM-4 (2)'!$4:$4,0))</f>
        <v>INTEREST ON  CUSTOMER DEPOSITS</v>
      </c>
      <c r="I103" s="3">
        <v>0</v>
      </c>
      <c r="J103" s="3"/>
      <c r="K103" s="3">
        <v>0</v>
      </c>
      <c r="L103" s="3"/>
      <c r="M103" s="3">
        <f t="shared" si="16"/>
        <v>0</v>
      </c>
      <c r="P103" s="3">
        <f t="shared" si="17"/>
        <v>0</v>
      </c>
      <c r="Q103" s="3"/>
      <c r="R103" s="3">
        <f t="shared" si="18"/>
        <v>0</v>
      </c>
      <c r="S103" s="3"/>
      <c r="T103" s="3">
        <f t="shared" si="19"/>
        <v>0</v>
      </c>
      <c r="W103" s="3">
        <v>0</v>
      </c>
      <c r="X103" s="3"/>
      <c r="Y103" s="3">
        <f t="shared" si="20"/>
        <v>0</v>
      </c>
      <c r="Z103" s="3"/>
      <c r="AA103" s="3">
        <v>0</v>
      </c>
      <c r="AB103" s="5"/>
      <c r="AC103" s="3">
        <f t="shared" si="21"/>
        <v>0</v>
      </c>
      <c r="AE103" s="9"/>
      <c r="AF103" s="9"/>
      <c r="AH103" s="8"/>
      <c r="AL103" s="3"/>
      <c r="AO103" s="3">
        <v>0</v>
      </c>
    </row>
    <row r="104" spans="2:41" x14ac:dyDescent="0.3">
      <c r="B104" s="1">
        <f t="shared" ca="1" si="15"/>
        <v>85</v>
      </c>
      <c r="D104" s="11" t="s">
        <v>494</v>
      </c>
      <c r="F104" s="1" t="str">
        <f>+INDEX('Exh. BGM-4 (2)'!$10:$10,1,MATCH($D104,'Exh. BGM-4 (2)'!$4:$4,0))</f>
        <v>PROPERTY AND LIAB INSURANCE</v>
      </c>
      <c r="I104" s="3">
        <v>0</v>
      </c>
      <c r="J104" s="3"/>
      <c r="K104" s="3">
        <v>0</v>
      </c>
      <c r="L104" s="3"/>
      <c r="M104" s="3">
        <f t="shared" si="16"/>
        <v>0</v>
      </c>
      <c r="P104" s="3">
        <f t="shared" si="17"/>
        <v>0</v>
      </c>
      <c r="Q104" s="3"/>
      <c r="R104" s="3">
        <f t="shared" si="18"/>
        <v>0</v>
      </c>
      <c r="S104" s="3"/>
      <c r="T104" s="3">
        <f t="shared" si="19"/>
        <v>0</v>
      </c>
      <c r="W104" s="3">
        <v>0</v>
      </c>
      <c r="X104" s="3"/>
      <c r="Y104" s="3">
        <f t="shared" si="20"/>
        <v>0</v>
      </c>
      <c r="Z104" s="3"/>
      <c r="AA104" s="3">
        <v>0</v>
      </c>
      <c r="AB104" s="5"/>
      <c r="AC104" s="3">
        <f t="shared" si="21"/>
        <v>0</v>
      </c>
      <c r="AE104" s="9"/>
      <c r="AF104" s="9"/>
      <c r="AH104" s="8"/>
      <c r="AL104" s="3"/>
      <c r="AO104" s="3">
        <v>0</v>
      </c>
    </row>
    <row r="105" spans="2:41" x14ac:dyDescent="0.3">
      <c r="B105" s="1">
        <f t="shared" ca="1" si="15"/>
        <v>86</v>
      </c>
      <c r="D105" s="11" t="s">
        <v>495</v>
      </c>
      <c r="F105" s="1" t="str">
        <f>+INDEX('Exh. BGM-4 (2)'!$10:$10,1,MATCH($D105,'Exh. BGM-4 (2)'!$4:$4,0))</f>
        <v>DEFERRED GAINS AND LOSSES ON PROPERTY SALES</v>
      </c>
      <c r="I105" s="3">
        <v>0</v>
      </c>
      <c r="J105" s="3"/>
      <c r="K105" s="3">
        <v>0</v>
      </c>
      <c r="L105" s="3"/>
      <c r="M105" s="3">
        <f t="shared" si="16"/>
        <v>0</v>
      </c>
      <c r="P105" s="3">
        <f t="shared" si="17"/>
        <v>0</v>
      </c>
      <c r="Q105" s="3"/>
      <c r="R105" s="3">
        <f t="shared" si="18"/>
        <v>0</v>
      </c>
      <c r="S105" s="3"/>
      <c r="T105" s="3">
        <f t="shared" si="19"/>
        <v>0</v>
      </c>
      <c r="W105" s="3">
        <v>0</v>
      </c>
      <c r="X105" s="3"/>
      <c r="Y105" s="3">
        <f t="shared" si="20"/>
        <v>0</v>
      </c>
      <c r="Z105" s="3"/>
      <c r="AA105" s="3">
        <v>0</v>
      </c>
      <c r="AB105" s="5"/>
      <c r="AC105" s="3">
        <f t="shared" si="21"/>
        <v>0</v>
      </c>
      <c r="AE105" s="9"/>
      <c r="AF105" s="9"/>
      <c r="AH105" s="8"/>
      <c r="AL105" s="3"/>
      <c r="AO105" s="3">
        <v>0</v>
      </c>
    </row>
    <row r="106" spans="2:41" x14ac:dyDescent="0.3">
      <c r="B106" s="1">
        <f t="shared" ca="1" si="15"/>
        <v>87</v>
      </c>
      <c r="D106" s="11" t="s">
        <v>496</v>
      </c>
      <c r="F106" s="1" t="str">
        <f>+INDEX('Exh. BGM-4 (2)'!$10:$10,1,MATCH($D106,'Exh. BGM-4 (2)'!$4:$4,0))</f>
        <v>D&amp;O INSURANCE</v>
      </c>
      <c r="I106" s="3">
        <v>0</v>
      </c>
      <c r="J106" s="3"/>
      <c r="K106" s="3">
        <v>0</v>
      </c>
      <c r="L106" s="3"/>
      <c r="M106" s="3">
        <f t="shared" si="16"/>
        <v>0</v>
      </c>
      <c r="P106" s="3">
        <f t="shared" si="17"/>
        <v>0</v>
      </c>
      <c r="Q106" s="3"/>
      <c r="R106" s="3">
        <f t="shared" si="18"/>
        <v>0</v>
      </c>
      <c r="S106" s="3"/>
      <c r="T106" s="3">
        <f t="shared" si="19"/>
        <v>0</v>
      </c>
      <c r="W106" s="3">
        <v>0</v>
      </c>
      <c r="X106" s="3"/>
      <c r="Y106" s="3">
        <f t="shared" si="20"/>
        <v>0</v>
      </c>
      <c r="Z106" s="3"/>
      <c r="AA106" s="3">
        <v>0</v>
      </c>
      <c r="AB106" s="5"/>
      <c r="AC106" s="3">
        <f t="shared" si="21"/>
        <v>0</v>
      </c>
      <c r="AE106" s="9"/>
      <c r="AF106" s="9"/>
      <c r="AH106" s="8"/>
      <c r="AL106" s="3"/>
      <c r="AO106" s="3">
        <v>0</v>
      </c>
    </row>
    <row r="107" spans="2:41" x14ac:dyDescent="0.3">
      <c r="B107" s="1">
        <f t="shared" ca="1" si="15"/>
        <v>88</v>
      </c>
      <c r="D107" s="11" t="s">
        <v>497</v>
      </c>
      <c r="F107" s="1" t="str">
        <f>+INDEX('Exh. BGM-4 (2)'!$10:$10,1,MATCH($D107,'Exh. BGM-4 (2)'!$4:$4,0))</f>
        <v>PENSION PLAN</v>
      </c>
      <c r="I107" s="3">
        <v>0</v>
      </c>
      <c r="J107" s="3"/>
      <c r="K107" s="3">
        <v>0</v>
      </c>
      <c r="L107" s="3"/>
      <c r="M107" s="3">
        <f t="shared" si="16"/>
        <v>0</v>
      </c>
      <c r="P107" s="3">
        <f t="shared" si="17"/>
        <v>0</v>
      </c>
      <c r="Q107" s="3"/>
      <c r="R107" s="3">
        <f t="shared" si="18"/>
        <v>0</v>
      </c>
      <c r="S107" s="3"/>
      <c r="T107" s="3">
        <f t="shared" si="19"/>
        <v>0</v>
      </c>
      <c r="W107" s="3">
        <v>0</v>
      </c>
      <c r="X107" s="3"/>
      <c r="Y107" s="3">
        <f t="shared" si="20"/>
        <v>0</v>
      </c>
      <c r="Z107" s="3"/>
      <c r="AA107" s="3">
        <v>0</v>
      </c>
      <c r="AB107" s="5"/>
      <c r="AC107" s="3">
        <f t="shared" si="21"/>
        <v>0</v>
      </c>
      <c r="AE107" s="9"/>
      <c r="AF107" s="9"/>
      <c r="AH107" s="8"/>
      <c r="AL107" s="3"/>
      <c r="AO107" s="3">
        <v>0</v>
      </c>
    </row>
    <row r="108" spans="2:41" x14ac:dyDescent="0.3">
      <c r="B108" s="1">
        <f t="shared" ca="1" si="15"/>
        <v>89</v>
      </c>
      <c r="D108" s="11" t="s">
        <v>498</v>
      </c>
      <c r="F108" s="1" t="str">
        <f>+INDEX('Exh. BGM-4 (2)'!$10:$10,1,MATCH($D108,'Exh. BGM-4 (2)'!$4:$4,0))</f>
        <v>WAGE INCREASE</v>
      </c>
      <c r="I108" s="3">
        <v>0</v>
      </c>
      <c r="J108" s="3"/>
      <c r="K108" s="3">
        <v>0</v>
      </c>
      <c r="L108" s="3"/>
      <c r="M108" s="3">
        <f t="shared" si="16"/>
        <v>0</v>
      </c>
      <c r="P108" s="3">
        <f t="shared" si="17"/>
        <v>0</v>
      </c>
      <c r="Q108" s="3"/>
      <c r="R108" s="3">
        <f t="shared" si="18"/>
        <v>0</v>
      </c>
      <c r="S108" s="3"/>
      <c r="T108" s="3">
        <f t="shared" si="19"/>
        <v>0</v>
      </c>
      <c r="W108" s="3">
        <v>0</v>
      </c>
      <c r="X108" s="3"/>
      <c r="Y108" s="3">
        <f t="shared" si="20"/>
        <v>0</v>
      </c>
      <c r="Z108" s="3"/>
      <c r="AA108" s="3">
        <v>0</v>
      </c>
      <c r="AB108" s="5"/>
      <c r="AC108" s="3">
        <f t="shared" si="21"/>
        <v>0</v>
      </c>
      <c r="AE108" s="9"/>
      <c r="AF108" s="9"/>
      <c r="AH108" s="8"/>
      <c r="AL108" s="3"/>
      <c r="AO108" s="3">
        <v>0</v>
      </c>
    </row>
    <row r="109" spans="2:41" x14ac:dyDescent="0.3">
      <c r="B109" s="1">
        <f t="shared" ca="1" si="15"/>
        <v>90</v>
      </c>
      <c r="D109" s="11" t="s">
        <v>499</v>
      </c>
      <c r="F109" s="1" t="str">
        <f>+INDEX('Exh. BGM-4 (2)'!$10:$10,1,MATCH($D109,'Exh. BGM-4 (2)'!$4:$4,0))</f>
        <v>AMA TO EOP RATE BASE</v>
      </c>
      <c r="I109" s="3">
        <v>0</v>
      </c>
      <c r="J109" s="3"/>
      <c r="K109" s="3">
        <v>0</v>
      </c>
      <c r="L109" s="3"/>
      <c r="M109" s="3">
        <f t="shared" si="16"/>
        <v>0</v>
      </c>
      <c r="P109" s="3">
        <f t="shared" si="17"/>
        <v>0</v>
      </c>
      <c r="Q109" s="3"/>
      <c r="R109" s="3">
        <f t="shared" si="18"/>
        <v>0</v>
      </c>
      <c r="S109" s="3"/>
      <c r="T109" s="3">
        <f t="shared" si="19"/>
        <v>0</v>
      </c>
      <c r="W109" s="3">
        <v>0</v>
      </c>
      <c r="X109" s="3"/>
      <c r="Y109" s="3">
        <f t="shared" si="20"/>
        <v>0</v>
      </c>
      <c r="Z109" s="3"/>
      <c r="AA109" s="3">
        <v>0</v>
      </c>
      <c r="AB109" s="5"/>
      <c r="AC109" s="3">
        <f t="shared" si="21"/>
        <v>0</v>
      </c>
      <c r="AE109" s="9"/>
      <c r="AF109" s="9"/>
      <c r="AH109" s="8"/>
      <c r="AL109" s="3"/>
      <c r="AO109" s="3">
        <v>0</v>
      </c>
    </row>
    <row r="110" spans="2:41" x14ac:dyDescent="0.3">
      <c r="B110" s="1">
        <f t="shared" ca="1" si="15"/>
        <v>91</v>
      </c>
      <c r="D110" s="11" t="s">
        <v>500</v>
      </c>
      <c r="F110" s="1" t="str">
        <f>+INDEX('Exh. BGM-4 (2)'!$10:$10,1,MATCH($D110,'Exh. BGM-4 (2)'!$4:$4,0))</f>
        <v>AMA TO EOP DEPRECIATION</v>
      </c>
      <c r="I110" s="3">
        <v>0</v>
      </c>
      <c r="J110" s="3"/>
      <c r="K110" s="3">
        <v>0</v>
      </c>
      <c r="L110" s="3"/>
      <c r="M110" s="3">
        <f t="shared" si="16"/>
        <v>0</v>
      </c>
      <c r="P110" s="3">
        <f t="shared" si="17"/>
        <v>0</v>
      </c>
      <c r="Q110" s="3"/>
      <c r="R110" s="3">
        <f t="shared" si="18"/>
        <v>0</v>
      </c>
      <c r="S110" s="3"/>
      <c r="T110" s="3">
        <f t="shared" si="19"/>
        <v>0</v>
      </c>
      <c r="W110" s="3">
        <v>0</v>
      </c>
      <c r="X110" s="3"/>
      <c r="Y110" s="3">
        <f t="shared" si="20"/>
        <v>0</v>
      </c>
      <c r="Z110" s="3"/>
      <c r="AA110" s="3">
        <v>0</v>
      </c>
      <c r="AB110" s="5"/>
      <c r="AC110" s="3">
        <f t="shared" si="21"/>
        <v>0</v>
      </c>
      <c r="AE110" s="9"/>
      <c r="AF110" s="9"/>
      <c r="AH110" s="8"/>
      <c r="AL110" s="3"/>
      <c r="AO110" s="3">
        <v>0</v>
      </c>
    </row>
    <row r="111" spans="2:41" x14ac:dyDescent="0.3">
      <c r="B111" s="1">
        <f t="shared" ca="1" si="15"/>
        <v>92</v>
      </c>
      <c r="D111" s="11" t="s">
        <v>501</v>
      </c>
      <c r="F111" s="1" t="str">
        <f>+INDEX('Exh. BGM-4 (2)'!$10:$10,1,MATCH($D111,'Exh. BGM-4 (2)'!$4:$4,0))</f>
        <v>WUTC FILING FEE</v>
      </c>
      <c r="I111" s="3">
        <v>0</v>
      </c>
      <c r="J111" s="3"/>
      <c r="K111" s="3">
        <v>0</v>
      </c>
      <c r="L111" s="3"/>
      <c r="M111" s="3">
        <f t="shared" si="16"/>
        <v>0</v>
      </c>
      <c r="P111" s="3">
        <f t="shared" si="17"/>
        <v>0</v>
      </c>
      <c r="Q111" s="3"/>
      <c r="R111" s="3">
        <f t="shared" si="18"/>
        <v>0</v>
      </c>
      <c r="S111" s="3"/>
      <c r="T111" s="3">
        <f t="shared" si="19"/>
        <v>0</v>
      </c>
      <c r="W111" s="3">
        <v>0</v>
      </c>
      <c r="X111" s="3"/>
      <c r="Y111" s="3">
        <f t="shared" si="20"/>
        <v>0</v>
      </c>
      <c r="Z111" s="3"/>
      <c r="AA111" s="3">
        <v>0</v>
      </c>
      <c r="AB111" s="5"/>
      <c r="AC111" s="3">
        <f t="shared" si="21"/>
        <v>0</v>
      </c>
      <c r="AE111" s="9"/>
      <c r="AF111" s="9"/>
      <c r="AH111" s="8"/>
      <c r="AL111" s="3"/>
      <c r="AO111" s="3">
        <v>0</v>
      </c>
    </row>
    <row r="112" spans="2:41" x14ac:dyDescent="0.3">
      <c r="B112" s="1">
        <f t="shared" ca="1" si="15"/>
        <v>93</v>
      </c>
      <c r="D112" s="11" t="s">
        <v>502</v>
      </c>
      <c r="F112" s="1" t="str">
        <f>+INDEX('Exh. BGM-4 (2)'!$10:$10,1,MATCH($D112,'Exh. BGM-4 (2)'!$4:$4,0))</f>
        <v>PRO FORMA O&amp;M</v>
      </c>
      <c r="I112" s="3">
        <v>0</v>
      </c>
      <c r="J112" s="3"/>
      <c r="K112" s="3">
        <v>0</v>
      </c>
      <c r="L112" s="3"/>
      <c r="M112" s="3">
        <f t="shared" si="16"/>
        <v>0</v>
      </c>
      <c r="P112" s="3">
        <f t="shared" si="17"/>
        <v>0</v>
      </c>
      <c r="Q112" s="3"/>
      <c r="R112" s="3">
        <f t="shared" si="18"/>
        <v>0</v>
      </c>
      <c r="S112" s="3"/>
      <c r="T112" s="3">
        <f t="shared" si="19"/>
        <v>0</v>
      </c>
      <c r="W112" s="3">
        <v>0</v>
      </c>
      <c r="X112" s="3"/>
      <c r="Y112" s="3">
        <f t="shared" si="20"/>
        <v>0</v>
      </c>
      <c r="Z112" s="3"/>
      <c r="AA112" s="3">
        <v>0</v>
      </c>
      <c r="AB112" s="5"/>
      <c r="AC112" s="3">
        <f t="shared" si="21"/>
        <v>0</v>
      </c>
      <c r="AE112" s="9"/>
      <c r="AF112" s="9"/>
      <c r="AH112" s="8"/>
      <c r="AL112" s="3"/>
      <c r="AO112" s="3">
        <v>0</v>
      </c>
    </row>
    <row r="113" spans="2:41" x14ac:dyDescent="0.3">
      <c r="B113" s="1">
        <f t="shared" ca="1" si="15"/>
        <v>94</v>
      </c>
      <c r="D113" s="11" t="s">
        <v>503</v>
      </c>
      <c r="F113" s="1" t="str">
        <f>+INDEX('Exh. BGM-4 (2)'!$10:$10,1,MATCH($D113,'Exh. BGM-4 (2)'!$4:$4,0))</f>
        <v>AMR REGULATORY ASSET</v>
      </c>
      <c r="I113" s="3">
        <v>0</v>
      </c>
      <c r="J113" s="3"/>
      <c r="K113" s="3">
        <v>0</v>
      </c>
      <c r="L113" s="3"/>
      <c r="M113" s="3">
        <f t="shared" si="16"/>
        <v>0</v>
      </c>
      <c r="P113" s="3">
        <f t="shared" si="17"/>
        <v>0</v>
      </c>
      <c r="Q113" s="3"/>
      <c r="R113" s="3">
        <f t="shared" si="18"/>
        <v>0</v>
      </c>
      <c r="S113" s="3"/>
      <c r="T113" s="3">
        <f t="shared" si="19"/>
        <v>0</v>
      </c>
      <c r="W113" s="3">
        <v>0</v>
      </c>
      <c r="X113" s="3"/>
      <c r="Y113" s="3">
        <f t="shared" si="20"/>
        <v>0</v>
      </c>
      <c r="Z113" s="3"/>
      <c r="AA113" s="3">
        <v>0</v>
      </c>
      <c r="AB113" s="5"/>
      <c r="AC113" s="3">
        <f t="shared" si="21"/>
        <v>0</v>
      </c>
      <c r="AE113" s="9"/>
      <c r="AF113" s="9"/>
      <c r="AH113" s="8"/>
      <c r="AL113" s="3"/>
      <c r="AO113" s="3">
        <v>0</v>
      </c>
    </row>
    <row r="114" spans="2:41" x14ac:dyDescent="0.3">
      <c r="B114" s="1">
        <f t="shared" ca="1" si="15"/>
        <v>95</v>
      </c>
      <c r="D114" s="11" t="s">
        <v>504</v>
      </c>
      <c r="F114" s="1" t="str">
        <f>+INDEX('Exh. BGM-4 (2)'!$10:$10,1,MATCH($D114,'Exh. BGM-4 (2)'!$4:$4,0))</f>
        <v>AMI PLANT AND DEFERRAL</v>
      </c>
      <c r="I114" s="3">
        <v>0</v>
      </c>
      <c r="J114" s="3"/>
      <c r="K114" s="3">
        <v>0</v>
      </c>
      <c r="L114" s="3"/>
      <c r="M114" s="3">
        <f t="shared" si="16"/>
        <v>0</v>
      </c>
      <c r="P114" s="3">
        <f t="shared" si="17"/>
        <v>0</v>
      </c>
      <c r="Q114" s="3"/>
      <c r="R114" s="3">
        <f t="shared" si="18"/>
        <v>0</v>
      </c>
      <c r="S114" s="3"/>
      <c r="T114" s="3">
        <f t="shared" si="19"/>
        <v>0</v>
      </c>
      <c r="W114" s="3">
        <v>0</v>
      </c>
      <c r="X114" s="3"/>
      <c r="Y114" s="3">
        <f t="shared" si="20"/>
        <v>0</v>
      </c>
      <c r="Z114" s="3"/>
      <c r="AA114" s="3">
        <v>0</v>
      </c>
      <c r="AB114" s="5"/>
      <c r="AC114" s="3">
        <f t="shared" si="21"/>
        <v>0</v>
      </c>
      <c r="AE114" s="9"/>
      <c r="AF114" s="9"/>
      <c r="AH114" s="8"/>
      <c r="AL114" s="3"/>
      <c r="AO114" s="3">
        <v>0</v>
      </c>
    </row>
    <row r="115" spans="2:41" x14ac:dyDescent="0.3">
      <c r="B115" s="1">
        <f t="shared" ca="1" si="15"/>
        <v>96</v>
      </c>
      <c r="D115" s="11" t="s">
        <v>505</v>
      </c>
      <c r="F115" s="1" t="str">
        <f>+INDEX('Exh. BGM-4 (2)'!$10:$10,1,MATCH($D115,'Exh. BGM-4 (2)'!$4:$4,0))</f>
        <v>GTZ DEFERRAL</v>
      </c>
      <c r="I115" s="3">
        <v>0</v>
      </c>
      <c r="J115" s="3"/>
      <c r="K115" s="3">
        <v>3492.1359671265554</v>
      </c>
      <c r="L115" s="3"/>
      <c r="M115" s="3">
        <f t="shared" si="16"/>
        <v>333.11268749393815</v>
      </c>
      <c r="P115" s="3">
        <f t="shared" si="17"/>
        <v>0</v>
      </c>
      <c r="Q115" s="3"/>
      <c r="R115" s="3">
        <f t="shared" si="18"/>
        <v>3492.1359671265554</v>
      </c>
      <c r="S115" s="3"/>
      <c r="T115" s="3">
        <f t="shared" si="19"/>
        <v>333.11268749393815</v>
      </c>
      <c r="W115" s="3">
        <v>0</v>
      </c>
      <c r="X115" s="3"/>
      <c r="Y115" s="3">
        <f t="shared" si="20"/>
        <v>0</v>
      </c>
      <c r="Z115" s="3"/>
      <c r="AA115" s="3">
        <v>0</v>
      </c>
      <c r="AB115" s="5"/>
      <c r="AC115" s="3">
        <f t="shared" si="21"/>
        <v>0</v>
      </c>
      <c r="AE115" s="9"/>
      <c r="AF115" s="9"/>
      <c r="AH115" s="8"/>
      <c r="AL115" s="3"/>
      <c r="AO115" s="3">
        <v>341.90316119169478</v>
      </c>
    </row>
    <row r="116" spans="2:41" x14ac:dyDescent="0.3">
      <c r="B116" s="1">
        <f t="shared" ca="1" si="15"/>
        <v>97</v>
      </c>
      <c r="D116" s="11" t="s">
        <v>506</v>
      </c>
      <c r="F116" s="1" t="str">
        <f>+INDEX('Exh. BGM-4 (2)'!$10:$10,1,MATCH($D116,'Exh. BGM-4 (2)'!$4:$4,0))</f>
        <v>ENVIRONMENTAL REMEDIATION</v>
      </c>
      <c r="I116" s="3">
        <v>0</v>
      </c>
      <c r="J116" s="3"/>
      <c r="K116" s="3">
        <v>0</v>
      </c>
      <c r="L116" s="3"/>
      <c r="M116" s="3">
        <f t="shared" si="16"/>
        <v>0</v>
      </c>
      <c r="P116" s="3">
        <f t="shared" si="17"/>
        <v>0</v>
      </c>
      <c r="Q116" s="3"/>
      <c r="R116" s="3">
        <f t="shared" si="18"/>
        <v>0</v>
      </c>
      <c r="S116" s="3"/>
      <c r="T116" s="3">
        <f t="shared" si="19"/>
        <v>0</v>
      </c>
      <c r="W116" s="3">
        <v>0</v>
      </c>
      <c r="X116" s="3"/>
      <c r="Y116" s="3">
        <f t="shared" si="20"/>
        <v>0</v>
      </c>
      <c r="Z116" s="3"/>
      <c r="AA116" s="3">
        <v>0</v>
      </c>
      <c r="AB116" s="5"/>
      <c r="AC116" s="3">
        <f t="shared" si="21"/>
        <v>0</v>
      </c>
      <c r="AE116" s="9"/>
      <c r="AF116" s="9"/>
      <c r="AH116" s="8"/>
      <c r="AL116" s="3"/>
      <c r="AO116" s="3">
        <v>0</v>
      </c>
    </row>
    <row r="117" spans="2:41" x14ac:dyDescent="0.3">
      <c r="B117" s="222">
        <f t="shared" ca="1" si="15"/>
        <v>98</v>
      </c>
      <c r="C117" s="222"/>
      <c r="D117" s="224" t="s">
        <v>507</v>
      </c>
      <c r="E117" s="222"/>
      <c r="F117" s="222" t="str">
        <f>+INDEX('Exh. BGM-4 (2)'!$10:$10,1,MATCH($D117,'Exh. BGM-4 (2)'!$4:$4,0))</f>
        <v>COVID DEFERRAL</v>
      </c>
      <c r="G117" s="225"/>
      <c r="H117" s="225"/>
      <c r="I117" s="226">
        <v>0</v>
      </c>
      <c r="J117" s="226"/>
      <c r="K117" s="226">
        <v>8.1625782169746817</v>
      </c>
      <c r="L117" s="226"/>
      <c r="M117" s="226">
        <f t="shared" si="16"/>
        <v>0.77862328166255357</v>
      </c>
      <c r="N117" s="225"/>
      <c r="O117" s="222"/>
      <c r="P117" s="226">
        <f t="shared" si="17"/>
        <v>0</v>
      </c>
      <c r="Q117" s="226"/>
      <c r="R117" s="226">
        <f t="shared" si="18"/>
        <v>-168.03293808375</v>
      </c>
      <c r="S117" s="226"/>
      <c r="T117" s="226">
        <f t="shared" si="19"/>
        <v>-16.028557913979977</v>
      </c>
      <c r="U117" s="222"/>
      <c r="V117" s="222"/>
      <c r="W117" s="226">
        <v>0</v>
      </c>
      <c r="X117" s="226"/>
      <c r="Y117" s="226">
        <f t="shared" si="20"/>
        <v>0</v>
      </c>
      <c r="Z117" s="226"/>
      <c r="AA117" s="226">
        <f>+'[21]Lead G'!$I$21/1000</f>
        <v>-176.19551630072468</v>
      </c>
      <c r="AB117" s="227"/>
      <c r="AC117" s="226">
        <f t="shared" si="21"/>
        <v>-16.807181195642531</v>
      </c>
      <c r="AD117" s="225"/>
      <c r="AE117" s="232" t="s">
        <v>1026</v>
      </c>
      <c r="AF117" s="9"/>
      <c r="AH117" s="8"/>
      <c r="AL117" s="3"/>
      <c r="AO117" s="3">
        <v>0.79917028492864861</v>
      </c>
    </row>
    <row r="118" spans="2:41" x14ac:dyDescent="0.3">
      <c r="B118" s="1">
        <f t="shared" ca="1" si="15"/>
        <v>99</v>
      </c>
      <c r="D118" s="11" t="s">
        <v>508</v>
      </c>
      <c r="F118" s="1" t="str">
        <f>+INDEX('Exh. BGM-4 (2)'!$10:$10,1,MATCH($D118,'Exh. BGM-4 (2)'!$4:$4,0))</f>
        <v>ESTIMATED PLANT RETIREMENTS RATE BASE</v>
      </c>
      <c r="I118" s="3">
        <v>0</v>
      </c>
      <c r="J118" s="3"/>
      <c r="K118" s="3">
        <v>0</v>
      </c>
      <c r="L118" s="3"/>
      <c r="M118" s="3">
        <f t="shared" si="16"/>
        <v>0</v>
      </c>
      <c r="P118" s="3">
        <f t="shared" si="17"/>
        <v>0</v>
      </c>
      <c r="Q118" s="3"/>
      <c r="R118" s="3">
        <f t="shared" si="18"/>
        <v>0</v>
      </c>
      <c r="S118" s="3"/>
      <c r="T118" s="3">
        <f t="shared" si="19"/>
        <v>0</v>
      </c>
      <c r="W118" s="3">
        <v>0</v>
      </c>
      <c r="X118" s="3"/>
      <c r="Y118" s="3">
        <f t="shared" si="20"/>
        <v>0</v>
      </c>
      <c r="Z118" s="3"/>
      <c r="AA118" s="3">
        <v>0</v>
      </c>
      <c r="AB118" s="5"/>
      <c r="AC118" s="3">
        <f t="shared" si="21"/>
        <v>0</v>
      </c>
      <c r="AE118" s="9"/>
      <c r="AF118" s="9"/>
      <c r="AH118" s="8"/>
      <c r="AL118" s="3"/>
      <c r="AO118" s="3">
        <v>0</v>
      </c>
    </row>
    <row r="119" spans="2:41" x14ac:dyDescent="0.3">
      <c r="B119" s="1">
        <f t="shared" ca="1" si="15"/>
        <v>100</v>
      </c>
      <c r="D119" s="11" t="s">
        <v>509</v>
      </c>
      <c r="F119" s="1" t="str">
        <f>+INDEX('Exh. BGM-4 (2)'!$10:$10,1,MATCH($D119,'Exh. BGM-4 (2)'!$4:$4,0))</f>
        <v>TEST YEAR PLANT ROLL FORWARD</v>
      </c>
      <c r="I119" s="3">
        <v>7788.6600135981998</v>
      </c>
      <c r="J119" s="3"/>
      <c r="K119" s="3">
        <v>-165330.44038527287</v>
      </c>
      <c r="L119" s="3"/>
      <c r="M119" s="3">
        <f t="shared" si="16"/>
        <v>-26089.594106708719</v>
      </c>
      <c r="P119" s="3">
        <f t="shared" si="17"/>
        <v>7788.6600135981998</v>
      </c>
      <c r="Q119" s="3"/>
      <c r="R119" s="3">
        <f t="shared" si="18"/>
        <v>-165330.44038527287</v>
      </c>
      <c r="S119" s="3"/>
      <c r="T119" s="3">
        <f t="shared" si="19"/>
        <v>-26089.594106708719</v>
      </c>
      <c r="W119" s="3">
        <v>0</v>
      </c>
      <c r="X119" s="3"/>
      <c r="Y119" s="3">
        <f t="shared" si="20"/>
        <v>0</v>
      </c>
      <c r="Z119" s="3"/>
      <c r="AA119" s="3">
        <v>0</v>
      </c>
      <c r="AB119" s="5"/>
      <c r="AC119" s="3">
        <f t="shared" si="21"/>
        <v>0</v>
      </c>
      <c r="AE119" s="9"/>
      <c r="AF119" s="9"/>
      <c r="AH119" s="8"/>
      <c r="AL119" s="3"/>
      <c r="AO119" s="3">
        <v>-26505.767159913492</v>
      </c>
    </row>
    <row r="120" spans="2:41" x14ac:dyDescent="0.3">
      <c r="B120" s="1">
        <f t="shared" ca="1" si="15"/>
        <v>101</v>
      </c>
      <c r="D120" s="11" t="s">
        <v>510</v>
      </c>
      <c r="F120" s="1" t="str">
        <f>+INDEX('Exh. BGM-4 (2)'!$10:$10,1,MATCH($D120,'Exh. BGM-4 (2)'!$4:$4,0))</f>
        <v>PROVISIONAL PROFORMA RETIREMENTS DEPRECIATION</v>
      </c>
      <c r="I120" s="3">
        <v>1041.6168013943375</v>
      </c>
      <c r="J120" s="3"/>
      <c r="K120" s="3">
        <v>1520.4403364520001</v>
      </c>
      <c r="L120" s="3"/>
      <c r="M120" s="3">
        <f t="shared" si="16"/>
        <v>-1234.9547724099377</v>
      </c>
      <c r="P120" s="3">
        <f t="shared" si="17"/>
        <v>1041.6168013943375</v>
      </c>
      <c r="Q120" s="3"/>
      <c r="R120" s="3">
        <f t="shared" si="18"/>
        <v>1520.4403364520001</v>
      </c>
      <c r="S120" s="3"/>
      <c r="T120" s="3">
        <f t="shared" si="19"/>
        <v>-1234.9547724099377</v>
      </c>
      <c r="W120" s="3">
        <v>0</v>
      </c>
      <c r="X120" s="3"/>
      <c r="Y120" s="3">
        <f t="shared" si="20"/>
        <v>0</v>
      </c>
      <c r="Z120" s="3"/>
      <c r="AA120" s="3">
        <v>0</v>
      </c>
      <c r="AB120" s="5"/>
      <c r="AC120" s="3">
        <f t="shared" si="21"/>
        <v>0</v>
      </c>
      <c r="AE120" s="9"/>
      <c r="AF120" s="9"/>
      <c r="AH120" s="8"/>
      <c r="AL120" s="3"/>
      <c r="AO120" s="3">
        <v>-1231.1274899351413</v>
      </c>
    </row>
    <row r="121" spans="2:41" x14ac:dyDescent="0.3">
      <c r="B121" s="1">
        <f t="shared" ca="1" si="15"/>
        <v>102</v>
      </c>
      <c r="D121" s="11" t="s">
        <v>511</v>
      </c>
      <c r="F121" s="1" t="str">
        <f>+INDEX('Exh. BGM-4 (2)'!$10:$10,1,MATCH($D121,'Exh. BGM-4 (2)'!$4:$4,0))</f>
        <v>PROGRAMMATIC PROVISIONAL PROFORMA</v>
      </c>
      <c r="I121" s="3">
        <v>-4029.8943225494004</v>
      </c>
      <c r="J121" s="3"/>
      <c r="K121" s="3">
        <v>116745.69978503998</v>
      </c>
      <c r="L121" s="3"/>
      <c r="M121" s="3">
        <f t="shared" si="16"/>
        <v>16475.31562235911</v>
      </c>
      <c r="P121" s="3">
        <f t="shared" si="17"/>
        <v>-4029.8943225494004</v>
      </c>
      <c r="Q121" s="3"/>
      <c r="R121" s="3">
        <f t="shared" si="18"/>
        <v>116745.69978503998</v>
      </c>
      <c r="S121" s="3"/>
      <c r="T121" s="3">
        <f t="shared" si="19"/>
        <v>16475.31562235911</v>
      </c>
      <c r="W121" s="3">
        <v>0</v>
      </c>
      <c r="X121" s="3"/>
      <c r="Y121" s="3">
        <f t="shared" si="20"/>
        <v>0</v>
      </c>
      <c r="Z121" s="3"/>
      <c r="AA121" s="3">
        <v>0</v>
      </c>
      <c r="AB121" s="5"/>
      <c r="AC121" s="3">
        <f t="shared" si="21"/>
        <v>0</v>
      </c>
      <c r="AE121" s="9"/>
      <c r="AF121" s="9"/>
      <c r="AH121" s="8"/>
      <c r="AL121" s="3"/>
      <c r="AO121" s="3">
        <v>16769.190205979925</v>
      </c>
    </row>
    <row r="122" spans="2:41" x14ac:dyDescent="0.3">
      <c r="B122" s="222">
        <f t="shared" ca="1" si="15"/>
        <v>103</v>
      </c>
      <c r="C122" s="222"/>
      <c r="D122" s="224" t="s">
        <v>512</v>
      </c>
      <c r="E122" s="222"/>
      <c r="F122" s="222" t="str">
        <f>+INDEX('Exh. BGM-4 (2)'!$10:$10,1,MATCH($D122,'Exh. BGM-4 (2)'!$4:$4,0))</f>
        <v>CUSTOMER DRIVEN PROGRAMMATIC PROVISIONAL PROFORMA</v>
      </c>
      <c r="G122" s="225"/>
      <c r="H122" s="225"/>
      <c r="I122" s="226">
        <v>-2050.4094104999999</v>
      </c>
      <c r="J122" s="226"/>
      <c r="K122" s="226">
        <v>116033.82157000001</v>
      </c>
      <c r="L122" s="226"/>
      <c r="M122" s="226">
        <f t="shared" si="16"/>
        <v>13784.884444429726</v>
      </c>
      <c r="N122" s="225"/>
      <c r="O122" s="222"/>
      <c r="P122" s="226">
        <f t="shared" si="17"/>
        <v>-262.71384254535474</v>
      </c>
      <c r="Q122" s="226"/>
      <c r="R122" s="226">
        <f t="shared" si="18"/>
        <v>36771.502726904888</v>
      </c>
      <c r="S122" s="226"/>
      <c r="T122" s="226">
        <f t="shared" si="19"/>
        <v>3855.6679692826415</v>
      </c>
      <c r="U122" s="222"/>
      <c r="V122" s="222"/>
      <c r="W122" s="226">
        <f>-'11.32 (Gas Line Ext. Adj.)'!E30</f>
        <v>2262.9057822210698</v>
      </c>
      <c r="X122" s="226"/>
      <c r="Y122" s="226">
        <f t="shared" si="20"/>
        <v>1787.6955679546452</v>
      </c>
      <c r="Z122" s="226"/>
      <c r="AA122" s="226">
        <f>+'11.32 (Gas Line Ext. Adj.)'!E23+'11.32 (Gas Line Ext. Adj.)'!E38+'11.32 (Gas Line Ext. Adj.)'!E59</f>
        <v>-79262.318843095127</v>
      </c>
      <c r="AB122" s="227"/>
      <c r="AC122" s="226">
        <f t="shared" si="21"/>
        <v>-9929.2164751470846</v>
      </c>
      <c r="AE122" s="232" t="s">
        <v>1026</v>
      </c>
      <c r="AF122" s="9"/>
      <c r="AH122" s="8"/>
      <c r="AL122" s="3"/>
      <c r="AO122" s="3">
        <v>14076.967074133447</v>
      </c>
    </row>
    <row r="123" spans="2:41" x14ac:dyDescent="0.3">
      <c r="B123" s="236">
        <f t="shared" ca="1" si="15"/>
        <v>104</v>
      </c>
      <c r="C123" s="237"/>
      <c r="D123" s="238" t="s">
        <v>513</v>
      </c>
      <c r="E123" s="237"/>
      <c r="F123" s="237" t="str">
        <f>+INDEX('Exh. BGM-4 (2)'!$10:$10,1,MATCH($D123,'Exh. BGM-4 (2)'!$4:$4,0))</f>
        <v>SPECIFIC PROVISIONAL PROFORMA</v>
      </c>
      <c r="G123" s="239"/>
      <c r="H123" s="239"/>
      <c r="I123" s="13">
        <v>-4598.5521104892605</v>
      </c>
      <c r="J123" s="13"/>
      <c r="K123" s="13">
        <v>235469.24998153598</v>
      </c>
      <c r="L123" s="13"/>
      <c r="M123" s="13">
        <f t="shared" si="16"/>
        <v>28553.669257406724</v>
      </c>
      <c r="N123" s="239"/>
      <c r="O123" s="237"/>
      <c r="P123" s="13">
        <f t="shared" si="17"/>
        <v>-4598.5521104892605</v>
      </c>
      <c r="Q123" s="13"/>
      <c r="R123" s="13">
        <f t="shared" si="18"/>
        <v>235469.24998153598</v>
      </c>
      <c r="S123" s="13"/>
      <c r="T123" s="13">
        <f t="shared" si="19"/>
        <v>28553.669257406724</v>
      </c>
      <c r="U123" s="237"/>
      <c r="V123" s="237"/>
      <c r="W123" s="13">
        <v>0</v>
      </c>
      <c r="X123" s="13"/>
      <c r="Y123" s="13">
        <f t="shared" si="20"/>
        <v>0</v>
      </c>
      <c r="Z123" s="13"/>
      <c r="AA123" s="13">
        <v>0</v>
      </c>
      <c r="AB123" s="240"/>
      <c r="AC123" s="13">
        <f t="shared" si="21"/>
        <v>0</v>
      </c>
      <c r="AD123" s="239"/>
      <c r="AE123" s="241" t="s">
        <v>1026</v>
      </c>
      <c r="AF123" s="9"/>
      <c r="AH123" s="8"/>
      <c r="AL123" s="3"/>
      <c r="AO123" s="3">
        <v>29146.397108807181</v>
      </c>
    </row>
    <row r="124" spans="2:41" x14ac:dyDescent="0.3">
      <c r="B124" s="242">
        <f t="shared" ca="1" si="15"/>
        <v>105</v>
      </c>
      <c r="C124" s="243"/>
      <c r="D124" s="274" t="s">
        <v>513</v>
      </c>
      <c r="E124" s="243"/>
      <c r="F124" s="243" t="s">
        <v>1028</v>
      </c>
      <c r="G124" s="244"/>
      <c r="H124" s="244"/>
      <c r="I124" s="245">
        <v>0</v>
      </c>
      <c r="J124" s="245"/>
      <c r="K124" s="245">
        <v>0</v>
      </c>
      <c r="L124" s="245"/>
      <c r="M124" s="245">
        <f t="shared" si="16"/>
        <v>0</v>
      </c>
      <c r="N124" s="244"/>
      <c r="O124" s="243"/>
      <c r="P124" s="245">
        <f t="shared" ref="P124" si="22">+I124+Y124</f>
        <v>4585.7693111999997</v>
      </c>
      <c r="Q124" s="245"/>
      <c r="R124" s="245">
        <f t="shared" ref="R124" si="23">+K124+AA124</f>
        <v>-222818.34742183427</v>
      </c>
      <c r="S124" s="245"/>
      <c r="T124" s="245">
        <f t="shared" si="19"/>
        <v>-27329.972172230915</v>
      </c>
      <c r="U124" s="243"/>
      <c r="V124" s="243"/>
      <c r="W124" s="245">
        <f>-'11.33 (Tacoma LNG)'!E38</f>
        <v>5804.7712799999999</v>
      </c>
      <c r="X124" s="245"/>
      <c r="Y124" s="245">
        <f t="shared" ref="Y124" si="24">+W124*(1-$AJ$5)</f>
        <v>4585.7693111999997</v>
      </c>
      <c r="Z124" s="245"/>
      <c r="AA124" s="245">
        <f>+('11.33 (Tacoma LNG)'!E31+'11.33 (Tacoma LNG)'!E46+'11.33 (Tacoma LNG)'!E67)</f>
        <v>-222818.34742183427</v>
      </c>
      <c r="AB124" s="246"/>
      <c r="AC124" s="245">
        <f t="shared" ref="AC124" si="25">+T124-M124</f>
        <v>-27329.972172230915</v>
      </c>
      <c r="AD124" s="244"/>
      <c r="AE124" s="247" t="s">
        <v>1026</v>
      </c>
      <c r="AF124" s="9"/>
      <c r="AH124" s="8"/>
      <c r="AL124" s="3"/>
      <c r="AO124" s="3">
        <v>29146.397108807181</v>
      </c>
    </row>
    <row r="125" spans="2:41" x14ac:dyDescent="0.3">
      <c r="B125" s="1">
        <f t="shared" ca="1" si="15"/>
        <v>106</v>
      </c>
      <c r="D125" s="11" t="s">
        <v>514</v>
      </c>
      <c r="F125" s="1" t="str">
        <f>+INDEX('Exh. BGM-4 (2)'!$10:$10,1,MATCH($D125,'Exh. BGM-4 (2)'!$4:$4,0))</f>
        <v>PROJECTED PROVISIONAL PROFORMA</v>
      </c>
      <c r="I125" s="3">
        <v>-2804.60696709178</v>
      </c>
      <c r="J125" s="3"/>
      <c r="K125" s="3">
        <v>26473.745684250007</v>
      </c>
      <c r="L125" s="3"/>
      <c r="M125" s="3">
        <f t="shared" si="16"/>
        <v>6241.0047898158336</v>
      </c>
      <c r="P125" s="3">
        <f t="shared" si="17"/>
        <v>-2804.60696709178</v>
      </c>
      <c r="Q125" s="3"/>
      <c r="R125" s="3">
        <f t="shared" si="18"/>
        <v>26473.745684250007</v>
      </c>
      <c r="S125" s="3"/>
      <c r="T125" s="3">
        <f t="shared" si="19"/>
        <v>6241.0047898158336</v>
      </c>
      <c r="W125" s="3">
        <v>0</v>
      </c>
      <c r="X125" s="3"/>
      <c r="Y125" s="3">
        <f t="shared" si="20"/>
        <v>0</v>
      </c>
      <c r="Z125" s="3"/>
      <c r="AA125" s="3">
        <v>0</v>
      </c>
      <c r="AB125" s="5"/>
      <c r="AC125" s="3">
        <f t="shared" si="21"/>
        <v>0</v>
      </c>
      <c r="AE125" s="9"/>
      <c r="AF125" s="9"/>
      <c r="AH125" s="8"/>
      <c r="AL125" s="3"/>
      <c r="AO125" s="3">
        <v>6307.6450258516543</v>
      </c>
    </row>
    <row r="126" spans="2:41" x14ac:dyDescent="0.3">
      <c r="B126" s="1">
        <f t="shared" ca="1" si="15"/>
        <v>107</v>
      </c>
      <c r="D126" s="11" t="s">
        <v>515</v>
      </c>
      <c r="F126" s="1" t="str">
        <f>+INDEX('Exh. BGM-4 (2)'!$10:$10,1,MATCH($D126,'Exh. BGM-4 (2)'!$4:$4,0))</f>
        <v>TACOMA LNG UPGRADE PLANT AND DEFERRAL</v>
      </c>
      <c r="I126" s="3">
        <v>0</v>
      </c>
      <c r="J126" s="3"/>
      <c r="K126" s="3">
        <v>0</v>
      </c>
      <c r="L126" s="3"/>
      <c r="M126" s="3">
        <f t="shared" si="16"/>
        <v>0</v>
      </c>
      <c r="P126" s="3">
        <f t="shared" si="17"/>
        <v>0</v>
      </c>
      <c r="Q126" s="3"/>
      <c r="R126" s="3">
        <f t="shared" si="18"/>
        <v>0</v>
      </c>
      <c r="S126" s="3"/>
      <c r="T126" s="3">
        <f t="shared" si="19"/>
        <v>0</v>
      </c>
      <c r="W126" s="3">
        <v>0</v>
      </c>
      <c r="X126" s="3"/>
      <c r="Y126" s="3">
        <f t="shared" si="20"/>
        <v>0</v>
      </c>
      <c r="Z126" s="3"/>
      <c r="AA126" s="3">
        <v>0</v>
      </c>
      <c r="AB126" s="5"/>
      <c r="AC126" s="3">
        <f t="shared" si="21"/>
        <v>0</v>
      </c>
      <c r="AE126" s="9"/>
      <c r="AF126" s="9"/>
      <c r="AH126" s="8"/>
      <c r="AL126" s="3"/>
      <c r="AO126" s="3">
        <v>0</v>
      </c>
    </row>
    <row r="127" spans="2:41" x14ac:dyDescent="0.3">
      <c r="B127" s="1">
        <f t="shared" ca="1" si="15"/>
        <v>108</v>
      </c>
      <c r="D127" s="11" t="s">
        <v>516</v>
      </c>
      <c r="F127" s="1" t="str">
        <f>+INDEX('Exh. BGM-4 (2)'!$10:$10,1,MATCH($D127,'Exh. BGM-4 (2)'!$4:$4,0))</f>
        <v>REGULATORY ASSETS &amp; LIAB</v>
      </c>
      <c r="I127" s="3">
        <v>0</v>
      </c>
      <c r="J127" s="3"/>
      <c r="K127" s="3">
        <v>-3607.0948691412814</v>
      </c>
      <c r="L127" s="3"/>
      <c r="M127" s="3">
        <f t="shared" si="16"/>
        <v>-344.07854597194796</v>
      </c>
      <c r="P127" s="3">
        <f t="shared" si="17"/>
        <v>0</v>
      </c>
      <c r="Q127" s="3"/>
      <c r="R127" s="3">
        <f t="shared" si="18"/>
        <v>-3607.0948691412814</v>
      </c>
      <c r="S127" s="3"/>
      <c r="T127" s="3">
        <f t="shared" si="19"/>
        <v>-344.07854597194796</v>
      </c>
      <c r="W127" s="3">
        <v>0</v>
      </c>
      <c r="X127" s="3"/>
      <c r="Y127" s="3">
        <f t="shared" si="20"/>
        <v>0</v>
      </c>
      <c r="Z127" s="3"/>
      <c r="AA127" s="3">
        <v>0</v>
      </c>
      <c r="AB127" s="5"/>
      <c r="AC127" s="3">
        <f t="shared" si="21"/>
        <v>0</v>
      </c>
      <c r="AE127" s="9"/>
      <c r="AF127" s="9"/>
      <c r="AH127" s="8"/>
      <c r="AL127" s="3"/>
      <c r="AO127" s="3">
        <v>-353.15839649065202</v>
      </c>
    </row>
    <row r="128" spans="2:41" x14ac:dyDescent="0.3">
      <c r="B128" s="1">
        <f t="shared" ca="1" si="15"/>
        <v>109</v>
      </c>
      <c r="D128" s="11" t="s">
        <v>517</v>
      </c>
      <c r="F128" s="1" t="str">
        <f>+INDEX('Exh. BGM-4 (2)'!$10:$10,1,MATCH($D128,'Exh. BGM-4 (2)'!$4:$4,0))</f>
        <v>TACOMA LNG PLANT DEFERRAL</v>
      </c>
      <c r="I128" s="3">
        <v>0</v>
      </c>
      <c r="J128" s="3"/>
      <c r="K128" s="3">
        <v>0</v>
      </c>
      <c r="L128" s="3"/>
      <c r="M128" s="3">
        <f t="shared" si="16"/>
        <v>0</v>
      </c>
      <c r="P128" s="3">
        <f t="shared" si="17"/>
        <v>0</v>
      </c>
      <c r="Q128" s="3"/>
      <c r="R128" s="3">
        <f t="shared" si="18"/>
        <v>0</v>
      </c>
      <c r="S128" s="3"/>
      <c r="T128" s="3">
        <f t="shared" si="19"/>
        <v>0</v>
      </c>
      <c r="W128" s="3">
        <v>0</v>
      </c>
      <c r="X128" s="3"/>
      <c r="Y128" s="3">
        <f t="shared" si="20"/>
        <v>0</v>
      </c>
      <c r="Z128" s="3"/>
      <c r="AA128" s="3">
        <v>0</v>
      </c>
      <c r="AB128" s="5"/>
      <c r="AC128" s="3">
        <f t="shared" si="21"/>
        <v>0</v>
      </c>
      <c r="AE128" s="9"/>
      <c r="AF128" s="9"/>
      <c r="AH128" s="8"/>
      <c r="AL128" s="3"/>
      <c r="AO128" s="3">
        <v>0</v>
      </c>
    </row>
    <row r="129" spans="2:42" x14ac:dyDescent="0.3">
      <c r="B129" s="222">
        <f t="shared" ca="1" si="15"/>
        <v>110</v>
      </c>
      <c r="C129" s="223"/>
      <c r="D129" s="224" t="s">
        <v>1017</v>
      </c>
      <c r="E129" s="223"/>
      <c r="F129" s="222" t="str">
        <f>+INDEX('Exh. BGM-4 (2)'!$10:$10,1,MATCH($D129,'Exh. BGM-4 (2)'!$4:$4,0))</f>
        <v>CAPITAL PRIORITIZATION</v>
      </c>
      <c r="G129" s="225"/>
      <c r="H129" s="225"/>
      <c r="I129" s="226">
        <v>0</v>
      </c>
      <c r="J129" s="226"/>
      <c r="K129" s="226">
        <v>0</v>
      </c>
      <c r="L129" s="226"/>
      <c r="M129" s="226">
        <f t="shared" si="16"/>
        <v>0</v>
      </c>
      <c r="N129" s="225"/>
      <c r="O129" s="222"/>
      <c r="P129" s="226">
        <f t="shared" ref="P129" si="26">+I129+Y129</f>
        <v>-43.243153597953238</v>
      </c>
      <c r="Q129" s="226"/>
      <c r="R129" s="226">
        <f t="shared" ref="R129" si="27">+K129+AA129</f>
        <v>1636.2408076686684</v>
      </c>
      <c r="S129" s="226"/>
      <c r="T129" s="226">
        <f t="shared" si="19"/>
        <v>213.37079806478445</v>
      </c>
      <c r="U129" s="222"/>
      <c r="V129" s="222"/>
      <c r="W129" s="226">
        <f>-'Exh. BGM-4 (2)'!$DI$35/1000</f>
        <v>-54.738169111333207</v>
      </c>
      <c r="X129" s="226"/>
      <c r="Y129" s="226">
        <f t="shared" ref="Y129" si="28">+W129*(1-$AJ$5)</f>
        <v>-43.243153597953238</v>
      </c>
      <c r="Z129" s="226"/>
      <c r="AA129" s="226">
        <f>+'Exh. BGM-4 (2)'!$DI$57/1000</f>
        <v>1636.2408076686684</v>
      </c>
      <c r="AB129" s="227"/>
      <c r="AC129" s="226">
        <f t="shared" ref="AC129" si="29">+T129-M129</f>
        <v>213.37079806478445</v>
      </c>
      <c r="AE129" s="232" t="s">
        <v>1025</v>
      </c>
      <c r="AF129" s="9"/>
      <c r="AH129" s="8"/>
      <c r="AL129" s="3"/>
      <c r="AO129" s="6"/>
    </row>
    <row r="130" spans="2:42" x14ac:dyDescent="0.3">
      <c r="C130" s="7"/>
      <c r="D130" s="11"/>
      <c r="E130" s="7"/>
      <c r="I130" s="6"/>
      <c r="J130" s="6"/>
      <c r="K130" s="6"/>
      <c r="L130" s="6"/>
      <c r="M130" s="6"/>
      <c r="O130" s="7"/>
      <c r="P130" s="6"/>
      <c r="Q130" s="6"/>
      <c r="R130" s="6"/>
      <c r="S130" s="6"/>
      <c r="T130" s="6"/>
      <c r="W130" s="6"/>
      <c r="X130" s="1"/>
      <c r="Y130" s="6"/>
      <c r="Z130" s="6"/>
      <c r="AA130" s="6"/>
      <c r="AB130" s="6"/>
      <c r="AC130" s="3"/>
      <c r="AE130" s="9"/>
      <c r="AF130" s="9"/>
      <c r="AH130" s="8"/>
      <c r="AL130" s="3"/>
      <c r="AO130" s="6"/>
    </row>
    <row r="131" spans="2:42" x14ac:dyDescent="0.3">
      <c r="C131" s="7"/>
      <c r="D131" s="11"/>
      <c r="E131" s="7"/>
      <c r="I131" s="14"/>
      <c r="J131" s="6"/>
      <c r="K131" s="14"/>
      <c r="L131" s="6"/>
      <c r="M131" s="14"/>
      <c r="O131" s="7"/>
      <c r="P131" s="14"/>
      <c r="Q131" s="6"/>
      <c r="R131" s="14"/>
      <c r="S131" s="6"/>
      <c r="T131" s="14"/>
      <c r="W131" s="14"/>
      <c r="X131" s="1"/>
      <c r="Y131" s="14"/>
      <c r="Z131" s="6"/>
      <c r="AA131" s="14"/>
      <c r="AB131" s="6"/>
      <c r="AC131" s="13"/>
      <c r="AE131" s="9"/>
      <c r="AF131" s="9"/>
      <c r="AH131" s="8"/>
      <c r="AL131" s="3"/>
      <c r="AO131" s="14"/>
    </row>
    <row r="132" spans="2:42" ht="13.5" thickBot="1" x14ac:dyDescent="0.35">
      <c r="B132" s="1">
        <f t="shared" ref="B132" ca="1" si="30">+MAX(OFFSET($B$7,0,0,ROW($B132)-ROW($B$7),1))+1</f>
        <v>111</v>
      </c>
      <c r="D132" s="11"/>
      <c r="F132" s="7" t="s">
        <v>254</v>
      </c>
      <c r="I132" s="12">
        <f>+SUM(I87:I131)</f>
        <v>151638.89928987637</v>
      </c>
      <c r="J132" s="3"/>
      <c r="K132" s="12">
        <f>+SUM(K87:K131)</f>
        <v>2907704.3163072919</v>
      </c>
      <c r="L132" s="3"/>
      <c r="M132" s="12">
        <f>+($K132*$AL$16-$I132)/$AJ$4</f>
        <v>76464.937757433639</v>
      </c>
      <c r="P132" s="12">
        <f>+SUM(P87:P131)</f>
        <v>156660.83313229246</v>
      </c>
      <c r="Q132" s="3"/>
      <c r="R132" s="12">
        <f>+SUM(R87:R131)</f>
        <v>2582961.2924845461</v>
      </c>
      <c r="S132" s="3"/>
      <c r="T132" s="12">
        <f>+($R132*$AL$16-$P132)/$AJ$4</f>
        <v>38834.580143103776</v>
      </c>
      <c r="W132" s="12">
        <f>+SUM(W87:W131)</f>
        <v>8549.5102930209869</v>
      </c>
      <c r="X132" s="5"/>
      <c r="Y132" s="12">
        <f>+SUM(Y87:Y131)</f>
        <v>5021.9338424160505</v>
      </c>
      <c r="Z132" s="3"/>
      <c r="AA132" s="12">
        <f>+SUM(AA87:AA131)</f>
        <v>-324743.02382274636</v>
      </c>
      <c r="AB132" s="3"/>
      <c r="AC132" s="12">
        <f>+SUM(AC87:AC131)</f>
        <v>-37630.357614329856</v>
      </c>
      <c r="AE132" s="9"/>
      <c r="AF132" s="9"/>
      <c r="AH132" s="8"/>
      <c r="AL132" s="3"/>
      <c r="AO132" s="12">
        <v>83784.268549236789</v>
      </c>
      <c r="AP132" s="3">
        <f>+M132-AO132</f>
        <v>-7319.3307918031496</v>
      </c>
    </row>
    <row r="133" spans="2:42" ht="13.5" thickTop="1" x14ac:dyDescent="0.3">
      <c r="D133" s="11"/>
      <c r="F133" s="7"/>
      <c r="I133" s="134"/>
      <c r="J133" s="3"/>
      <c r="K133" s="134"/>
      <c r="L133" s="3"/>
      <c r="M133" s="134"/>
      <c r="P133" s="134"/>
      <c r="Q133" s="3"/>
      <c r="R133" s="134"/>
      <c r="S133" s="202" t="s">
        <v>671</v>
      </c>
      <c r="T133" s="202">
        <f>+T132-'Exh. BGM-4 (2)'!DL70/1000</f>
        <v>0</v>
      </c>
      <c r="W133" s="134"/>
      <c r="X133" s="5"/>
      <c r="Y133" s="134"/>
      <c r="Z133" s="3"/>
      <c r="AA133" s="134"/>
      <c r="AB133" s="3"/>
      <c r="AC133" s="134"/>
      <c r="AE133" s="9"/>
      <c r="AF133" s="9"/>
      <c r="AH133" s="8"/>
      <c r="AL133" s="3"/>
      <c r="AO133" s="134"/>
    </row>
    <row r="134" spans="2:42" x14ac:dyDescent="0.3">
      <c r="D134" s="11"/>
      <c r="F134" s="7"/>
      <c r="I134" s="134"/>
      <c r="J134" s="3"/>
      <c r="K134" s="134"/>
      <c r="L134" s="3"/>
      <c r="M134" s="134"/>
      <c r="P134" s="134"/>
      <c r="Q134" s="3"/>
      <c r="R134" s="134"/>
      <c r="S134" s="3"/>
      <c r="T134" s="134"/>
      <c r="W134" s="134"/>
      <c r="X134" s="5"/>
      <c r="Y134" s="134"/>
      <c r="Z134" s="3"/>
      <c r="AA134" s="134"/>
      <c r="AB134" s="3"/>
      <c r="AC134" s="134"/>
      <c r="AE134" s="9"/>
      <c r="AF134" s="9"/>
      <c r="AH134" s="8"/>
      <c r="AL134" s="3"/>
      <c r="AO134" s="134"/>
    </row>
    <row r="135" spans="2:42" x14ac:dyDescent="0.3">
      <c r="B135" s="15" t="s">
        <v>404</v>
      </c>
      <c r="D135" s="11"/>
      <c r="F135" s="7"/>
      <c r="I135" s="134"/>
      <c r="J135" s="3"/>
      <c r="K135" s="134"/>
      <c r="L135" s="3"/>
      <c r="M135" s="134"/>
      <c r="P135" s="134"/>
      <c r="Q135" s="3"/>
      <c r="R135" s="134"/>
      <c r="S135" s="3"/>
      <c r="T135" s="134"/>
      <c r="W135" s="134"/>
      <c r="X135" s="5"/>
      <c r="Y135" s="134"/>
      <c r="Z135" s="3"/>
      <c r="AA135" s="134"/>
      <c r="AB135" s="3"/>
      <c r="AC135" s="134"/>
      <c r="AE135" s="9"/>
      <c r="AF135" s="9"/>
      <c r="AH135" s="8"/>
      <c r="AL135" s="3"/>
      <c r="AO135" s="134"/>
    </row>
    <row r="136" spans="2:42" x14ac:dyDescent="0.3">
      <c r="B136" s="1">
        <f t="shared" ref="B136:B175" ca="1" si="31">+MAX(OFFSET($B$7,0,0,ROW($B136)-ROW($B$7),1))+1</f>
        <v>112</v>
      </c>
      <c r="D136" s="11" t="s">
        <v>518</v>
      </c>
      <c r="F136" s="1" t="str">
        <f>+INDEX('Exh. BGM-4 (2)'!$10:$10,1,MATCH($D136,'Exh. BGM-4 (2)'!$4:$4,0))</f>
        <v>REVENUES AND EXPENSES</v>
      </c>
      <c r="I136" s="3">
        <v>2402.2595491298625</v>
      </c>
      <c r="J136" s="3"/>
      <c r="K136" s="3">
        <v>0</v>
      </c>
      <c r="L136" s="3"/>
      <c r="M136" s="3">
        <f t="shared" ref="M136:M175" si="32">+($K136*$AL$16-$I136)/$AJ$4</f>
        <v>-3182.6395952441271</v>
      </c>
      <c r="P136" s="3">
        <f t="shared" ref="P136:P174" si="33">+I136+Y136</f>
        <v>2402.2595491298625</v>
      </c>
      <c r="Q136" s="3"/>
      <c r="R136" s="3">
        <f t="shared" ref="R136:R174" si="34">+K136+AA136</f>
        <v>0</v>
      </c>
      <c r="S136" s="3"/>
      <c r="T136" s="3">
        <f t="shared" ref="T136:T175" si="35">+($R136*$AL$16-$P136)/$AJ$4</f>
        <v>-3182.6395952441271</v>
      </c>
      <c r="W136" s="3">
        <v>0</v>
      </c>
      <c r="X136" s="3"/>
      <c r="Y136" s="3">
        <f t="shared" ref="Y136:Y174" si="36">+W136*(1-$AJ$5)</f>
        <v>0</v>
      </c>
      <c r="Z136" s="3"/>
      <c r="AA136" s="3">
        <v>0</v>
      </c>
      <c r="AB136" s="5"/>
      <c r="AC136" s="3">
        <f t="shared" ref="AC136:AC174" si="37">+T136-M136</f>
        <v>0</v>
      </c>
      <c r="AE136" s="9"/>
      <c r="AF136" s="9"/>
      <c r="AH136" s="8"/>
      <c r="AL136" s="3"/>
      <c r="AO136" s="3">
        <v>-3182.6395952441271</v>
      </c>
    </row>
    <row r="137" spans="2:42" x14ac:dyDescent="0.3">
      <c r="B137" s="1">
        <f t="shared" ca="1" si="31"/>
        <v>113</v>
      </c>
      <c r="D137" s="11" t="s">
        <v>519</v>
      </c>
      <c r="F137" s="1" t="str">
        <f>+INDEX('Exh. BGM-4 (2)'!$10:$10,1,MATCH($D137,'Exh. BGM-4 (2)'!$4:$4,0))</f>
        <v>PASS-THROUGH REVENUE &amp; EXPENSE</v>
      </c>
      <c r="I137" s="3">
        <v>0</v>
      </c>
      <c r="J137" s="3"/>
      <c r="K137" s="3">
        <v>0</v>
      </c>
      <c r="L137" s="3"/>
      <c r="M137" s="3">
        <f t="shared" si="32"/>
        <v>0</v>
      </c>
      <c r="P137" s="3">
        <f t="shared" si="33"/>
        <v>0</v>
      </c>
      <c r="Q137" s="3"/>
      <c r="R137" s="3">
        <f t="shared" si="34"/>
        <v>0</v>
      </c>
      <c r="S137" s="3"/>
      <c r="T137" s="3">
        <f t="shared" si="35"/>
        <v>0</v>
      </c>
      <c r="W137" s="3">
        <v>0</v>
      </c>
      <c r="X137" s="3"/>
      <c r="Y137" s="3">
        <f t="shared" si="36"/>
        <v>0</v>
      </c>
      <c r="Z137" s="3"/>
      <c r="AA137" s="3">
        <v>0</v>
      </c>
      <c r="AB137" s="5"/>
      <c r="AC137" s="3">
        <f t="shared" si="37"/>
        <v>0</v>
      </c>
      <c r="AE137" s="9"/>
      <c r="AF137" s="9"/>
      <c r="AH137" s="8"/>
      <c r="AL137" s="3"/>
      <c r="AO137" s="3">
        <v>0</v>
      </c>
    </row>
    <row r="138" spans="2:42" x14ac:dyDescent="0.3">
      <c r="B138" s="1">
        <f t="shared" ca="1" si="31"/>
        <v>114</v>
      </c>
      <c r="D138" s="11" t="s">
        <v>520</v>
      </c>
      <c r="F138" s="1" t="str">
        <f>+INDEX('Exh. BGM-4 (2)'!$10:$10,1,MATCH($D138,'Exh. BGM-4 (2)'!$4:$4,0))</f>
        <v>TEMPERATURE NORMALIZATION</v>
      </c>
      <c r="I138" s="3">
        <v>0</v>
      </c>
      <c r="J138" s="3"/>
      <c r="K138" s="3">
        <v>0</v>
      </c>
      <c r="L138" s="3"/>
      <c r="M138" s="3">
        <f t="shared" si="32"/>
        <v>0</v>
      </c>
      <c r="P138" s="3">
        <f t="shared" si="33"/>
        <v>0</v>
      </c>
      <c r="Q138" s="3"/>
      <c r="R138" s="3">
        <f t="shared" si="34"/>
        <v>0</v>
      </c>
      <c r="S138" s="3"/>
      <c r="T138" s="3">
        <f t="shared" si="35"/>
        <v>0</v>
      </c>
      <c r="W138" s="3">
        <v>0</v>
      </c>
      <c r="X138" s="3"/>
      <c r="Y138" s="3">
        <f t="shared" si="36"/>
        <v>0</v>
      </c>
      <c r="Z138" s="3"/>
      <c r="AA138" s="3">
        <v>0</v>
      </c>
      <c r="AB138" s="5"/>
      <c r="AC138" s="3">
        <f t="shared" si="37"/>
        <v>0</v>
      </c>
      <c r="AE138" s="9"/>
      <c r="AF138" s="9"/>
      <c r="AH138" s="8"/>
      <c r="AI138" s="1"/>
      <c r="AO138" s="3">
        <v>0</v>
      </c>
    </row>
    <row r="139" spans="2:42" x14ac:dyDescent="0.3">
      <c r="B139" s="1">
        <f t="shared" ca="1" si="31"/>
        <v>115</v>
      </c>
      <c r="D139" s="11" t="s">
        <v>521</v>
      </c>
      <c r="F139" s="1" t="str">
        <f>+INDEX('Exh. BGM-4 (2)'!$10:$10,1,MATCH($D139,'Exh. BGM-4 (2)'!$4:$4,0))</f>
        <v>FEDERAL INCOME TAX</v>
      </c>
      <c r="I139" s="3">
        <v>1441.2480251239983</v>
      </c>
      <c r="J139" s="3"/>
      <c r="K139" s="3">
        <v>3098.4475482264756</v>
      </c>
      <c r="L139" s="3"/>
      <c r="M139" s="3">
        <f t="shared" si="32"/>
        <v>-1613.8820717668525</v>
      </c>
      <c r="P139" s="3">
        <f t="shared" si="33"/>
        <v>1441.2480251239983</v>
      </c>
      <c r="Q139" s="3"/>
      <c r="R139" s="3">
        <f t="shared" si="34"/>
        <v>3098.4475482264756</v>
      </c>
      <c r="S139" s="3"/>
      <c r="T139" s="3">
        <f t="shared" si="35"/>
        <v>-1613.8820717668525</v>
      </c>
      <c r="W139" s="3">
        <v>0</v>
      </c>
      <c r="X139" s="3"/>
      <c r="Y139" s="3">
        <f t="shared" si="36"/>
        <v>0</v>
      </c>
      <c r="Z139" s="3"/>
      <c r="AA139" s="3">
        <v>0</v>
      </c>
      <c r="AB139" s="5"/>
      <c r="AC139" s="3">
        <f t="shared" si="37"/>
        <v>0</v>
      </c>
      <c r="AE139" s="9"/>
      <c r="AF139" s="9"/>
      <c r="AH139" s="8"/>
      <c r="AO139" s="3">
        <v>-1606.0825983405714</v>
      </c>
    </row>
    <row r="140" spans="2:42" x14ac:dyDescent="0.3">
      <c r="B140" s="222">
        <f t="shared" ca="1" si="31"/>
        <v>116</v>
      </c>
      <c r="C140" s="222"/>
      <c r="D140" s="224" t="s">
        <v>522</v>
      </c>
      <c r="E140" s="222"/>
      <c r="F140" s="222" t="str">
        <f>+INDEX('Exh. BGM-4 (2)'!$10:$10,1,MATCH($D140,'Exh. BGM-4 (2)'!$4:$4,0))</f>
        <v>TAX BENEFIT OF INTEREST</v>
      </c>
      <c r="G140" s="225"/>
      <c r="H140" s="225"/>
      <c r="I140" s="226">
        <v>-190.00380148794292</v>
      </c>
      <c r="J140" s="226"/>
      <c r="K140" s="226">
        <v>0</v>
      </c>
      <c r="L140" s="226"/>
      <c r="M140" s="226">
        <f t="shared" si="32"/>
        <v>251.72701346175072</v>
      </c>
      <c r="N140" s="225"/>
      <c r="O140" s="222"/>
      <c r="P140" s="226">
        <f t="shared" si="33"/>
        <v>-788.29300387395506</v>
      </c>
      <c r="Q140" s="226"/>
      <c r="R140" s="226">
        <f t="shared" si="34"/>
        <v>0</v>
      </c>
      <c r="S140" s="226"/>
      <c r="T140" s="226">
        <f t="shared" si="35"/>
        <v>1044.3719654239396</v>
      </c>
      <c r="U140" s="222"/>
      <c r="V140" s="222"/>
      <c r="W140" s="226">
        <v>0</v>
      </c>
      <c r="X140" s="226"/>
      <c r="Y140" s="226">
        <f>+SUM(AA141:AA175)*$AL$14*$AJ$5</f>
        <v>-598.28920238601211</v>
      </c>
      <c r="Z140" s="226"/>
      <c r="AA140" s="226">
        <v>0</v>
      </c>
      <c r="AB140" s="227"/>
      <c r="AC140" s="226">
        <f t="shared" si="37"/>
        <v>792.64495196218888</v>
      </c>
      <c r="AD140" s="225"/>
      <c r="AE140" s="232" t="s">
        <v>1065</v>
      </c>
      <c r="AF140" s="9"/>
      <c r="AH140" s="8"/>
      <c r="AL140" s="3"/>
      <c r="AO140" s="3">
        <v>251.72701346175072</v>
      </c>
    </row>
    <row r="141" spans="2:42" x14ac:dyDescent="0.3">
      <c r="B141" s="1">
        <f t="shared" ca="1" si="31"/>
        <v>117</v>
      </c>
      <c r="D141" s="11" t="s">
        <v>523</v>
      </c>
      <c r="F141" s="1" t="str">
        <f>+INDEX('Exh. BGM-4 (2)'!$10:$10,1,MATCH($D141,'Exh. BGM-4 (2)'!$4:$4,0))</f>
        <v>BAD DEBT EXPENSE</v>
      </c>
      <c r="I141" s="3">
        <v>0</v>
      </c>
      <c r="J141" s="3"/>
      <c r="K141" s="3">
        <v>0</v>
      </c>
      <c r="L141" s="3"/>
      <c r="M141" s="3">
        <f t="shared" si="32"/>
        <v>0</v>
      </c>
      <c r="P141" s="3">
        <f t="shared" si="33"/>
        <v>0</v>
      </c>
      <c r="Q141" s="3"/>
      <c r="R141" s="3">
        <f t="shared" si="34"/>
        <v>0</v>
      </c>
      <c r="S141" s="3"/>
      <c r="T141" s="3">
        <f t="shared" si="35"/>
        <v>0</v>
      </c>
      <c r="W141" s="3">
        <v>0</v>
      </c>
      <c r="X141" s="3"/>
      <c r="Y141" s="3">
        <f t="shared" si="36"/>
        <v>0</v>
      </c>
      <c r="Z141" s="3"/>
      <c r="AA141" s="3">
        <v>0</v>
      </c>
      <c r="AB141" s="5"/>
      <c r="AC141" s="3">
        <f t="shared" si="37"/>
        <v>0</v>
      </c>
      <c r="AE141" s="9"/>
      <c r="AF141" s="9"/>
      <c r="AH141" s="8"/>
      <c r="AL141" s="3"/>
      <c r="AO141" s="3">
        <v>0</v>
      </c>
    </row>
    <row r="142" spans="2:42" x14ac:dyDescent="0.3">
      <c r="B142" s="1">
        <f t="shared" ca="1" si="31"/>
        <v>118</v>
      </c>
      <c r="D142" s="11" t="s">
        <v>524</v>
      </c>
      <c r="F142" s="1" t="str">
        <f>+INDEX('Exh. BGM-4 (2)'!$10:$10,1,MATCH($D142,'Exh. BGM-4 (2)'!$4:$4,0))</f>
        <v>RATE CASE EXPENSE</v>
      </c>
      <c r="I142" s="3">
        <v>0</v>
      </c>
      <c r="J142" s="3"/>
      <c r="K142" s="3">
        <v>0</v>
      </c>
      <c r="L142" s="3"/>
      <c r="M142" s="3">
        <f t="shared" si="32"/>
        <v>0</v>
      </c>
      <c r="P142" s="3">
        <f t="shared" si="33"/>
        <v>0</v>
      </c>
      <c r="Q142" s="3"/>
      <c r="R142" s="3">
        <f t="shared" si="34"/>
        <v>0</v>
      </c>
      <c r="S142" s="3"/>
      <c r="T142" s="3">
        <f t="shared" si="35"/>
        <v>0</v>
      </c>
      <c r="W142" s="3">
        <v>0</v>
      </c>
      <c r="X142" s="3"/>
      <c r="Y142" s="3">
        <f t="shared" si="36"/>
        <v>0</v>
      </c>
      <c r="Z142" s="3"/>
      <c r="AA142" s="3">
        <v>0</v>
      </c>
      <c r="AB142" s="5"/>
      <c r="AC142" s="3">
        <f t="shared" si="37"/>
        <v>0</v>
      </c>
      <c r="AE142" s="9"/>
      <c r="AF142" s="9"/>
      <c r="AH142" s="8"/>
      <c r="AL142" s="3"/>
      <c r="AO142" s="3">
        <v>0</v>
      </c>
    </row>
    <row r="143" spans="2:42" x14ac:dyDescent="0.3">
      <c r="B143" s="1">
        <f t="shared" ca="1" si="31"/>
        <v>119</v>
      </c>
      <c r="D143" s="11" t="s">
        <v>525</v>
      </c>
      <c r="F143" s="1" t="str">
        <f>+INDEX('Exh. BGM-4 (2)'!$10:$10,1,MATCH($D143,'Exh. BGM-4 (2)'!$4:$4,0))</f>
        <v xml:space="preserve">EXCISE TAX </v>
      </c>
      <c r="I143" s="3">
        <v>0</v>
      </c>
      <c r="J143" s="3"/>
      <c r="K143" s="3">
        <v>0</v>
      </c>
      <c r="L143" s="3"/>
      <c r="M143" s="3">
        <f t="shared" si="32"/>
        <v>0</v>
      </c>
      <c r="P143" s="3">
        <f t="shared" si="33"/>
        <v>0</v>
      </c>
      <c r="Q143" s="3"/>
      <c r="R143" s="3">
        <f t="shared" si="34"/>
        <v>0</v>
      </c>
      <c r="S143" s="3"/>
      <c r="T143" s="3">
        <f t="shared" si="35"/>
        <v>0</v>
      </c>
      <c r="W143" s="3">
        <v>0</v>
      </c>
      <c r="X143" s="3"/>
      <c r="Y143" s="3">
        <f t="shared" si="36"/>
        <v>0</v>
      </c>
      <c r="Z143" s="3"/>
      <c r="AA143" s="3">
        <v>0</v>
      </c>
      <c r="AB143" s="5"/>
      <c r="AC143" s="3">
        <f t="shared" si="37"/>
        <v>0</v>
      </c>
      <c r="AE143" s="9"/>
      <c r="AF143" s="9"/>
      <c r="AH143" s="8"/>
      <c r="AL143" s="3"/>
      <c r="AO143" s="3">
        <v>0</v>
      </c>
    </row>
    <row r="144" spans="2:42" x14ac:dyDescent="0.3">
      <c r="B144" s="1">
        <f t="shared" ca="1" si="31"/>
        <v>120</v>
      </c>
      <c r="D144" s="11" t="s">
        <v>526</v>
      </c>
      <c r="F144" s="1" t="str">
        <f>+INDEX('Exh. BGM-4 (2)'!$10:$10,1,MATCH($D144,'Exh. BGM-4 (2)'!$4:$4,0))</f>
        <v>EMPLOYEE INSURANCE</v>
      </c>
      <c r="I144" s="3">
        <v>0</v>
      </c>
      <c r="J144" s="3"/>
      <c r="K144" s="3">
        <v>0</v>
      </c>
      <c r="L144" s="3"/>
      <c r="M144" s="3">
        <f t="shared" si="32"/>
        <v>0</v>
      </c>
      <c r="P144" s="3">
        <f t="shared" si="33"/>
        <v>0</v>
      </c>
      <c r="Q144" s="3"/>
      <c r="R144" s="3">
        <f t="shared" si="34"/>
        <v>0</v>
      </c>
      <c r="S144" s="3"/>
      <c r="T144" s="3">
        <f t="shared" si="35"/>
        <v>0</v>
      </c>
      <c r="W144" s="3">
        <v>0</v>
      </c>
      <c r="X144" s="3"/>
      <c r="Y144" s="3">
        <f t="shared" si="36"/>
        <v>0</v>
      </c>
      <c r="Z144" s="3"/>
      <c r="AA144" s="3">
        <v>0</v>
      </c>
      <c r="AB144" s="5"/>
      <c r="AC144" s="3">
        <f t="shared" si="37"/>
        <v>0</v>
      </c>
      <c r="AE144" s="9"/>
      <c r="AF144" s="9"/>
      <c r="AH144" s="8"/>
      <c r="AL144" s="3"/>
      <c r="AO144" s="3">
        <v>0</v>
      </c>
    </row>
    <row r="145" spans="2:41" x14ac:dyDescent="0.3">
      <c r="B145" s="1">
        <f t="shared" ca="1" si="31"/>
        <v>121</v>
      </c>
      <c r="D145" s="11" t="s">
        <v>527</v>
      </c>
      <c r="F145" s="1" t="str">
        <f>+INDEX('Exh. BGM-4 (2)'!$10:$10,1,MATCH($D145,'Exh. BGM-4 (2)'!$4:$4,0))</f>
        <v>INJURIES &amp; DAMAGES</v>
      </c>
      <c r="I145" s="3">
        <v>0</v>
      </c>
      <c r="J145" s="3"/>
      <c r="K145" s="3">
        <v>0</v>
      </c>
      <c r="L145" s="3"/>
      <c r="M145" s="3">
        <f t="shared" si="32"/>
        <v>0</v>
      </c>
      <c r="P145" s="3">
        <f t="shared" si="33"/>
        <v>0</v>
      </c>
      <c r="Q145" s="3"/>
      <c r="R145" s="3">
        <f t="shared" si="34"/>
        <v>0</v>
      </c>
      <c r="S145" s="3"/>
      <c r="T145" s="3">
        <f t="shared" si="35"/>
        <v>0</v>
      </c>
      <c r="W145" s="3">
        <v>0</v>
      </c>
      <c r="X145" s="3"/>
      <c r="Y145" s="3">
        <f t="shared" si="36"/>
        <v>0</v>
      </c>
      <c r="Z145" s="3"/>
      <c r="AA145" s="3">
        <v>0</v>
      </c>
      <c r="AB145" s="5"/>
      <c r="AC145" s="3">
        <f t="shared" si="37"/>
        <v>0</v>
      </c>
      <c r="AE145" s="9"/>
      <c r="AF145" s="9"/>
      <c r="AH145" s="8"/>
      <c r="AL145" s="3"/>
      <c r="AO145" s="3">
        <v>0</v>
      </c>
    </row>
    <row r="146" spans="2:41" x14ac:dyDescent="0.3">
      <c r="B146" s="1">
        <f t="shared" ca="1" si="31"/>
        <v>122</v>
      </c>
      <c r="D146" s="11" t="s">
        <v>528</v>
      </c>
      <c r="F146" s="1" t="str">
        <f>+INDEX('Exh. BGM-4 (2)'!$10:$10,1,MATCH($D146,'Exh. BGM-4 (2)'!$4:$4,0))</f>
        <v>INCENTIVE PAY</v>
      </c>
      <c r="I146" s="3">
        <v>-170.81857543166097</v>
      </c>
      <c r="J146" s="3"/>
      <c r="K146" s="3">
        <v>0</v>
      </c>
      <c r="L146" s="3"/>
      <c r="M146" s="3">
        <f t="shared" si="32"/>
        <v>226.30941855093059</v>
      </c>
      <c r="P146" s="3">
        <f t="shared" si="33"/>
        <v>-170.81857543166097</v>
      </c>
      <c r="Q146" s="3"/>
      <c r="R146" s="3">
        <f t="shared" si="34"/>
        <v>0</v>
      </c>
      <c r="S146" s="3"/>
      <c r="T146" s="3">
        <f t="shared" si="35"/>
        <v>226.30941855093059</v>
      </c>
      <c r="W146" s="3">
        <v>0</v>
      </c>
      <c r="X146" s="3"/>
      <c r="Y146" s="3">
        <f t="shared" si="36"/>
        <v>0</v>
      </c>
      <c r="Z146" s="3"/>
      <c r="AA146" s="3">
        <v>0</v>
      </c>
      <c r="AB146" s="5"/>
      <c r="AC146" s="3">
        <f t="shared" si="37"/>
        <v>0</v>
      </c>
      <c r="AE146" s="9"/>
      <c r="AF146" s="9"/>
      <c r="AH146" s="8"/>
      <c r="AL146" s="3"/>
      <c r="AO146" s="3">
        <v>226.30941855093059</v>
      </c>
    </row>
    <row r="147" spans="2:41" x14ac:dyDescent="0.3">
      <c r="B147" s="1">
        <f t="shared" ca="1" si="31"/>
        <v>123</v>
      </c>
      <c r="D147" s="11" t="s">
        <v>529</v>
      </c>
      <c r="F147" s="1" t="str">
        <f>+INDEX('Exh. BGM-4 (2)'!$10:$10,1,MATCH($D147,'Exh. BGM-4 (2)'!$4:$4,0))</f>
        <v>INVESTMENT PLAN</v>
      </c>
      <c r="I147" s="3">
        <v>0</v>
      </c>
      <c r="J147" s="3"/>
      <c r="K147" s="3">
        <v>0</v>
      </c>
      <c r="L147" s="3"/>
      <c r="M147" s="3">
        <f t="shared" si="32"/>
        <v>0</v>
      </c>
      <c r="P147" s="3">
        <f t="shared" si="33"/>
        <v>0</v>
      </c>
      <c r="Q147" s="3"/>
      <c r="R147" s="3">
        <f t="shared" si="34"/>
        <v>0</v>
      </c>
      <c r="S147" s="3"/>
      <c r="T147" s="3">
        <f t="shared" si="35"/>
        <v>0</v>
      </c>
      <c r="W147" s="3">
        <v>0</v>
      </c>
      <c r="X147" s="3"/>
      <c r="Y147" s="3">
        <f t="shared" si="36"/>
        <v>0</v>
      </c>
      <c r="Z147" s="3"/>
      <c r="AA147" s="3">
        <v>0</v>
      </c>
      <c r="AB147" s="5"/>
      <c r="AC147" s="3">
        <f t="shared" si="37"/>
        <v>0</v>
      </c>
      <c r="AE147" s="9"/>
      <c r="AF147" s="9"/>
      <c r="AH147" s="8"/>
      <c r="AL147" s="3"/>
      <c r="AO147" s="3">
        <v>0</v>
      </c>
    </row>
    <row r="148" spans="2:41" x14ac:dyDescent="0.3">
      <c r="B148" s="1">
        <f t="shared" ca="1" si="31"/>
        <v>124</v>
      </c>
      <c r="D148" s="11" t="s">
        <v>530</v>
      </c>
      <c r="F148" s="1" t="str">
        <f>+INDEX('Exh. BGM-4 (2)'!$10:$10,1,MATCH($D148,'Exh. BGM-4 (2)'!$4:$4,0))</f>
        <v>INTEREST ON  CUSTOMER DEPOSITS</v>
      </c>
      <c r="I148" s="3">
        <v>0</v>
      </c>
      <c r="J148" s="3"/>
      <c r="K148" s="3">
        <v>0</v>
      </c>
      <c r="L148" s="3"/>
      <c r="M148" s="3">
        <f t="shared" si="32"/>
        <v>0</v>
      </c>
      <c r="P148" s="3">
        <f t="shared" si="33"/>
        <v>0</v>
      </c>
      <c r="Q148" s="3"/>
      <c r="R148" s="3">
        <f t="shared" si="34"/>
        <v>0</v>
      </c>
      <c r="S148" s="3"/>
      <c r="T148" s="3">
        <f t="shared" si="35"/>
        <v>0</v>
      </c>
      <c r="W148" s="3">
        <v>0</v>
      </c>
      <c r="X148" s="3"/>
      <c r="Y148" s="3">
        <f t="shared" si="36"/>
        <v>0</v>
      </c>
      <c r="Z148" s="3"/>
      <c r="AA148" s="3">
        <v>0</v>
      </c>
      <c r="AB148" s="5"/>
      <c r="AC148" s="3">
        <f t="shared" si="37"/>
        <v>0</v>
      </c>
      <c r="AE148" s="9"/>
      <c r="AF148" s="9"/>
      <c r="AH148" s="8"/>
      <c r="AL148" s="3"/>
      <c r="AO148" s="3">
        <v>0</v>
      </c>
    </row>
    <row r="149" spans="2:41" x14ac:dyDescent="0.3">
      <c r="B149" s="1">
        <f t="shared" ca="1" si="31"/>
        <v>125</v>
      </c>
      <c r="D149" s="11" t="s">
        <v>531</v>
      </c>
      <c r="F149" s="1" t="str">
        <f>+INDEX('Exh. BGM-4 (2)'!$10:$10,1,MATCH($D149,'Exh. BGM-4 (2)'!$4:$4,0))</f>
        <v>PROPERTY AND LIAB INSURANCE</v>
      </c>
      <c r="I149" s="3">
        <v>0</v>
      </c>
      <c r="J149" s="3"/>
      <c r="K149" s="3">
        <v>0</v>
      </c>
      <c r="L149" s="3"/>
      <c r="M149" s="3">
        <f t="shared" si="32"/>
        <v>0</v>
      </c>
      <c r="P149" s="3">
        <f t="shared" si="33"/>
        <v>0</v>
      </c>
      <c r="Q149" s="3"/>
      <c r="R149" s="3">
        <f t="shared" si="34"/>
        <v>0</v>
      </c>
      <c r="S149" s="3"/>
      <c r="T149" s="3">
        <f t="shared" si="35"/>
        <v>0</v>
      </c>
      <c r="W149" s="3">
        <v>0</v>
      </c>
      <c r="X149" s="3"/>
      <c r="Y149" s="3">
        <f t="shared" si="36"/>
        <v>0</v>
      </c>
      <c r="Z149" s="3"/>
      <c r="AA149" s="3">
        <v>0</v>
      </c>
      <c r="AB149" s="5"/>
      <c r="AC149" s="3">
        <f t="shared" si="37"/>
        <v>0</v>
      </c>
      <c r="AE149" s="9"/>
      <c r="AF149" s="9"/>
      <c r="AH149" s="8"/>
      <c r="AL149" s="3"/>
      <c r="AO149" s="3">
        <v>0</v>
      </c>
    </row>
    <row r="150" spans="2:41" x14ac:dyDescent="0.3">
      <c r="B150" s="1">
        <f t="shared" ca="1" si="31"/>
        <v>126</v>
      </c>
      <c r="D150" s="11" t="s">
        <v>532</v>
      </c>
      <c r="F150" s="1" t="str">
        <f>+INDEX('Exh. BGM-4 (2)'!$10:$10,1,MATCH($D150,'Exh. BGM-4 (2)'!$4:$4,0))</f>
        <v>DEFERRED GAINS AND LOSSES ON PROPERTY SALES</v>
      </c>
      <c r="I150" s="3">
        <v>-1507.4631769666667</v>
      </c>
      <c r="J150" s="3"/>
      <c r="K150" s="3">
        <v>0</v>
      </c>
      <c r="L150" s="3"/>
      <c r="M150" s="3">
        <f t="shared" si="32"/>
        <v>1997.1663749341437</v>
      </c>
      <c r="P150" s="3">
        <f t="shared" si="33"/>
        <v>-1507.4631769666667</v>
      </c>
      <c r="Q150" s="3"/>
      <c r="R150" s="3">
        <f t="shared" si="34"/>
        <v>0</v>
      </c>
      <c r="S150" s="3"/>
      <c r="T150" s="3">
        <f t="shared" si="35"/>
        <v>1997.1663749341437</v>
      </c>
      <c r="W150" s="3">
        <v>0</v>
      </c>
      <c r="X150" s="3"/>
      <c r="Y150" s="3">
        <f t="shared" si="36"/>
        <v>0</v>
      </c>
      <c r="Z150" s="3"/>
      <c r="AA150" s="3">
        <v>0</v>
      </c>
      <c r="AB150" s="5"/>
      <c r="AC150" s="3">
        <f t="shared" si="37"/>
        <v>0</v>
      </c>
      <c r="AE150" s="9"/>
      <c r="AF150" s="9"/>
      <c r="AH150" s="8"/>
      <c r="AL150" s="3"/>
      <c r="AO150" s="3">
        <v>1997.1663749341437</v>
      </c>
    </row>
    <row r="151" spans="2:41" x14ac:dyDescent="0.3">
      <c r="B151" s="1">
        <f t="shared" ca="1" si="31"/>
        <v>127</v>
      </c>
      <c r="D151" s="11" t="s">
        <v>533</v>
      </c>
      <c r="F151" s="1" t="str">
        <f>+INDEX('Exh. BGM-4 (2)'!$10:$10,1,MATCH($D151,'Exh. BGM-4 (2)'!$4:$4,0))</f>
        <v>D&amp;O INSURANCE</v>
      </c>
      <c r="I151" s="3">
        <v>0</v>
      </c>
      <c r="J151" s="3"/>
      <c r="K151" s="3">
        <v>0</v>
      </c>
      <c r="L151" s="3"/>
      <c r="M151" s="3">
        <f t="shared" si="32"/>
        <v>0</v>
      </c>
      <c r="P151" s="3">
        <f t="shared" si="33"/>
        <v>0</v>
      </c>
      <c r="Q151" s="3"/>
      <c r="R151" s="3">
        <f t="shared" si="34"/>
        <v>0</v>
      </c>
      <c r="S151" s="3"/>
      <c r="T151" s="3">
        <f t="shared" si="35"/>
        <v>0</v>
      </c>
      <c r="W151" s="3">
        <v>0</v>
      </c>
      <c r="X151" s="3"/>
      <c r="Y151" s="3">
        <f t="shared" si="36"/>
        <v>0</v>
      </c>
      <c r="Z151" s="3"/>
      <c r="AA151" s="3">
        <v>0</v>
      </c>
      <c r="AB151" s="5"/>
      <c r="AC151" s="3">
        <f t="shared" si="37"/>
        <v>0</v>
      </c>
      <c r="AE151" s="9"/>
      <c r="AF151" s="9"/>
      <c r="AH151" s="8"/>
      <c r="AL151" s="3"/>
      <c r="AO151" s="3">
        <v>0</v>
      </c>
    </row>
    <row r="152" spans="2:41" x14ac:dyDescent="0.3">
      <c r="B152" s="1">
        <f t="shared" ca="1" si="31"/>
        <v>128</v>
      </c>
      <c r="D152" s="11" t="s">
        <v>534</v>
      </c>
      <c r="F152" s="1" t="str">
        <f>+INDEX('Exh. BGM-4 (2)'!$10:$10,1,MATCH($D152,'Exh. BGM-4 (2)'!$4:$4,0))</f>
        <v>PENSION PLAN</v>
      </c>
      <c r="I152" s="3">
        <v>0</v>
      </c>
      <c r="J152" s="3"/>
      <c r="K152" s="3">
        <v>0</v>
      </c>
      <c r="L152" s="3"/>
      <c r="M152" s="3">
        <f t="shared" si="32"/>
        <v>0</v>
      </c>
      <c r="P152" s="3">
        <f t="shared" si="33"/>
        <v>0</v>
      </c>
      <c r="Q152" s="3"/>
      <c r="R152" s="3">
        <f t="shared" si="34"/>
        <v>0</v>
      </c>
      <c r="S152" s="3"/>
      <c r="T152" s="3">
        <f t="shared" si="35"/>
        <v>0</v>
      </c>
      <c r="W152" s="3">
        <v>0</v>
      </c>
      <c r="X152" s="3"/>
      <c r="Y152" s="3">
        <f t="shared" si="36"/>
        <v>0</v>
      </c>
      <c r="Z152" s="3"/>
      <c r="AA152" s="3">
        <v>0</v>
      </c>
      <c r="AB152" s="5"/>
      <c r="AC152" s="3">
        <f t="shared" si="37"/>
        <v>0</v>
      </c>
      <c r="AE152" s="9"/>
      <c r="AF152" s="9"/>
      <c r="AH152" s="8"/>
      <c r="AL152" s="3"/>
      <c r="AO152" s="3">
        <v>0</v>
      </c>
    </row>
    <row r="153" spans="2:41" x14ac:dyDescent="0.3">
      <c r="B153" s="1">
        <f t="shared" ca="1" si="31"/>
        <v>129</v>
      </c>
      <c r="D153" s="11" t="s">
        <v>535</v>
      </c>
      <c r="F153" s="1" t="str">
        <f>+INDEX('Exh. BGM-4 (2)'!$10:$10,1,MATCH($D153,'Exh. BGM-4 (2)'!$4:$4,0))</f>
        <v>WAGE INCREASE</v>
      </c>
      <c r="I153" s="3">
        <v>0</v>
      </c>
      <c r="J153" s="3"/>
      <c r="K153" s="3">
        <v>0</v>
      </c>
      <c r="L153" s="3"/>
      <c r="M153" s="3">
        <f t="shared" si="32"/>
        <v>0</v>
      </c>
      <c r="P153" s="3">
        <f t="shared" si="33"/>
        <v>0</v>
      </c>
      <c r="Q153" s="3"/>
      <c r="R153" s="3">
        <f t="shared" si="34"/>
        <v>0</v>
      </c>
      <c r="S153" s="3"/>
      <c r="T153" s="3">
        <f t="shared" si="35"/>
        <v>0</v>
      </c>
      <c r="W153" s="3">
        <v>0</v>
      </c>
      <c r="X153" s="3"/>
      <c r="Y153" s="3">
        <f t="shared" si="36"/>
        <v>0</v>
      </c>
      <c r="Z153" s="3"/>
      <c r="AA153" s="3">
        <v>0</v>
      </c>
      <c r="AB153" s="5"/>
      <c r="AC153" s="3">
        <f t="shared" si="37"/>
        <v>0</v>
      </c>
      <c r="AE153" s="9"/>
      <c r="AF153" s="9"/>
      <c r="AH153" s="8"/>
      <c r="AL153" s="3"/>
      <c r="AO153" s="3">
        <v>0</v>
      </c>
    </row>
    <row r="154" spans="2:41" x14ac:dyDescent="0.3">
      <c r="B154" s="1">
        <f t="shared" ca="1" si="31"/>
        <v>130</v>
      </c>
      <c r="D154" s="11" t="s">
        <v>536</v>
      </c>
      <c r="F154" s="1" t="str">
        <f>+INDEX('Exh. BGM-4 (2)'!$10:$10,1,MATCH($D154,'Exh. BGM-4 (2)'!$4:$4,0))</f>
        <v>AMA TO EOP RATE BASE</v>
      </c>
      <c r="I154" s="3">
        <v>0</v>
      </c>
      <c r="J154" s="3"/>
      <c r="K154" s="3">
        <v>0</v>
      </c>
      <c r="L154" s="3"/>
      <c r="M154" s="3">
        <f t="shared" si="32"/>
        <v>0</v>
      </c>
      <c r="P154" s="3">
        <f t="shared" si="33"/>
        <v>0</v>
      </c>
      <c r="Q154" s="3"/>
      <c r="R154" s="3">
        <f t="shared" si="34"/>
        <v>0</v>
      </c>
      <c r="S154" s="3"/>
      <c r="T154" s="3">
        <f t="shared" si="35"/>
        <v>0</v>
      </c>
      <c r="W154" s="3">
        <v>0</v>
      </c>
      <c r="X154" s="3"/>
      <c r="Y154" s="3">
        <f t="shared" si="36"/>
        <v>0</v>
      </c>
      <c r="Z154" s="3"/>
      <c r="AA154" s="3">
        <v>0</v>
      </c>
      <c r="AB154" s="5"/>
      <c r="AC154" s="3">
        <f t="shared" si="37"/>
        <v>0</v>
      </c>
      <c r="AE154" s="9"/>
      <c r="AF154" s="9"/>
      <c r="AH154" s="8"/>
      <c r="AL154" s="3"/>
      <c r="AO154" s="3">
        <v>0</v>
      </c>
    </row>
    <row r="155" spans="2:41" x14ac:dyDescent="0.3">
      <c r="B155" s="1">
        <f t="shared" ca="1" si="31"/>
        <v>131</v>
      </c>
      <c r="D155" s="11" t="s">
        <v>537</v>
      </c>
      <c r="F155" s="1" t="str">
        <f>+INDEX('Exh. BGM-4 (2)'!$10:$10,1,MATCH($D155,'Exh. BGM-4 (2)'!$4:$4,0))</f>
        <v>AMA TO EOP DEPRECIATION</v>
      </c>
      <c r="I155" s="3">
        <v>0</v>
      </c>
      <c r="J155" s="3"/>
      <c r="K155" s="3">
        <v>0</v>
      </c>
      <c r="L155" s="3"/>
      <c r="M155" s="3">
        <f t="shared" si="32"/>
        <v>0</v>
      </c>
      <c r="P155" s="3">
        <f t="shared" si="33"/>
        <v>0</v>
      </c>
      <c r="Q155" s="3"/>
      <c r="R155" s="3">
        <f t="shared" si="34"/>
        <v>0</v>
      </c>
      <c r="S155" s="3"/>
      <c r="T155" s="3">
        <f t="shared" si="35"/>
        <v>0</v>
      </c>
      <c r="W155" s="3">
        <v>0</v>
      </c>
      <c r="X155" s="3"/>
      <c r="Y155" s="3">
        <f t="shared" si="36"/>
        <v>0</v>
      </c>
      <c r="Z155" s="3"/>
      <c r="AA155" s="3">
        <v>0</v>
      </c>
      <c r="AB155" s="5"/>
      <c r="AC155" s="3">
        <f t="shared" si="37"/>
        <v>0</v>
      </c>
      <c r="AE155" s="9"/>
      <c r="AF155" s="9"/>
      <c r="AH155" s="8"/>
      <c r="AL155" s="3"/>
      <c r="AO155" s="3">
        <v>0</v>
      </c>
    </row>
    <row r="156" spans="2:41" x14ac:dyDescent="0.3">
      <c r="B156" s="1">
        <f t="shared" ca="1" si="31"/>
        <v>132</v>
      </c>
      <c r="D156" s="11" t="s">
        <v>538</v>
      </c>
      <c r="F156" s="1" t="str">
        <f>+INDEX('Exh. BGM-4 (2)'!$10:$10,1,MATCH($D156,'Exh. BGM-4 (2)'!$4:$4,0))</f>
        <v>WUTC FILING FEE</v>
      </c>
      <c r="I156" s="3">
        <v>0</v>
      </c>
      <c r="J156" s="3"/>
      <c r="K156" s="3">
        <v>0</v>
      </c>
      <c r="L156" s="3"/>
      <c r="M156" s="3">
        <f t="shared" si="32"/>
        <v>0</v>
      </c>
      <c r="P156" s="3">
        <f t="shared" si="33"/>
        <v>0</v>
      </c>
      <c r="Q156" s="3"/>
      <c r="R156" s="3">
        <f t="shared" si="34"/>
        <v>0</v>
      </c>
      <c r="S156" s="3"/>
      <c r="T156" s="3">
        <f t="shared" si="35"/>
        <v>0</v>
      </c>
      <c r="W156" s="3">
        <v>0</v>
      </c>
      <c r="X156" s="3"/>
      <c r="Y156" s="3">
        <f t="shared" si="36"/>
        <v>0</v>
      </c>
      <c r="Z156" s="3"/>
      <c r="AA156" s="3">
        <v>0</v>
      </c>
      <c r="AB156" s="5"/>
      <c r="AC156" s="3">
        <f t="shared" si="37"/>
        <v>0</v>
      </c>
      <c r="AE156" s="9"/>
      <c r="AF156" s="9"/>
      <c r="AH156" s="8"/>
      <c r="AL156" s="3"/>
      <c r="AO156" s="3">
        <v>0</v>
      </c>
    </row>
    <row r="157" spans="2:41" x14ac:dyDescent="0.3">
      <c r="B157" s="222">
        <f t="shared" ca="1" si="31"/>
        <v>133</v>
      </c>
      <c r="C157" s="222"/>
      <c r="D157" s="224" t="s">
        <v>539</v>
      </c>
      <c r="E157" s="222"/>
      <c r="F157" s="222" t="str">
        <f>+INDEX('Exh. BGM-4 (2)'!$10:$10,1,MATCH($D157,'Exh. BGM-4 (2)'!$4:$4,0))</f>
        <v>PRO FORMA O&amp;M</v>
      </c>
      <c r="G157" s="225"/>
      <c r="H157" s="225"/>
      <c r="I157" s="226">
        <v>-28583.95002399075</v>
      </c>
      <c r="J157" s="226"/>
      <c r="K157" s="226">
        <v>0</v>
      </c>
      <c r="L157" s="226"/>
      <c r="M157" s="226">
        <f t="shared" si="32"/>
        <v>37869.5179577011</v>
      </c>
      <c r="N157" s="225"/>
      <c r="O157" s="222"/>
      <c r="P157" s="226">
        <f t="shared" si="33"/>
        <v>-4614.8841155936825</v>
      </c>
      <c r="Q157" s="226"/>
      <c r="R157" s="226">
        <f t="shared" si="34"/>
        <v>0</v>
      </c>
      <c r="S157" s="226"/>
      <c r="T157" s="226">
        <f t="shared" si="35"/>
        <v>6114.0408075687264</v>
      </c>
      <c r="U157" s="222"/>
      <c r="V157" s="222"/>
      <c r="W157" s="226">
        <f>-'[22]BGM-7'!$W$87</f>
        <v>30340.589757464641</v>
      </c>
      <c r="X157" s="226"/>
      <c r="Y157" s="226">
        <f t="shared" si="36"/>
        <v>23969.065908397068</v>
      </c>
      <c r="Z157" s="226"/>
      <c r="AA157" s="226">
        <v>0</v>
      </c>
      <c r="AB157" s="227"/>
      <c r="AC157" s="226">
        <f t="shared" si="37"/>
        <v>-31755.477150132374</v>
      </c>
      <c r="AD157" s="225"/>
      <c r="AE157" s="232" t="s">
        <v>1026</v>
      </c>
      <c r="AF157" s="9"/>
      <c r="AH157" s="8"/>
      <c r="AL157" s="3"/>
      <c r="AO157" s="3">
        <v>37869.5179577011</v>
      </c>
    </row>
    <row r="158" spans="2:41" x14ac:dyDescent="0.3">
      <c r="B158" s="1">
        <f t="shared" ca="1" si="31"/>
        <v>134</v>
      </c>
      <c r="D158" s="11" t="s">
        <v>540</v>
      </c>
      <c r="F158" s="1" t="str">
        <f>+INDEX('Exh. BGM-4 (2)'!$10:$10,1,MATCH($D158,'Exh. BGM-4 (2)'!$4:$4,0))</f>
        <v>AMR REGULATORY ASSET</v>
      </c>
      <c r="I158" s="3">
        <v>-122.29568415809781</v>
      </c>
      <c r="J158" s="3"/>
      <c r="K158" s="3">
        <v>1101.1888689006601</v>
      </c>
      <c r="L158" s="3"/>
      <c r="M158" s="3">
        <f t="shared" si="32"/>
        <v>267.06546853931741</v>
      </c>
      <c r="P158" s="3">
        <f t="shared" si="33"/>
        <v>-122.29568415809781</v>
      </c>
      <c r="Q158" s="3"/>
      <c r="R158" s="3">
        <f t="shared" si="34"/>
        <v>1101.1888689006601</v>
      </c>
      <c r="S158" s="3"/>
      <c r="T158" s="3">
        <f t="shared" si="35"/>
        <v>267.06546853931741</v>
      </c>
      <c r="W158" s="3">
        <v>0</v>
      </c>
      <c r="X158" s="3"/>
      <c r="Y158" s="3">
        <f t="shared" si="36"/>
        <v>0</v>
      </c>
      <c r="Z158" s="3"/>
      <c r="AA158" s="3">
        <v>0</v>
      </c>
      <c r="AB158" s="5"/>
      <c r="AC158" s="3">
        <f t="shared" si="37"/>
        <v>0</v>
      </c>
      <c r="AE158" s="9"/>
      <c r="AF158" s="9"/>
      <c r="AH158" s="8"/>
      <c r="AL158" s="3"/>
      <c r="AO158" s="3">
        <v>269.83740293117864</v>
      </c>
    </row>
    <row r="159" spans="2:41" x14ac:dyDescent="0.3">
      <c r="B159" s="1">
        <f t="shared" ca="1" si="31"/>
        <v>135</v>
      </c>
      <c r="D159" s="11" t="s">
        <v>541</v>
      </c>
      <c r="F159" s="1" t="str">
        <f>+INDEX('Exh. BGM-4 (2)'!$10:$10,1,MATCH($D159,'Exh. BGM-4 (2)'!$4:$4,0))</f>
        <v>AMI PLANT AND DEFERRAL</v>
      </c>
      <c r="I159" s="3">
        <v>-2764.8439047150896</v>
      </c>
      <c r="J159" s="3"/>
      <c r="K159" s="3">
        <v>0</v>
      </c>
      <c r="L159" s="3"/>
      <c r="M159" s="3">
        <f t="shared" si="32"/>
        <v>3663.0103891159251</v>
      </c>
      <c r="P159" s="3">
        <f t="shared" si="33"/>
        <v>-2764.8439047150896</v>
      </c>
      <c r="Q159" s="3"/>
      <c r="R159" s="3">
        <f t="shared" si="34"/>
        <v>0</v>
      </c>
      <c r="S159" s="3"/>
      <c r="T159" s="3">
        <f t="shared" si="35"/>
        <v>3663.0103891159251</v>
      </c>
      <c r="W159" s="3">
        <v>0</v>
      </c>
      <c r="X159" s="3"/>
      <c r="Y159" s="3">
        <f t="shared" si="36"/>
        <v>0</v>
      </c>
      <c r="Z159" s="3"/>
      <c r="AA159" s="3">
        <v>0</v>
      </c>
      <c r="AB159" s="5"/>
      <c r="AC159" s="3">
        <f t="shared" si="37"/>
        <v>0</v>
      </c>
      <c r="AE159" s="9"/>
      <c r="AF159" s="9"/>
      <c r="AH159" s="8"/>
      <c r="AL159" s="3"/>
      <c r="AO159" s="3">
        <v>3663.0103891159251</v>
      </c>
    </row>
    <row r="160" spans="2:41" x14ac:dyDescent="0.3">
      <c r="B160" s="1">
        <f t="shared" ca="1" si="31"/>
        <v>136</v>
      </c>
      <c r="D160" s="11" t="s">
        <v>542</v>
      </c>
      <c r="F160" s="1" t="str">
        <f>+INDEX('Exh. BGM-4 (2)'!$10:$10,1,MATCH($D160,'Exh. BGM-4 (2)'!$4:$4,0))</f>
        <v>GTZ DEFERRAL</v>
      </c>
      <c r="I160" s="3">
        <v>-3687.2481967909653</v>
      </c>
      <c r="J160" s="3"/>
      <c r="K160" s="3">
        <v>-15.203916388063458</v>
      </c>
      <c r="L160" s="3"/>
      <c r="M160" s="3">
        <f t="shared" si="32"/>
        <v>4883.6097392703832</v>
      </c>
      <c r="P160" s="3">
        <f t="shared" si="33"/>
        <v>-3687.2481967909653</v>
      </c>
      <c r="Q160" s="3"/>
      <c r="R160" s="3">
        <f t="shared" si="34"/>
        <v>-15.203916388063458</v>
      </c>
      <c r="S160" s="3"/>
      <c r="T160" s="3">
        <f t="shared" si="35"/>
        <v>4883.6097392703832</v>
      </c>
      <c r="W160" s="3">
        <v>0</v>
      </c>
      <c r="X160" s="3"/>
      <c r="Y160" s="3">
        <f t="shared" si="36"/>
        <v>0</v>
      </c>
      <c r="Z160" s="3"/>
      <c r="AA160" s="3">
        <v>0</v>
      </c>
      <c r="AB160" s="5"/>
      <c r="AC160" s="3">
        <f t="shared" si="37"/>
        <v>0</v>
      </c>
      <c r="AE160" s="9"/>
      <c r="AF160" s="9"/>
      <c r="AH160" s="8"/>
      <c r="AL160" s="3"/>
      <c r="AO160" s="3">
        <v>4883.5714676714624</v>
      </c>
    </row>
    <row r="161" spans="2:41" x14ac:dyDescent="0.3">
      <c r="B161" s="1">
        <f t="shared" ca="1" si="31"/>
        <v>137</v>
      </c>
      <c r="D161" s="11" t="s">
        <v>543</v>
      </c>
      <c r="F161" s="1" t="str">
        <f>+INDEX('Exh. BGM-4 (2)'!$10:$10,1,MATCH($D161,'Exh. BGM-4 (2)'!$4:$4,0))</f>
        <v>ENVIRONMENTAL REMEDIATION</v>
      </c>
      <c r="I161" s="3">
        <v>-518.67873011322718</v>
      </c>
      <c r="J161" s="3"/>
      <c r="K161" s="3">
        <v>0</v>
      </c>
      <c r="L161" s="3"/>
      <c r="M161" s="3">
        <f t="shared" si="32"/>
        <v>687.17281788607477</v>
      </c>
      <c r="P161" s="3">
        <f t="shared" si="33"/>
        <v>-518.67873011322718</v>
      </c>
      <c r="Q161" s="3"/>
      <c r="R161" s="3">
        <f t="shared" si="34"/>
        <v>0</v>
      </c>
      <c r="S161" s="3"/>
      <c r="T161" s="3">
        <f t="shared" si="35"/>
        <v>687.17281788607477</v>
      </c>
      <c r="W161" s="3">
        <v>0</v>
      </c>
      <c r="X161" s="3"/>
      <c r="Y161" s="3">
        <f t="shared" si="36"/>
        <v>0</v>
      </c>
      <c r="Z161" s="3"/>
      <c r="AA161" s="3">
        <v>0</v>
      </c>
      <c r="AB161" s="5"/>
      <c r="AC161" s="3">
        <f t="shared" si="37"/>
        <v>0</v>
      </c>
      <c r="AE161" s="9"/>
      <c r="AF161" s="9"/>
      <c r="AH161" s="8"/>
      <c r="AL161" s="3"/>
      <c r="AO161" s="3">
        <v>687.17281788607477</v>
      </c>
    </row>
    <row r="162" spans="2:41" x14ac:dyDescent="0.3">
      <c r="B162" s="222">
        <f t="shared" ca="1" si="31"/>
        <v>138</v>
      </c>
      <c r="C162" s="222"/>
      <c r="D162" s="224" t="s">
        <v>544</v>
      </c>
      <c r="E162" s="222"/>
      <c r="F162" s="222" t="str">
        <f>+INDEX('Exh. BGM-4 (2)'!$10:$10,1,MATCH($D162,'Exh. BGM-4 (2)'!$4:$4,0))</f>
        <v>COVID DEFERRAL</v>
      </c>
      <c r="G162" s="225"/>
      <c r="H162" s="225"/>
      <c r="I162" s="226">
        <v>-249.88827411794034</v>
      </c>
      <c r="J162" s="226"/>
      <c r="K162" s="226">
        <v>-124.94413705897009</v>
      </c>
      <c r="L162" s="226"/>
      <c r="M162" s="226">
        <f t="shared" si="32"/>
        <v>319.14676351739661</v>
      </c>
      <c r="N162" s="225"/>
      <c r="O162" s="222"/>
      <c r="P162" s="226">
        <f t="shared" si="33"/>
        <v>324.70067536874978</v>
      </c>
      <c r="Q162" s="226"/>
      <c r="R162" s="226">
        <f t="shared" si="34"/>
        <v>162.35033768437498</v>
      </c>
      <c r="S162" s="226"/>
      <c r="T162" s="226">
        <f t="shared" si="35"/>
        <v>-414.69400683819276</v>
      </c>
      <c r="U162" s="222"/>
      <c r="V162" s="222"/>
      <c r="W162" s="226">
        <f>+'[21]Lead G'!$K$31/1000</f>
        <v>727.32778416036717</v>
      </c>
      <c r="X162" s="226"/>
      <c r="Y162" s="226">
        <f t="shared" si="36"/>
        <v>574.58894948669013</v>
      </c>
      <c r="Z162" s="226"/>
      <c r="AA162" s="226">
        <f>+'[21]Lead G'!$K$21/1000</f>
        <v>287.29447474334506</v>
      </c>
      <c r="AB162" s="227"/>
      <c r="AC162" s="226">
        <f t="shared" si="37"/>
        <v>-733.84077035558937</v>
      </c>
      <c r="AD162" s="225"/>
      <c r="AE162" s="232" t="s">
        <v>1026</v>
      </c>
      <c r="AF162" s="9"/>
      <c r="AH162" s="8"/>
      <c r="AL162" s="3"/>
      <c r="AO162" s="3">
        <v>318.83225166538256</v>
      </c>
    </row>
    <row r="163" spans="2:41" x14ac:dyDescent="0.3">
      <c r="B163" s="1">
        <f t="shared" ca="1" si="31"/>
        <v>139</v>
      </c>
      <c r="D163" s="11" t="s">
        <v>545</v>
      </c>
      <c r="F163" s="1" t="str">
        <f>+INDEX('Exh. BGM-4 (2)'!$10:$10,1,MATCH($D163,'Exh. BGM-4 (2)'!$4:$4,0))</f>
        <v>ESTIMATED PLANT RETIREMENTS RATE BASE</v>
      </c>
      <c r="I163" s="3">
        <v>0</v>
      </c>
      <c r="J163" s="3"/>
      <c r="K163" s="3">
        <v>0</v>
      </c>
      <c r="L163" s="3"/>
      <c r="M163" s="3">
        <f t="shared" si="32"/>
        <v>0</v>
      </c>
      <c r="P163" s="3">
        <f t="shared" si="33"/>
        <v>0</v>
      </c>
      <c r="Q163" s="3"/>
      <c r="R163" s="3">
        <f t="shared" si="34"/>
        <v>0</v>
      </c>
      <c r="S163" s="3"/>
      <c r="T163" s="3">
        <f t="shared" si="35"/>
        <v>0</v>
      </c>
      <c r="W163" s="3">
        <v>0</v>
      </c>
      <c r="X163" s="3"/>
      <c r="Y163" s="3">
        <f t="shared" si="36"/>
        <v>0</v>
      </c>
      <c r="Z163" s="3"/>
      <c r="AA163" s="3">
        <v>0</v>
      </c>
      <c r="AB163" s="5"/>
      <c r="AC163" s="3">
        <f t="shared" si="37"/>
        <v>0</v>
      </c>
      <c r="AE163" s="9"/>
      <c r="AF163" s="9"/>
      <c r="AH163" s="8"/>
      <c r="AL163" s="3"/>
      <c r="AO163" s="3">
        <v>0</v>
      </c>
    </row>
    <row r="164" spans="2:41" x14ac:dyDescent="0.3">
      <c r="B164" s="1">
        <f t="shared" ca="1" si="31"/>
        <v>140</v>
      </c>
      <c r="D164" s="11" t="s">
        <v>546</v>
      </c>
      <c r="F164" s="1" t="str">
        <f>+INDEX('Exh. BGM-4 (2)'!$10:$10,1,MATCH($D164,'Exh. BGM-4 (2)'!$4:$4,0))</f>
        <v>TEST YEAR PLANT ROLL FORWARD</v>
      </c>
      <c r="I164" s="3">
        <v>-6449.1401849529129</v>
      </c>
      <c r="J164" s="3"/>
      <c r="K164" s="3">
        <v>-84598.856734545465</v>
      </c>
      <c r="L164" s="3"/>
      <c r="M164" s="3">
        <f t="shared" si="32"/>
        <v>474.32700813279149</v>
      </c>
      <c r="P164" s="3">
        <f t="shared" si="33"/>
        <v>-6449.1401849529129</v>
      </c>
      <c r="Q164" s="3"/>
      <c r="R164" s="3">
        <f t="shared" si="34"/>
        <v>-84598.856734545465</v>
      </c>
      <c r="S164" s="3"/>
      <c r="T164" s="3">
        <f t="shared" si="35"/>
        <v>474.32700813279149</v>
      </c>
      <c r="W164" s="3">
        <v>0</v>
      </c>
      <c r="X164" s="3"/>
      <c r="Y164" s="3">
        <f t="shared" si="36"/>
        <v>0</v>
      </c>
      <c r="Z164" s="3"/>
      <c r="AA164" s="3">
        <v>0</v>
      </c>
      <c r="AB164" s="5"/>
      <c r="AC164" s="3">
        <f t="shared" si="37"/>
        <v>0</v>
      </c>
      <c r="AE164" s="9"/>
      <c r="AF164" s="9"/>
      <c r="AH164" s="8"/>
      <c r="AL164" s="3"/>
      <c r="AO164" s="3">
        <v>261.3730933981318</v>
      </c>
    </row>
    <row r="165" spans="2:41" x14ac:dyDescent="0.3">
      <c r="B165" s="1">
        <f t="shared" ca="1" si="31"/>
        <v>141</v>
      </c>
      <c r="D165" s="11" t="s">
        <v>547</v>
      </c>
      <c r="F165" s="1" t="str">
        <f>+INDEX('Exh. BGM-4 (2)'!$10:$10,1,MATCH($D165,'Exh. BGM-4 (2)'!$4:$4,0))</f>
        <v>PROVISIONAL PROFORMA RETIREMENTS DEPRECIATION</v>
      </c>
      <c r="I165" s="3">
        <v>1144.0170830004611</v>
      </c>
      <c r="J165" s="3"/>
      <c r="K165" s="3">
        <v>1405.8619709619988</v>
      </c>
      <c r="L165" s="3"/>
      <c r="M165" s="3">
        <f t="shared" si="32"/>
        <v>-1381.5496019364007</v>
      </c>
      <c r="P165" s="3">
        <f t="shared" si="33"/>
        <v>1144.0170830004611</v>
      </c>
      <c r="Q165" s="3"/>
      <c r="R165" s="3">
        <f t="shared" si="34"/>
        <v>1405.8619709619988</v>
      </c>
      <c r="S165" s="3"/>
      <c r="T165" s="3">
        <f t="shared" si="35"/>
        <v>-1381.5496019364007</v>
      </c>
      <c r="W165" s="3">
        <v>0</v>
      </c>
      <c r="X165" s="3"/>
      <c r="Y165" s="3">
        <f t="shared" si="36"/>
        <v>0</v>
      </c>
      <c r="Z165" s="3"/>
      <c r="AA165" s="3">
        <v>0</v>
      </c>
      <c r="AB165" s="5"/>
      <c r="AC165" s="3">
        <f t="shared" si="37"/>
        <v>0</v>
      </c>
      <c r="AE165" s="9"/>
      <c r="AF165" s="9"/>
      <c r="AH165" s="8"/>
      <c r="AL165" s="3"/>
      <c r="AO165" s="3">
        <v>-1378.0107383884883</v>
      </c>
    </row>
    <row r="166" spans="2:41" x14ac:dyDescent="0.3">
      <c r="B166" s="1">
        <f t="shared" ca="1" si="31"/>
        <v>142</v>
      </c>
      <c r="D166" s="11" t="s">
        <v>548</v>
      </c>
      <c r="F166" s="1" t="str">
        <f>+INDEX('Exh. BGM-4 (2)'!$10:$10,1,MATCH($D166,'Exh. BGM-4 (2)'!$4:$4,0))</f>
        <v>PROGRAMMATIC PROVISIONAL PROFORMA</v>
      </c>
      <c r="I166" s="3">
        <v>-5589.0036045694987</v>
      </c>
      <c r="J166" s="3"/>
      <c r="K166" s="3">
        <v>69476.611107350021</v>
      </c>
      <c r="L166" s="3"/>
      <c r="M166" s="3">
        <f t="shared" si="32"/>
        <v>14031.936370379344</v>
      </c>
      <c r="P166" s="3">
        <f t="shared" si="33"/>
        <v>-5589.0036045694987</v>
      </c>
      <c r="Q166" s="3"/>
      <c r="R166" s="3">
        <f t="shared" si="34"/>
        <v>69476.611107350021</v>
      </c>
      <c r="S166" s="3"/>
      <c r="T166" s="3">
        <f t="shared" si="35"/>
        <v>14031.936370379344</v>
      </c>
      <c r="W166" s="3">
        <v>0</v>
      </c>
      <c r="X166" s="3"/>
      <c r="Y166" s="3">
        <f t="shared" si="36"/>
        <v>0</v>
      </c>
      <c r="Z166" s="3"/>
      <c r="AA166" s="3">
        <v>0</v>
      </c>
      <c r="AB166" s="5"/>
      <c r="AC166" s="3">
        <f t="shared" si="37"/>
        <v>0</v>
      </c>
      <c r="AE166" s="9"/>
      <c r="AF166" s="9"/>
      <c r="AH166" s="8"/>
      <c r="AL166" s="3"/>
      <c r="AO166" s="3">
        <v>14206.824269446734</v>
      </c>
    </row>
    <row r="167" spans="2:41" x14ac:dyDescent="0.3">
      <c r="B167" s="222">
        <f t="shared" ca="1" si="31"/>
        <v>143</v>
      </c>
      <c r="C167" s="222"/>
      <c r="D167" s="224" t="s">
        <v>549</v>
      </c>
      <c r="E167" s="222"/>
      <c r="F167" s="222" t="str">
        <f>+INDEX('Exh. BGM-4 (2)'!$10:$10,1,MATCH($D167,'Exh. BGM-4 (2)'!$4:$4,0))</f>
        <v>CUSTOMER DRIVEN PROGRAMMATIC PROVISIONAL PROFORMA</v>
      </c>
      <c r="G167" s="225"/>
      <c r="H167" s="225"/>
      <c r="I167" s="226">
        <v>-2861.9730213999992</v>
      </c>
      <c r="J167" s="226"/>
      <c r="K167" s="226">
        <v>47073.500800000009</v>
      </c>
      <c r="L167" s="226"/>
      <c r="M167" s="226">
        <f t="shared" si="32"/>
        <v>8282.004235553477</v>
      </c>
      <c r="N167" s="225"/>
      <c r="O167" s="222"/>
      <c r="P167" s="226">
        <f t="shared" si="33"/>
        <v>-1589.3668413096302</v>
      </c>
      <c r="Q167" s="226"/>
      <c r="R167" s="226">
        <f t="shared" si="34"/>
        <v>-6324.7781027579695</v>
      </c>
      <c r="S167" s="226"/>
      <c r="T167" s="226">
        <f t="shared" si="35"/>
        <v>1502.3599835069856</v>
      </c>
      <c r="U167" s="222"/>
      <c r="V167" s="222"/>
      <c r="W167" s="226">
        <f>-'11.32 (Gas Line Ext. Adj.)'!F30</f>
        <v>1610.8938988485684</v>
      </c>
      <c r="X167" s="226"/>
      <c r="Y167" s="226">
        <f t="shared" si="36"/>
        <v>1272.606180090369</v>
      </c>
      <c r="Z167" s="226"/>
      <c r="AA167" s="226">
        <f>+'11.32 (Gas Line Ext. Adj.)'!F23+'11.32 (Gas Line Ext. Adj.)'!F38+'11.32 (Gas Line Ext. Adj.)'!F59</f>
        <v>-53398.278902757978</v>
      </c>
      <c r="AB167" s="227"/>
      <c r="AC167" s="226">
        <f t="shared" si="37"/>
        <v>-6779.6442520464916</v>
      </c>
      <c r="AE167" s="232" t="s">
        <v>1026</v>
      </c>
      <c r="AF167" s="9"/>
      <c r="AH167" s="8"/>
      <c r="AL167" s="3"/>
      <c r="AO167" s="3">
        <v>8400.4985824343094</v>
      </c>
    </row>
    <row r="168" spans="2:41" x14ac:dyDescent="0.3">
      <c r="B168" s="236">
        <f t="shared" ca="1" si="31"/>
        <v>144</v>
      </c>
      <c r="C168" s="237"/>
      <c r="D168" s="238" t="s">
        <v>550</v>
      </c>
      <c r="E168" s="237"/>
      <c r="F168" s="237" t="str">
        <f>+INDEX('Exh. BGM-4 (2)'!$10:$10,1,MATCH($D168,'Exh. BGM-4 (2)'!$4:$4,0))</f>
        <v>SPECIFIC PROVISIONAL PROFORMA</v>
      </c>
      <c r="G168" s="239"/>
      <c r="H168" s="239"/>
      <c r="I168" s="13">
        <v>544.03109840000002</v>
      </c>
      <c r="J168" s="13"/>
      <c r="K168" s="13">
        <v>-2672.892921616</v>
      </c>
      <c r="L168" s="13"/>
      <c r="M168" s="13">
        <f t="shared" si="32"/>
        <v>-975.72656734205702</v>
      </c>
      <c r="N168" s="239"/>
      <c r="O168" s="237"/>
      <c r="P168" s="13">
        <f t="shared" si="33"/>
        <v>544.03109840000002</v>
      </c>
      <c r="Q168" s="13"/>
      <c r="R168" s="13">
        <f t="shared" si="34"/>
        <v>-2672.892921616</v>
      </c>
      <c r="S168" s="13"/>
      <c r="T168" s="13">
        <f t="shared" si="35"/>
        <v>-975.72656734205702</v>
      </c>
      <c r="U168" s="237"/>
      <c r="V168" s="237"/>
      <c r="W168" s="13">
        <v>0</v>
      </c>
      <c r="X168" s="13"/>
      <c r="Y168" s="13">
        <f t="shared" si="36"/>
        <v>0</v>
      </c>
      <c r="Z168" s="13"/>
      <c r="AA168" s="13">
        <v>0</v>
      </c>
      <c r="AB168" s="240"/>
      <c r="AC168" s="13">
        <f t="shared" si="37"/>
        <v>0</v>
      </c>
      <c r="AD168" s="239"/>
      <c r="AE168" s="241" t="s">
        <v>1026</v>
      </c>
      <c r="AF168" s="9"/>
      <c r="AH168" s="8"/>
      <c r="AL168" s="3"/>
      <c r="AO168" s="3">
        <v>-982.45482624880242</v>
      </c>
    </row>
    <row r="169" spans="2:41" x14ac:dyDescent="0.3">
      <c r="B169" s="242">
        <f t="shared" ca="1" si="31"/>
        <v>145</v>
      </c>
      <c r="C169" s="243"/>
      <c r="D169" s="274" t="s">
        <v>550</v>
      </c>
      <c r="E169" s="243"/>
      <c r="F169" s="243" t="s">
        <v>1028</v>
      </c>
      <c r="G169" s="244"/>
      <c r="H169" s="244"/>
      <c r="I169" s="245">
        <v>0</v>
      </c>
      <c r="J169" s="245"/>
      <c r="K169" s="245">
        <v>0</v>
      </c>
      <c r="L169" s="245"/>
      <c r="M169" s="245">
        <f t="shared" si="32"/>
        <v>0</v>
      </c>
      <c r="N169" s="244"/>
      <c r="O169" s="243"/>
      <c r="P169" s="245">
        <f t="shared" ref="P169" si="38">+I169+Y169</f>
        <v>-557.16424800000016</v>
      </c>
      <c r="Q169" s="245"/>
      <c r="R169" s="245">
        <f t="shared" ref="R169" si="39">+K169+AA169</f>
        <v>-2317.4634451866568</v>
      </c>
      <c r="S169" s="245"/>
      <c r="T169" s="245">
        <f t="shared" si="35"/>
        <v>517.09904987746552</v>
      </c>
      <c r="U169" s="243"/>
      <c r="V169" s="243"/>
      <c r="W169" s="245">
        <f>-'11.33 (Tacoma LNG)'!F38</f>
        <v>-705.27120000000014</v>
      </c>
      <c r="X169" s="245"/>
      <c r="Y169" s="245">
        <f t="shared" ref="Y169" si="40">+W169*(1-$AJ$5)</f>
        <v>-557.16424800000016</v>
      </c>
      <c r="Z169" s="245"/>
      <c r="AA169" s="245">
        <f>+'11.33 (Tacoma LNG)'!F31+'11.33 (Tacoma LNG)'!F46+'11.33 (Tacoma LNG)'!F67</f>
        <v>-2317.4634451866568</v>
      </c>
      <c r="AB169" s="246"/>
      <c r="AC169" s="245">
        <f t="shared" ref="AC169" si="41">+T169-M169</f>
        <v>517.09904987746552</v>
      </c>
      <c r="AD169" s="244"/>
      <c r="AE169" s="247" t="s">
        <v>1026</v>
      </c>
      <c r="AF169" s="9"/>
      <c r="AH169" s="8"/>
      <c r="AL169" s="3"/>
      <c r="AO169" s="3">
        <v>-982.45482624880242</v>
      </c>
    </row>
    <row r="170" spans="2:41" x14ac:dyDescent="0.3">
      <c r="B170" s="1">
        <f t="shared" ca="1" si="31"/>
        <v>146</v>
      </c>
      <c r="D170" s="11" t="s">
        <v>551</v>
      </c>
      <c r="F170" s="1" t="str">
        <f>+INDEX('Exh. BGM-4 (2)'!$10:$10,1,MATCH($D170,'Exh. BGM-4 (2)'!$4:$4,0))</f>
        <v>PROJECTED PROVISIONAL PROFORMA</v>
      </c>
      <c r="I170" s="3">
        <v>-3755.1191824351604</v>
      </c>
      <c r="J170" s="3"/>
      <c r="K170" s="3">
        <v>14495.451993672004</v>
      </c>
      <c r="L170" s="3"/>
      <c r="M170" s="3">
        <f t="shared" si="32"/>
        <v>6357.6912669426038</v>
      </c>
      <c r="P170" s="3">
        <f t="shared" si="33"/>
        <v>-3755.1191824351604</v>
      </c>
      <c r="Q170" s="3"/>
      <c r="R170" s="3">
        <f t="shared" si="34"/>
        <v>14495.451993672004</v>
      </c>
      <c r="S170" s="3"/>
      <c r="T170" s="3">
        <f t="shared" si="35"/>
        <v>6357.6912669426038</v>
      </c>
      <c r="W170" s="3">
        <v>0</v>
      </c>
      <c r="X170" s="3"/>
      <c r="Y170" s="3">
        <f t="shared" si="36"/>
        <v>0</v>
      </c>
      <c r="Z170" s="3"/>
      <c r="AA170" s="3">
        <v>0</v>
      </c>
      <c r="AB170" s="5"/>
      <c r="AC170" s="3">
        <f t="shared" si="37"/>
        <v>0</v>
      </c>
      <c r="AE170" s="9"/>
      <c r="AF170" s="9"/>
      <c r="AH170" s="8"/>
      <c r="AL170" s="3"/>
      <c r="AO170" s="3">
        <v>6394.1795052835396</v>
      </c>
    </row>
    <row r="171" spans="2:41" x14ac:dyDescent="0.3">
      <c r="B171" s="222">
        <f t="shared" ca="1" si="31"/>
        <v>147</v>
      </c>
      <c r="C171" s="222"/>
      <c r="D171" s="224" t="s">
        <v>552</v>
      </c>
      <c r="E171" s="222"/>
      <c r="F171" s="222" t="str">
        <f>+INDEX('Exh. BGM-4 (2)'!$10:$10,1,MATCH($D171,'Exh. BGM-4 (2)'!$4:$4,0))</f>
        <v>TACOMA LNG UPGRADE PLANT AND DEFERRAL</v>
      </c>
      <c r="G171" s="225"/>
      <c r="H171" s="225"/>
      <c r="I171" s="226">
        <v>-1658.7403896547803</v>
      </c>
      <c r="J171" s="226"/>
      <c r="K171" s="226">
        <v>1059.7245648247197</v>
      </c>
      <c r="L171" s="226"/>
      <c r="M171" s="226">
        <f t="shared" si="32"/>
        <v>2298.6728400229467</v>
      </c>
      <c r="N171" s="225"/>
      <c r="O171" s="222"/>
      <c r="P171" s="226">
        <f t="shared" si="33"/>
        <v>0</v>
      </c>
      <c r="Q171" s="226"/>
      <c r="R171" s="226">
        <f t="shared" si="34"/>
        <v>0</v>
      </c>
      <c r="S171" s="226"/>
      <c r="T171" s="226">
        <f t="shared" si="35"/>
        <v>0</v>
      </c>
      <c r="U171" s="222"/>
      <c r="V171" s="222"/>
      <c r="W171" s="226">
        <f>-I171/(1-0.21)</f>
        <v>2099.6713793098484</v>
      </c>
      <c r="X171" s="226"/>
      <c r="Y171" s="226">
        <f t="shared" si="36"/>
        <v>1658.7403896547803</v>
      </c>
      <c r="Z171" s="226"/>
      <c r="AA171" s="226">
        <f>-K171</f>
        <v>-1059.7245648247197</v>
      </c>
      <c r="AB171" s="227"/>
      <c r="AC171" s="226">
        <f t="shared" si="37"/>
        <v>-2298.6728400229467</v>
      </c>
      <c r="AD171" s="225"/>
      <c r="AE171" s="232" t="s">
        <v>1026</v>
      </c>
      <c r="AF171" s="9"/>
      <c r="AH171" s="8"/>
      <c r="AL171" s="3"/>
      <c r="AO171" s="3">
        <v>2301.3403996488173</v>
      </c>
    </row>
    <row r="172" spans="2:41" x14ac:dyDescent="0.3">
      <c r="B172" s="1">
        <f t="shared" ca="1" si="31"/>
        <v>148</v>
      </c>
      <c r="D172" s="11" t="s">
        <v>553</v>
      </c>
      <c r="F172" s="1" t="str">
        <f>+INDEX('Exh. BGM-4 (2)'!$10:$10,1,MATCH($D172,'Exh. BGM-4 (2)'!$4:$4,0))</f>
        <v>REGULATORY ASSETS &amp; LIAB</v>
      </c>
      <c r="I172" s="3">
        <v>1152.993689038258</v>
      </c>
      <c r="J172" s="3"/>
      <c r="K172" s="3">
        <v>-1675.0688795508227</v>
      </c>
      <c r="L172" s="3"/>
      <c r="M172" s="3">
        <f t="shared" si="32"/>
        <v>-1687.3303670317305</v>
      </c>
      <c r="P172" s="3">
        <f t="shared" si="33"/>
        <v>1152.993689038258</v>
      </c>
      <c r="Q172" s="3"/>
      <c r="R172" s="3">
        <f t="shared" si="34"/>
        <v>-1675.0688795508227</v>
      </c>
      <c r="S172" s="3"/>
      <c r="T172" s="3">
        <f t="shared" si="35"/>
        <v>-1687.3303670317305</v>
      </c>
      <c r="W172" s="3">
        <v>0</v>
      </c>
      <c r="X172" s="3"/>
      <c r="Y172" s="3">
        <f t="shared" si="36"/>
        <v>0</v>
      </c>
      <c r="Z172" s="3"/>
      <c r="AA172" s="3">
        <v>0</v>
      </c>
      <c r="AB172" s="5"/>
      <c r="AC172" s="3">
        <f t="shared" si="37"/>
        <v>0</v>
      </c>
      <c r="AE172" s="9"/>
      <c r="AF172" s="9"/>
      <c r="AH172" s="8"/>
      <c r="AL172" s="3"/>
      <c r="AO172" s="3">
        <v>-1691.5468835322999</v>
      </c>
    </row>
    <row r="173" spans="2:41" x14ac:dyDescent="0.3">
      <c r="B173" s="222">
        <f t="shared" ca="1" si="31"/>
        <v>149</v>
      </c>
      <c r="C173" s="222"/>
      <c r="D173" s="224" t="s">
        <v>554</v>
      </c>
      <c r="E173" s="222"/>
      <c r="F173" s="222" t="str">
        <f>+INDEX('Exh. BGM-4 (2)'!$10:$10,1,MATCH($D173,'Exh. BGM-4 (2)'!$4:$4,0))</f>
        <v>TACOMA LNG PLANT DEFERRAL</v>
      </c>
      <c r="G173" s="225"/>
      <c r="H173" s="225"/>
      <c r="I173" s="226">
        <v>-6106.3588464405184</v>
      </c>
      <c r="J173" s="226"/>
      <c r="K173" s="226">
        <v>7336.1579226403519</v>
      </c>
      <c r="L173" s="226"/>
      <c r="M173" s="226">
        <f t="shared" si="32"/>
        <v>8789.8164110416164</v>
      </c>
      <c r="N173" s="225"/>
      <c r="O173" s="222"/>
      <c r="P173" s="226">
        <f t="shared" si="33"/>
        <v>0</v>
      </c>
      <c r="Q173" s="226"/>
      <c r="R173" s="226">
        <f t="shared" si="34"/>
        <v>0</v>
      </c>
      <c r="S173" s="226"/>
      <c r="T173" s="226">
        <f t="shared" si="35"/>
        <v>0</v>
      </c>
      <c r="U173" s="222"/>
      <c r="V173" s="222"/>
      <c r="W173" s="226">
        <f>-I173/(1-0.21)</f>
        <v>7729.5681600512889</v>
      </c>
      <c r="X173" s="226"/>
      <c r="Y173" s="226">
        <f t="shared" ref="Y173" si="42">+W173*(1-$AJ$5)</f>
        <v>6106.3588464405184</v>
      </c>
      <c r="Z173" s="226"/>
      <c r="AA173" s="226">
        <f>-K173</f>
        <v>-7336.1579226403519</v>
      </c>
      <c r="AB173" s="227"/>
      <c r="AC173" s="226">
        <f t="shared" ref="AC173" si="43">+T173-M173</f>
        <v>-8789.8164110416164</v>
      </c>
      <c r="AD173" s="225"/>
      <c r="AE173" s="232" t="s">
        <v>1026</v>
      </c>
      <c r="AF173" s="9"/>
      <c r="AH173" s="8"/>
      <c r="AL173" s="3"/>
      <c r="AO173" s="3">
        <v>8808.2831328040629</v>
      </c>
    </row>
    <row r="174" spans="2:41" x14ac:dyDescent="0.3">
      <c r="B174" s="222">
        <f t="shared" ca="1" si="31"/>
        <v>150</v>
      </c>
      <c r="C174" s="223"/>
      <c r="D174" s="224" t="s">
        <v>1023</v>
      </c>
      <c r="E174" s="223"/>
      <c r="F174" s="222" t="str">
        <f>+INDEX('Exh. BGM-4 (2)'!$10:$10,1,MATCH($D174,'Exh. BGM-4 (2)'!$4:$4,0))</f>
        <v>CAPITAL PRIORITIZATION</v>
      </c>
      <c r="G174" s="225"/>
      <c r="H174" s="225"/>
      <c r="I174" s="226">
        <v>0</v>
      </c>
      <c r="J174" s="226"/>
      <c r="K174" s="226">
        <v>0</v>
      </c>
      <c r="L174" s="226"/>
      <c r="M174" s="226">
        <f t="shared" si="32"/>
        <v>0</v>
      </c>
      <c r="N174" s="225"/>
      <c r="O174" s="222"/>
      <c r="P174" s="226">
        <f t="shared" si="33"/>
        <v>1275.4706240246119</v>
      </c>
      <c r="Q174" s="226"/>
      <c r="R174" s="226">
        <f t="shared" si="34"/>
        <v>-48340.874436111306</v>
      </c>
      <c r="S174" s="226"/>
      <c r="T174" s="226">
        <f t="shared" si="35"/>
        <v>-6301.0165373716072</v>
      </c>
      <c r="U174" s="222"/>
      <c r="V174" s="222"/>
      <c r="W174" s="226">
        <f>-'Exh. BGM-4 (2)'!EW35/1000</f>
        <v>1614.5197772463441</v>
      </c>
      <c r="X174" s="226"/>
      <c r="Y174" s="226">
        <f t="shared" si="36"/>
        <v>1275.4706240246119</v>
      </c>
      <c r="Z174" s="226"/>
      <c r="AA174" s="226">
        <f>+'Exh. BGM-4 (2)'!EW57/1000</f>
        <v>-48340.874436111306</v>
      </c>
      <c r="AB174" s="227"/>
      <c r="AC174" s="226">
        <f t="shared" si="37"/>
        <v>-6301.0165373716072</v>
      </c>
      <c r="AD174" s="178"/>
      <c r="AE174" s="307" t="s">
        <v>1025</v>
      </c>
      <c r="AF174" s="180"/>
      <c r="AH174" s="8"/>
      <c r="AL174" s="3"/>
      <c r="AO174" s="179"/>
    </row>
    <row r="175" spans="2:41" x14ac:dyDescent="0.3">
      <c r="B175" s="222">
        <f t="shared" ca="1" si="31"/>
        <v>151</v>
      </c>
      <c r="C175" s="223"/>
      <c r="D175" s="224" t="s">
        <v>1048</v>
      </c>
      <c r="E175" s="223"/>
      <c r="F175" s="222" t="str">
        <f>+INDEX('Exh. BGM-4 (2)'!$10:$10,1,MATCH($D175,'Exh. BGM-4 (2)'!$4:$4,0))</f>
        <v>DIRECTORS' FEES</v>
      </c>
      <c r="G175" s="225"/>
      <c r="H175" s="225"/>
      <c r="I175" s="226">
        <v>0</v>
      </c>
      <c r="J175" s="226"/>
      <c r="K175" s="226">
        <v>0</v>
      </c>
      <c r="L175" s="226"/>
      <c r="M175" s="226">
        <f t="shared" si="32"/>
        <v>0</v>
      </c>
      <c r="N175" s="225"/>
      <c r="O175" s="222"/>
      <c r="P175" s="226">
        <f t="shared" ref="P175" si="44">+I175+Y175</f>
        <v>203.25027437172733</v>
      </c>
      <c r="Q175" s="226"/>
      <c r="R175" s="226">
        <f t="shared" ref="R175" si="45">+K175+AA175</f>
        <v>0</v>
      </c>
      <c r="S175" s="226"/>
      <c r="T175" s="226">
        <f t="shared" si="35"/>
        <v>-269.27663632100024</v>
      </c>
      <c r="U175" s="222"/>
      <c r="V175" s="222"/>
      <c r="W175" s="226">
        <f>-'A2 (Dir. Fees)'!X16/1000</f>
        <v>257.27882831864218</v>
      </c>
      <c r="X175" s="226"/>
      <c r="Y175" s="226">
        <f t="shared" ref="Y175" si="46">+W175*(1-$AJ$5)</f>
        <v>203.25027437172733</v>
      </c>
      <c r="Z175" s="226"/>
      <c r="AA175" s="226">
        <v>0</v>
      </c>
      <c r="AB175" s="227"/>
      <c r="AC175" s="226">
        <f t="shared" ref="AC175" si="47">+T175-M175</f>
        <v>-269.27663632100024</v>
      </c>
      <c r="AD175" s="178"/>
      <c r="AE175" s="307" t="s">
        <v>1025</v>
      </c>
      <c r="AF175" s="180"/>
      <c r="AH175" s="8"/>
      <c r="AL175" s="3"/>
      <c r="AO175" s="179"/>
    </row>
    <row r="176" spans="2:41" x14ac:dyDescent="0.3">
      <c r="C176" s="7"/>
      <c r="D176" s="11"/>
      <c r="E176" s="7"/>
      <c r="I176" s="6"/>
      <c r="J176" s="6"/>
      <c r="K176" s="6"/>
      <c r="L176" s="6"/>
      <c r="M176" s="6"/>
      <c r="O176" s="7"/>
      <c r="P176" s="6"/>
      <c r="Q176" s="6"/>
      <c r="R176" s="6"/>
      <c r="S176" s="6"/>
      <c r="T176" s="6"/>
      <c r="W176" s="6"/>
      <c r="X176" s="1"/>
      <c r="Y176" s="6"/>
      <c r="Z176" s="6"/>
      <c r="AA176" s="6"/>
      <c r="AB176" s="6"/>
      <c r="AC176" s="3"/>
      <c r="AE176" s="9"/>
      <c r="AF176" s="9"/>
      <c r="AH176" s="8"/>
      <c r="AL176" s="3"/>
      <c r="AO176" s="6"/>
    </row>
    <row r="177" spans="2:42" x14ac:dyDescent="0.3">
      <c r="C177" s="7"/>
      <c r="D177" s="11"/>
      <c r="E177" s="7"/>
      <c r="I177" s="14"/>
      <c r="J177" s="6"/>
      <c r="K177" s="14"/>
      <c r="L177" s="6"/>
      <c r="M177" s="14"/>
      <c r="O177" s="7"/>
      <c r="P177" s="14"/>
      <c r="Q177" s="6"/>
      <c r="R177" s="14"/>
      <c r="S177" s="6"/>
      <c r="T177" s="14"/>
      <c r="W177" s="14"/>
      <c r="X177" s="1"/>
      <c r="Y177" s="14"/>
      <c r="Z177" s="6"/>
      <c r="AA177" s="14"/>
      <c r="AB177" s="6"/>
      <c r="AC177" s="13"/>
      <c r="AE177" s="9"/>
      <c r="AF177" s="9"/>
      <c r="AH177" s="8"/>
      <c r="AL177" s="3"/>
      <c r="AO177" s="14"/>
    </row>
    <row r="178" spans="2:42" ht="13.5" thickBot="1" x14ac:dyDescent="0.35">
      <c r="B178" s="1">
        <f t="shared" ref="B178" ca="1" si="48">+MAX(OFFSET($B$7,0,0,ROW($B178)-ROW($B$7),1))+1</f>
        <v>152</v>
      </c>
      <c r="D178" s="11"/>
      <c r="F178" s="7" t="s">
        <v>393</v>
      </c>
      <c r="I178" s="12">
        <f>+SUM(I132:I177)</f>
        <v>94107.923137343736</v>
      </c>
      <c r="J178" s="3"/>
      <c r="K178" s="12">
        <f>+SUM(K132:K177)</f>
        <v>2963664.294494709</v>
      </c>
      <c r="L178" s="3"/>
      <c r="M178" s="12">
        <f>+($K178*$AL$16-$I178)/$AJ$4</f>
        <v>158022.98362916228</v>
      </c>
      <c r="P178" s="12">
        <f>+SUM(P132:P177)</f>
        <v>133034.48470183962</v>
      </c>
      <c r="Q178" s="3"/>
      <c r="R178" s="12">
        <f>+SUM(R132:R177)</f>
        <v>2526756.0658751857</v>
      </c>
      <c r="S178" s="3"/>
      <c r="T178" s="12">
        <f>+($R178*$AL$16-$P178)/$AJ$4</f>
        <v>64774.62541938042</v>
      </c>
      <c r="W178" s="12">
        <f>+SUM(W132:W177)</f>
        <v>52224.088678420689</v>
      </c>
      <c r="X178" s="5"/>
      <c r="Y178" s="12">
        <f>+SUM(Y132:Y177)</f>
        <v>38926.561564495802</v>
      </c>
      <c r="Z178" s="3"/>
      <c r="AA178" s="12">
        <f>+SUM(AA132:AA177)</f>
        <v>-436908.22861952399</v>
      </c>
      <c r="AB178" s="3"/>
      <c r="AC178" s="12">
        <f>+SUM(AC132:AC177)</f>
        <v>-93248.358209781814</v>
      </c>
      <c r="AE178" s="9"/>
      <c r="AF178" s="9"/>
      <c r="AH178" s="8"/>
      <c r="AL178" s="3"/>
      <c r="AO178" s="12">
        <v>165483.17798441605</v>
      </c>
      <c r="AP178" s="3">
        <f>+M178-AO178</f>
        <v>-7460.1943552537705</v>
      </c>
    </row>
    <row r="179" spans="2:42" ht="13.5" thickTop="1" x14ac:dyDescent="0.3">
      <c r="D179" s="11"/>
      <c r="F179" s="7"/>
      <c r="I179" s="134"/>
      <c r="J179" s="3"/>
      <c r="K179" s="134"/>
      <c r="L179" s="3"/>
      <c r="M179" s="134"/>
      <c r="P179" s="134"/>
      <c r="Q179" s="3"/>
      <c r="R179" s="134"/>
      <c r="S179" s="202" t="s">
        <v>671</v>
      </c>
      <c r="T179" s="202">
        <f>+T178-'Exh. BGM-4 (2)'!FA70/1000</f>
        <v>8.7311491370201111E-11</v>
      </c>
      <c r="W179" s="134"/>
      <c r="X179" s="5"/>
      <c r="Y179" s="134"/>
      <c r="Z179" s="3"/>
      <c r="AA179" s="134"/>
      <c r="AB179" s="3"/>
      <c r="AC179" s="134"/>
      <c r="AE179" s="9"/>
      <c r="AF179" s="9"/>
      <c r="AH179" s="8"/>
      <c r="AL179" s="3"/>
      <c r="AO179" s="134"/>
    </row>
    <row r="180" spans="2:42" x14ac:dyDescent="0.3">
      <c r="D180" s="11"/>
      <c r="F180" s="7"/>
      <c r="I180" s="134"/>
      <c r="J180" s="3"/>
      <c r="K180" s="134"/>
      <c r="L180" s="3"/>
      <c r="M180" s="134"/>
      <c r="P180" s="134"/>
      <c r="Q180" s="3"/>
      <c r="R180" s="134"/>
      <c r="S180" s="3"/>
      <c r="T180" s="134"/>
      <c r="W180" s="134"/>
      <c r="X180" s="5"/>
      <c r="Y180" s="134"/>
      <c r="Z180" s="3"/>
      <c r="AA180" s="134"/>
      <c r="AB180" s="3"/>
      <c r="AC180" s="134"/>
      <c r="AE180" s="9"/>
      <c r="AF180" s="9"/>
      <c r="AH180" s="8"/>
      <c r="AL180" s="3"/>
      <c r="AO180" s="134"/>
    </row>
    <row r="181" spans="2:42" x14ac:dyDescent="0.3">
      <c r="B181" s="15" t="s">
        <v>405</v>
      </c>
      <c r="D181" s="11"/>
      <c r="F181" s="7"/>
      <c r="I181" s="134"/>
      <c r="J181" s="3"/>
      <c r="K181" s="134"/>
      <c r="L181" s="3"/>
      <c r="M181" s="134"/>
      <c r="P181" s="134"/>
      <c r="Q181" s="3"/>
      <c r="R181" s="134"/>
      <c r="S181" s="3"/>
      <c r="T181" s="134"/>
      <c r="W181" s="134"/>
      <c r="X181" s="5"/>
      <c r="Y181" s="134"/>
      <c r="Z181" s="3"/>
      <c r="AA181" s="134"/>
      <c r="AB181" s="3"/>
      <c r="AC181" s="134"/>
      <c r="AE181" s="9"/>
      <c r="AF181" s="9"/>
      <c r="AH181" s="8"/>
      <c r="AL181" s="3"/>
      <c r="AO181" s="134"/>
    </row>
    <row r="182" spans="2:42" x14ac:dyDescent="0.3">
      <c r="B182" s="1">
        <f t="shared" ref="B182:B221" ca="1" si="49">+MAX(OFFSET($B$7,0,0,ROW($B182)-ROW($B$7),1))+1</f>
        <v>153</v>
      </c>
      <c r="D182" s="11" t="s">
        <v>555</v>
      </c>
      <c r="F182" s="1" t="str">
        <f>+INDEX('Exh. BGM-4 (2)'!$10:$10,1,MATCH($D182,'Exh. BGM-4 (2)'!$4:$4,0))</f>
        <v>REVENUES AND EXPENSES</v>
      </c>
      <c r="I182" s="3">
        <v>3086.0056546553428</v>
      </c>
      <c r="J182" s="3"/>
      <c r="K182" s="3">
        <v>0</v>
      </c>
      <c r="L182" s="3"/>
      <c r="M182" s="3">
        <f t="shared" ref="M182:M221" si="50">+($K182*$AL$16-$I182)/$AJ$4</f>
        <v>-4088.5023398953399</v>
      </c>
      <c r="P182" s="3">
        <f t="shared" ref="P182:P221" si="51">+I182+Y182</f>
        <v>3086.0056546553428</v>
      </c>
      <c r="Q182" s="3"/>
      <c r="R182" s="3">
        <f t="shared" ref="R182:R221" si="52">+K182+AA182</f>
        <v>0</v>
      </c>
      <c r="S182" s="3"/>
      <c r="T182" s="3">
        <f t="shared" ref="T182:T221" si="53">+($R182*$AL$16-$P182)/$AJ$4</f>
        <v>-4088.5023398953399</v>
      </c>
      <c r="W182" s="3">
        <v>0</v>
      </c>
      <c r="X182" s="3"/>
      <c r="Y182" s="3">
        <f t="shared" ref="Y182:Y221" si="54">+W182*(1-$AJ$5)</f>
        <v>0</v>
      </c>
      <c r="Z182" s="3"/>
      <c r="AA182" s="3">
        <v>0</v>
      </c>
      <c r="AB182" s="5"/>
      <c r="AC182" s="3">
        <f t="shared" ref="AC182:AC221" si="55">+T182-M182</f>
        <v>0</v>
      </c>
      <c r="AE182" s="9"/>
      <c r="AF182" s="9"/>
      <c r="AH182" s="8"/>
      <c r="AL182" s="3"/>
      <c r="AO182" s="3">
        <v>-4088.5023398953399</v>
      </c>
    </row>
    <row r="183" spans="2:42" x14ac:dyDescent="0.3">
      <c r="B183" s="1">
        <f t="shared" ca="1" si="49"/>
        <v>154</v>
      </c>
      <c r="D183" s="11" t="s">
        <v>556</v>
      </c>
      <c r="F183" s="1" t="str">
        <f>+INDEX('Exh. BGM-4 (2)'!$10:$10,1,MATCH($D183,'Exh. BGM-4 (2)'!$4:$4,0))</f>
        <v>PASS-THROUGH REVENUE &amp; EXPENSE</v>
      </c>
      <c r="I183" s="3">
        <v>0</v>
      </c>
      <c r="J183" s="3"/>
      <c r="K183" s="3">
        <v>0</v>
      </c>
      <c r="L183" s="3"/>
      <c r="M183" s="3">
        <f t="shared" si="50"/>
        <v>0</v>
      </c>
      <c r="P183" s="3">
        <f t="shared" si="51"/>
        <v>0</v>
      </c>
      <c r="Q183" s="3"/>
      <c r="R183" s="3">
        <f t="shared" si="52"/>
        <v>0</v>
      </c>
      <c r="S183" s="3"/>
      <c r="T183" s="3">
        <f t="shared" si="53"/>
        <v>0</v>
      </c>
      <c r="W183" s="3">
        <v>0</v>
      </c>
      <c r="X183" s="3"/>
      <c r="Y183" s="3">
        <f t="shared" si="54"/>
        <v>0</v>
      </c>
      <c r="Z183" s="3"/>
      <c r="AA183" s="3">
        <v>0</v>
      </c>
      <c r="AB183" s="5"/>
      <c r="AC183" s="3">
        <f t="shared" si="55"/>
        <v>0</v>
      </c>
      <c r="AE183" s="9"/>
      <c r="AF183" s="9"/>
      <c r="AH183" s="8"/>
      <c r="AL183" s="3"/>
      <c r="AO183" s="3">
        <v>0</v>
      </c>
    </row>
    <row r="184" spans="2:42" x14ac:dyDescent="0.3">
      <c r="B184" s="1">
        <f t="shared" ca="1" si="49"/>
        <v>155</v>
      </c>
      <c r="D184" s="11" t="s">
        <v>557</v>
      </c>
      <c r="F184" s="1" t="str">
        <f>+INDEX('Exh. BGM-4 (2)'!$10:$10,1,MATCH($D184,'Exh. BGM-4 (2)'!$4:$4,0))</f>
        <v>TEMPERATURE NORMALIZATION</v>
      </c>
      <c r="I184" s="3">
        <v>0</v>
      </c>
      <c r="J184" s="3"/>
      <c r="K184" s="3">
        <v>0</v>
      </c>
      <c r="L184" s="3"/>
      <c r="M184" s="3">
        <f t="shared" si="50"/>
        <v>0</v>
      </c>
      <c r="P184" s="3">
        <f t="shared" si="51"/>
        <v>0</v>
      </c>
      <c r="Q184" s="3"/>
      <c r="R184" s="3">
        <f t="shared" si="52"/>
        <v>0</v>
      </c>
      <c r="S184" s="3"/>
      <c r="T184" s="3">
        <f t="shared" si="53"/>
        <v>0</v>
      </c>
      <c r="W184" s="3">
        <v>0</v>
      </c>
      <c r="X184" s="3"/>
      <c r="Y184" s="3">
        <f t="shared" si="54"/>
        <v>0</v>
      </c>
      <c r="Z184" s="3"/>
      <c r="AA184" s="3">
        <v>0</v>
      </c>
      <c r="AB184" s="5"/>
      <c r="AC184" s="3">
        <f t="shared" si="55"/>
        <v>0</v>
      </c>
      <c r="AE184" s="9"/>
      <c r="AF184" s="9"/>
      <c r="AH184" s="8"/>
      <c r="AI184" s="1"/>
      <c r="AO184" s="3">
        <v>0</v>
      </c>
    </row>
    <row r="185" spans="2:42" x14ac:dyDescent="0.3">
      <c r="B185" s="1">
        <f t="shared" ca="1" si="49"/>
        <v>156</v>
      </c>
      <c r="D185" s="11" t="s">
        <v>558</v>
      </c>
      <c r="F185" s="1" t="str">
        <f>+INDEX('Exh. BGM-4 (2)'!$10:$10,1,MATCH($D185,'Exh. BGM-4 (2)'!$4:$4,0))</f>
        <v>FEDERAL INCOME TAX</v>
      </c>
      <c r="I185" s="3">
        <v>527.8425177180028</v>
      </c>
      <c r="J185" s="3"/>
      <c r="K185" s="3">
        <v>6797.6050150674582</v>
      </c>
      <c r="L185" s="3"/>
      <c r="M185" s="3">
        <f t="shared" si="50"/>
        <v>-50.894151747474787</v>
      </c>
      <c r="P185" s="3">
        <f t="shared" si="51"/>
        <v>527.8425177180028</v>
      </c>
      <c r="Q185" s="3"/>
      <c r="R185" s="3">
        <f t="shared" si="52"/>
        <v>6797.6050150674582</v>
      </c>
      <c r="S185" s="3"/>
      <c r="T185" s="3">
        <f t="shared" si="53"/>
        <v>-50.894151747474787</v>
      </c>
      <c r="W185" s="3">
        <v>0</v>
      </c>
      <c r="X185" s="3"/>
      <c r="Y185" s="3">
        <f t="shared" si="54"/>
        <v>0</v>
      </c>
      <c r="Z185" s="3"/>
      <c r="AA185" s="3">
        <v>0</v>
      </c>
      <c r="AB185" s="5"/>
      <c r="AC185" s="3">
        <f t="shared" si="55"/>
        <v>0</v>
      </c>
      <c r="AE185" s="9"/>
      <c r="AF185" s="9"/>
      <c r="AH185" s="8"/>
      <c r="AO185" s="3">
        <v>-33.783086011435735</v>
      </c>
    </row>
    <row r="186" spans="2:42" x14ac:dyDescent="0.3">
      <c r="B186" s="222">
        <f t="shared" ca="1" si="49"/>
        <v>157</v>
      </c>
      <c r="C186" s="222"/>
      <c r="D186" s="224" t="s">
        <v>559</v>
      </c>
      <c r="E186" s="222"/>
      <c r="F186" s="222" t="str">
        <f>+INDEX('Exh. BGM-4 (2)'!$10:$10,1,MATCH($D186,'Exh. BGM-4 (2)'!$4:$4,0))</f>
        <v>TAX BENEFIT OF INTEREST</v>
      </c>
      <c r="G186" s="225"/>
      <c r="H186" s="225"/>
      <c r="I186" s="226">
        <v>904.67236444030164</v>
      </c>
      <c r="J186" s="226"/>
      <c r="K186" s="226">
        <v>0</v>
      </c>
      <c r="L186" s="226"/>
      <c r="M186" s="226">
        <f t="shared" si="50"/>
        <v>-1198.5574534748914</v>
      </c>
      <c r="N186" s="225"/>
      <c r="O186" s="222"/>
      <c r="P186" s="226">
        <f t="shared" si="51"/>
        <v>424.22683839822128</v>
      </c>
      <c r="Q186" s="226"/>
      <c r="R186" s="226">
        <f t="shared" si="52"/>
        <v>0</v>
      </c>
      <c r="S186" s="226"/>
      <c r="T186" s="226">
        <f t="shared" si="53"/>
        <v>-562.037991998184</v>
      </c>
      <c r="U186" s="222"/>
      <c r="V186" s="222"/>
      <c r="W186" s="226">
        <v>0</v>
      </c>
      <c r="X186" s="226"/>
      <c r="Y186" s="226">
        <f>+SUM(AA187:AA221)*$AL$14*$AJ$5</f>
        <v>-480.44552604208036</v>
      </c>
      <c r="Z186" s="226"/>
      <c r="AA186" s="226">
        <v>0</v>
      </c>
      <c r="AB186" s="227"/>
      <c r="AC186" s="226">
        <f t="shared" si="55"/>
        <v>636.51946147670742</v>
      </c>
      <c r="AD186" s="225"/>
      <c r="AE186" s="232" t="s">
        <v>1065</v>
      </c>
      <c r="AF186" s="9"/>
      <c r="AH186" s="8"/>
      <c r="AL186" s="3"/>
      <c r="AO186" s="3">
        <v>-1198.5574534748914</v>
      </c>
    </row>
    <row r="187" spans="2:42" x14ac:dyDescent="0.3">
      <c r="B187" s="1">
        <f t="shared" ca="1" si="49"/>
        <v>158</v>
      </c>
      <c r="D187" s="11" t="s">
        <v>560</v>
      </c>
      <c r="F187" s="1" t="str">
        <f>+INDEX('Exh. BGM-4 (2)'!$10:$10,1,MATCH($D187,'Exh. BGM-4 (2)'!$4:$4,0))</f>
        <v>BAD DEBT EXPENSE</v>
      </c>
      <c r="I187" s="3">
        <v>0</v>
      </c>
      <c r="J187" s="3"/>
      <c r="K187" s="3">
        <v>0</v>
      </c>
      <c r="L187" s="3"/>
      <c r="M187" s="3">
        <f t="shared" si="50"/>
        <v>0</v>
      </c>
      <c r="P187" s="3">
        <f t="shared" si="51"/>
        <v>0</v>
      </c>
      <c r="Q187" s="3"/>
      <c r="R187" s="3">
        <f t="shared" si="52"/>
        <v>0</v>
      </c>
      <c r="S187" s="3"/>
      <c r="T187" s="3">
        <f t="shared" si="53"/>
        <v>0</v>
      </c>
      <c r="W187" s="3">
        <v>0</v>
      </c>
      <c r="X187" s="3"/>
      <c r="Y187" s="3">
        <f t="shared" si="54"/>
        <v>0</v>
      </c>
      <c r="Z187" s="3"/>
      <c r="AA187" s="3">
        <v>0</v>
      </c>
      <c r="AB187" s="5"/>
      <c r="AC187" s="3">
        <f t="shared" si="55"/>
        <v>0</v>
      </c>
      <c r="AE187" s="9"/>
      <c r="AF187" s="9"/>
      <c r="AH187" s="8"/>
      <c r="AL187" s="3"/>
      <c r="AO187" s="3">
        <v>0</v>
      </c>
    </row>
    <row r="188" spans="2:42" x14ac:dyDescent="0.3">
      <c r="B188" s="1">
        <f t="shared" ca="1" si="49"/>
        <v>159</v>
      </c>
      <c r="D188" s="11" t="s">
        <v>561</v>
      </c>
      <c r="F188" s="1" t="str">
        <f>+INDEX('Exh. BGM-4 (2)'!$10:$10,1,MATCH($D188,'Exh. BGM-4 (2)'!$4:$4,0))</f>
        <v>RATE CASE EXPENSE</v>
      </c>
      <c r="I188" s="3">
        <v>0</v>
      </c>
      <c r="J188" s="3"/>
      <c r="K188" s="3">
        <v>0</v>
      </c>
      <c r="L188" s="3"/>
      <c r="M188" s="3">
        <f t="shared" si="50"/>
        <v>0</v>
      </c>
      <c r="P188" s="3">
        <f t="shared" si="51"/>
        <v>0</v>
      </c>
      <c r="Q188" s="3"/>
      <c r="R188" s="3">
        <f t="shared" si="52"/>
        <v>0</v>
      </c>
      <c r="S188" s="3"/>
      <c r="T188" s="3">
        <f t="shared" si="53"/>
        <v>0</v>
      </c>
      <c r="W188" s="3">
        <v>0</v>
      </c>
      <c r="X188" s="3"/>
      <c r="Y188" s="3">
        <f t="shared" si="54"/>
        <v>0</v>
      </c>
      <c r="Z188" s="3"/>
      <c r="AA188" s="3">
        <v>0</v>
      </c>
      <c r="AB188" s="5"/>
      <c r="AC188" s="3">
        <f t="shared" si="55"/>
        <v>0</v>
      </c>
      <c r="AE188" s="9"/>
      <c r="AF188" s="9"/>
      <c r="AH188" s="8"/>
      <c r="AL188" s="3"/>
      <c r="AO188" s="3">
        <v>0</v>
      </c>
    </row>
    <row r="189" spans="2:42" x14ac:dyDescent="0.3">
      <c r="B189" s="1">
        <f t="shared" ca="1" si="49"/>
        <v>160</v>
      </c>
      <c r="D189" s="11" t="s">
        <v>562</v>
      </c>
      <c r="F189" s="1" t="str">
        <f>+INDEX('Exh. BGM-4 (2)'!$10:$10,1,MATCH($D189,'Exh. BGM-4 (2)'!$4:$4,0))</f>
        <v xml:space="preserve">EXCISE TAX </v>
      </c>
      <c r="I189" s="3">
        <v>0</v>
      </c>
      <c r="J189" s="3"/>
      <c r="K189" s="3">
        <v>0</v>
      </c>
      <c r="L189" s="3"/>
      <c r="M189" s="3">
        <f t="shared" si="50"/>
        <v>0</v>
      </c>
      <c r="P189" s="3">
        <f t="shared" si="51"/>
        <v>0</v>
      </c>
      <c r="Q189" s="3"/>
      <c r="R189" s="3">
        <f t="shared" si="52"/>
        <v>0</v>
      </c>
      <c r="S189" s="3"/>
      <c r="T189" s="3">
        <f t="shared" si="53"/>
        <v>0</v>
      </c>
      <c r="W189" s="3">
        <v>0</v>
      </c>
      <c r="X189" s="3"/>
      <c r="Y189" s="3">
        <f t="shared" si="54"/>
        <v>0</v>
      </c>
      <c r="Z189" s="3"/>
      <c r="AA189" s="3">
        <v>0</v>
      </c>
      <c r="AB189" s="5"/>
      <c r="AC189" s="3">
        <f t="shared" si="55"/>
        <v>0</v>
      </c>
      <c r="AE189" s="9"/>
      <c r="AF189" s="9"/>
      <c r="AH189" s="8"/>
      <c r="AL189" s="3"/>
      <c r="AO189" s="3">
        <v>0</v>
      </c>
    </row>
    <row r="190" spans="2:42" x14ac:dyDescent="0.3">
      <c r="B190" s="1">
        <f t="shared" ca="1" si="49"/>
        <v>161</v>
      </c>
      <c r="D190" s="11" t="s">
        <v>563</v>
      </c>
      <c r="F190" s="1" t="str">
        <f>+INDEX('Exh. BGM-4 (2)'!$10:$10,1,MATCH($D190,'Exh. BGM-4 (2)'!$4:$4,0))</f>
        <v>EMPLOYEE INSURANCE</v>
      </c>
      <c r="I190" s="3">
        <v>0</v>
      </c>
      <c r="J190" s="3"/>
      <c r="K190" s="3">
        <v>0</v>
      </c>
      <c r="L190" s="3"/>
      <c r="M190" s="3">
        <f t="shared" si="50"/>
        <v>0</v>
      </c>
      <c r="P190" s="3">
        <f t="shared" si="51"/>
        <v>0</v>
      </c>
      <c r="Q190" s="3"/>
      <c r="R190" s="3">
        <f t="shared" si="52"/>
        <v>0</v>
      </c>
      <c r="S190" s="3"/>
      <c r="T190" s="3">
        <f t="shared" si="53"/>
        <v>0</v>
      </c>
      <c r="W190" s="3">
        <v>0</v>
      </c>
      <c r="X190" s="3"/>
      <c r="Y190" s="3">
        <f t="shared" si="54"/>
        <v>0</v>
      </c>
      <c r="Z190" s="3"/>
      <c r="AA190" s="3">
        <v>0</v>
      </c>
      <c r="AB190" s="5"/>
      <c r="AC190" s="3">
        <f t="shared" si="55"/>
        <v>0</v>
      </c>
      <c r="AE190" s="9"/>
      <c r="AF190" s="9"/>
      <c r="AH190" s="8"/>
      <c r="AL190" s="3"/>
      <c r="AO190" s="3">
        <v>0</v>
      </c>
    </row>
    <row r="191" spans="2:42" x14ac:dyDescent="0.3">
      <c r="B191" s="1">
        <f t="shared" ca="1" si="49"/>
        <v>162</v>
      </c>
      <c r="D191" s="11" t="s">
        <v>564</v>
      </c>
      <c r="F191" s="1" t="str">
        <f>+INDEX('Exh. BGM-4 (2)'!$10:$10,1,MATCH($D191,'Exh. BGM-4 (2)'!$4:$4,0))</f>
        <v>INJURIES &amp; DAMAGES</v>
      </c>
      <c r="I191" s="3">
        <v>0</v>
      </c>
      <c r="J191" s="3"/>
      <c r="K191" s="3">
        <v>0</v>
      </c>
      <c r="L191" s="3"/>
      <c r="M191" s="3">
        <f t="shared" si="50"/>
        <v>0</v>
      </c>
      <c r="P191" s="3">
        <f t="shared" si="51"/>
        <v>0</v>
      </c>
      <c r="Q191" s="3"/>
      <c r="R191" s="3">
        <f t="shared" si="52"/>
        <v>0</v>
      </c>
      <c r="S191" s="3"/>
      <c r="T191" s="3">
        <f t="shared" si="53"/>
        <v>0</v>
      </c>
      <c r="W191" s="3">
        <v>0</v>
      </c>
      <c r="X191" s="3"/>
      <c r="Y191" s="3">
        <f t="shared" si="54"/>
        <v>0</v>
      </c>
      <c r="Z191" s="3"/>
      <c r="AA191" s="3">
        <v>0</v>
      </c>
      <c r="AB191" s="5"/>
      <c r="AC191" s="3">
        <f t="shared" si="55"/>
        <v>0</v>
      </c>
      <c r="AE191" s="9"/>
      <c r="AF191" s="9"/>
      <c r="AH191" s="8"/>
      <c r="AL191" s="3"/>
      <c r="AO191" s="3">
        <v>0</v>
      </c>
    </row>
    <row r="192" spans="2:42" x14ac:dyDescent="0.3">
      <c r="B192" s="1">
        <f t="shared" ca="1" si="49"/>
        <v>163</v>
      </c>
      <c r="D192" s="11" t="s">
        <v>565</v>
      </c>
      <c r="F192" s="1" t="str">
        <f>+INDEX('Exh. BGM-4 (2)'!$10:$10,1,MATCH($D192,'Exh. BGM-4 (2)'!$4:$4,0))</f>
        <v>INCENTIVE PAY</v>
      </c>
      <c r="I192" s="3">
        <v>-524.52967200356204</v>
      </c>
      <c r="J192" s="3"/>
      <c r="K192" s="3">
        <v>0</v>
      </c>
      <c r="L192" s="3"/>
      <c r="M192" s="3">
        <f t="shared" si="50"/>
        <v>694.92445293999606</v>
      </c>
      <c r="P192" s="3">
        <f t="shared" si="51"/>
        <v>-524.52967200356204</v>
      </c>
      <c r="Q192" s="3"/>
      <c r="R192" s="3">
        <f t="shared" si="52"/>
        <v>0</v>
      </c>
      <c r="S192" s="3"/>
      <c r="T192" s="3">
        <f t="shared" si="53"/>
        <v>694.92445293999606</v>
      </c>
      <c r="W192" s="3">
        <v>0</v>
      </c>
      <c r="X192" s="3"/>
      <c r="Y192" s="3">
        <f t="shared" si="54"/>
        <v>0</v>
      </c>
      <c r="Z192" s="3"/>
      <c r="AA192" s="3">
        <v>0</v>
      </c>
      <c r="AB192" s="5"/>
      <c r="AC192" s="3">
        <f t="shared" si="55"/>
        <v>0</v>
      </c>
      <c r="AE192" s="9"/>
      <c r="AF192" s="9"/>
      <c r="AH192" s="8"/>
      <c r="AL192" s="3"/>
      <c r="AO192" s="3">
        <v>694.92445293999606</v>
      </c>
    </row>
    <row r="193" spans="2:41" x14ac:dyDescent="0.3">
      <c r="B193" s="1">
        <f t="shared" ca="1" si="49"/>
        <v>164</v>
      </c>
      <c r="D193" s="11" t="s">
        <v>566</v>
      </c>
      <c r="F193" s="1" t="str">
        <f>+INDEX('Exh. BGM-4 (2)'!$10:$10,1,MATCH($D193,'Exh. BGM-4 (2)'!$4:$4,0))</f>
        <v>INVESTMENT PLAN</v>
      </c>
      <c r="I193" s="3">
        <v>0</v>
      </c>
      <c r="J193" s="3"/>
      <c r="K193" s="3">
        <v>0</v>
      </c>
      <c r="L193" s="3"/>
      <c r="M193" s="3">
        <f t="shared" si="50"/>
        <v>0</v>
      </c>
      <c r="P193" s="3">
        <f t="shared" si="51"/>
        <v>0</v>
      </c>
      <c r="Q193" s="3"/>
      <c r="R193" s="3">
        <f t="shared" si="52"/>
        <v>0</v>
      </c>
      <c r="S193" s="3"/>
      <c r="T193" s="3">
        <f t="shared" si="53"/>
        <v>0</v>
      </c>
      <c r="W193" s="3">
        <v>0</v>
      </c>
      <c r="X193" s="3"/>
      <c r="Y193" s="3">
        <f t="shared" si="54"/>
        <v>0</v>
      </c>
      <c r="Z193" s="3"/>
      <c r="AA193" s="3">
        <v>0</v>
      </c>
      <c r="AB193" s="5"/>
      <c r="AC193" s="3">
        <f t="shared" si="55"/>
        <v>0</v>
      </c>
      <c r="AE193" s="9"/>
      <c r="AF193" s="9"/>
      <c r="AH193" s="8"/>
      <c r="AL193" s="3"/>
      <c r="AO193" s="3">
        <v>0</v>
      </c>
    </row>
    <row r="194" spans="2:41" x14ac:dyDescent="0.3">
      <c r="B194" s="1">
        <f t="shared" ca="1" si="49"/>
        <v>165</v>
      </c>
      <c r="D194" s="11" t="s">
        <v>567</v>
      </c>
      <c r="F194" s="1" t="str">
        <f>+INDEX('Exh. BGM-4 (2)'!$10:$10,1,MATCH($D194,'Exh. BGM-4 (2)'!$4:$4,0))</f>
        <v>INTEREST ON  CUSTOMER DEPOSITS</v>
      </c>
      <c r="I194" s="3">
        <v>0</v>
      </c>
      <c r="J194" s="3"/>
      <c r="K194" s="3">
        <v>0</v>
      </c>
      <c r="L194" s="3"/>
      <c r="M194" s="3">
        <f t="shared" si="50"/>
        <v>0</v>
      </c>
      <c r="P194" s="3">
        <f t="shared" si="51"/>
        <v>0</v>
      </c>
      <c r="Q194" s="3"/>
      <c r="R194" s="3">
        <f t="shared" si="52"/>
        <v>0</v>
      </c>
      <c r="S194" s="3"/>
      <c r="T194" s="3">
        <f t="shared" si="53"/>
        <v>0</v>
      </c>
      <c r="W194" s="3">
        <v>0</v>
      </c>
      <c r="X194" s="3"/>
      <c r="Y194" s="3">
        <f t="shared" si="54"/>
        <v>0</v>
      </c>
      <c r="Z194" s="3"/>
      <c r="AA194" s="3">
        <v>0</v>
      </c>
      <c r="AB194" s="5"/>
      <c r="AC194" s="3">
        <f t="shared" si="55"/>
        <v>0</v>
      </c>
      <c r="AE194" s="9"/>
      <c r="AF194" s="9"/>
      <c r="AH194" s="8"/>
      <c r="AL194" s="3"/>
      <c r="AO194" s="3">
        <v>0</v>
      </c>
    </row>
    <row r="195" spans="2:41" x14ac:dyDescent="0.3">
      <c r="B195" s="1">
        <f t="shared" ca="1" si="49"/>
        <v>166</v>
      </c>
      <c r="D195" s="11" t="s">
        <v>568</v>
      </c>
      <c r="F195" s="1" t="str">
        <f>+INDEX('Exh. BGM-4 (2)'!$10:$10,1,MATCH($D195,'Exh. BGM-4 (2)'!$4:$4,0))</f>
        <v>PROPERTY AND LIAB INSURANCE</v>
      </c>
      <c r="I195" s="3">
        <v>0</v>
      </c>
      <c r="J195" s="3"/>
      <c r="K195" s="3">
        <v>0</v>
      </c>
      <c r="L195" s="3"/>
      <c r="M195" s="3">
        <f t="shared" si="50"/>
        <v>0</v>
      </c>
      <c r="P195" s="3">
        <f t="shared" si="51"/>
        <v>0</v>
      </c>
      <c r="Q195" s="3"/>
      <c r="R195" s="3">
        <f t="shared" si="52"/>
        <v>0</v>
      </c>
      <c r="S195" s="3"/>
      <c r="T195" s="3">
        <f t="shared" si="53"/>
        <v>0</v>
      </c>
      <c r="W195" s="3">
        <v>0</v>
      </c>
      <c r="X195" s="3"/>
      <c r="Y195" s="3">
        <f t="shared" si="54"/>
        <v>0</v>
      </c>
      <c r="Z195" s="3"/>
      <c r="AA195" s="3">
        <v>0</v>
      </c>
      <c r="AB195" s="5"/>
      <c r="AC195" s="3">
        <f t="shared" si="55"/>
        <v>0</v>
      </c>
      <c r="AE195" s="9"/>
      <c r="AF195" s="9"/>
      <c r="AH195" s="8"/>
      <c r="AL195" s="3"/>
      <c r="AO195" s="3">
        <v>0</v>
      </c>
    </row>
    <row r="196" spans="2:41" x14ac:dyDescent="0.3">
      <c r="B196" s="1">
        <f t="shared" ca="1" si="49"/>
        <v>167</v>
      </c>
      <c r="D196" s="11" t="s">
        <v>569</v>
      </c>
      <c r="F196" s="1" t="str">
        <f>+INDEX('Exh. BGM-4 (2)'!$10:$10,1,MATCH($D196,'Exh. BGM-4 (2)'!$4:$4,0))</f>
        <v>DEFERRED GAINS AND LOSSES ON PROPERTY SALES</v>
      </c>
      <c r="I196" s="3">
        <v>0</v>
      </c>
      <c r="J196" s="3"/>
      <c r="K196" s="3">
        <v>0</v>
      </c>
      <c r="L196" s="3"/>
      <c r="M196" s="3">
        <f t="shared" si="50"/>
        <v>0</v>
      </c>
      <c r="P196" s="3">
        <f t="shared" si="51"/>
        <v>0</v>
      </c>
      <c r="Q196" s="3"/>
      <c r="R196" s="3">
        <f t="shared" si="52"/>
        <v>0</v>
      </c>
      <c r="S196" s="3"/>
      <c r="T196" s="3">
        <f t="shared" si="53"/>
        <v>0</v>
      </c>
      <c r="W196" s="3">
        <v>0</v>
      </c>
      <c r="X196" s="3"/>
      <c r="Y196" s="3">
        <f t="shared" si="54"/>
        <v>0</v>
      </c>
      <c r="Z196" s="3"/>
      <c r="AA196" s="3">
        <v>0</v>
      </c>
      <c r="AB196" s="5"/>
      <c r="AC196" s="3">
        <f t="shared" si="55"/>
        <v>0</v>
      </c>
      <c r="AE196" s="9"/>
      <c r="AF196" s="9"/>
      <c r="AH196" s="8"/>
      <c r="AL196" s="3"/>
      <c r="AO196" s="3">
        <v>0</v>
      </c>
    </row>
    <row r="197" spans="2:41" x14ac:dyDescent="0.3">
      <c r="B197" s="1">
        <f t="shared" ca="1" si="49"/>
        <v>168</v>
      </c>
      <c r="D197" s="11" t="s">
        <v>570</v>
      </c>
      <c r="F197" s="1" t="str">
        <f>+INDEX('Exh. BGM-4 (2)'!$10:$10,1,MATCH($D197,'Exh. BGM-4 (2)'!$4:$4,0))</f>
        <v>D&amp;O INSURANCE</v>
      </c>
      <c r="I197" s="3">
        <v>0</v>
      </c>
      <c r="J197" s="3"/>
      <c r="K197" s="3">
        <v>0</v>
      </c>
      <c r="L197" s="3"/>
      <c r="M197" s="3">
        <f t="shared" si="50"/>
        <v>0</v>
      </c>
      <c r="P197" s="3">
        <f t="shared" si="51"/>
        <v>0</v>
      </c>
      <c r="Q197" s="3"/>
      <c r="R197" s="3">
        <f t="shared" si="52"/>
        <v>0</v>
      </c>
      <c r="S197" s="3"/>
      <c r="T197" s="3">
        <f t="shared" si="53"/>
        <v>0</v>
      </c>
      <c r="W197" s="3">
        <v>0</v>
      </c>
      <c r="X197" s="3"/>
      <c r="Y197" s="3">
        <f t="shared" si="54"/>
        <v>0</v>
      </c>
      <c r="Z197" s="3"/>
      <c r="AA197" s="3">
        <v>0</v>
      </c>
      <c r="AB197" s="5"/>
      <c r="AC197" s="3">
        <f t="shared" si="55"/>
        <v>0</v>
      </c>
      <c r="AE197" s="9"/>
      <c r="AF197" s="9"/>
      <c r="AH197" s="8"/>
      <c r="AL197" s="3"/>
      <c r="AO197" s="3">
        <v>0</v>
      </c>
    </row>
    <row r="198" spans="2:41" x14ac:dyDescent="0.3">
      <c r="B198" s="1">
        <f t="shared" ca="1" si="49"/>
        <v>169</v>
      </c>
      <c r="D198" s="11" t="s">
        <v>571</v>
      </c>
      <c r="F198" s="1" t="str">
        <f>+INDEX('Exh. BGM-4 (2)'!$10:$10,1,MATCH($D198,'Exh. BGM-4 (2)'!$4:$4,0))</f>
        <v>PENSION PLAN</v>
      </c>
      <c r="I198" s="3">
        <v>0</v>
      </c>
      <c r="J198" s="3"/>
      <c r="K198" s="3">
        <v>0</v>
      </c>
      <c r="L198" s="3"/>
      <c r="M198" s="3">
        <f t="shared" si="50"/>
        <v>0</v>
      </c>
      <c r="P198" s="3">
        <f t="shared" si="51"/>
        <v>0</v>
      </c>
      <c r="Q198" s="3"/>
      <c r="R198" s="3">
        <f t="shared" si="52"/>
        <v>0</v>
      </c>
      <c r="S198" s="3"/>
      <c r="T198" s="3">
        <f t="shared" si="53"/>
        <v>0</v>
      </c>
      <c r="W198" s="3">
        <v>0</v>
      </c>
      <c r="X198" s="3"/>
      <c r="Y198" s="3">
        <f t="shared" si="54"/>
        <v>0</v>
      </c>
      <c r="Z198" s="3"/>
      <c r="AA198" s="3">
        <v>0</v>
      </c>
      <c r="AB198" s="5"/>
      <c r="AC198" s="3">
        <f t="shared" si="55"/>
        <v>0</v>
      </c>
      <c r="AE198" s="9"/>
      <c r="AF198" s="9"/>
      <c r="AH198" s="8"/>
      <c r="AL198" s="3"/>
      <c r="AO198" s="3">
        <v>0</v>
      </c>
    </row>
    <row r="199" spans="2:41" x14ac:dyDescent="0.3">
      <c r="B199" s="1">
        <f t="shared" ca="1" si="49"/>
        <v>170</v>
      </c>
      <c r="D199" s="11" t="s">
        <v>572</v>
      </c>
      <c r="F199" s="1" t="str">
        <f>+INDEX('Exh. BGM-4 (2)'!$10:$10,1,MATCH($D199,'Exh. BGM-4 (2)'!$4:$4,0))</f>
        <v>WAGE INCREASE</v>
      </c>
      <c r="I199" s="3">
        <v>0</v>
      </c>
      <c r="J199" s="3"/>
      <c r="K199" s="3">
        <v>0</v>
      </c>
      <c r="L199" s="3"/>
      <c r="M199" s="3">
        <f t="shared" si="50"/>
        <v>0</v>
      </c>
      <c r="P199" s="3">
        <f t="shared" si="51"/>
        <v>0</v>
      </c>
      <c r="Q199" s="3"/>
      <c r="R199" s="3">
        <f t="shared" si="52"/>
        <v>0</v>
      </c>
      <c r="S199" s="3"/>
      <c r="T199" s="3">
        <f t="shared" si="53"/>
        <v>0</v>
      </c>
      <c r="W199" s="3">
        <v>0</v>
      </c>
      <c r="X199" s="3"/>
      <c r="Y199" s="3">
        <f t="shared" si="54"/>
        <v>0</v>
      </c>
      <c r="Z199" s="3"/>
      <c r="AA199" s="3">
        <v>0</v>
      </c>
      <c r="AB199" s="5"/>
      <c r="AC199" s="3">
        <f t="shared" si="55"/>
        <v>0</v>
      </c>
      <c r="AE199" s="9"/>
      <c r="AF199" s="9"/>
      <c r="AH199" s="8"/>
      <c r="AL199" s="3"/>
      <c r="AO199" s="3">
        <v>0</v>
      </c>
    </row>
    <row r="200" spans="2:41" x14ac:dyDescent="0.3">
      <c r="B200" s="1">
        <f t="shared" ca="1" si="49"/>
        <v>171</v>
      </c>
      <c r="D200" s="11" t="s">
        <v>573</v>
      </c>
      <c r="F200" s="1" t="str">
        <f>+INDEX('Exh. BGM-4 (2)'!$10:$10,1,MATCH($D200,'Exh. BGM-4 (2)'!$4:$4,0))</f>
        <v>AMA TO EOP RATE BASE</v>
      </c>
      <c r="I200" s="3">
        <v>0</v>
      </c>
      <c r="J200" s="3"/>
      <c r="K200" s="3">
        <v>0</v>
      </c>
      <c r="L200" s="3"/>
      <c r="M200" s="3">
        <f t="shared" si="50"/>
        <v>0</v>
      </c>
      <c r="P200" s="3">
        <f t="shared" si="51"/>
        <v>0</v>
      </c>
      <c r="Q200" s="3"/>
      <c r="R200" s="3">
        <f t="shared" si="52"/>
        <v>0</v>
      </c>
      <c r="S200" s="3"/>
      <c r="T200" s="3">
        <f t="shared" si="53"/>
        <v>0</v>
      </c>
      <c r="W200" s="3">
        <v>0</v>
      </c>
      <c r="X200" s="3"/>
      <c r="Y200" s="3">
        <f t="shared" si="54"/>
        <v>0</v>
      </c>
      <c r="Z200" s="3"/>
      <c r="AA200" s="3">
        <v>0</v>
      </c>
      <c r="AB200" s="5"/>
      <c r="AC200" s="3">
        <f t="shared" si="55"/>
        <v>0</v>
      </c>
      <c r="AE200" s="9"/>
      <c r="AF200" s="9"/>
      <c r="AH200" s="8"/>
      <c r="AL200" s="3"/>
      <c r="AO200" s="3">
        <v>0</v>
      </c>
    </row>
    <row r="201" spans="2:41" x14ac:dyDescent="0.3">
      <c r="B201" s="1">
        <f t="shared" ca="1" si="49"/>
        <v>172</v>
      </c>
      <c r="D201" s="11" t="s">
        <v>574</v>
      </c>
      <c r="F201" s="1" t="str">
        <f>+INDEX('Exh. BGM-4 (2)'!$10:$10,1,MATCH($D201,'Exh. BGM-4 (2)'!$4:$4,0))</f>
        <v>AMA TO EOP DEPRECIATION</v>
      </c>
      <c r="I201" s="3">
        <v>0</v>
      </c>
      <c r="J201" s="3"/>
      <c r="K201" s="3">
        <v>0</v>
      </c>
      <c r="L201" s="3"/>
      <c r="M201" s="3">
        <f t="shared" si="50"/>
        <v>0</v>
      </c>
      <c r="P201" s="3">
        <f t="shared" si="51"/>
        <v>0</v>
      </c>
      <c r="Q201" s="3"/>
      <c r="R201" s="3">
        <f t="shared" si="52"/>
        <v>0</v>
      </c>
      <c r="S201" s="3"/>
      <c r="T201" s="3">
        <f t="shared" si="53"/>
        <v>0</v>
      </c>
      <c r="W201" s="3">
        <v>0</v>
      </c>
      <c r="X201" s="3"/>
      <c r="Y201" s="3">
        <f t="shared" si="54"/>
        <v>0</v>
      </c>
      <c r="Z201" s="3"/>
      <c r="AA201" s="3">
        <v>0</v>
      </c>
      <c r="AB201" s="5"/>
      <c r="AC201" s="3">
        <f t="shared" si="55"/>
        <v>0</v>
      </c>
      <c r="AE201" s="9"/>
      <c r="AF201" s="9"/>
      <c r="AH201" s="8"/>
      <c r="AL201" s="3"/>
      <c r="AO201" s="3">
        <v>0</v>
      </c>
    </row>
    <row r="202" spans="2:41" x14ac:dyDescent="0.3">
      <c r="B202" s="1">
        <f t="shared" ca="1" si="49"/>
        <v>173</v>
      </c>
      <c r="D202" s="11" t="s">
        <v>575</v>
      </c>
      <c r="F202" s="1" t="str">
        <f>+INDEX('Exh. BGM-4 (2)'!$10:$10,1,MATCH($D202,'Exh. BGM-4 (2)'!$4:$4,0))</f>
        <v>WUTC FILING FEE</v>
      </c>
      <c r="I202" s="3">
        <v>0</v>
      </c>
      <c r="J202" s="3"/>
      <c r="K202" s="3">
        <v>0</v>
      </c>
      <c r="L202" s="3"/>
      <c r="M202" s="3">
        <f t="shared" si="50"/>
        <v>0</v>
      </c>
      <c r="P202" s="3">
        <f t="shared" si="51"/>
        <v>0</v>
      </c>
      <c r="Q202" s="3"/>
      <c r="R202" s="3">
        <f t="shared" si="52"/>
        <v>0</v>
      </c>
      <c r="S202" s="3"/>
      <c r="T202" s="3">
        <f t="shared" si="53"/>
        <v>0</v>
      </c>
      <c r="W202" s="3">
        <v>0</v>
      </c>
      <c r="X202" s="3"/>
      <c r="Y202" s="3">
        <f t="shared" si="54"/>
        <v>0</v>
      </c>
      <c r="Z202" s="3"/>
      <c r="AA202" s="3">
        <v>0</v>
      </c>
      <c r="AB202" s="5"/>
      <c r="AC202" s="3">
        <f t="shared" si="55"/>
        <v>0</v>
      </c>
      <c r="AE202" s="9"/>
      <c r="AF202" s="9"/>
      <c r="AH202" s="8"/>
      <c r="AL202" s="3"/>
      <c r="AO202" s="3">
        <v>0</v>
      </c>
    </row>
    <row r="203" spans="2:41" x14ac:dyDescent="0.3">
      <c r="B203" s="222">
        <f t="shared" ca="1" si="49"/>
        <v>174</v>
      </c>
      <c r="C203" s="222"/>
      <c r="D203" s="224" t="s">
        <v>576</v>
      </c>
      <c r="E203" s="222"/>
      <c r="F203" s="222" t="str">
        <f>+INDEX('Exh. BGM-4 (2)'!$10:$10,1,MATCH($D203,'Exh. BGM-4 (2)'!$4:$4,0))</f>
        <v>PRO FORMA O&amp;M</v>
      </c>
      <c r="G203" s="225"/>
      <c r="H203" s="225"/>
      <c r="I203" s="226">
        <v>-4393.7177429312969</v>
      </c>
      <c r="J203" s="226"/>
      <c r="K203" s="226">
        <v>0</v>
      </c>
      <c r="L203" s="226"/>
      <c r="M203" s="226">
        <f t="shared" si="50"/>
        <v>5821.0279834437115</v>
      </c>
      <c r="N203" s="225"/>
      <c r="O203" s="222"/>
      <c r="P203" s="226">
        <f t="shared" si="51"/>
        <v>-3364.884903352458</v>
      </c>
      <c r="Q203" s="226"/>
      <c r="R203" s="226">
        <f t="shared" si="52"/>
        <v>0</v>
      </c>
      <c r="S203" s="226"/>
      <c r="T203" s="226">
        <f t="shared" si="53"/>
        <v>4457.9762127401236</v>
      </c>
      <c r="U203" s="222"/>
      <c r="V203" s="222"/>
      <c r="W203" s="226">
        <f>-'[22]BGM-7'!$X$87</f>
        <v>1302.3200500997962</v>
      </c>
      <c r="X203" s="226"/>
      <c r="Y203" s="226">
        <f t="shared" si="54"/>
        <v>1028.832839578839</v>
      </c>
      <c r="Z203" s="226"/>
      <c r="AA203" s="226">
        <v>0</v>
      </c>
      <c r="AB203" s="227"/>
      <c r="AC203" s="226">
        <f t="shared" si="55"/>
        <v>-1363.0517707035879</v>
      </c>
      <c r="AD203" s="225"/>
      <c r="AE203" s="232" t="s">
        <v>1026</v>
      </c>
      <c r="AF203" s="9"/>
      <c r="AH203" s="8"/>
      <c r="AL203" s="3"/>
      <c r="AO203" s="3">
        <v>5821.0279834437115</v>
      </c>
    </row>
    <row r="204" spans="2:41" x14ac:dyDescent="0.3">
      <c r="B204" s="1">
        <f t="shared" ca="1" si="49"/>
        <v>175</v>
      </c>
      <c r="D204" s="11" t="s">
        <v>577</v>
      </c>
      <c r="F204" s="1" t="str">
        <f>+INDEX('Exh. BGM-4 (2)'!$10:$10,1,MATCH($D204,'Exh. BGM-4 (2)'!$4:$4,0))</f>
        <v>AMR REGULATORY ASSET</v>
      </c>
      <c r="I204" s="3">
        <v>-1345.2525257390762</v>
      </c>
      <c r="J204" s="3"/>
      <c r="K204" s="3">
        <v>-10011.818034171247</v>
      </c>
      <c r="L204" s="3"/>
      <c r="M204" s="3">
        <f t="shared" si="50"/>
        <v>827.24006364425361</v>
      </c>
      <c r="P204" s="3">
        <f t="shared" si="51"/>
        <v>-1345.2525257390762</v>
      </c>
      <c r="Q204" s="3"/>
      <c r="R204" s="3">
        <f t="shared" si="52"/>
        <v>-10011.818034171247</v>
      </c>
      <c r="S204" s="3"/>
      <c r="T204" s="3">
        <f t="shared" si="53"/>
        <v>827.24006364425361</v>
      </c>
      <c r="W204" s="3">
        <v>0</v>
      </c>
      <c r="X204" s="3"/>
      <c r="Y204" s="3">
        <f t="shared" si="54"/>
        <v>0</v>
      </c>
      <c r="Z204" s="3"/>
      <c r="AA204" s="3">
        <v>0</v>
      </c>
      <c r="AB204" s="5"/>
      <c r="AC204" s="3">
        <f t="shared" si="55"/>
        <v>0</v>
      </c>
      <c r="AE204" s="9"/>
      <c r="AF204" s="9"/>
      <c r="AH204" s="8"/>
      <c r="AL204" s="3"/>
      <c r="AO204" s="3">
        <v>802.03811734989881</v>
      </c>
    </row>
    <row r="205" spans="2:41" x14ac:dyDescent="0.3">
      <c r="B205" s="1">
        <f t="shared" ca="1" si="49"/>
        <v>176</v>
      </c>
      <c r="D205" s="11" t="s">
        <v>578</v>
      </c>
      <c r="F205" s="1" t="str">
        <f>+INDEX('Exh. BGM-4 (2)'!$10:$10,1,MATCH($D205,'Exh. BGM-4 (2)'!$4:$4,0))</f>
        <v>AMI PLANT AND DEFERRAL</v>
      </c>
      <c r="I205" s="3">
        <v>0</v>
      </c>
      <c r="J205" s="3"/>
      <c r="K205" s="3">
        <v>0</v>
      </c>
      <c r="L205" s="3"/>
      <c r="M205" s="3">
        <f t="shared" si="50"/>
        <v>0</v>
      </c>
      <c r="P205" s="3">
        <f t="shared" si="51"/>
        <v>0</v>
      </c>
      <c r="Q205" s="3"/>
      <c r="R205" s="3">
        <f t="shared" si="52"/>
        <v>0</v>
      </c>
      <c r="S205" s="3"/>
      <c r="T205" s="3">
        <f t="shared" si="53"/>
        <v>0</v>
      </c>
      <c r="W205" s="3">
        <v>0</v>
      </c>
      <c r="X205" s="3"/>
      <c r="Y205" s="3">
        <f t="shared" si="54"/>
        <v>0</v>
      </c>
      <c r="Z205" s="3"/>
      <c r="AA205" s="3">
        <v>0</v>
      </c>
      <c r="AB205" s="5"/>
      <c r="AC205" s="3">
        <f t="shared" si="55"/>
        <v>0</v>
      </c>
      <c r="AE205" s="9"/>
      <c r="AF205" s="9"/>
      <c r="AH205" s="8"/>
      <c r="AL205" s="3"/>
      <c r="AO205" s="3">
        <v>0</v>
      </c>
    </row>
    <row r="206" spans="2:41" x14ac:dyDescent="0.3">
      <c r="B206" s="1">
        <f t="shared" ca="1" si="49"/>
        <v>177</v>
      </c>
      <c r="D206" s="11" t="s">
        <v>579</v>
      </c>
      <c r="F206" s="1" t="str">
        <f>+INDEX('Exh. BGM-4 (2)'!$10:$10,1,MATCH($D206,'Exh. BGM-4 (2)'!$4:$4,0))</f>
        <v>GTZ DEFERRAL</v>
      </c>
      <c r="I206" s="3">
        <v>0</v>
      </c>
      <c r="J206" s="3"/>
      <c r="K206" s="3">
        <v>-3527.3745424600434</v>
      </c>
      <c r="L206" s="3"/>
      <c r="M206" s="3">
        <f t="shared" si="50"/>
        <v>-336.47407337446975</v>
      </c>
      <c r="P206" s="3">
        <f t="shared" si="51"/>
        <v>0</v>
      </c>
      <c r="Q206" s="3"/>
      <c r="R206" s="3">
        <f t="shared" si="52"/>
        <v>-3527.3745424600434</v>
      </c>
      <c r="S206" s="3"/>
      <c r="T206" s="3">
        <f t="shared" si="53"/>
        <v>-336.47407337446975</v>
      </c>
      <c r="W206" s="3">
        <v>0</v>
      </c>
      <c r="X206" s="3"/>
      <c r="Y206" s="3">
        <f t="shared" si="54"/>
        <v>0</v>
      </c>
      <c r="Z206" s="3"/>
      <c r="AA206" s="3">
        <v>0</v>
      </c>
      <c r="AB206" s="5"/>
      <c r="AC206" s="3">
        <f t="shared" si="55"/>
        <v>0</v>
      </c>
      <c r="AE206" s="9"/>
      <c r="AF206" s="9"/>
      <c r="AH206" s="8"/>
      <c r="AL206" s="3"/>
      <c r="AO206" s="3">
        <v>-345.35325031074041</v>
      </c>
    </row>
    <row r="207" spans="2:41" x14ac:dyDescent="0.3">
      <c r="B207" s="1">
        <f t="shared" ca="1" si="49"/>
        <v>178</v>
      </c>
      <c r="D207" s="11" t="s">
        <v>580</v>
      </c>
      <c r="F207" s="1" t="str">
        <f>+INDEX('Exh. BGM-4 (2)'!$10:$10,1,MATCH($D207,'Exh. BGM-4 (2)'!$4:$4,0))</f>
        <v>ENVIRONMENTAL REMEDIATION</v>
      </c>
      <c r="I207" s="3">
        <v>0</v>
      </c>
      <c r="J207" s="3"/>
      <c r="K207" s="3">
        <v>0</v>
      </c>
      <c r="L207" s="3"/>
      <c r="M207" s="3">
        <f t="shared" si="50"/>
        <v>0</v>
      </c>
      <c r="P207" s="3">
        <f t="shared" si="51"/>
        <v>0</v>
      </c>
      <c r="Q207" s="3"/>
      <c r="R207" s="3">
        <f t="shared" si="52"/>
        <v>0</v>
      </c>
      <c r="S207" s="3"/>
      <c r="T207" s="3">
        <f t="shared" si="53"/>
        <v>0</v>
      </c>
      <c r="W207" s="3">
        <v>0</v>
      </c>
      <c r="X207" s="3"/>
      <c r="Y207" s="3">
        <f t="shared" si="54"/>
        <v>0</v>
      </c>
      <c r="Z207" s="3"/>
      <c r="AA207" s="3">
        <v>0</v>
      </c>
      <c r="AB207" s="5"/>
      <c r="AC207" s="3">
        <f t="shared" si="55"/>
        <v>0</v>
      </c>
      <c r="AE207" s="9"/>
      <c r="AF207" s="9"/>
      <c r="AH207" s="8"/>
      <c r="AL207" s="3"/>
      <c r="AO207" s="3">
        <v>0</v>
      </c>
    </row>
    <row r="208" spans="2:41" x14ac:dyDescent="0.3">
      <c r="B208" s="222">
        <f t="shared" ca="1" si="49"/>
        <v>179</v>
      </c>
      <c r="C208" s="222"/>
      <c r="D208" s="224" t="s">
        <v>581</v>
      </c>
      <c r="E208" s="222"/>
      <c r="F208" s="222" t="str">
        <f>+INDEX('Exh. BGM-4 (2)'!$10:$10,1,MATCH($D208,'Exh. BGM-4 (2)'!$4:$4,0))</f>
        <v>COVID DEFERRAL</v>
      </c>
      <c r="G208" s="225"/>
      <c r="H208" s="225"/>
      <c r="I208" s="226">
        <v>0</v>
      </c>
      <c r="J208" s="226"/>
      <c r="K208" s="226">
        <v>-249.88827411794057</v>
      </c>
      <c r="L208" s="226"/>
      <c r="M208" s="226">
        <f t="shared" si="50"/>
        <v>-23.836687731589809</v>
      </c>
      <c r="N208" s="225"/>
      <c r="O208" s="222"/>
      <c r="P208" s="226">
        <f t="shared" si="51"/>
        <v>0</v>
      </c>
      <c r="Q208" s="226"/>
      <c r="R208" s="226">
        <f t="shared" si="52"/>
        <v>324.70067536874978</v>
      </c>
      <c r="S208" s="226"/>
      <c r="T208" s="226">
        <f t="shared" si="53"/>
        <v>30.972996361358799</v>
      </c>
      <c r="U208" s="222"/>
      <c r="V208" s="222"/>
      <c r="W208" s="226">
        <v>0</v>
      </c>
      <c r="X208" s="226"/>
      <c r="Y208" s="226">
        <f t="shared" si="54"/>
        <v>0</v>
      </c>
      <c r="Z208" s="226"/>
      <c r="AA208" s="226">
        <f>+'[21]Lead G'!$M$21/1000</f>
        <v>574.58894948669035</v>
      </c>
      <c r="AB208" s="227"/>
      <c r="AC208" s="226">
        <f t="shared" si="55"/>
        <v>54.809684092948608</v>
      </c>
      <c r="AD208" s="225"/>
      <c r="AE208" s="232" t="s">
        <v>1026</v>
      </c>
      <c r="AF208" s="9"/>
      <c r="AH208" s="8"/>
      <c r="AL208" s="3"/>
      <c r="AO208" s="3">
        <v>-24.465711435617873</v>
      </c>
    </row>
    <row r="209" spans="2:42" x14ac:dyDescent="0.3">
      <c r="B209" s="1">
        <f t="shared" ca="1" si="49"/>
        <v>180</v>
      </c>
      <c r="D209" s="11" t="s">
        <v>582</v>
      </c>
      <c r="F209" s="1" t="str">
        <f>+INDEX('Exh. BGM-4 (2)'!$10:$10,1,MATCH($D209,'Exh. BGM-4 (2)'!$4:$4,0))</f>
        <v>ESTIMATED PLANT RETIREMENTS RATE BASE</v>
      </c>
      <c r="I209" s="3">
        <v>0</v>
      </c>
      <c r="J209" s="3"/>
      <c r="K209" s="3">
        <v>0</v>
      </c>
      <c r="L209" s="3"/>
      <c r="M209" s="3">
        <f t="shared" si="50"/>
        <v>0</v>
      </c>
      <c r="P209" s="3">
        <f t="shared" si="51"/>
        <v>0</v>
      </c>
      <c r="Q209" s="3"/>
      <c r="R209" s="3">
        <f t="shared" si="52"/>
        <v>0</v>
      </c>
      <c r="S209" s="3"/>
      <c r="T209" s="3">
        <f t="shared" si="53"/>
        <v>0</v>
      </c>
      <c r="W209" s="3">
        <v>0</v>
      </c>
      <c r="X209" s="3"/>
      <c r="Y209" s="3">
        <f t="shared" si="54"/>
        <v>0</v>
      </c>
      <c r="Z209" s="3"/>
      <c r="AA209" s="3">
        <v>0</v>
      </c>
      <c r="AB209" s="5"/>
      <c r="AC209" s="3">
        <f t="shared" si="55"/>
        <v>0</v>
      </c>
      <c r="AE209" s="9"/>
      <c r="AF209" s="9"/>
      <c r="AH209" s="8"/>
      <c r="AL209" s="3"/>
      <c r="AO209" s="3">
        <v>0</v>
      </c>
    </row>
    <row r="210" spans="2:42" x14ac:dyDescent="0.3">
      <c r="B210" s="1">
        <f t="shared" ca="1" si="49"/>
        <v>181</v>
      </c>
      <c r="D210" s="11" t="s">
        <v>583</v>
      </c>
      <c r="F210" s="1" t="str">
        <f>+INDEX('Exh. BGM-4 (2)'!$10:$10,1,MATCH($D210,'Exh. BGM-4 (2)'!$4:$4,0))</f>
        <v>TEST YEAR PLANT ROLL FORWARD</v>
      </c>
      <c r="I210" s="3">
        <v>6419.4013748969519</v>
      </c>
      <c r="J210" s="3"/>
      <c r="K210" s="3">
        <v>-159209.51620228196</v>
      </c>
      <c r="L210" s="3"/>
      <c r="M210" s="3">
        <f t="shared" si="50"/>
        <v>-23691.657193699073</v>
      </c>
      <c r="P210" s="3">
        <f t="shared" si="51"/>
        <v>6419.4013748969519</v>
      </c>
      <c r="Q210" s="3"/>
      <c r="R210" s="3">
        <f t="shared" si="52"/>
        <v>-159209.51620228196</v>
      </c>
      <c r="S210" s="3"/>
      <c r="T210" s="3">
        <f t="shared" si="53"/>
        <v>-23691.657193699073</v>
      </c>
      <c r="W210" s="3">
        <v>0</v>
      </c>
      <c r="X210" s="3"/>
      <c r="Y210" s="3">
        <f t="shared" si="54"/>
        <v>0</v>
      </c>
      <c r="Z210" s="3"/>
      <c r="AA210" s="3">
        <v>0</v>
      </c>
      <c r="AB210" s="5"/>
      <c r="AC210" s="3">
        <f t="shared" si="55"/>
        <v>0</v>
      </c>
      <c r="AE210" s="9"/>
      <c r="AF210" s="9"/>
      <c r="AH210" s="8"/>
      <c r="AL210" s="3"/>
      <c r="AO210" s="3">
        <v>-24092.422535536636</v>
      </c>
    </row>
    <row r="211" spans="2:42" x14ac:dyDescent="0.3">
      <c r="B211" s="1">
        <f t="shared" ca="1" si="49"/>
        <v>182</v>
      </c>
      <c r="D211" s="11" t="s">
        <v>584</v>
      </c>
      <c r="F211" s="1" t="str">
        <f>+INDEX('Exh. BGM-4 (2)'!$10:$10,1,MATCH($D211,'Exh. BGM-4 (2)'!$4:$4,0))</f>
        <v>PROVISIONAL PROFORMA RETIREMENTS DEPRECIATION</v>
      </c>
      <c r="I211" s="3">
        <v>470.08655034856162</v>
      </c>
      <c r="J211" s="3"/>
      <c r="K211" s="3">
        <v>3310.9566510520017</v>
      </c>
      <c r="L211" s="3"/>
      <c r="M211" s="3">
        <f t="shared" si="50"/>
        <v>-306.96524179594019</v>
      </c>
      <c r="P211" s="3">
        <f t="shared" si="51"/>
        <v>470.08655034856162</v>
      </c>
      <c r="Q211" s="3"/>
      <c r="R211" s="3">
        <f t="shared" si="52"/>
        <v>3310.9566510520017</v>
      </c>
      <c r="S211" s="3"/>
      <c r="T211" s="3">
        <f t="shared" si="53"/>
        <v>-306.96524179594019</v>
      </c>
      <c r="W211" s="3">
        <v>0</v>
      </c>
      <c r="X211" s="3"/>
      <c r="Y211" s="3">
        <f t="shared" si="54"/>
        <v>0</v>
      </c>
      <c r="Z211" s="3"/>
      <c r="AA211" s="3">
        <v>0</v>
      </c>
      <c r="AB211" s="5"/>
      <c r="AC211" s="3">
        <f t="shared" si="55"/>
        <v>0</v>
      </c>
      <c r="AE211" s="9"/>
      <c r="AF211" s="9"/>
      <c r="AH211" s="8"/>
      <c r="AL211" s="3"/>
      <c r="AO211" s="3">
        <v>-298.63083625461371</v>
      </c>
    </row>
    <row r="212" spans="2:42" x14ac:dyDescent="0.3">
      <c r="B212" s="1">
        <f t="shared" ca="1" si="49"/>
        <v>183</v>
      </c>
      <c r="D212" s="11" t="s">
        <v>585</v>
      </c>
      <c r="F212" s="1" t="str">
        <f>+INDEX('Exh. BGM-4 (2)'!$10:$10,1,MATCH($D212,'Exh. BGM-4 (2)'!$4:$4,0))</f>
        <v>PROGRAMMATIC PROVISIONAL PROFORMA</v>
      </c>
      <c r="I212" s="3">
        <v>-9989.5126856092593</v>
      </c>
      <c r="J212" s="3"/>
      <c r="K212" s="3">
        <v>217591.26062328604</v>
      </c>
      <c r="L212" s="3"/>
      <c r="M212" s="3">
        <f t="shared" si="50"/>
        <v>33990.526576522629</v>
      </c>
      <c r="P212" s="3">
        <f t="shared" si="51"/>
        <v>-9989.5126856092593</v>
      </c>
      <c r="Q212" s="3"/>
      <c r="R212" s="3">
        <f t="shared" si="52"/>
        <v>217591.26062328604</v>
      </c>
      <c r="S212" s="3"/>
      <c r="T212" s="3">
        <f t="shared" si="53"/>
        <v>33990.526576522629</v>
      </c>
      <c r="W212" s="3">
        <v>0</v>
      </c>
      <c r="X212" s="3"/>
      <c r="Y212" s="3">
        <f t="shared" si="54"/>
        <v>0</v>
      </c>
      <c r="Z212" s="3"/>
      <c r="AA212" s="3">
        <v>0</v>
      </c>
      <c r="AB212" s="5"/>
      <c r="AC212" s="3">
        <f t="shared" si="55"/>
        <v>0</v>
      </c>
      <c r="AE212" s="9"/>
      <c r="AF212" s="9"/>
      <c r="AH212" s="8"/>
      <c r="AL212" s="3"/>
      <c r="AO212" s="3">
        <v>34538.251599653544</v>
      </c>
    </row>
    <row r="213" spans="2:42" x14ac:dyDescent="0.3">
      <c r="B213" s="222">
        <f t="shared" ca="1" si="49"/>
        <v>184</v>
      </c>
      <c r="C213" s="222"/>
      <c r="D213" s="224" t="s">
        <v>586</v>
      </c>
      <c r="E213" s="222"/>
      <c r="F213" s="222" t="str">
        <f>+INDEX('Exh. BGM-4 (2)'!$10:$10,1,MATCH($D213,'Exh. BGM-4 (2)'!$4:$4,0))</f>
        <v>CUSTOMER DRIVEN PROGRAMMATIC PROVISIONAL PROFORMA</v>
      </c>
      <c r="G213" s="225"/>
      <c r="H213" s="225"/>
      <c r="I213" s="226">
        <v>-2039.4395574000152</v>
      </c>
      <c r="J213" s="226"/>
      <c r="K213" s="226">
        <v>84769.335090000008</v>
      </c>
      <c r="L213" s="226"/>
      <c r="M213" s="226">
        <f t="shared" si="50"/>
        <v>10788.051001363294</v>
      </c>
      <c r="N213" s="225"/>
      <c r="O213" s="222"/>
      <c r="P213" s="226">
        <f t="shared" si="51"/>
        <v>-944.37805390548056</v>
      </c>
      <c r="Q213" s="226"/>
      <c r="R213" s="226">
        <f t="shared" si="52"/>
        <v>41302.511146607387</v>
      </c>
      <c r="S213" s="226"/>
      <c r="T213" s="226">
        <f t="shared" si="53"/>
        <v>5190.9825986733094</v>
      </c>
      <c r="U213" s="222"/>
      <c r="V213" s="222"/>
      <c r="W213" s="226">
        <f>-'11.32 (Gas Line Ext. Adj.)'!G30</f>
        <v>1386.1538018918159</v>
      </c>
      <c r="X213" s="226"/>
      <c r="Y213" s="226">
        <f t="shared" si="54"/>
        <v>1095.0615034945347</v>
      </c>
      <c r="Z213" s="226"/>
      <c r="AA213" s="226">
        <f>+'11.32 (Gas Line Ext. Adj.)'!G23+'11.32 (Gas Line Ext. Adj.)'!G38+'11.32 (Gas Line Ext. Adj.)'!G59</f>
        <v>-43466.823943392621</v>
      </c>
      <c r="AB213" s="227"/>
      <c r="AC213" s="226">
        <f t="shared" si="55"/>
        <v>-5597.0684026899844</v>
      </c>
      <c r="AD213" s="225"/>
      <c r="AE213" s="232" t="s">
        <v>1026</v>
      </c>
      <c r="AF213" s="9"/>
      <c r="AH213" s="8"/>
      <c r="AL213" s="3"/>
      <c r="AO213" s="3">
        <v>11001.434047584748</v>
      </c>
    </row>
    <row r="214" spans="2:42" x14ac:dyDescent="0.3">
      <c r="B214" s="236">
        <f t="shared" ca="1" si="49"/>
        <v>185</v>
      </c>
      <c r="C214" s="237"/>
      <c r="D214" s="238" t="s">
        <v>587</v>
      </c>
      <c r="E214" s="237"/>
      <c r="F214" s="237" t="str">
        <f>+INDEX('Exh. BGM-4 (2)'!$10:$10,1,MATCH($D214,'Exh. BGM-4 (2)'!$4:$4,0))</f>
        <v>SPECIFIC PROVISIONAL PROFORMA</v>
      </c>
      <c r="G214" s="239"/>
      <c r="H214" s="239"/>
      <c r="I214" s="13">
        <v>-160.44497844180003</v>
      </c>
      <c r="J214" s="13"/>
      <c r="K214" s="13">
        <v>-3427.3537037280039</v>
      </c>
      <c r="L214" s="13"/>
      <c r="M214" s="13">
        <f t="shared" si="50"/>
        <v>-114.36721497006</v>
      </c>
      <c r="N214" s="239"/>
      <c r="O214" s="237"/>
      <c r="P214" s="13">
        <f t="shared" si="51"/>
        <v>-160.44497844180003</v>
      </c>
      <c r="Q214" s="13"/>
      <c r="R214" s="13">
        <f t="shared" si="52"/>
        <v>-3427.3537037280039</v>
      </c>
      <c r="S214" s="13"/>
      <c r="T214" s="13">
        <f t="shared" si="53"/>
        <v>-114.36721497006</v>
      </c>
      <c r="U214" s="237"/>
      <c r="V214" s="237"/>
      <c r="W214" s="13">
        <v>0</v>
      </c>
      <c r="X214" s="13"/>
      <c r="Y214" s="13">
        <f t="shared" si="54"/>
        <v>0</v>
      </c>
      <c r="Z214" s="13"/>
      <c r="AA214" s="13">
        <v>0</v>
      </c>
      <c r="AB214" s="240"/>
      <c r="AC214" s="13">
        <f t="shared" si="55"/>
        <v>0</v>
      </c>
      <c r="AD214" s="239"/>
      <c r="AE214" s="241" t="s">
        <v>1026</v>
      </c>
      <c r="AF214" s="9"/>
      <c r="AH214" s="8"/>
      <c r="AL214" s="3"/>
      <c r="AO214" s="3">
        <v>-122.99461747361147</v>
      </c>
    </row>
    <row r="215" spans="2:42" x14ac:dyDescent="0.3">
      <c r="B215" s="242">
        <f t="shared" ca="1" si="49"/>
        <v>186</v>
      </c>
      <c r="C215" s="243"/>
      <c r="D215" s="274" t="s">
        <v>587</v>
      </c>
      <c r="E215" s="243"/>
      <c r="F215" s="243" t="s">
        <v>1028</v>
      </c>
      <c r="G215" s="244"/>
      <c r="H215" s="244"/>
      <c r="I215" s="245">
        <v>0</v>
      </c>
      <c r="J215" s="245"/>
      <c r="K215" s="245">
        <v>0</v>
      </c>
      <c r="L215" s="245"/>
      <c r="M215" s="245">
        <f t="shared" si="50"/>
        <v>0</v>
      </c>
      <c r="N215" s="244"/>
      <c r="O215" s="243"/>
      <c r="P215" s="245">
        <f t="shared" ref="P215" si="56">+I215+Y215</f>
        <v>0</v>
      </c>
      <c r="Q215" s="245"/>
      <c r="R215" s="245">
        <f t="shared" ref="R215" si="57">+K215+AA215</f>
        <v>7380.5567547316914</v>
      </c>
      <c r="S215" s="245"/>
      <c r="T215" s="245">
        <f t="shared" si="53"/>
        <v>704.02673862472591</v>
      </c>
      <c r="U215" s="243"/>
      <c r="V215" s="243"/>
      <c r="W215" s="245">
        <v>0</v>
      </c>
      <c r="X215" s="245"/>
      <c r="Y215" s="245">
        <f t="shared" ref="Y215" si="58">+W215*(1-$AJ$5)</f>
        <v>0</v>
      </c>
      <c r="Z215" s="245"/>
      <c r="AA215" s="245">
        <f>+'11.33 (Tacoma LNG)'!G46+'11.33 (Tacoma LNG)'!G67</f>
        <v>7380.5567547316914</v>
      </c>
      <c r="AB215" s="246"/>
      <c r="AC215" s="245">
        <f t="shared" ref="AC215" si="59">+T215-M215</f>
        <v>704.02673862472591</v>
      </c>
      <c r="AD215" s="38"/>
      <c r="AE215" s="247" t="s">
        <v>1026</v>
      </c>
      <c r="AF215" s="9"/>
      <c r="AH215" s="8"/>
      <c r="AL215" s="3"/>
      <c r="AO215" s="3"/>
    </row>
    <row r="216" spans="2:42" x14ac:dyDescent="0.3">
      <c r="B216" s="1">
        <f t="shared" ca="1" si="49"/>
        <v>187</v>
      </c>
      <c r="D216" s="11" t="s">
        <v>588</v>
      </c>
      <c r="F216" s="1" t="str">
        <f>+INDEX('Exh. BGM-4 (2)'!$10:$10,1,MATCH($D216,'Exh. BGM-4 (2)'!$4:$4,0))</f>
        <v>PROJECTED PROVISIONAL PROFORMA</v>
      </c>
      <c r="I216" s="3">
        <v>-4874.6045002844194</v>
      </c>
      <c r="J216" s="3"/>
      <c r="K216" s="3">
        <v>37191.156254355999</v>
      </c>
      <c r="L216" s="3"/>
      <c r="M216" s="3">
        <f t="shared" si="50"/>
        <v>10005.773376821244</v>
      </c>
      <c r="P216" s="3">
        <f t="shared" si="51"/>
        <v>-4874.6045002844194</v>
      </c>
      <c r="Q216" s="3"/>
      <c r="R216" s="3">
        <f t="shared" si="52"/>
        <v>37191.156254355999</v>
      </c>
      <c r="S216" s="3"/>
      <c r="T216" s="3">
        <f t="shared" si="53"/>
        <v>10005.773376821244</v>
      </c>
      <c r="W216" s="3">
        <v>0</v>
      </c>
      <c r="X216" s="3"/>
      <c r="Y216" s="3">
        <f t="shared" si="54"/>
        <v>0</v>
      </c>
      <c r="Z216" s="3"/>
      <c r="AA216" s="3">
        <v>0</v>
      </c>
      <c r="AB216" s="5"/>
      <c r="AC216" s="3">
        <f t="shared" si="55"/>
        <v>0</v>
      </c>
      <c r="AE216" s="9"/>
      <c r="AF216" s="9"/>
      <c r="AH216" s="8"/>
      <c r="AL216" s="3"/>
      <c r="AO216" s="3">
        <v>10099.391690632798</v>
      </c>
    </row>
    <row r="217" spans="2:42" x14ac:dyDescent="0.3">
      <c r="B217" s="222">
        <f t="shared" ca="1" si="49"/>
        <v>188</v>
      </c>
      <c r="C217" s="222"/>
      <c r="D217" s="224" t="s">
        <v>589</v>
      </c>
      <c r="E217" s="222"/>
      <c r="F217" s="222" t="str">
        <f>+INDEX('Exh. BGM-4 (2)'!$10:$10,1,MATCH($D217,'Exh. BGM-4 (2)'!$4:$4,0))</f>
        <v>TACOMA LNG UPGRADE PLANT AND DEFERRAL</v>
      </c>
      <c r="G217" s="225"/>
      <c r="H217" s="225"/>
      <c r="I217" s="226">
        <v>0</v>
      </c>
      <c r="J217" s="226"/>
      <c r="K217" s="226">
        <v>-423.88982592988737</v>
      </c>
      <c r="L217" s="226"/>
      <c r="M217" s="226">
        <f t="shared" si="50"/>
        <v>-40.434588013200688</v>
      </c>
      <c r="N217" s="225"/>
      <c r="O217" s="222"/>
      <c r="P217" s="226">
        <f t="shared" si="51"/>
        <v>0</v>
      </c>
      <c r="Q217" s="226"/>
      <c r="R217" s="226">
        <f t="shared" si="52"/>
        <v>0</v>
      </c>
      <c r="S217" s="226"/>
      <c r="T217" s="226">
        <f t="shared" si="53"/>
        <v>0</v>
      </c>
      <c r="U217" s="222"/>
      <c r="V217" s="222"/>
      <c r="W217" s="226">
        <f>-I217/(1-0.21)</f>
        <v>0</v>
      </c>
      <c r="X217" s="226"/>
      <c r="Y217" s="226">
        <f t="shared" si="54"/>
        <v>0</v>
      </c>
      <c r="Z217" s="226"/>
      <c r="AA217" s="226">
        <f>-K217</f>
        <v>423.88982592988737</v>
      </c>
      <c r="AB217" s="227"/>
      <c r="AC217" s="226">
        <f t="shared" si="55"/>
        <v>40.434588013200688</v>
      </c>
      <c r="AD217" s="225"/>
      <c r="AE217" s="232" t="s">
        <v>1026</v>
      </c>
      <c r="AF217" s="9"/>
      <c r="AH217" s="8"/>
      <c r="AL217" s="3"/>
      <c r="AO217" s="3">
        <v>-41.50161186354903</v>
      </c>
    </row>
    <row r="218" spans="2:42" x14ac:dyDescent="0.3">
      <c r="B218" s="1">
        <f t="shared" ca="1" si="49"/>
        <v>189</v>
      </c>
      <c r="D218" s="11" t="s">
        <v>590</v>
      </c>
      <c r="F218" s="1" t="str">
        <f>+INDEX('Exh. BGM-4 (2)'!$10:$10,1,MATCH($D218,'Exh. BGM-4 (2)'!$4:$4,0))</f>
        <v>REGULATORY ASSETS &amp; LIAB</v>
      </c>
      <c r="I218" s="3">
        <v>3458.9810671147743</v>
      </c>
      <c r="J218" s="3"/>
      <c r="K218" s="3">
        <v>-1109.5602062269686</v>
      </c>
      <c r="L218" s="3"/>
      <c r="M218" s="3">
        <f t="shared" si="50"/>
        <v>-4688.4800125637303</v>
      </c>
      <c r="P218" s="3">
        <f t="shared" si="51"/>
        <v>3458.9810671147743</v>
      </c>
      <c r="Q218" s="3"/>
      <c r="R218" s="3">
        <f t="shared" si="52"/>
        <v>-1109.5602062269686</v>
      </c>
      <c r="S218" s="3"/>
      <c r="T218" s="3">
        <f t="shared" si="53"/>
        <v>-4688.4800125637303</v>
      </c>
      <c r="W218" s="3">
        <v>0</v>
      </c>
      <c r="X218" s="3"/>
      <c r="Y218" s="3">
        <f t="shared" si="54"/>
        <v>0</v>
      </c>
      <c r="Z218" s="3"/>
      <c r="AA218" s="3">
        <v>0</v>
      </c>
      <c r="AB218" s="5"/>
      <c r="AC218" s="3">
        <f t="shared" si="55"/>
        <v>0</v>
      </c>
      <c r="AE218" s="9"/>
      <c r="AF218" s="9"/>
      <c r="AH218" s="8"/>
      <c r="AL218" s="3"/>
      <c r="AO218" s="3">
        <v>-4691.2730194514143</v>
      </c>
    </row>
    <row r="219" spans="2:42" x14ac:dyDescent="0.3">
      <c r="B219" s="222">
        <f t="shared" ca="1" si="49"/>
        <v>190</v>
      </c>
      <c r="C219" s="222"/>
      <c r="D219" s="224" t="s">
        <v>591</v>
      </c>
      <c r="E219" s="222"/>
      <c r="F219" s="222" t="str">
        <f>+INDEX('Exh. BGM-4 (2)'!$10:$10,1,MATCH($D219,'Exh. BGM-4 (2)'!$4:$4,0))</f>
        <v>TACOMA LNG PLANT DEFERRAL</v>
      </c>
      <c r="G219" s="225"/>
      <c r="H219" s="225"/>
      <c r="I219" s="226">
        <v>0</v>
      </c>
      <c r="J219" s="226"/>
      <c r="K219" s="226">
        <v>-2096.045120754387</v>
      </c>
      <c r="L219" s="226"/>
      <c r="M219" s="226">
        <f t="shared" si="50"/>
        <v>-199.94044614980092</v>
      </c>
      <c r="N219" s="225"/>
      <c r="O219" s="222"/>
      <c r="P219" s="226">
        <f t="shared" si="51"/>
        <v>0</v>
      </c>
      <c r="Q219" s="226"/>
      <c r="R219" s="226">
        <f t="shared" si="52"/>
        <v>0</v>
      </c>
      <c r="S219" s="226"/>
      <c r="T219" s="226">
        <f t="shared" si="53"/>
        <v>0</v>
      </c>
      <c r="U219" s="222"/>
      <c r="V219" s="222"/>
      <c r="W219" s="226">
        <f>-I219/(1-0.21)</f>
        <v>0</v>
      </c>
      <c r="X219" s="226"/>
      <c r="Y219" s="226">
        <f t="shared" si="54"/>
        <v>0</v>
      </c>
      <c r="Z219" s="226"/>
      <c r="AA219" s="226">
        <f>-K219</f>
        <v>2096.045120754387</v>
      </c>
      <c r="AB219" s="227"/>
      <c r="AC219" s="226">
        <f t="shared" si="55"/>
        <v>199.94044614980092</v>
      </c>
      <c r="AD219" s="225"/>
      <c r="AE219" s="232" t="s">
        <v>1026</v>
      </c>
      <c r="AF219" s="9"/>
      <c r="AH219" s="8"/>
      <c r="AL219" s="3"/>
      <c r="AO219" s="3">
        <v>-205.21665236764281</v>
      </c>
    </row>
    <row r="220" spans="2:42" x14ac:dyDescent="0.3">
      <c r="B220" s="222">
        <f t="shared" ca="1" si="49"/>
        <v>191</v>
      </c>
      <c r="C220" s="223"/>
      <c r="D220" s="224" t="s">
        <v>1018</v>
      </c>
      <c r="E220" s="223"/>
      <c r="F220" s="222" t="str">
        <f>+INDEX('Exh. BGM-4 (2)'!$10:$10,1,MATCH($D220,'Exh. BGM-4 (2)'!$4:$4,0))</f>
        <v>CAPITAL PRIORITIZATION</v>
      </c>
      <c r="G220" s="225"/>
      <c r="H220" s="225"/>
      <c r="I220" s="226">
        <v>0</v>
      </c>
      <c r="J220" s="226"/>
      <c r="K220" s="226">
        <v>0</v>
      </c>
      <c r="L220" s="226"/>
      <c r="M220" s="226">
        <f t="shared" si="50"/>
        <v>0</v>
      </c>
      <c r="N220" s="225"/>
      <c r="O220" s="222"/>
      <c r="P220" s="226">
        <f t="shared" si="51"/>
        <v>1569.0201842270749</v>
      </c>
      <c r="Q220" s="226"/>
      <c r="R220" s="226">
        <f t="shared" si="52"/>
        <v>-57080.533805762818</v>
      </c>
      <c r="S220" s="226"/>
      <c r="T220" s="226">
        <f t="shared" si="53"/>
        <v>-7523.5971047229632</v>
      </c>
      <c r="U220" s="222"/>
      <c r="V220" s="222"/>
      <c r="W220" s="226">
        <f>-'Exh. BGM-4 (2)'!GL35/1000</f>
        <v>1986.1014990216138</v>
      </c>
      <c r="X220" s="226"/>
      <c r="Y220" s="226">
        <f t="shared" si="54"/>
        <v>1569.0201842270749</v>
      </c>
      <c r="Z220" s="226"/>
      <c r="AA220" s="226">
        <f>+'Exh. BGM-4 (2)'!GL57/1000</f>
        <v>-57080.533805762818</v>
      </c>
      <c r="AB220" s="227"/>
      <c r="AC220" s="226">
        <f t="shared" si="55"/>
        <v>-7523.5971047229632</v>
      </c>
      <c r="AE220" s="307" t="s">
        <v>1025</v>
      </c>
      <c r="AH220" s="8"/>
      <c r="AL220" s="3"/>
      <c r="AO220" s="4"/>
    </row>
    <row r="221" spans="2:42" x14ac:dyDescent="0.3">
      <c r="B221" s="222">
        <f t="shared" ca="1" si="49"/>
        <v>192</v>
      </c>
      <c r="C221" s="223"/>
      <c r="D221" s="224" t="s">
        <v>1047</v>
      </c>
      <c r="E221" s="223"/>
      <c r="F221" s="222" t="str">
        <f>+INDEX('Exh. BGM-4 (2)'!$10:$10,1,MATCH($D221,'Exh. BGM-4 (2)'!$4:$4,0))</f>
        <v>DIRECTORS' FEES</v>
      </c>
      <c r="G221" s="225"/>
      <c r="H221" s="225"/>
      <c r="I221" s="226">
        <v>0</v>
      </c>
      <c r="J221" s="226"/>
      <c r="K221" s="226">
        <v>0</v>
      </c>
      <c r="L221" s="226"/>
      <c r="M221" s="226">
        <f t="shared" si="50"/>
        <v>0</v>
      </c>
      <c r="N221" s="225"/>
      <c r="O221" s="222"/>
      <c r="P221" s="226">
        <f t="shared" si="51"/>
        <v>0.19592000000000001</v>
      </c>
      <c r="Q221" s="226"/>
      <c r="R221" s="226">
        <f t="shared" si="52"/>
        <v>0</v>
      </c>
      <c r="S221" s="226"/>
      <c r="T221" s="226">
        <f t="shared" si="53"/>
        <v>-0.25956510391480669</v>
      </c>
      <c r="U221" s="222"/>
      <c r="V221" s="222"/>
      <c r="W221" s="226">
        <f>-'A2 (Dir. Fees)'!Y16/1000</f>
        <v>0.248</v>
      </c>
      <c r="X221" s="226"/>
      <c r="Y221" s="226">
        <f t="shared" si="54"/>
        <v>0.19592000000000001</v>
      </c>
      <c r="Z221" s="226"/>
      <c r="AA221" s="226">
        <v>0</v>
      </c>
      <c r="AB221" s="227"/>
      <c r="AC221" s="226">
        <f t="shared" si="55"/>
        <v>-0.25956510391480669</v>
      </c>
      <c r="AD221" s="178"/>
      <c r="AE221" s="307" t="s">
        <v>1025</v>
      </c>
      <c r="AF221" s="180"/>
      <c r="AH221" s="8"/>
      <c r="AL221" s="3"/>
      <c r="AO221" s="179"/>
    </row>
    <row r="222" spans="2:42" x14ac:dyDescent="0.3">
      <c r="M222" s="4"/>
      <c r="AH222" s="8"/>
      <c r="AL222" s="3"/>
      <c r="AO222" s="4"/>
    </row>
    <row r="223" spans="2:42" x14ac:dyDescent="0.3">
      <c r="C223" s="7"/>
      <c r="D223" s="11"/>
      <c r="E223" s="7"/>
      <c r="I223" s="14"/>
      <c r="J223" s="6"/>
      <c r="K223" s="14"/>
      <c r="L223" s="6"/>
      <c r="M223" s="14"/>
      <c r="O223" s="7"/>
      <c r="P223" s="14"/>
      <c r="Q223" s="6"/>
      <c r="R223" s="14"/>
      <c r="S223" s="6"/>
      <c r="T223" s="14"/>
      <c r="W223" s="14"/>
      <c r="X223" s="1"/>
      <c r="Y223" s="14"/>
      <c r="Z223" s="6"/>
      <c r="AA223" s="14"/>
      <c r="AB223" s="6"/>
      <c r="AC223" s="13"/>
      <c r="AE223" s="9"/>
      <c r="AF223" s="9"/>
      <c r="AH223" s="8"/>
      <c r="AO223" s="14"/>
    </row>
    <row r="224" spans="2:42" ht="13.5" thickBot="1" x14ac:dyDescent="0.35">
      <c r="B224" s="1">
        <f ca="1">+MAX(OFFSET($B$7,0,0,ROW($B224)-ROW($B$7),1))+1</f>
        <v>193</v>
      </c>
      <c r="D224" s="11"/>
      <c r="F224" s="7" t="s">
        <v>395</v>
      </c>
      <c r="I224" s="12">
        <f>+SUM(I178:I223)</f>
        <v>85647.411004108246</v>
      </c>
      <c r="J224" s="3"/>
      <c r="K224" s="12">
        <f>+SUM(K178:K223)</f>
        <v>3133269.1622188003</v>
      </c>
      <c r="L224" s="3"/>
      <c r="M224" s="12">
        <f t="shared" ref="M224" si="60">+($K224*$AL$31-$I224)/$AJ$4</f>
        <v>185410.41768048189</v>
      </c>
      <c r="P224" s="12">
        <f>+SUM(P178:P223)</f>
        <v>127786.63748986252</v>
      </c>
      <c r="Q224" s="3"/>
      <c r="R224" s="12">
        <f>+SUM(R178:R223)</f>
        <v>2606288.6565010236</v>
      </c>
      <c r="S224" s="3"/>
      <c r="T224" s="12">
        <f t="shared" ref="T224" si="61">+($R224*$AL$31-$P224)/$AJ$4</f>
        <v>79313.813545836834</v>
      </c>
      <c r="W224" s="12">
        <f>+SUM(W178:W223)</f>
        <v>56898.912029433915</v>
      </c>
      <c r="X224" s="5"/>
      <c r="Y224" s="12">
        <f>+SUM(Y178:Y223)</f>
        <v>42139.226485754174</v>
      </c>
      <c r="Z224" s="3"/>
      <c r="AA224" s="12">
        <f>+SUM(AA178:AA223)</f>
        <v>-526980.50571777672</v>
      </c>
      <c r="AB224" s="3"/>
      <c r="AC224" s="12">
        <f>+SUM(AC178:AC223)</f>
        <v>-106096.60413464488</v>
      </c>
      <c r="AE224" s="9"/>
      <c r="AF224" s="9"/>
      <c r="AH224" s="8"/>
      <c r="AO224" s="12">
        <v>195373.1045202252</v>
      </c>
      <c r="AP224" s="3">
        <f>+M224-AO224</f>
        <v>-9962.6868397433136</v>
      </c>
    </row>
    <row r="225" spans="1:50" ht="13.5" thickTop="1" x14ac:dyDescent="0.3">
      <c r="D225" s="11"/>
      <c r="F225" s="7"/>
      <c r="I225" s="134"/>
      <c r="J225" s="3"/>
      <c r="K225" s="134"/>
      <c r="L225" s="3"/>
      <c r="M225" s="134"/>
      <c r="P225" s="134"/>
      <c r="Q225" s="3"/>
      <c r="R225" s="134"/>
      <c r="S225" s="202" t="s">
        <v>671</v>
      </c>
      <c r="T225" s="202">
        <f>+T224-'Exh. BGM-4 (2)'!GP70/1000</f>
        <v>-1.3096723705530167E-10</v>
      </c>
      <c r="W225" s="134"/>
      <c r="X225" s="5"/>
      <c r="Y225" s="134"/>
      <c r="Z225" s="3"/>
      <c r="AA225" s="134"/>
      <c r="AB225" s="3"/>
      <c r="AC225" s="134"/>
      <c r="AE225" s="9"/>
      <c r="AF225" s="9"/>
      <c r="AH225" s="8"/>
      <c r="AO225" s="134"/>
    </row>
    <row r="226" spans="1:50" s="2" customFormat="1" x14ac:dyDescent="0.3">
      <c r="A226" s="1"/>
      <c r="B226" s="1"/>
      <c r="C226" s="1"/>
      <c r="D226" s="1"/>
      <c r="E226" s="1"/>
      <c r="F226" s="1"/>
      <c r="I226" s="1"/>
      <c r="J226" s="1"/>
      <c r="K226" s="1"/>
      <c r="L226" s="1"/>
      <c r="M226" s="1"/>
      <c r="O226" s="1"/>
      <c r="P226" s="1"/>
      <c r="Q226" s="1"/>
      <c r="R226" s="1"/>
      <c r="S226" s="1"/>
      <c r="T226" s="1"/>
      <c r="U226" s="1"/>
      <c r="V226" s="1"/>
      <c r="AH226" s="8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</row>
    <row r="227" spans="1:50" s="2" customFormat="1" x14ac:dyDescent="0.3">
      <c r="A227" s="1"/>
      <c r="B227" s="15" t="s">
        <v>406</v>
      </c>
      <c r="C227" s="1"/>
      <c r="D227" s="1"/>
      <c r="E227" s="1"/>
      <c r="F227" s="1"/>
      <c r="I227" s="1"/>
      <c r="J227" s="1"/>
      <c r="K227" s="1"/>
      <c r="L227" s="1"/>
      <c r="M227" s="3"/>
      <c r="O227" s="1"/>
      <c r="P227" s="1"/>
      <c r="Q227" s="1"/>
      <c r="R227" s="1"/>
      <c r="S227" s="1"/>
      <c r="T227" s="1"/>
      <c r="U227" s="1"/>
      <c r="V227" s="1"/>
      <c r="AH227" s="8"/>
      <c r="AJ227" s="1"/>
      <c r="AK227" s="1"/>
      <c r="AL227" s="1"/>
      <c r="AM227" s="1"/>
      <c r="AN227" s="1"/>
      <c r="AO227" s="3"/>
      <c r="AP227" s="1"/>
      <c r="AQ227" s="1"/>
      <c r="AR227" s="1"/>
      <c r="AS227" s="1"/>
      <c r="AT227" s="1"/>
      <c r="AU227" s="1"/>
      <c r="AV227" s="1"/>
      <c r="AW227" s="1"/>
      <c r="AX227" s="1"/>
    </row>
    <row r="228" spans="1:50" x14ac:dyDescent="0.3">
      <c r="B228" s="1">
        <f t="shared" ref="B228:B267" ca="1" si="62">+MAX(OFFSET($B$7,0,0,ROW($B228)-ROW($B$7),1))+1</f>
        <v>194</v>
      </c>
      <c r="D228" s="1" t="s">
        <v>592</v>
      </c>
      <c r="F228" s="1" t="str">
        <f>+INDEX('Exh. BGM-4 (2)'!$10:$10,1,MATCH($D228,'Exh. BGM-4 (2)'!$4:$4,0))</f>
        <v>REVENUES AND EXPENSES</v>
      </c>
      <c r="I228" s="3">
        <v>644.76249332177895</v>
      </c>
      <c r="J228" s="3"/>
      <c r="K228" s="3">
        <v>0</v>
      </c>
      <c r="L228" s="3"/>
      <c r="M228" s="3">
        <f t="shared" ref="M228:M267" si="63">+($K228*$AL$16-$I228)/$AJ$4</f>
        <v>-854.21520814331052</v>
      </c>
      <c r="P228" s="3">
        <f t="shared" ref="P228:P267" si="64">+I228+Y228</f>
        <v>644.76249332177895</v>
      </c>
      <c r="Q228" s="3"/>
      <c r="R228" s="3">
        <f t="shared" ref="R228:R267" si="65">+K228+AA228</f>
        <v>0</v>
      </c>
      <c r="S228" s="3"/>
      <c r="T228" s="3">
        <f t="shared" ref="T228:T267" si="66">+($R228*$AL$16-$P228)/$AJ$4</f>
        <v>-854.21520814331052</v>
      </c>
      <c r="W228" s="3">
        <v>0</v>
      </c>
      <c r="X228" s="3"/>
      <c r="Y228" s="3">
        <f t="shared" ref="Y228:Y267" si="67">+W228*(1-$AJ$5)</f>
        <v>0</v>
      </c>
      <c r="Z228" s="3"/>
      <c r="AA228" s="3">
        <v>0</v>
      </c>
      <c r="AB228" s="5"/>
      <c r="AC228" s="3">
        <f t="shared" ref="AC228:AC267" si="68">+T228-M228</f>
        <v>0</v>
      </c>
      <c r="AE228" s="9"/>
      <c r="AF228" s="9"/>
      <c r="AH228" s="8"/>
      <c r="AO228" s="3">
        <v>-854.21520814331052</v>
      </c>
    </row>
    <row r="229" spans="1:50" s="2" customFormat="1" x14ac:dyDescent="0.3">
      <c r="A229" s="1"/>
      <c r="B229" s="1">
        <f t="shared" ca="1" si="62"/>
        <v>195</v>
      </c>
      <c r="C229" s="1"/>
      <c r="D229" s="1" t="s">
        <v>593</v>
      </c>
      <c r="E229" s="1"/>
      <c r="F229" s="1" t="str">
        <f>+INDEX('Exh. BGM-4 (2)'!$10:$10,1,MATCH($D229,'Exh. BGM-4 (2)'!$4:$4,0))</f>
        <v>PASS-THROUGH REVENUE &amp; EXPENSE</v>
      </c>
      <c r="I229" s="3">
        <v>0</v>
      </c>
      <c r="J229" s="3"/>
      <c r="K229" s="3">
        <v>0</v>
      </c>
      <c r="L229" s="3"/>
      <c r="M229" s="3">
        <f t="shared" si="63"/>
        <v>0</v>
      </c>
      <c r="O229" s="1"/>
      <c r="P229" s="3">
        <f t="shared" si="64"/>
        <v>0</v>
      </c>
      <c r="Q229" s="3"/>
      <c r="R229" s="3">
        <f t="shared" si="65"/>
        <v>0</v>
      </c>
      <c r="S229" s="3"/>
      <c r="T229" s="3">
        <f t="shared" si="66"/>
        <v>0</v>
      </c>
      <c r="U229" s="1"/>
      <c r="V229" s="1"/>
      <c r="W229" s="3">
        <v>0</v>
      </c>
      <c r="X229" s="3"/>
      <c r="Y229" s="3">
        <f t="shared" si="67"/>
        <v>0</v>
      </c>
      <c r="Z229" s="3"/>
      <c r="AA229" s="3">
        <v>0</v>
      </c>
      <c r="AB229" s="5"/>
      <c r="AC229" s="3">
        <f t="shared" si="68"/>
        <v>0</v>
      </c>
      <c r="AE229" s="9"/>
      <c r="AF229" s="9"/>
      <c r="AH229" s="8"/>
      <c r="AJ229" s="1"/>
      <c r="AK229" s="1"/>
      <c r="AL229" s="1"/>
      <c r="AM229" s="1"/>
      <c r="AN229" s="1"/>
      <c r="AO229" s="3">
        <v>0</v>
      </c>
      <c r="AP229" s="1"/>
      <c r="AQ229" s="1"/>
      <c r="AR229" s="1"/>
      <c r="AS229" s="1"/>
      <c r="AT229" s="1"/>
      <c r="AU229" s="1"/>
      <c r="AV229" s="1"/>
      <c r="AW229" s="1"/>
      <c r="AX229" s="1"/>
    </row>
    <row r="230" spans="1:50" s="2" customFormat="1" x14ac:dyDescent="0.3">
      <c r="A230" s="1"/>
      <c r="B230" s="1">
        <f t="shared" ca="1" si="62"/>
        <v>196</v>
      </c>
      <c r="C230" s="1"/>
      <c r="D230" s="1" t="s">
        <v>594</v>
      </c>
      <c r="E230" s="1"/>
      <c r="F230" s="1" t="str">
        <f>+INDEX('Exh. BGM-4 (2)'!$10:$10,1,MATCH($D230,'Exh. BGM-4 (2)'!$4:$4,0))</f>
        <v>TEMPERATURE NORMALIZATION</v>
      </c>
      <c r="I230" s="3">
        <v>0</v>
      </c>
      <c r="J230" s="3"/>
      <c r="K230" s="3">
        <v>0</v>
      </c>
      <c r="L230" s="3"/>
      <c r="M230" s="3">
        <f t="shared" si="63"/>
        <v>0</v>
      </c>
      <c r="O230" s="1"/>
      <c r="P230" s="3">
        <f t="shared" si="64"/>
        <v>0</v>
      </c>
      <c r="Q230" s="3"/>
      <c r="R230" s="3">
        <f t="shared" si="65"/>
        <v>0</v>
      </c>
      <c r="S230" s="3"/>
      <c r="T230" s="3">
        <f t="shared" si="66"/>
        <v>0</v>
      </c>
      <c r="U230" s="1"/>
      <c r="V230" s="1"/>
      <c r="W230" s="3">
        <v>0</v>
      </c>
      <c r="X230" s="3"/>
      <c r="Y230" s="3">
        <f t="shared" si="67"/>
        <v>0</v>
      </c>
      <c r="Z230" s="3"/>
      <c r="AA230" s="3">
        <v>0</v>
      </c>
      <c r="AB230" s="5"/>
      <c r="AC230" s="3">
        <f t="shared" si="68"/>
        <v>0</v>
      </c>
      <c r="AE230" s="9"/>
      <c r="AF230" s="9"/>
      <c r="AH230" s="8"/>
      <c r="AJ230" s="1"/>
      <c r="AK230" s="1"/>
      <c r="AL230" s="1"/>
      <c r="AM230" s="1"/>
      <c r="AN230" s="1"/>
      <c r="AO230" s="3">
        <v>0</v>
      </c>
      <c r="AP230" s="1"/>
      <c r="AQ230" s="1"/>
      <c r="AR230" s="1"/>
      <c r="AS230" s="1"/>
      <c r="AT230" s="1"/>
      <c r="AU230" s="1"/>
      <c r="AV230" s="1"/>
      <c r="AW230" s="1"/>
      <c r="AX230" s="1"/>
    </row>
    <row r="231" spans="1:50" x14ac:dyDescent="0.3">
      <c r="B231" s="1">
        <f t="shared" ca="1" si="62"/>
        <v>197</v>
      </c>
      <c r="D231" s="1" t="s">
        <v>595</v>
      </c>
      <c r="F231" s="1" t="str">
        <f>+INDEX('Exh. BGM-4 (2)'!$10:$10,1,MATCH($D231,'Exh. BGM-4 (2)'!$4:$4,0))</f>
        <v>FEDERAL INCOME TAX</v>
      </c>
      <c r="I231" s="3">
        <v>695.73051745199859</v>
      </c>
      <c r="J231" s="3"/>
      <c r="K231" s="3">
        <v>7261.8994397121969</v>
      </c>
      <c r="L231" s="3"/>
      <c r="M231" s="3">
        <f t="shared" si="63"/>
        <v>-229.03223206212007</v>
      </c>
      <c r="P231" s="3">
        <f t="shared" si="64"/>
        <v>695.73051745199859</v>
      </c>
      <c r="Q231" s="3"/>
      <c r="R231" s="3">
        <f t="shared" si="65"/>
        <v>7261.8994397121969</v>
      </c>
      <c r="S231" s="3"/>
      <c r="T231" s="3">
        <f t="shared" si="66"/>
        <v>-229.03223206212007</v>
      </c>
      <c r="W231" s="3">
        <v>0</v>
      </c>
      <c r="X231" s="3"/>
      <c r="Y231" s="3">
        <f t="shared" si="67"/>
        <v>0</v>
      </c>
      <c r="Z231" s="3"/>
      <c r="AA231" s="3">
        <v>0</v>
      </c>
      <c r="AB231" s="5"/>
      <c r="AC231" s="3">
        <f t="shared" si="68"/>
        <v>0</v>
      </c>
      <c r="AE231" s="9"/>
      <c r="AF231" s="9"/>
      <c r="AH231" s="8"/>
      <c r="AO231" s="3">
        <v>-210.75243522102818</v>
      </c>
    </row>
    <row r="232" spans="1:50" x14ac:dyDescent="0.3">
      <c r="B232" s="222">
        <f t="shared" ca="1" si="62"/>
        <v>198</v>
      </c>
      <c r="C232" s="222"/>
      <c r="D232" s="222" t="s">
        <v>596</v>
      </c>
      <c r="E232" s="222"/>
      <c r="F232" s="222" t="str">
        <f>+INDEX('Exh. BGM-4 (2)'!$10:$10,1,MATCH($D232,'Exh. BGM-4 (2)'!$4:$4,0))</f>
        <v>TAX BENEFIT OF INTEREST</v>
      </c>
      <c r="G232" s="225"/>
      <c r="H232" s="225"/>
      <c r="I232" s="226">
        <v>500.74582573861193</v>
      </c>
      <c r="J232" s="226"/>
      <c r="K232" s="226">
        <v>0</v>
      </c>
      <c r="L232" s="226"/>
      <c r="M232" s="226">
        <f t="shared" si="63"/>
        <v>-663.41436449953289</v>
      </c>
      <c r="N232" s="225"/>
      <c r="O232" s="222"/>
      <c r="P232" s="226">
        <f t="shared" si="64"/>
        <v>262.17266740625672</v>
      </c>
      <c r="Q232" s="226"/>
      <c r="R232" s="226">
        <f t="shared" si="65"/>
        <v>0</v>
      </c>
      <c r="S232" s="226"/>
      <c r="T232" s="226">
        <f t="shared" si="66"/>
        <v>-347.34011667480132</v>
      </c>
      <c r="U232" s="222"/>
      <c r="V232" s="222"/>
      <c r="W232" s="226">
        <v>0</v>
      </c>
      <c r="X232" s="226"/>
      <c r="Y232" s="226">
        <f>+SUM(AA233:AA267)*$AL$14*$AJ$5</f>
        <v>-238.57315833235521</v>
      </c>
      <c r="Z232" s="226"/>
      <c r="AA232" s="226">
        <v>0</v>
      </c>
      <c r="AB232" s="227"/>
      <c r="AC232" s="226">
        <f t="shared" si="68"/>
        <v>316.07424782473157</v>
      </c>
      <c r="AD232" s="225"/>
      <c r="AE232" s="232" t="s">
        <v>1065</v>
      </c>
      <c r="AF232" s="9"/>
      <c r="AH232" s="8"/>
      <c r="AL232" s="3"/>
      <c r="AO232" s="3">
        <v>-663.41436449953289</v>
      </c>
    </row>
    <row r="233" spans="1:50" x14ac:dyDescent="0.3">
      <c r="B233" s="1">
        <f t="shared" ca="1" si="62"/>
        <v>199</v>
      </c>
      <c r="D233" s="1" t="s">
        <v>597</v>
      </c>
      <c r="F233" s="1" t="str">
        <f>+INDEX('Exh. BGM-4 (2)'!$10:$10,1,MATCH($D233,'Exh. BGM-4 (2)'!$4:$4,0))</f>
        <v>BAD DEBT EXPENSE</v>
      </c>
      <c r="I233" s="3">
        <v>0</v>
      </c>
      <c r="J233" s="3"/>
      <c r="K233" s="3">
        <v>0</v>
      </c>
      <c r="L233" s="3"/>
      <c r="M233" s="3">
        <f t="shared" si="63"/>
        <v>0</v>
      </c>
      <c r="P233" s="3">
        <f t="shared" si="64"/>
        <v>0</v>
      </c>
      <c r="Q233" s="3"/>
      <c r="R233" s="3">
        <f t="shared" si="65"/>
        <v>0</v>
      </c>
      <c r="S233" s="3"/>
      <c r="T233" s="3">
        <f t="shared" si="66"/>
        <v>0</v>
      </c>
      <c r="W233" s="3">
        <v>0</v>
      </c>
      <c r="X233" s="3"/>
      <c r="Y233" s="3">
        <f t="shared" si="67"/>
        <v>0</v>
      </c>
      <c r="Z233" s="3"/>
      <c r="AA233" s="3">
        <v>0</v>
      </c>
      <c r="AB233" s="5"/>
      <c r="AC233" s="3">
        <f t="shared" si="68"/>
        <v>0</v>
      </c>
      <c r="AE233" s="9"/>
      <c r="AF233" s="9"/>
      <c r="AH233" s="8"/>
      <c r="AL233" s="3"/>
      <c r="AO233" s="3">
        <v>0</v>
      </c>
    </row>
    <row r="234" spans="1:50" x14ac:dyDescent="0.3">
      <c r="B234" s="1">
        <f t="shared" ca="1" si="62"/>
        <v>200</v>
      </c>
      <c r="D234" s="1" t="s">
        <v>598</v>
      </c>
      <c r="F234" s="1" t="str">
        <f>+INDEX('Exh. BGM-4 (2)'!$10:$10,1,MATCH($D234,'Exh. BGM-4 (2)'!$4:$4,0))</f>
        <v>RATE CASE EXPENSE</v>
      </c>
      <c r="I234" s="3">
        <v>0</v>
      </c>
      <c r="J234" s="3"/>
      <c r="K234" s="3">
        <v>0</v>
      </c>
      <c r="L234" s="3"/>
      <c r="M234" s="3">
        <f t="shared" si="63"/>
        <v>0</v>
      </c>
      <c r="P234" s="3">
        <f t="shared" si="64"/>
        <v>0</v>
      </c>
      <c r="Q234" s="3"/>
      <c r="R234" s="3">
        <f t="shared" si="65"/>
        <v>0</v>
      </c>
      <c r="S234" s="3"/>
      <c r="T234" s="3">
        <f t="shared" si="66"/>
        <v>0</v>
      </c>
      <c r="W234" s="3">
        <v>0</v>
      </c>
      <c r="X234" s="3"/>
      <c r="Y234" s="3">
        <f t="shared" si="67"/>
        <v>0</v>
      </c>
      <c r="Z234" s="3"/>
      <c r="AA234" s="3">
        <v>0</v>
      </c>
      <c r="AB234" s="5"/>
      <c r="AC234" s="3">
        <f t="shared" si="68"/>
        <v>0</v>
      </c>
      <c r="AE234" s="9"/>
      <c r="AF234" s="9"/>
      <c r="AH234" s="8"/>
      <c r="AO234" s="3">
        <v>0</v>
      </c>
    </row>
    <row r="235" spans="1:50" s="2" customFormat="1" x14ac:dyDescent="0.3">
      <c r="A235" s="1"/>
      <c r="B235" s="1">
        <f t="shared" ca="1" si="62"/>
        <v>201</v>
      </c>
      <c r="C235" s="1"/>
      <c r="D235" s="1" t="s">
        <v>599</v>
      </c>
      <c r="E235" s="1"/>
      <c r="F235" s="1" t="str">
        <f>+INDEX('Exh. BGM-4 (2)'!$10:$10,1,MATCH($D235,'Exh. BGM-4 (2)'!$4:$4,0))</f>
        <v xml:space="preserve">EXCISE TAX </v>
      </c>
      <c r="I235" s="3">
        <v>0</v>
      </c>
      <c r="J235" s="3"/>
      <c r="K235" s="3">
        <v>0</v>
      </c>
      <c r="L235" s="3"/>
      <c r="M235" s="3">
        <f t="shared" si="63"/>
        <v>0</v>
      </c>
      <c r="O235" s="1"/>
      <c r="P235" s="3">
        <f t="shared" si="64"/>
        <v>0</v>
      </c>
      <c r="Q235" s="3"/>
      <c r="R235" s="3">
        <f t="shared" si="65"/>
        <v>0</v>
      </c>
      <c r="S235" s="3"/>
      <c r="T235" s="3">
        <f t="shared" si="66"/>
        <v>0</v>
      </c>
      <c r="U235" s="1"/>
      <c r="V235" s="1"/>
      <c r="W235" s="3">
        <v>0</v>
      </c>
      <c r="X235" s="3"/>
      <c r="Y235" s="3">
        <f t="shared" si="67"/>
        <v>0</v>
      </c>
      <c r="Z235" s="3"/>
      <c r="AA235" s="3">
        <v>0</v>
      </c>
      <c r="AB235" s="5"/>
      <c r="AC235" s="3">
        <f t="shared" si="68"/>
        <v>0</v>
      </c>
      <c r="AE235" s="9"/>
      <c r="AF235" s="9"/>
      <c r="AH235" s="8"/>
      <c r="AJ235" s="1"/>
      <c r="AK235" s="1"/>
      <c r="AL235" s="1"/>
      <c r="AM235" s="1"/>
      <c r="AN235" s="1"/>
      <c r="AO235" s="3">
        <v>0</v>
      </c>
      <c r="AP235" s="1"/>
      <c r="AQ235" s="1"/>
      <c r="AR235" s="1"/>
      <c r="AS235" s="1"/>
      <c r="AT235" s="1"/>
      <c r="AU235" s="1"/>
      <c r="AV235" s="1"/>
      <c r="AW235" s="1"/>
      <c r="AX235" s="1"/>
    </row>
    <row r="236" spans="1:50" s="2" customFormat="1" x14ac:dyDescent="0.3">
      <c r="A236" s="1"/>
      <c r="B236" s="1">
        <f t="shared" ca="1" si="62"/>
        <v>202</v>
      </c>
      <c r="C236" s="1"/>
      <c r="D236" s="1" t="s">
        <v>600</v>
      </c>
      <c r="E236" s="1"/>
      <c r="F236" s="1" t="str">
        <f>+INDEX('Exh. BGM-4 (2)'!$10:$10,1,MATCH($D236,'Exh. BGM-4 (2)'!$4:$4,0))</f>
        <v>EMPLOYEE INSURANCE</v>
      </c>
      <c r="I236" s="3">
        <v>0</v>
      </c>
      <c r="J236" s="3"/>
      <c r="K236" s="3">
        <v>0</v>
      </c>
      <c r="L236" s="3"/>
      <c r="M236" s="3">
        <f t="shared" si="63"/>
        <v>0</v>
      </c>
      <c r="O236" s="1"/>
      <c r="P236" s="3">
        <f t="shared" si="64"/>
        <v>0</v>
      </c>
      <c r="Q236" s="3"/>
      <c r="R236" s="3">
        <f t="shared" si="65"/>
        <v>0</v>
      </c>
      <c r="S236" s="3"/>
      <c r="T236" s="3">
        <f t="shared" si="66"/>
        <v>0</v>
      </c>
      <c r="U236" s="1"/>
      <c r="V236" s="1"/>
      <c r="W236" s="3">
        <v>0</v>
      </c>
      <c r="X236" s="3"/>
      <c r="Y236" s="3">
        <f t="shared" si="67"/>
        <v>0</v>
      </c>
      <c r="Z236" s="3"/>
      <c r="AA236" s="3">
        <v>0</v>
      </c>
      <c r="AB236" s="5"/>
      <c r="AC236" s="3">
        <f t="shared" si="68"/>
        <v>0</v>
      </c>
      <c r="AE236" s="9"/>
      <c r="AF236" s="9"/>
      <c r="AH236" s="8"/>
      <c r="AJ236" s="1"/>
      <c r="AK236" s="1"/>
      <c r="AL236" s="1"/>
      <c r="AM236" s="1"/>
      <c r="AN236" s="1"/>
      <c r="AO236" s="3">
        <v>0</v>
      </c>
      <c r="AP236" s="1"/>
      <c r="AQ236" s="1"/>
      <c r="AR236" s="1"/>
      <c r="AS236" s="1"/>
      <c r="AT236" s="1"/>
      <c r="AU236" s="1"/>
      <c r="AV236" s="1"/>
      <c r="AW236" s="1"/>
      <c r="AX236" s="1"/>
    </row>
    <row r="237" spans="1:50" s="2" customFormat="1" x14ac:dyDescent="0.3">
      <c r="A237" s="1"/>
      <c r="B237" s="1">
        <f t="shared" ca="1" si="62"/>
        <v>203</v>
      </c>
      <c r="C237" s="1"/>
      <c r="D237" s="1" t="s">
        <v>601</v>
      </c>
      <c r="E237" s="1"/>
      <c r="F237" s="1" t="str">
        <f>+INDEX('Exh. BGM-4 (2)'!$10:$10,1,MATCH($D237,'Exh. BGM-4 (2)'!$4:$4,0))</f>
        <v>INJURIES &amp; DAMAGES</v>
      </c>
      <c r="I237" s="3">
        <v>0</v>
      </c>
      <c r="J237" s="3"/>
      <c r="K237" s="3">
        <v>0</v>
      </c>
      <c r="L237" s="3"/>
      <c r="M237" s="3">
        <f t="shared" si="63"/>
        <v>0</v>
      </c>
      <c r="O237" s="1"/>
      <c r="P237" s="3">
        <f t="shared" si="64"/>
        <v>0</v>
      </c>
      <c r="Q237" s="3"/>
      <c r="R237" s="3">
        <f t="shared" si="65"/>
        <v>0</v>
      </c>
      <c r="S237" s="3"/>
      <c r="T237" s="3">
        <f t="shared" si="66"/>
        <v>0</v>
      </c>
      <c r="U237" s="1"/>
      <c r="V237" s="1"/>
      <c r="W237" s="3">
        <v>0</v>
      </c>
      <c r="X237" s="3"/>
      <c r="Y237" s="3">
        <f t="shared" si="67"/>
        <v>0</v>
      </c>
      <c r="Z237" s="3"/>
      <c r="AA237" s="3">
        <v>0</v>
      </c>
      <c r="AB237" s="5"/>
      <c r="AC237" s="3">
        <f t="shared" si="68"/>
        <v>0</v>
      </c>
      <c r="AE237" s="9"/>
      <c r="AF237" s="9"/>
      <c r="AH237" s="8"/>
      <c r="AJ237" s="1"/>
      <c r="AK237" s="1"/>
      <c r="AL237" s="1"/>
      <c r="AM237" s="1"/>
      <c r="AN237" s="1"/>
      <c r="AO237" s="3">
        <v>0</v>
      </c>
      <c r="AP237" s="1"/>
      <c r="AQ237" s="1"/>
      <c r="AR237" s="1"/>
      <c r="AS237" s="1"/>
      <c r="AT237" s="1"/>
      <c r="AU237" s="1"/>
      <c r="AV237" s="1"/>
      <c r="AW237" s="1"/>
      <c r="AX237" s="1"/>
    </row>
    <row r="238" spans="1:50" x14ac:dyDescent="0.3">
      <c r="B238" s="1">
        <f t="shared" ca="1" si="62"/>
        <v>204</v>
      </c>
      <c r="D238" s="1" t="s">
        <v>602</v>
      </c>
      <c r="F238" s="1" t="str">
        <f>+INDEX('Exh. BGM-4 (2)'!$10:$10,1,MATCH($D238,'Exh. BGM-4 (2)'!$4:$4,0))</f>
        <v>INCENTIVE PAY</v>
      </c>
      <c r="I238" s="3">
        <v>-792.18997162490746</v>
      </c>
      <c r="J238" s="3"/>
      <c r="K238" s="3">
        <v>0</v>
      </c>
      <c r="L238" s="3"/>
      <c r="M238" s="3">
        <f t="shared" si="63"/>
        <v>1049.5348729332729</v>
      </c>
      <c r="P238" s="3">
        <f t="shared" si="64"/>
        <v>-792.18997162490746</v>
      </c>
      <c r="Q238" s="3"/>
      <c r="R238" s="3">
        <f t="shared" si="65"/>
        <v>0</v>
      </c>
      <c r="S238" s="3"/>
      <c r="T238" s="3">
        <f t="shared" si="66"/>
        <v>1049.5348729332729</v>
      </c>
      <c r="W238" s="3">
        <v>0</v>
      </c>
      <c r="X238" s="3"/>
      <c r="Y238" s="3">
        <f t="shared" si="67"/>
        <v>0</v>
      </c>
      <c r="Z238" s="3"/>
      <c r="AA238" s="3">
        <v>0</v>
      </c>
      <c r="AB238" s="5"/>
      <c r="AC238" s="3">
        <f t="shared" si="68"/>
        <v>0</v>
      </c>
      <c r="AE238" s="9"/>
      <c r="AF238" s="9"/>
      <c r="AH238" s="8"/>
      <c r="AO238" s="3">
        <v>1049.5348729332729</v>
      </c>
    </row>
    <row r="239" spans="1:50" x14ac:dyDescent="0.3">
      <c r="B239" s="1">
        <f t="shared" ca="1" si="62"/>
        <v>205</v>
      </c>
      <c r="D239" s="1" t="s">
        <v>603</v>
      </c>
      <c r="F239" s="1" t="str">
        <f>+INDEX('Exh. BGM-4 (2)'!$10:$10,1,MATCH($D239,'Exh. BGM-4 (2)'!$4:$4,0))</f>
        <v>INVESTMENT PLAN</v>
      </c>
      <c r="I239" s="3">
        <v>0</v>
      </c>
      <c r="J239" s="3"/>
      <c r="K239" s="3">
        <v>0</v>
      </c>
      <c r="L239" s="3"/>
      <c r="M239" s="3">
        <f t="shared" si="63"/>
        <v>0</v>
      </c>
      <c r="P239" s="3">
        <f t="shared" si="64"/>
        <v>0</v>
      </c>
      <c r="Q239" s="3"/>
      <c r="R239" s="3">
        <f t="shared" si="65"/>
        <v>0</v>
      </c>
      <c r="S239" s="3"/>
      <c r="T239" s="3">
        <f t="shared" si="66"/>
        <v>0</v>
      </c>
      <c r="W239" s="3">
        <v>0</v>
      </c>
      <c r="X239" s="3"/>
      <c r="Y239" s="3">
        <f t="shared" si="67"/>
        <v>0</v>
      </c>
      <c r="Z239" s="3"/>
      <c r="AA239" s="3">
        <v>0</v>
      </c>
      <c r="AB239" s="5"/>
      <c r="AC239" s="3">
        <f t="shared" si="68"/>
        <v>0</v>
      </c>
      <c r="AE239" s="9"/>
      <c r="AF239" s="9"/>
      <c r="AH239" s="8"/>
      <c r="AO239" s="3">
        <v>0</v>
      </c>
    </row>
    <row r="240" spans="1:50" x14ac:dyDescent="0.3">
      <c r="B240" s="1">
        <f t="shared" ca="1" si="62"/>
        <v>206</v>
      </c>
      <c r="D240" s="1" t="s">
        <v>604</v>
      </c>
      <c r="F240" s="1" t="str">
        <f>+INDEX('Exh. BGM-4 (2)'!$10:$10,1,MATCH($D240,'Exh. BGM-4 (2)'!$4:$4,0))</f>
        <v>INTEREST ON  CUSTOMER DEPOSITS</v>
      </c>
      <c r="I240" s="3">
        <v>0</v>
      </c>
      <c r="J240" s="3"/>
      <c r="K240" s="3">
        <v>0</v>
      </c>
      <c r="L240" s="3"/>
      <c r="M240" s="3">
        <f t="shared" si="63"/>
        <v>0</v>
      </c>
      <c r="P240" s="3">
        <f t="shared" si="64"/>
        <v>0</v>
      </c>
      <c r="Q240" s="3"/>
      <c r="R240" s="3">
        <f t="shared" si="65"/>
        <v>0</v>
      </c>
      <c r="S240" s="3"/>
      <c r="T240" s="3">
        <f t="shared" si="66"/>
        <v>0</v>
      </c>
      <c r="W240" s="3">
        <v>0</v>
      </c>
      <c r="X240" s="3"/>
      <c r="Y240" s="3">
        <f t="shared" si="67"/>
        <v>0</v>
      </c>
      <c r="Z240" s="3"/>
      <c r="AA240" s="3">
        <v>0</v>
      </c>
      <c r="AB240" s="5"/>
      <c r="AC240" s="3">
        <f t="shared" si="68"/>
        <v>0</v>
      </c>
      <c r="AE240" s="9"/>
      <c r="AF240" s="9"/>
      <c r="AH240" s="8"/>
      <c r="AO240" s="3">
        <v>0</v>
      </c>
    </row>
    <row r="241" spans="2:41" x14ac:dyDescent="0.3">
      <c r="B241" s="1">
        <f t="shared" ca="1" si="62"/>
        <v>207</v>
      </c>
      <c r="D241" s="1" t="s">
        <v>605</v>
      </c>
      <c r="F241" s="1" t="str">
        <f>+INDEX('Exh. BGM-4 (2)'!$10:$10,1,MATCH($D241,'Exh. BGM-4 (2)'!$4:$4,0))</f>
        <v>PROPERTY AND LIAB INSURANCE</v>
      </c>
      <c r="I241" s="3">
        <v>0</v>
      </c>
      <c r="J241" s="3"/>
      <c r="K241" s="3">
        <v>0</v>
      </c>
      <c r="L241" s="3"/>
      <c r="M241" s="3">
        <f t="shared" si="63"/>
        <v>0</v>
      </c>
      <c r="P241" s="3">
        <f t="shared" si="64"/>
        <v>0</v>
      </c>
      <c r="Q241" s="3"/>
      <c r="R241" s="3">
        <f t="shared" si="65"/>
        <v>0</v>
      </c>
      <c r="S241" s="3"/>
      <c r="T241" s="3">
        <f t="shared" si="66"/>
        <v>0</v>
      </c>
      <c r="W241" s="3">
        <v>0</v>
      </c>
      <c r="X241" s="3"/>
      <c r="Y241" s="3">
        <f t="shared" si="67"/>
        <v>0</v>
      </c>
      <c r="Z241" s="3"/>
      <c r="AA241" s="3">
        <v>0</v>
      </c>
      <c r="AB241" s="5"/>
      <c r="AC241" s="3">
        <f t="shared" si="68"/>
        <v>0</v>
      </c>
      <c r="AE241" s="9"/>
      <c r="AF241" s="9"/>
      <c r="AH241" s="8"/>
      <c r="AO241" s="3">
        <v>0</v>
      </c>
    </row>
    <row r="242" spans="2:41" x14ac:dyDescent="0.3">
      <c r="B242" s="1">
        <f t="shared" ca="1" si="62"/>
        <v>208</v>
      </c>
      <c r="D242" s="1" t="s">
        <v>606</v>
      </c>
      <c r="F242" s="1" t="str">
        <f>+INDEX('Exh. BGM-4 (2)'!$10:$10,1,MATCH($D242,'Exh. BGM-4 (2)'!$4:$4,0))</f>
        <v>DEFERRED GAINS AND LOSSES ON PROPERTY SALES</v>
      </c>
      <c r="I242" s="3">
        <v>0</v>
      </c>
      <c r="J242" s="3"/>
      <c r="K242" s="3">
        <v>0</v>
      </c>
      <c r="L242" s="3"/>
      <c r="M242" s="3">
        <f t="shared" si="63"/>
        <v>0</v>
      </c>
      <c r="P242" s="3">
        <f t="shared" si="64"/>
        <v>0</v>
      </c>
      <c r="Q242" s="3"/>
      <c r="R242" s="3">
        <f t="shared" si="65"/>
        <v>0</v>
      </c>
      <c r="S242" s="3"/>
      <c r="T242" s="3">
        <f t="shared" si="66"/>
        <v>0</v>
      </c>
      <c r="W242" s="3">
        <v>0</v>
      </c>
      <c r="X242" s="3"/>
      <c r="Y242" s="3">
        <f t="shared" si="67"/>
        <v>0</v>
      </c>
      <c r="Z242" s="3"/>
      <c r="AA242" s="3">
        <v>0</v>
      </c>
      <c r="AB242" s="5"/>
      <c r="AC242" s="3">
        <f t="shared" si="68"/>
        <v>0</v>
      </c>
      <c r="AE242" s="9"/>
      <c r="AF242" s="9"/>
      <c r="AH242" s="8"/>
      <c r="AO242" s="3">
        <v>0</v>
      </c>
    </row>
    <row r="243" spans="2:41" x14ac:dyDescent="0.3">
      <c r="B243" s="1">
        <f t="shared" ca="1" si="62"/>
        <v>209</v>
      </c>
      <c r="D243" s="1" t="s">
        <v>607</v>
      </c>
      <c r="F243" s="1" t="str">
        <f>+INDEX('Exh. BGM-4 (2)'!$10:$10,1,MATCH($D243,'Exh. BGM-4 (2)'!$4:$4,0))</f>
        <v>D&amp;O INSURANCE</v>
      </c>
      <c r="I243" s="3">
        <v>0</v>
      </c>
      <c r="J243" s="3"/>
      <c r="K243" s="3">
        <v>0</v>
      </c>
      <c r="L243" s="3"/>
      <c r="M243" s="3">
        <f t="shared" si="63"/>
        <v>0</v>
      </c>
      <c r="P243" s="3">
        <f t="shared" si="64"/>
        <v>0</v>
      </c>
      <c r="Q243" s="3"/>
      <c r="R243" s="3">
        <f t="shared" si="65"/>
        <v>0</v>
      </c>
      <c r="S243" s="3"/>
      <c r="T243" s="3">
        <f t="shared" si="66"/>
        <v>0</v>
      </c>
      <c r="W243" s="3">
        <v>0</v>
      </c>
      <c r="X243" s="3"/>
      <c r="Y243" s="3">
        <f t="shared" si="67"/>
        <v>0</v>
      </c>
      <c r="Z243" s="3"/>
      <c r="AA243" s="3">
        <v>0</v>
      </c>
      <c r="AB243" s="5"/>
      <c r="AC243" s="3">
        <f t="shared" si="68"/>
        <v>0</v>
      </c>
      <c r="AE243" s="9"/>
      <c r="AF243" s="9"/>
      <c r="AH243" s="8"/>
      <c r="AO243" s="3">
        <v>0</v>
      </c>
    </row>
    <row r="244" spans="2:41" x14ac:dyDescent="0.3">
      <c r="B244" s="1">
        <f t="shared" ca="1" si="62"/>
        <v>210</v>
      </c>
      <c r="D244" s="1" t="s">
        <v>608</v>
      </c>
      <c r="F244" s="1" t="str">
        <f>+INDEX('Exh. BGM-4 (2)'!$10:$10,1,MATCH($D244,'Exh. BGM-4 (2)'!$4:$4,0))</f>
        <v>PENSION PLAN</v>
      </c>
      <c r="I244" s="3">
        <v>0</v>
      </c>
      <c r="J244" s="3"/>
      <c r="K244" s="3">
        <v>0</v>
      </c>
      <c r="L244" s="3"/>
      <c r="M244" s="3">
        <f t="shared" si="63"/>
        <v>0</v>
      </c>
      <c r="P244" s="3">
        <f t="shared" si="64"/>
        <v>0</v>
      </c>
      <c r="Q244" s="3"/>
      <c r="R244" s="3">
        <f t="shared" si="65"/>
        <v>0</v>
      </c>
      <c r="S244" s="3"/>
      <c r="T244" s="3">
        <f t="shared" si="66"/>
        <v>0</v>
      </c>
      <c r="W244" s="3">
        <v>0</v>
      </c>
      <c r="X244" s="3"/>
      <c r="Y244" s="3">
        <f t="shared" si="67"/>
        <v>0</v>
      </c>
      <c r="Z244" s="3"/>
      <c r="AA244" s="3">
        <v>0</v>
      </c>
      <c r="AB244" s="5"/>
      <c r="AC244" s="3">
        <f t="shared" si="68"/>
        <v>0</v>
      </c>
      <c r="AE244" s="9"/>
      <c r="AF244" s="9"/>
      <c r="AH244" s="8"/>
      <c r="AO244" s="3">
        <v>0</v>
      </c>
    </row>
    <row r="245" spans="2:41" x14ac:dyDescent="0.3">
      <c r="B245" s="1">
        <f t="shared" ca="1" si="62"/>
        <v>211</v>
      </c>
      <c r="D245" s="1" t="s">
        <v>609</v>
      </c>
      <c r="F245" s="1" t="str">
        <f>+INDEX('Exh. BGM-4 (2)'!$10:$10,1,MATCH($D245,'Exh. BGM-4 (2)'!$4:$4,0))</f>
        <v>WAGE INCREASE</v>
      </c>
      <c r="I245" s="3">
        <v>0</v>
      </c>
      <c r="J245" s="3"/>
      <c r="K245" s="3">
        <v>0</v>
      </c>
      <c r="L245" s="3"/>
      <c r="M245" s="3">
        <f t="shared" si="63"/>
        <v>0</v>
      </c>
      <c r="P245" s="3">
        <f t="shared" si="64"/>
        <v>0</v>
      </c>
      <c r="Q245" s="3"/>
      <c r="R245" s="3">
        <f t="shared" si="65"/>
        <v>0</v>
      </c>
      <c r="S245" s="3"/>
      <c r="T245" s="3">
        <f t="shared" si="66"/>
        <v>0</v>
      </c>
      <c r="W245" s="3">
        <v>0</v>
      </c>
      <c r="X245" s="3"/>
      <c r="Y245" s="3">
        <f t="shared" si="67"/>
        <v>0</v>
      </c>
      <c r="Z245" s="3"/>
      <c r="AA245" s="3">
        <v>0</v>
      </c>
      <c r="AB245" s="5"/>
      <c r="AC245" s="3">
        <f t="shared" si="68"/>
        <v>0</v>
      </c>
      <c r="AE245" s="9"/>
      <c r="AF245" s="9"/>
      <c r="AH245" s="8"/>
      <c r="AO245" s="3">
        <v>0</v>
      </c>
    </row>
    <row r="246" spans="2:41" x14ac:dyDescent="0.3">
      <c r="B246" s="1">
        <f t="shared" ca="1" si="62"/>
        <v>212</v>
      </c>
      <c r="D246" s="1" t="s">
        <v>610</v>
      </c>
      <c r="F246" s="1" t="str">
        <f>+INDEX('Exh. BGM-4 (2)'!$10:$10,1,MATCH($D246,'Exh. BGM-4 (2)'!$4:$4,0))</f>
        <v>AMA TO EOP RATE BASE</v>
      </c>
      <c r="I246" s="3">
        <v>0</v>
      </c>
      <c r="J246" s="3"/>
      <c r="K246" s="3">
        <v>0</v>
      </c>
      <c r="L246" s="3"/>
      <c r="M246" s="3">
        <f t="shared" si="63"/>
        <v>0</v>
      </c>
      <c r="P246" s="3">
        <f t="shared" si="64"/>
        <v>0</v>
      </c>
      <c r="Q246" s="3"/>
      <c r="R246" s="3">
        <f t="shared" si="65"/>
        <v>0</v>
      </c>
      <c r="S246" s="3"/>
      <c r="T246" s="3">
        <f t="shared" si="66"/>
        <v>0</v>
      </c>
      <c r="W246" s="3">
        <v>0</v>
      </c>
      <c r="X246" s="3"/>
      <c r="Y246" s="3">
        <f t="shared" si="67"/>
        <v>0</v>
      </c>
      <c r="Z246" s="3"/>
      <c r="AA246" s="3">
        <v>0</v>
      </c>
      <c r="AB246" s="5"/>
      <c r="AC246" s="3">
        <f t="shared" si="68"/>
        <v>0</v>
      </c>
      <c r="AE246" s="9"/>
      <c r="AF246" s="9"/>
      <c r="AH246" s="8"/>
      <c r="AO246" s="3">
        <v>0</v>
      </c>
    </row>
    <row r="247" spans="2:41" x14ac:dyDescent="0.3">
      <c r="B247" s="1">
        <f t="shared" ca="1" si="62"/>
        <v>213</v>
      </c>
      <c r="D247" s="1" t="s">
        <v>611</v>
      </c>
      <c r="F247" s="1" t="str">
        <f>+INDEX('Exh. BGM-4 (2)'!$10:$10,1,MATCH($D247,'Exh. BGM-4 (2)'!$4:$4,0))</f>
        <v>AMA TO EOP DEPRECIATION</v>
      </c>
      <c r="I247" s="3">
        <v>0</v>
      </c>
      <c r="J247" s="3"/>
      <c r="K247" s="3">
        <v>0</v>
      </c>
      <c r="L247" s="3"/>
      <c r="M247" s="3">
        <f t="shared" si="63"/>
        <v>0</v>
      </c>
      <c r="P247" s="3">
        <f t="shared" si="64"/>
        <v>0</v>
      </c>
      <c r="Q247" s="3"/>
      <c r="R247" s="3">
        <f t="shared" si="65"/>
        <v>0</v>
      </c>
      <c r="S247" s="3"/>
      <c r="T247" s="3">
        <f t="shared" si="66"/>
        <v>0</v>
      </c>
      <c r="W247" s="3">
        <v>0</v>
      </c>
      <c r="X247" s="3"/>
      <c r="Y247" s="3">
        <f t="shared" si="67"/>
        <v>0</v>
      </c>
      <c r="Z247" s="3"/>
      <c r="AA247" s="3">
        <v>0</v>
      </c>
      <c r="AB247" s="5"/>
      <c r="AC247" s="3">
        <f t="shared" si="68"/>
        <v>0</v>
      </c>
      <c r="AE247" s="9"/>
      <c r="AF247" s="9"/>
      <c r="AH247" s="8"/>
      <c r="AO247" s="3">
        <v>0</v>
      </c>
    </row>
    <row r="248" spans="2:41" x14ac:dyDescent="0.3">
      <c r="B248" s="1">
        <f t="shared" ca="1" si="62"/>
        <v>214</v>
      </c>
      <c r="D248" s="1" t="s">
        <v>612</v>
      </c>
      <c r="F248" s="1" t="str">
        <f>+INDEX('Exh. BGM-4 (2)'!$10:$10,1,MATCH($D248,'Exh. BGM-4 (2)'!$4:$4,0))</f>
        <v>WUTC FILING FEE</v>
      </c>
      <c r="I248" s="3">
        <v>0</v>
      </c>
      <c r="J248" s="3"/>
      <c r="K248" s="3">
        <v>0</v>
      </c>
      <c r="L248" s="3"/>
      <c r="M248" s="3">
        <f t="shared" si="63"/>
        <v>0</v>
      </c>
      <c r="P248" s="3">
        <f t="shared" si="64"/>
        <v>0</v>
      </c>
      <c r="Q248" s="3"/>
      <c r="R248" s="3">
        <f t="shared" si="65"/>
        <v>0</v>
      </c>
      <c r="S248" s="3"/>
      <c r="T248" s="3">
        <f t="shared" si="66"/>
        <v>0</v>
      </c>
      <c r="W248" s="3">
        <v>0</v>
      </c>
      <c r="X248" s="3"/>
      <c r="Y248" s="3">
        <f t="shared" si="67"/>
        <v>0</v>
      </c>
      <c r="Z248" s="3"/>
      <c r="AA248" s="3">
        <v>0</v>
      </c>
      <c r="AB248" s="5"/>
      <c r="AC248" s="3">
        <f t="shared" si="68"/>
        <v>0</v>
      </c>
      <c r="AE248" s="9"/>
      <c r="AF248" s="9"/>
      <c r="AH248" s="8"/>
      <c r="AO248" s="3">
        <v>0</v>
      </c>
    </row>
    <row r="249" spans="2:41" x14ac:dyDescent="0.3">
      <c r="B249" s="222">
        <f t="shared" ca="1" si="62"/>
        <v>215</v>
      </c>
      <c r="C249" s="222"/>
      <c r="D249" s="222" t="s">
        <v>613</v>
      </c>
      <c r="E249" s="222"/>
      <c r="F249" s="222" t="str">
        <f>+INDEX('Exh. BGM-4 (2)'!$10:$10,1,MATCH($D249,'Exh. BGM-4 (2)'!$4:$4,0))</f>
        <v>PRO FORMA O&amp;M</v>
      </c>
      <c r="G249" s="225"/>
      <c r="H249" s="225"/>
      <c r="I249" s="226">
        <v>-3867.0244508332676</v>
      </c>
      <c r="J249" s="226"/>
      <c r="K249" s="226">
        <v>0</v>
      </c>
      <c r="L249" s="226"/>
      <c r="M249" s="226">
        <f t="shared" si="63"/>
        <v>5123.237052989155</v>
      </c>
      <c r="N249" s="225"/>
      <c r="O249" s="222"/>
      <c r="P249" s="226">
        <f t="shared" si="64"/>
        <v>-3451.6925128176867</v>
      </c>
      <c r="Q249" s="226"/>
      <c r="R249" s="226">
        <f t="shared" si="65"/>
        <v>0</v>
      </c>
      <c r="S249" s="226"/>
      <c r="T249" s="226">
        <f t="shared" si="66"/>
        <v>4572.9834920961766</v>
      </c>
      <c r="U249" s="222"/>
      <c r="V249" s="222"/>
      <c r="W249" s="226">
        <f>-'[22]BGM-7'!$Y$87</f>
        <v>525.73663039946928</v>
      </c>
      <c r="X249" s="226"/>
      <c r="Y249" s="226">
        <f t="shared" si="67"/>
        <v>415.33193801558076</v>
      </c>
      <c r="Z249" s="226"/>
      <c r="AA249" s="226">
        <v>0</v>
      </c>
      <c r="AB249" s="227"/>
      <c r="AC249" s="226">
        <f t="shared" si="68"/>
        <v>-550.25356089297838</v>
      </c>
      <c r="AD249" s="225"/>
      <c r="AE249" s="232" t="s">
        <v>1026</v>
      </c>
      <c r="AF249" s="9"/>
      <c r="AH249" s="8"/>
      <c r="AO249" s="3">
        <v>5123.237052989155</v>
      </c>
    </row>
    <row r="250" spans="2:41" x14ac:dyDescent="0.3">
      <c r="B250" s="1">
        <f t="shared" ca="1" si="62"/>
        <v>216</v>
      </c>
      <c r="D250" s="1" t="s">
        <v>614</v>
      </c>
      <c r="F250" s="1" t="str">
        <f>+INDEX('Exh. BGM-4 (2)'!$10:$10,1,MATCH($D250,'Exh. BGM-4 (2)'!$4:$4,0))</f>
        <v>AMR REGULATORY ASSET</v>
      </c>
      <c r="I250" s="3">
        <v>0</v>
      </c>
      <c r="J250" s="3"/>
      <c r="K250" s="3">
        <v>-1467.5482098971759</v>
      </c>
      <c r="L250" s="3"/>
      <c r="M250" s="3">
        <f t="shared" si="63"/>
        <v>-139.98851500275791</v>
      </c>
      <c r="P250" s="3">
        <f t="shared" si="64"/>
        <v>0</v>
      </c>
      <c r="Q250" s="3"/>
      <c r="R250" s="3">
        <f t="shared" si="65"/>
        <v>-1467.5482098971759</v>
      </c>
      <c r="S250" s="3"/>
      <c r="T250" s="3">
        <f t="shared" si="66"/>
        <v>-139.98851500275791</v>
      </c>
      <c r="W250" s="3">
        <v>0</v>
      </c>
      <c r="X250" s="3"/>
      <c r="Y250" s="3">
        <f t="shared" si="67"/>
        <v>0</v>
      </c>
      <c r="Z250" s="3"/>
      <c r="AA250" s="3">
        <v>0</v>
      </c>
      <c r="AB250" s="5"/>
      <c r="AC250" s="3">
        <f t="shared" si="68"/>
        <v>0</v>
      </c>
      <c r="AE250" s="9"/>
      <c r="AF250" s="9"/>
      <c r="AH250" s="8"/>
      <c r="AO250" s="3">
        <v>-143.68265637088621</v>
      </c>
    </row>
    <row r="251" spans="2:41" x14ac:dyDescent="0.3">
      <c r="B251" s="1">
        <f t="shared" ca="1" si="62"/>
        <v>217</v>
      </c>
      <c r="D251" s="1" t="s">
        <v>615</v>
      </c>
      <c r="F251" s="1" t="str">
        <f>+INDEX('Exh. BGM-4 (2)'!$10:$10,1,MATCH($D251,'Exh. BGM-4 (2)'!$4:$4,0))</f>
        <v>AMI PLANT AND DEFERRAL</v>
      </c>
      <c r="I251" s="3">
        <v>0</v>
      </c>
      <c r="J251" s="3"/>
      <c r="K251" s="3">
        <v>0</v>
      </c>
      <c r="L251" s="3"/>
      <c r="M251" s="3">
        <f t="shared" si="63"/>
        <v>0</v>
      </c>
      <c r="P251" s="3">
        <f t="shared" si="64"/>
        <v>0</v>
      </c>
      <c r="Q251" s="3"/>
      <c r="R251" s="3">
        <f t="shared" si="65"/>
        <v>0</v>
      </c>
      <c r="S251" s="3"/>
      <c r="T251" s="3">
        <f t="shared" si="66"/>
        <v>0</v>
      </c>
      <c r="W251" s="3">
        <v>0</v>
      </c>
      <c r="X251" s="3"/>
      <c r="Y251" s="3">
        <f t="shared" si="67"/>
        <v>0</v>
      </c>
      <c r="Z251" s="3"/>
      <c r="AA251" s="3">
        <v>0</v>
      </c>
      <c r="AB251" s="5"/>
      <c r="AC251" s="3">
        <f t="shared" si="68"/>
        <v>0</v>
      </c>
      <c r="AE251" s="9"/>
      <c r="AF251" s="9"/>
      <c r="AH251" s="8"/>
      <c r="AO251" s="3">
        <v>0</v>
      </c>
    </row>
    <row r="252" spans="2:41" x14ac:dyDescent="0.3">
      <c r="B252" s="1">
        <f t="shared" ca="1" si="62"/>
        <v>218</v>
      </c>
      <c r="D252" s="1" t="s">
        <v>616</v>
      </c>
      <c r="F252" s="1" t="str">
        <f>+INDEX('Exh. BGM-4 (2)'!$10:$10,1,MATCH($D252,'Exh. BGM-4 (2)'!$4:$4,0))</f>
        <v>GTZ DEFERRAL</v>
      </c>
      <c r="I252" s="3">
        <v>0</v>
      </c>
      <c r="J252" s="3"/>
      <c r="K252" s="3">
        <v>-3527.3745424600434</v>
      </c>
      <c r="L252" s="3"/>
      <c r="M252" s="3">
        <f t="shared" si="63"/>
        <v>-336.47407337446975</v>
      </c>
      <c r="P252" s="3">
        <f t="shared" si="64"/>
        <v>0</v>
      </c>
      <c r="Q252" s="3"/>
      <c r="R252" s="3">
        <f t="shared" si="65"/>
        <v>-3527.3745424600434</v>
      </c>
      <c r="S252" s="3"/>
      <c r="T252" s="3">
        <f t="shared" si="66"/>
        <v>-336.47407337446975</v>
      </c>
      <c r="W252" s="3">
        <v>0</v>
      </c>
      <c r="X252" s="3"/>
      <c r="Y252" s="3">
        <f t="shared" si="67"/>
        <v>0</v>
      </c>
      <c r="Z252" s="3"/>
      <c r="AA252" s="3">
        <v>0</v>
      </c>
      <c r="AB252" s="5"/>
      <c r="AC252" s="3">
        <f t="shared" si="68"/>
        <v>0</v>
      </c>
      <c r="AE252" s="9"/>
      <c r="AF252" s="9"/>
      <c r="AH252" s="8"/>
      <c r="AO252" s="3">
        <v>-345.35325031074041</v>
      </c>
    </row>
    <row r="253" spans="2:41" x14ac:dyDescent="0.3">
      <c r="B253" s="1">
        <f t="shared" ca="1" si="62"/>
        <v>219</v>
      </c>
      <c r="D253" s="1" t="s">
        <v>617</v>
      </c>
      <c r="F253" s="1" t="str">
        <f>+INDEX('Exh. BGM-4 (2)'!$10:$10,1,MATCH($D253,'Exh. BGM-4 (2)'!$4:$4,0))</f>
        <v>ENVIRONMENTAL REMEDIATION</v>
      </c>
      <c r="I253" s="3">
        <v>2587.6149562998685</v>
      </c>
      <c r="J253" s="3"/>
      <c r="K253" s="3">
        <v>0</v>
      </c>
      <c r="L253" s="3"/>
      <c r="M253" s="3">
        <f t="shared" si="63"/>
        <v>-3428.2081718225973</v>
      </c>
      <c r="P253" s="3">
        <f t="shared" si="64"/>
        <v>2587.6149562998685</v>
      </c>
      <c r="Q253" s="3"/>
      <c r="R253" s="3">
        <f t="shared" si="65"/>
        <v>0</v>
      </c>
      <c r="S253" s="3"/>
      <c r="T253" s="3">
        <f t="shared" si="66"/>
        <v>-3428.2081718225973</v>
      </c>
      <c r="W253" s="3">
        <v>0</v>
      </c>
      <c r="X253" s="3"/>
      <c r="Y253" s="3">
        <f t="shared" si="67"/>
        <v>0</v>
      </c>
      <c r="Z253" s="3"/>
      <c r="AA253" s="3">
        <v>0</v>
      </c>
      <c r="AB253" s="5"/>
      <c r="AC253" s="3">
        <f t="shared" si="68"/>
        <v>0</v>
      </c>
      <c r="AE253" s="9"/>
      <c r="AF253" s="9"/>
      <c r="AH253" s="8"/>
      <c r="AO253" s="3">
        <v>-3428.2081718225973</v>
      </c>
    </row>
    <row r="254" spans="2:41" x14ac:dyDescent="0.3">
      <c r="B254" s="222">
        <f t="shared" ca="1" si="62"/>
        <v>220</v>
      </c>
      <c r="C254" s="222"/>
      <c r="D254" s="222" t="s">
        <v>618</v>
      </c>
      <c r="E254" s="222"/>
      <c r="F254" s="222" t="str">
        <f>+INDEX('Exh. BGM-4 (2)'!$10:$10,1,MATCH($D254,'Exh. BGM-4 (2)'!$4:$4,0))</f>
        <v>COVID DEFERRAL</v>
      </c>
      <c r="G254" s="225"/>
      <c r="H254" s="225"/>
      <c r="I254" s="226">
        <v>249.88827411794034</v>
      </c>
      <c r="J254" s="226"/>
      <c r="K254" s="226">
        <v>-124.9441370589709</v>
      </c>
      <c r="L254" s="226"/>
      <c r="M254" s="226">
        <f t="shared" si="63"/>
        <v>-342.98345124898646</v>
      </c>
      <c r="N254" s="225"/>
      <c r="O254" s="222"/>
      <c r="P254" s="226">
        <f t="shared" si="64"/>
        <v>-324.70067536874978</v>
      </c>
      <c r="Q254" s="226"/>
      <c r="R254" s="226">
        <f t="shared" si="65"/>
        <v>162.35033768437495</v>
      </c>
      <c r="S254" s="226"/>
      <c r="T254" s="226">
        <f t="shared" si="66"/>
        <v>445.66700319955163</v>
      </c>
      <c r="U254" s="222"/>
      <c r="V254" s="222"/>
      <c r="W254" s="226">
        <f>+'[21]Lead G'!$O$31/1000</f>
        <v>-727.32778416036717</v>
      </c>
      <c r="X254" s="226"/>
      <c r="Y254" s="226">
        <f t="shared" si="67"/>
        <v>-574.58894948669013</v>
      </c>
      <c r="Z254" s="226"/>
      <c r="AA254" s="226">
        <f>+'[21]Lead G'!$O$21/1000</f>
        <v>287.29447474334586</v>
      </c>
      <c r="AB254" s="227"/>
      <c r="AC254" s="226">
        <f t="shared" si="68"/>
        <v>788.65045444853808</v>
      </c>
      <c r="AD254" s="225"/>
      <c r="AE254" s="232" t="s">
        <v>1026</v>
      </c>
      <c r="AF254" s="9"/>
      <c r="AH254" s="8"/>
      <c r="AO254" s="3">
        <v>-343.29796310100051</v>
      </c>
    </row>
    <row r="255" spans="2:41" x14ac:dyDescent="0.3">
      <c r="B255" s="1">
        <f t="shared" ca="1" si="62"/>
        <v>221</v>
      </c>
      <c r="D255" s="1" t="s">
        <v>619</v>
      </c>
      <c r="F255" s="1" t="str">
        <f>+INDEX('Exh. BGM-4 (2)'!$10:$10,1,MATCH($D255,'Exh. BGM-4 (2)'!$4:$4,0))</f>
        <v>ESTIMATED PLANT RETIREMENTS RATE BASE</v>
      </c>
      <c r="I255" s="3">
        <v>0</v>
      </c>
      <c r="J255" s="3"/>
      <c r="K255" s="3">
        <v>0</v>
      </c>
      <c r="L255" s="3"/>
      <c r="M255" s="3">
        <f t="shared" si="63"/>
        <v>0</v>
      </c>
      <c r="P255" s="3">
        <f t="shared" si="64"/>
        <v>0</v>
      </c>
      <c r="Q255" s="3"/>
      <c r="R255" s="3">
        <f t="shared" si="65"/>
        <v>0</v>
      </c>
      <c r="S255" s="3"/>
      <c r="T255" s="3">
        <f t="shared" si="66"/>
        <v>0</v>
      </c>
      <c r="W255" s="3">
        <v>0</v>
      </c>
      <c r="X255" s="3"/>
      <c r="Y255" s="3">
        <f t="shared" si="67"/>
        <v>0</v>
      </c>
      <c r="Z255" s="3"/>
      <c r="AA255" s="3">
        <v>0</v>
      </c>
      <c r="AB255" s="5"/>
      <c r="AC255" s="3">
        <f t="shared" si="68"/>
        <v>0</v>
      </c>
      <c r="AE255" s="9"/>
      <c r="AF255" s="9"/>
      <c r="AH255" s="8"/>
      <c r="AO255" s="3">
        <v>0</v>
      </c>
    </row>
    <row r="256" spans="2:41" x14ac:dyDescent="0.3">
      <c r="B256" s="1">
        <f t="shared" ca="1" si="62"/>
        <v>222</v>
      </c>
      <c r="D256" s="1" t="s">
        <v>620</v>
      </c>
      <c r="F256" s="1" t="str">
        <f>+INDEX('Exh. BGM-4 (2)'!$10:$10,1,MATCH($D256,'Exh. BGM-4 (2)'!$4:$4,0))</f>
        <v>TEST YEAR PLANT ROLL FORWARD</v>
      </c>
      <c r="I256" s="3">
        <v>2418.2716000985506</v>
      </c>
      <c r="J256" s="3"/>
      <c r="K256" s="3">
        <v>-151371.21649016713</v>
      </c>
      <c r="L256" s="3"/>
      <c r="M256" s="3">
        <f t="shared" si="63"/>
        <v>-17643.059809659215</v>
      </c>
      <c r="P256" s="3">
        <f t="shared" si="64"/>
        <v>2418.2716000985506</v>
      </c>
      <c r="Q256" s="3"/>
      <c r="R256" s="3">
        <f t="shared" si="65"/>
        <v>-151371.21649016713</v>
      </c>
      <c r="S256" s="3"/>
      <c r="T256" s="3">
        <f t="shared" si="66"/>
        <v>-17643.059809659215</v>
      </c>
      <c r="W256" s="3">
        <v>0</v>
      </c>
      <c r="X256" s="3"/>
      <c r="Y256" s="3">
        <f t="shared" si="67"/>
        <v>0</v>
      </c>
      <c r="Z256" s="3"/>
      <c r="AA256" s="3">
        <v>0</v>
      </c>
      <c r="AB256" s="5"/>
      <c r="AC256" s="3">
        <f t="shared" si="68"/>
        <v>0</v>
      </c>
      <c r="AE256" s="9"/>
      <c r="AF256" s="9"/>
      <c r="AH256" s="8"/>
      <c r="AO256" s="3">
        <v>-18024.094428494267</v>
      </c>
    </row>
    <row r="257" spans="2:42" x14ac:dyDescent="0.3">
      <c r="B257" s="1">
        <f t="shared" ca="1" si="62"/>
        <v>223</v>
      </c>
      <c r="D257" s="1" t="s">
        <v>621</v>
      </c>
      <c r="F257" s="1" t="str">
        <f>+INDEX('Exh. BGM-4 (2)'!$10:$10,1,MATCH($D257,'Exh. BGM-4 (2)'!$4:$4,0))</f>
        <v>PROVISIONAL PROFORMA RETIREMENTS DEPRECIATION</v>
      </c>
      <c r="I257" s="3">
        <v>353.20468364855935</v>
      </c>
      <c r="J257" s="3"/>
      <c r="K257" s="3">
        <v>3787.1567907220006</v>
      </c>
      <c r="L257" s="3"/>
      <c r="M257" s="3">
        <f t="shared" si="63"/>
        <v>-106.68957078299481</v>
      </c>
      <c r="P257" s="3">
        <f t="shared" si="64"/>
        <v>353.20468364855935</v>
      </c>
      <c r="Q257" s="3"/>
      <c r="R257" s="3">
        <f t="shared" si="65"/>
        <v>3787.1567907220006</v>
      </c>
      <c r="S257" s="3"/>
      <c r="T257" s="3">
        <f t="shared" si="66"/>
        <v>-106.68957078299481</v>
      </c>
      <c r="W257" s="3">
        <v>0</v>
      </c>
      <c r="X257" s="3"/>
      <c r="Y257" s="3">
        <f t="shared" si="67"/>
        <v>0</v>
      </c>
      <c r="Z257" s="3"/>
      <c r="AA257" s="3">
        <v>0</v>
      </c>
      <c r="AB257" s="5"/>
      <c r="AC257" s="3">
        <f t="shared" si="68"/>
        <v>0</v>
      </c>
      <c r="AE257" s="9"/>
      <c r="AF257" s="9"/>
      <c r="AH257" s="8"/>
      <c r="AO257" s="3">
        <v>-97.156464835371878</v>
      </c>
    </row>
    <row r="258" spans="2:42" x14ac:dyDescent="0.3">
      <c r="B258" s="1">
        <f t="shared" ca="1" si="62"/>
        <v>224</v>
      </c>
      <c r="D258" s="1" t="s">
        <v>622</v>
      </c>
      <c r="F258" s="1" t="str">
        <f>+INDEX('Exh. BGM-4 (2)'!$10:$10,1,MATCH($D258,'Exh. BGM-4 (2)'!$4:$4,0))</f>
        <v>PROGRAMMATIC PROVISIONAL PROFORMA</v>
      </c>
      <c r="I258" s="3">
        <v>-6217.9077331560311</v>
      </c>
      <c r="J258" s="3"/>
      <c r="K258" s="3">
        <v>135474.93343996789</v>
      </c>
      <c r="L258" s="3"/>
      <c r="M258" s="3">
        <f t="shared" si="63"/>
        <v>21160.680683827552</v>
      </c>
      <c r="P258" s="3">
        <f t="shared" si="64"/>
        <v>-6217.9077331560311</v>
      </c>
      <c r="Q258" s="3"/>
      <c r="R258" s="3">
        <f t="shared" si="65"/>
        <v>135474.93343996789</v>
      </c>
      <c r="S258" s="3"/>
      <c r="T258" s="3">
        <f t="shared" si="66"/>
        <v>21160.680683827552</v>
      </c>
      <c r="W258" s="3">
        <v>0</v>
      </c>
      <c r="X258" s="3"/>
      <c r="Y258" s="3">
        <f t="shared" si="67"/>
        <v>0</v>
      </c>
      <c r="Z258" s="3"/>
      <c r="AA258" s="3">
        <v>0</v>
      </c>
      <c r="AB258" s="5"/>
      <c r="AC258" s="3">
        <f t="shared" si="68"/>
        <v>0</v>
      </c>
      <c r="AE258" s="9"/>
      <c r="AF258" s="9"/>
      <c r="AH258" s="8"/>
      <c r="AO258" s="3">
        <v>21501.700864691033</v>
      </c>
    </row>
    <row r="259" spans="2:42" x14ac:dyDescent="0.3">
      <c r="B259" s="222">
        <f t="shared" ca="1" si="62"/>
        <v>225</v>
      </c>
      <c r="C259" s="222"/>
      <c r="D259" s="222" t="s">
        <v>623</v>
      </c>
      <c r="E259" s="222"/>
      <c r="F259" s="222" t="str">
        <f>+INDEX('Exh. BGM-4 (2)'!$10:$10,1,MATCH($D259,'Exh. BGM-4 (2)'!$4:$4,0))</f>
        <v>CUSTOMER DRIVEN PROGRAMMATIC PROVISIONAL PROFORMA</v>
      </c>
      <c r="G259" s="225"/>
      <c r="H259" s="225"/>
      <c r="I259" s="226">
        <v>-1837.5109991000186</v>
      </c>
      <c r="J259" s="226"/>
      <c r="K259" s="226">
        <v>72306.559649999966</v>
      </c>
      <c r="L259" s="226"/>
      <c r="M259" s="226">
        <f t="shared" si="63"/>
        <v>9331.7090119117711</v>
      </c>
      <c r="N259" s="225"/>
      <c r="O259" s="222"/>
      <c r="P259" s="226">
        <f t="shared" si="64"/>
        <v>-920.11418468042325</v>
      </c>
      <c r="Q259" s="226"/>
      <c r="R259" s="226">
        <f t="shared" si="65"/>
        <v>38419.192508776126</v>
      </c>
      <c r="S259" s="226"/>
      <c r="T259" s="226">
        <f t="shared" si="66"/>
        <v>4883.7985711628689</v>
      </c>
      <c r="U259" s="222"/>
      <c r="V259" s="222"/>
      <c r="W259" s="226">
        <f>-'11.32 (Gas Line Ext. Adj.)'!H30</f>
        <v>1161.261790404551</v>
      </c>
      <c r="X259" s="226"/>
      <c r="Y259" s="226">
        <f t="shared" si="67"/>
        <v>917.39681441959533</v>
      </c>
      <c r="Z259" s="226"/>
      <c r="AA259" s="226">
        <f>+'11.32 (Gas Line Ext. Adj.)'!H23+'11.32 (Gas Line Ext. Adj.)'!H38+'11.32 (Gas Line Ext. Adj.)'!H59</f>
        <v>-33887.36714122384</v>
      </c>
      <c r="AB259" s="227"/>
      <c r="AC259" s="226">
        <f t="shared" si="68"/>
        <v>-4447.9104407489021</v>
      </c>
      <c r="AD259" s="225"/>
      <c r="AE259" s="232" t="s">
        <v>1026</v>
      </c>
      <c r="AF259" s="9"/>
      <c r="AH259" s="8"/>
      <c r="AO259" s="3">
        <v>9513.7205134002397</v>
      </c>
    </row>
    <row r="260" spans="2:42" x14ac:dyDescent="0.3">
      <c r="B260" s="236">
        <f t="shared" ca="1" si="62"/>
        <v>226</v>
      </c>
      <c r="C260" s="237"/>
      <c r="D260" s="237" t="s">
        <v>624</v>
      </c>
      <c r="E260" s="237"/>
      <c r="F260" s="237" t="str">
        <f>+INDEX('Exh. BGM-4 (2)'!$10:$10,1,MATCH($D260,'Exh. BGM-4 (2)'!$4:$4,0))</f>
        <v>SPECIFIC PROVISIONAL PROFORMA</v>
      </c>
      <c r="G260" s="239"/>
      <c r="H260" s="239"/>
      <c r="I260" s="13">
        <v>-1051.2035738396</v>
      </c>
      <c r="J260" s="13"/>
      <c r="K260" s="13">
        <v>11119.859832856031</v>
      </c>
      <c r="L260" s="13"/>
      <c r="M260" s="13">
        <f t="shared" si="63"/>
        <v>2453.4062379424963</v>
      </c>
      <c r="N260" s="239"/>
      <c r="O260" s="237"/>
      <c r="P260" s="13">
        <f t="shared" si="64"/>
        <v>-1051.2035738396</v>
      </c>
      <c r="Q260" s="13"/>
      <c r="R260" s="13">
        <f t="shared" si="65"/>
        <v>11119.859832856031</v>
      </c>
      <c r="S260" s="13"/>
      <c r="T260" s="13">
        <f t="shared" si="66"/>
        <v>2453.4062379424963</v>
      </c>
      <c r="U260" s="237"/>
      <c r="V260" s="237"/>
      <c r="W260" s="13">
        <v>0</v>
      </c>
      <c r="X260" s="13"/>
      <c r="Y260" s="13">
        <f t="shared" si="67"/>
        <v>0</v>
      </c>
      <c r="Z260" s="13"/>
      <c r="AA260" s="13">
        <v>0</v>
      </c>
      <c r="AB260" s="240"/>
      <c r="AC260" s="13">
        <f t="shared" si="68"/>
        <v>0</v>
      </c>
      <c r="AD260" s="239"/>
      <c r="AE260" s="241" t="s">
        <v>1026</v>
      </c>
      <c r="AF260" s="9"/>
      <c r="AH260" s="8"/>
      <c r="AO260" s="3">
        <v>2481.3973689590507</v>
      </c>
    </row>
    <row r="261" spans="2:42" x14ac:dyDescent="0.3">
      <c r="B261" s="242">
        <f t="shared" ca="1" si="62"/>
        <v>227</v>
      </c>
      <c r="C261" s="243"/>
      <c r="D261" s="243" t="s">
        <v>624</v>
      </c>
      <c r="E261" s="243"/>
      <c r="F261" s="243" t="s">
        <v>1028</v>
      </c>
      <c r="G261" s="244"/>
      <c r="H261" s="244"/>
      <c r="I261" s="245">
        <v>0</v>
      </c>
      <c r="J261" s="245"/>
      <c r="K261" s="245">
        <v>0</v>
      </c>
      <c r="L261" s="245"/>
      <c r="M261" s="245">
        <f t="shared" si="63"/>
        <v>0</v>
      </c>
      <c r="N261" s="244"/>
      <c r="O261" s="243"/>
      <c r="P261" s="245">
        <f t="shared" ref="P261" si="69">+I261+Y261</f>
        <v>0</v>
      </c>
      <c r="Q261" s="245"/>
      <c r="R261" s="245">
        <f t="shared" ref="R261" si="70">+K261+AA261</f>
        <v>7134.2006232106878</v>
      </c>
      <c r="S261" s="245"/>
      <c r="T261" s="245">
        <f t="shared" si="66"/>
        <v>680.52697978827473</v>
      </c>
      <c r="U261" s="243"/>
      <c r="V261" s="243"/>
      <c r="W261" s="245">
        <v>0</v>
      </c>
      <c r="X261" s="245"/>
      <c r="Y261" s="245">
        <f t="shared" ref="Y261" si="71">+W261*(1-$AJ$5)</f>
        <v>0</v>
      </c>
      <c r="Z261" s="245"/>
      <c r="AA261" s="245">
        <f>+'11.33 (Tacoma LNG)'!H46+'11.33 (Tacoma LNG)'!H67</f>
        <v>7134.2006232106878</v>
      </c>
      <c r="AB261" s="246"/>
      <c r="AC261" s="245">
        <f t="shared" ref="AC261" si="72">+T261-M261</f>
        <v>680.52697978827473</v>
      </c>
      <c r="AD261" s="244"/>
      <c r="AE261" s="247" t="s">
        <v>1026</v>
      </c>
      <c r="AF261" s="9"/>
      <c r="AH261" s="8"/>
      <c r="AO261" s="3"/>
    </row>
    <row r="262" spans="2:42" x14ac:dyDescent="0.3">
      <c r="B262" s="1">
        <f t="shared" ca="1" si="62"/>
        <v>228</v>
      </c>
      <c r="D262" s="1" t="s">
        <v>625</v>
      </c>
      <c r="F262" s="1" t="str">
        <f>+INDEX('Exh. BGM-4 (2)'!$10:$10,1,MATCH($D262,'Exh. BGM-4 (2)'!$4:$4,0))</f>
        <v>PROJECTED PROVISIONAL PROFORMA</v>
      </c>
      <c r="I262" s="3">
        <v>-2693.6572300185444</v>
      </c>
      <c r="J262" s="3"/>
      <c r="K262" s="3">
        <v>22938.716735553997</v>
      </c>
      <c r="L262" s="3"/>
      <c r="M262" s="3">
        <f t="shared" si="63"/>
        <v>5756.8085296368608</v>
      </c>
      <c r="P262" s="3">
        <f t="shared" si="64"/>
        <v>-2693.6572300185444</v>
      </c>
      <c r="Q262" s="3"/>
      <c r="R262" s="3">
        <f t="shared" si="65"/>
        <v>22938.716735553997</v>
      </c>
      <c r="S262" s="3"/>
      <c r="T262" s="3">
        <f t="shared" si="66"/>
        <v>5756.8085296368608</v>
      </c>
      <c r="W262" s="3">
        <v>0</v>
      </c>
      <c r="X262" s="3"/>
      <c r="Y262" s="3">
        <f t="shared" si="67"/>
        <v>0</v>
      </c>
      <c r="Z262" s="3"/>
      <c r="AA262" s="3">
        <v>0</v>
      </c>
      <c r="AB262" s="5"/>
      <c r="AC262" s="3">
        <f t="shared" si="68"/>
        <v>0</v>
      </c>
      <c r="AE262" s="9"/>
      <c r="AF262" s="9"/>
      <c r="AH262" s="8"/>
      <c r="AO262" s="3">
        <v>5814.5503209137032</v>
      </c>
    </row>
    <row r="263" spans="2:42" x14ac:dyDescent="0.3">
      <c r="B263" s="222">
        <f t="shared" ca="1" si="62"/>
        <v>229</v>
      </c>
      <c r="C263" s="222"/>
      <c r="D263" s="222" t="s">
        <v>626</v>
      </c>
      <c r="E263" s="222"/>
      <c r="F263" s="222" t="str">
        <f>+INDEX('Exh. BGM-4 (2)'!$10:$10,1,MATCH($D263,'Exh. BGM-4 (2)'!$4:$4,0))</f>
        <v>TACOMA LNG UPGRADE PLANT AND DEFERRAL</v>
      </c>
      <c r="G263" s="225"/>
      <c r="H263" s="225"/>
      <c r="I263" s="226">
        <v>0</v>
      </c>
      <c r="J263" s="226"/>
      <c r="K263" s="226">
        <v>-423.88982592988771</v>
      </c>
      <c r="L263" s="226"/>
      <c r="M263" s="226">
        <f t="shared" si="63"/>
        <v>-40.434588013200717</v>
      </c>
      <c r="N263" s="225"/>
      <c r="O263" s="222"/>
      <c r="P263" s="226">
        <f t="shared" si="64"/>
        <v>0</v>
      </c>
      <c r="Q263" s="226"/>
      <c r="R263" s="226">
        <f t="shared" si="65"/>
        <v>0</v>
      </c>
      <c r="S263" s="226"/>
      <c r="T263" s="226">
        <f t="shared" si="66"/>
        <v>0</v>
      </c>
      <c r="U263" s="222"/>
      <c r="V263" s="222"/>
      <c r="W263" s="226">
        <f>-I263/(1-0.21)</f>
        <v>0</v>
      </c>
      <c r="X263" s="226"/>
      <c r="Y263" s="226">
        <f t="shared" si="67"/>
        <v>0</v>
      </c>
      <c r="Z263" s="226"/>
      <c r="AA263" s="226">
        <f>-K263</f>
        <v>423.88982592988771</v>
      </c>
      <c r="AB263" s="227"/>
      <c r="AC263" s="226">
        <f t="shared" si="68"/>
        <v>40.434588013200717</v>
      </c>
      <c r="AD263" s="225"/>
      <c r="AE263" s="232" t="s">
        <v>1026</v>
      </c>
      <c r="AF263" s="9"/>
      <c r="AH263" s="8"/>
      <c r="AO263" s="3">
        <v>-41.501611863549066</v>
      </c>
    </row>
    <row r="264" spans="2:42" x14ac:dyDescent="0.3">
      <c r="B264" s="1">
        <f t="shared" ca="1" si="62"/>
        <v>230</v>
      </c>
      <c r="D264" s="1" t="s">
        <v>627</v>
      </c>
      <c r="F264" s="1" t="str">
        <f>+INDEX('Exh. BGM-4 (2)'!$10:$10,1,MATCH($D264,'Exh. BGM-4 (2)'!$4:$4,0))</f>
        <v>REGULATORY ASSETS &amp; LIAB</v>
      </c>
      <c r="I264" s="3">
        <v>0</v>
      </c>
      <c r="J264" s="3"/>
      <c r="K264" s="3">
        <v>0</v>
      </c>
      <c r="L264" s="3"/>
      <c r="M264" s="3">
        <f t="shared" si="63"/>
        <v>0</v>
      </c>
      <c r="P264" s="3">
        <f t="shared" si="64"/>
        <v>0</v>
      </c>
      <c r="Q264" s="3"/>
      <c r="R264" s="3">
        <f t="shared" si="65"/>
        <v>0</v>
      </c>
      <c r="S264" s="3"/>
      <c r="T264" s="3">
        <f t="shared" si="66"/>
        <v>0</v>
      </c>
      <c r="W264" s="3">
        <v>0</v>
      </c>
      <c r="X264" s="3"/>
      <c r="Y264" s="3">
        <f t="shared" si="67"/>
        <v>0</v>
      </c>
      <c r="Z264" s="3"/>
      <c r="AA264" s="3">
        <v>0</v>
      </c>
      <c r="AB264" s="5"/>
      <c r="AC264" s="3">
        <f t="shared" si="68"/>
        <v>0</v>
      </c>
      <c r="AE264" s="9"/>
      <c r="AF264" s="9"/>
      <c r="AH264" s="8"/>
      <c r="AO264" s="3">
        <v>0</v>
      </c>
    </row>
    <row r="265" spans="2:42" x14ac:dyDescent="0.3">
      <c r="B265" s="222">
        <f t="shared" ca="1" si="62"/>
        <v>231</v>
      </c>
      <c r="C265" s="222"/>
      <c r="D265" s="222" t="s">
        <v>628</v>
      </c>
      <c r="E265" s="222"/>
      <c r="F265" s="222" t="str">
        <f>+INDEX('Exh. BGM-4 (2)'!$10:$10,1,MATCH($D265,'Exh. BGM-4 (2)'!$4:$4,0))</f>
        <v>TACOMA LNG PLANT DEFERRAL</v>
      </c>
      <c r="G265" s="225"/>
      <c r="H265" s="225"/>
      <c r="I265" s="226">
        <v>0</v>
      </c>
      <c r="J265" s="226"/>
      <c r="K265" s="226">
        <v>-2096.0451207543852</v>
      </c>
      <c r="L265" s="226"/>
      <c r="M265" s="226">
        <f t="shared" si="63"/>
        <v>-199.94044614980072</v>
      </c>
      <c r="N265" s="225"/>
      <c r="O265" s="222"/>
      <c r="P265" s="226">
        <f t="shared" si="64"/>
        <v>0</v>
      </c>
      <c r="Q265" s="226"/>
      <c r="R265" s="226">
        <f t="shared" si="65"/>
        <v>0</v>
      </c>
      <c r="S265" s="226"/>
      <c r="T265" s="226">
        <f t="shared" si="66"/>
        <v>0</v>
      </c>
      <c r="U265" s="222"/>
      <c r="V265" s="222"/>
      <c r="W265" s="226">
        <f>-I265/(1-0.21)</f>
        <v>0</v>
      </c>
      <c r="X265" s="226"/>
      <c r="Y265" s="226">
        <f t="shared" si="67"/>
        <v>0</v>
      </c>
      <c r="Z265" s="226"/>
      <c r="AA265" s="226">
        <f>-K265</f>
        <v>2096.0451207543852</v>
      </c>
      <c r="AB265" s="227"/>
      <c r="AC265" s="226">
        <f t="shared" si="68"/>
        <v>199.94044614980072</v>
      </c>
      <c r="AD265" s="225"/>
      <c r="AE265" s="232" t="s">
        <v>1026</v>
      </c>
      <c r="AF265" s="9"/>
      <c r="AH265" s="8"/>
      <c r="AO265" s="3">
        <v>-205.21665236764267</v>
      </c>
    </row>
    <row r="266" spans="2:42" x14ac:dyDescent="0.3">
      <c r="B266" s="222">
        <f t="shared" ca="1" si="62"/>
        <v>232</v>
      </c>
      <c r="C266" s="223"/>
      <c r="D266" s="224" t="s">
        <v>1019</v>
      </c>
      <c r="E266" s="223"/>
      <c r="F266" s="222" t="str">
        <f>+INDEX('Exh. BGM-4 (2)'!$10:$10,1,MATCH($D266,'Exh. BGM-4 (2)'!$4:$4,0))</f>
        <v>CAPITAL PRIORITIZATION</v>
      </c>
      <c r="G266" s="225"/>
      <c r="H266" s="225"/>
      <c r="I266" s="226">
        <v>0</v>
      </c>
      <c r="J266" s="226"/>
      <c r="K266" s="226">
        <v>0</v>
      </c>
      <c r="L266" s="226"/>
      <c r="M266" s="226">
        <f t="shared" si="63"/>
        <v>0</v>
      </c>
      <c r="N266" s="225"/>
      <c r="O266" s="222"/>
      <c r="P266" s="226">
        <f t="shared" si="64"/>
        <v>665.8567677249149</v>
      </c>
      <c r="Q266" s="226"/>
      <c r="R266" s="226">
        <f t="shared" si="65"/>
        <v>-20780.939231190096</v>
      </c>
      <c r="S266" s="226"/>
      <c r="T266" s="226">
        <f t="shared" si="66"/>
        <v>-2864.4429357812214</v>
      </c>
      <c r="U266" s="222"/>
      <c r="V266" s="222"/>
      <c r="W266" s="226">
        <f>-'Exh. BGM-4 (2)'!IA35/1000</f>
        <v>842.8566680062213</v>
      </c>
      <c r="X266" s="226"/>
      <c r="Y266" s="226">
        <f t="shared" si="67"/>
        <v>665.8567677249149</v>
      </c>
      <c r="Z266" s="226"/>
      <c r="AA266" s="226">
        <f>+'Exh. BGM-4 (2)'!IA57/1000</f>
        <v>-20780.939231190096</v>
      </c>
      <c r="AB266" s="227"/>
      <c r="AC266" s="226">
        <f t="shared" si="68"/>
        <v>-2864.4429357812214</v>
      </c>
      <c r="AE266" s="307" t="s">
        <v>1025</v>
      </c>
      <c r="AH266" s="8"/>
    </row>
    <row r="267" spans="2:42" x14ac:dyDescent="0.3">
      <c r="B267" s="222">
        <f t="shared" ca="1" si="62"/>
        <v>233</v>
      </c>
      <c r="C267" s="223"/>
      <c r="D267" s="224" t="s">
        <v>1047</v>
      </c>
      <c r="E267" s="223"/>
      <c r="F267" s="222" t="str">
        <f>+INDEX('Exh. BGM-4 (2)'!$10:$10,1,MATCH($D267,'Exh. BGM-4 (2)'!$4:$4,0))</f>
        <v>DIRECTORS' FEES</v>
      </c>
      <c r="G267" s="225"/>
      <c r="H267" s="225"/>
      <c r="I267" s="226">
        <v>0</v>
      </c>
      <c r="J267" s="226"/>
      <c r="K267" s="226">
        <v>0</v>
      </c>
      <c r="L267" s="226"/>
      <c r="M267" s="226">
        <f t="shared" si="63"/>
        <v>0</v>
      </c>
      <c r="N267" s="225"/>
      <c r="O267" s="222"/>
      <c r="P267" s="226">
        <f t="shared" si="64"/>
        <v>0.19908000000000001</v>
      </c>
      <c r="Q267" s="226"/>
      <c r="R267" s="226">
        <f t="shared" si="65"/>
        <v>0</v>
      </c>
      <c r="S267" s="226"/>
      <c r="T267" s="226">
        <f t="shared" si="66"/>
        <v>-0.26375163784891648</v>
      </c>
      <c r="U267" s="222"/>
      <c r="V267" s="222"/>
      <c r="W267" s="226">
        <f>-'A2 (Dir. Fees)'!Z16/1000</f>
        <v>0.252</v>
      </c>
      <c r="X267" s="226"/>
      <c r="Y267" s="226">
        <f t="shared" si="67"/>
        <v>0.19908000000000001</v>
      </c>
      <c r="Z267" s="226"/>
      <c r="AA267" s="226">
        <v>0</v>
      </c>
      <c r="AB267" s="227"/>
      <c r="AC267" s="226">
        <f t="shared" si="68"/>
        <v>-0.26375163784891648</v>
      </c>
      <c r="AD267" s="178"/>
      <c r="AE267" s="307" t="s">
        <v>1025</v>
      </c>
      <c r="AH267" s="8"/>
    </row>
    <row r="268" spans="2:42" x14ac:dyDescent="0.3">
      <c r="AH268" s="8"/>
    </row>
    <row r="269" spans="2:42" x14ac:dyDescent="0.3">
      <c r="C269" s="7"/>
      <c r="D269" s="11"/>
      <c r="E269" s="7"/>
      <c r="I269" s="14"/>
      <c r="J269" s="6"/>
      <c r="K269" s="14"/>
      <c r="L269" s="6"/>
      <c r="M269" s="14"/>
      <c r="O269" s="7"/>
      <c r="P269" s="14"/>
      <c r="Q269" s="6"/>
      <c r="R269" s="14"/>
      <c r="S269" s="6"/>
      <c r="T269" s="14"/>
      <c r="W269" s="14"/>
      <c r="X269" s="1"/>
      <c r="Y269" s="14"/>
      <c r="Z269" s="6"/>
      <c r="AA269" s="14"/>
      <c r="AB269" s="6"/>
      <c r="AC269" s="13"/>
      <c r="AE269" s="9"/>
      <c r="AF269" s="9"/>
      <c r="AH269" s="8"/>
      <c r="AO269" s="14"/>
    </row>
    <row r="270" spans="2:42" ht="13.5" thickBot="1" x14ac:dyDescent="0.35">
      <c r="B270" s="1">
        <f ca="1">+MAX(OFFSET($B$7,0,0,ROW($B270)-ROW($B$7),1))+1</f>
        <v>234</v>
      </c>
      <c r="D270" s="11"/>
      <c r="F270" s="7" t="s">
        <v>394</v>
      </c>
      <c r="I270" s="12">
        <f>+SUM(I224:I269)</f>
        <v>76638.135396213183</v>
      </c>
      <c r="J270" s="3"/>
      <c r="K270" s="12">
        <f>+SUM(K224:K269)</f>
        <v>3227147.2697813446</v>
      </c>
      <c r="L270" s="3"/>
      <c r="M270" s="12">
        <f t="shared" ref="M270" si="73">+($K270*$AL$46-$I270)/$AJ$4</f>
        <v>206301.35363896398</v>
      </c>
      <c r="P270" s="12">
        <f>+SUM(P224:P269)</f>
        <v>119962.98437430851</v>
      </c>
      <c r="Q270" s="3"/>
      <c r="R270" s="12">
        <f>+SUM(R224:R269)</f>
        <v>2655439.887735792</v>
      </c>
      <c r="S270" s="3"/>
      <c r="T270" s="12">
        <f t="shared" ref="T270" si="74">+($R270*$AL$46-$P270)/$AJ$4</f>
        <v>94367.5055314825</v>
      </c>
      <c r="W270" s="12">
        <f>+SUM(W224:W269)</f>
        <v>58701.691334083785</v>
      </c>
      <c r="X270" s="5"/>
      <c r="Y270" s="12">
        <f>+SUM(Y224:Y269)</f>
        <v>43324.848978095215</v>
      </c>
      <c r="Z270" s="3"/>
      <c r="AA270" s="12">
        <f>+SUM(AA224:AA269)</f>
        <v>-571707.38204555248</v>
      </c>
      <c r="AB270" s="3"/>
      <c r="AC270" s="12">
        <f>+SUM(AC224:AC269)</f>
        <v>-111933.84810748127</v>
      </c>
      <c r="AE270" s="9"/>
      <c r="AF270" s="9"/>
      <c r="AH270" s="8"/>
      <c r="AO270" s="12">
        <v>218700.28671187439</v>
      </c>
      <c r="AP270" s="3">
        <f>+M270-AO270</f>
        <v>-12398.933072910411</v>
      </c>
    </row>
    <row r="271" spans="2:42" ht="13.5" thickTop="1" x14ac:dyDescent="0.3">
      <c r="D271" s="11"/>
      <c r="F271" s="7"/>
      <c r="I271" s="134"/>
      <c r="J271" s="3"/>
      <c r="K271" s="134"/>
      <c r="L271" s="3"/>
      <c r="M271" s="134"/>
      <c r="P271" s="134"/>
      <c r="Q271" s="3"/>
      <c r="R271" s="134"/>
      <c r="S271" s="202" t="s">
        <v>671</v>
      </c>
      <c r="T271" s="202">
        <f>+T270-'Exh. BGM-4 (2)'!IE70/1000</f>
        <v>-2.3283064365386963E-10</v>
      </c>
      <c r="W271" s="134"/>
      <c r="X271" s="5"/>
      <c r="Y271" s="134"/>
      <c r="Z271" s="3"/>
      <c r="AA271" s="134"/>
      <c r="AB271" s="3"/>
      <c r="AC271" s="134"/>
      <c r="AE271" s="9"/>
      <c r="AF271" s="9"/>
      <c r="AH271" s="8"/>
      <c r="AO271" s="134"/>
    </row>
    <row r="272" spans="2:42" x14ac:dyDescent="0.3">
      <c r="AH272" s="8"/>
    </row>
    <row r="273" spans="34:38" x14ac:dyDescent="0.3">
      <c r="AH273" s="8"/>
    </row>
    <row r="274" spans="34:38" x14ac:dyDescent="0.3">
      <c r="AH274" s="8"/>
    </row>
    <row r="275" spans="34:38" x14ac:dyDescent="0.3">
      <c r="AH275" s="8"/>
    </row>
    <row r="276" spans="34:38" x14ac:dyDescent="0.3">
      <c r="AH276" s="8"/>
    </row>
    <row r="277" spans="34:38" x14ac:dyDescent="0.3">
      <c r="AH277" s="8"/>
    </row>
    <row r="278" spans="34:38" x14ac:dyDescent="0.3">
      <c r="AH278" s="8"/>
      <c r="AL278" s="3"/>
    </row>
    <row r="279" spans="34:38" x14ac:dyDescent="0.3">
      <c r="AH279" s="8"/>
      <c r="AL279" s="3"/>
    </row>
  </sheetData>
  <pageMargins left="0.25" right="0.25" top="1.5" bottom="0.75" header="0.8" footer="0.3"/>
  <pageSetup scale="65" orientation="landscape" r:id="rId1"/>
  <rowBreaks count="5" manualBreakCount="5">
    <brk id="44" max="30" man="1"/>
    <brk id="88" max="30" man="1"/>
    <brk id="133" max="30" man="1"/>
    <brk id="179" max="30" man="1"/>
    <brk id="225" max="30" man="1"/>
  </rowBreaks>
  <colBreaks count="1" manualBreakCount="1">
    <brk id="31" max="2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47E6BF-4D0A-4CE0-9F29-9439660DFA9F}">
  <sheetPr codeName="Sheet5">
    <tabColor rgb="FFD5B89B"/>
    <pageSetUpPr fitToPage="1"/>
  </sheetPr>
  <dimension ref="A1:II200"/>
  <sheetViews>
    <sheetView zoomScale="85" zoomScaleNormal="85" workbookViewId="0">
      <pane xSplit="2" ySplit="10" topLeftCell="C11" activePane="bottomRight" state="frozen"/>
      <selection activeCell="W124" sqref="W124"/>
      <selection pane="topRight" activeCell="W124" sqref="W124"/>
      <selection pane="bottomLeft" activeCell="W124" sqref="W124"/>
      <selection pane="bottomRight" activeCell="C11" sqref="C11"/>
    </sheetView>
  </sheetViews>
  <sheetFormatPr defaultColWidth="9.1796875" defaultRowHeight="13" outlineLevelCol="1" x14ac:dyDescent="0.3"/>
  <cols>
    <col min="1" max="1" width="4.54296875" style="47" bestFit="1" customWidth="1"/>
    <col min="2" max="2" width="41.7265625" style="47" customWidth="1"/>
    <col min="3" max="3" width="17.26953125" style="47" customWidth="1"/>
    <col min="4" max="4" width="15.26953125" style="47" customWidth="1"/>
    <col min="5" max="5" width="16.7265625" style="47" customWidth="1"/>
    <col min="6" max="6" width="17" style="47" customWidth="1"/>
    <col min="7" max="7" width="14.1796875" style="47" customWidth="1"/>
    <col min="8" max="8" width="17.54296875" style="47" customWidth="1"/>
    <col min="9" max="21" width="15.26953125" style="47" customWidth="1"/>
    <col min="22" max="22" width="16" style="47" customWidth="1"/>
    <col min="23" max="23" width="15.26953125" style="47" customWidth="1"/>
    <col min="24" max="24" width="16.81640625" style="47" customWidth="1"/>
    <col min="25" max="26" width="15.26953125" style="47" customWidth="1" outlineLevel="1"/>
    <col min="27" max="27" width="15.26953125" style="47" customWidth="1"/>
    <col min="28" max="28" width="15.26953125" style="47" customWidth="1" outlineLevel="1"/>
    <col min="29" max="29" width="17.81640625" style="47" bestFit="1" customWidth="1"/>
    <col min="30" max="31" width="16.81640625" style="47" customWidth="1" outlineLevel="1"/>
    <col min="32" max="32" width="16.81640625" style="47" customWidth="1"/>
    <col min="33" max="33" width="15.26953125" style="47" customWidth="1"/>
    <col min="34" max="34" width="15.26953125" style="47" customWidth="1" outlineLevel="1"/>
    <col min="35" max="35" width="16.26953125" style="47" bestFit="1" customWidth="1"/>
    <col min="36" max="36" width="17.1796875" style="47" customWidth="1"/>
    <col min="37" max="37" width="15.26953125" style="47" customWidth="1"/>
    <col min="38" max="38" width="14.81640625" style="47" customWidth="1" outlineLevel="1"/>
    <col min="39" max="39" width="18" style="47" bestFit="1" customWidth="1"/>
    <col min="40" max="41" width="15.26953125" style="47" customWidth="1"/>
    <col min="42" max="44" width="15.26953125" style="47" customWidth="1" outlineLevel="1"/>
    <col min="45" max="45" width="15.26953125" style="47" customWidth="1"/>
    <col min="46" max="47" width="15.26953125" style="47" customWidth="1" outlineLevel="1"/>
    <col min="48" max="48" width="16" style="47" customWidth="1" outlineLevel="1"/>
    <col min="49" max="49" width="15.26953125" style="47" customWidth="1" outlineLevel="1"/>
    <col min="50" max="50" width="16" style="47" customWidth="1"/>
    <col min="51" max="51" width="15.26953125" style="47" customWidth="1"/>
    <col min="52" max="52" width="15.26953125" style="47" customWidth="1" outlineLevel="1"/>
    <col min="53" max="53" width="15.26953125" style="47" customWidth="1"/>
    <col min="54" max="54" width="18.1796875" style="47" customWidth="1" outlineLevel="1"/>
    <col min="55" max="55" width="15.26953125" style="47" customWidth="1" outlineLevel="1"/>
    <col min="56" max="56" width="16" style="47" customWidth="1" outlineLevel="1"/>
    <col min="57" max="59" width="15.26953125" style="47" customWidth="1" outlineLevel="1"/>
    <col min="60" max="61" width="15.26953125" style="47" customWidth="1"/>
    <col min="62" max="62" width="17.54296875" style="47" customWidth="1" outlineLevel="1"/>
    <col min="63" max="63" width="15.26953125" style="47" customWidth="1"/>
    <col min="64" max="64" width="15.26953125" style="47" customWidth="1" outlineLevel="1"/>
    <col min="65" max="66" width="15.26953125" style="47" customWidth="1"/>
    <col min="67" max="67" width="17.1796875" style="47" customWidth="1"/>
    <col min="68" max="68" width="17.81640625" style="47" customWidth="1"/>
    <col min="69" max="70" width="15.26953125" style="47" customWidth="1"/>
    <col min="71" max="71" width="15.26953125" style="47" customWidth="1" outlineLevel="1"/>
    <col min="72" max="73" width="15.26953125" style="47" customWidth="1"/>
    <col min="74" max="74" width="15.26953125" style="47" customWidth="1" outlineLevel="1"/>
    <col min="75" max="75" width="16.26953125" style="47" bestFit="1" customWidth="1"/>
    <col min="76" max="76" width="17.26953125" style="47" bestFit="1" customWidth="1"/>
    <col min="77" max="77" width="15.26953125" style="47" customWidth="1"/>
    <col min="78" max="78" width="15.26953125" style="47" customWidth="1" outlineLevel="1"/>
    <col min="79" max="79" width="17.1796875" style="47" customWidth="1" outlineLevel="1"/>
    <col min="80" max="81" width="15.26953125" style="47" customWidth="1"/>
    <col min="82" max="86" width="15.26953125" style="47" customWidth="1" outlineLevel="1"/>
    <col min="87" max="87" width="15.26953125" style="47" customWidth="1"/>
    <col min="88" max="99" width="15.26953125" style="47" customWidth="1" outlineLevel="1"/>
    <col min="100" max="101" width="15.26953125" style="47" customWidth="1"/>
    <col min="102" max="102" width="15.26953125" style="47" customWidth="1" outlineLevel="1"/>
    <col min="103" max="103" width="15.26953125" style="47" customWidth="1"/>
    <col min="104" max="104" width="15.26953125" style="47" customWidth="1" outlineLevel="1"/>
    <col min="105" max="106" width="15.26953125" style="47" customWidth="1"/>
    <col min="107" max="107" width="18.54296875" style="47" customWidth="1"/>
    <col min="108" max="110" width="15.26953125" style="47" customWidth="1"/>
    <col min="111" max="111" width="15.26953125" style="47" customWidth="1" outlineLevel="1"/>
    <col min="112" max="113" width="15.26953125" style="47" customWidth="1"/>
    <col min="114" max="114" width="15.26953125" style="47" customWidth="1" outlineLevel="1"/>
    <col min="115" max="115" width="20" style="47" customWidth="1"/>
    <col min="116" max="116" width="17.26953125" style="47" bestFit="1" customWidth="1"/>
    <col min="117" max="117" width="15.26953125" style="47" customWidth="1"/>
    <col min="118" max="119" width="15.26953125" style="47" customWidth="1" outlineLevel="1"/>
    <col min="120" max="121" width="15.26953125" style="47" customWidth="1"/>
    <col min="122" max="126" width="15.26953125" style="47" customWidth="1" outlineLevel="1"/>
    <col min="127" max="127" width="15.26953125" style="47" customWidth="1"/>
    <col min="128" max="130" width="15.26953125" style="47" customWidth="1" outlineLevel="1"/>
    <col min="131" max="131" width="15.26953125" style="47" customWidth="1"/>
    <col min="132" max="137" width="15.26953125" style="47" customWidth="1" outlineLevel="1"/>
    <col min="138" max="138" width="15.26953125" style="47" customWidth="1"/>
    <col min="139" max="139" width="15.26953125" style="47" customWidth="1" outlineLevel="1"/>
    <col min="140" max="141" width="15.26953125" style="47" customWidth="1"/>
    <col min="142" max="142" width="17.81640625" style="47" bestFit="1" customWidth="1"/>
    <col min="143" max="143" width="15.26953125" style="47" customWidth="1"/>
    <col min="144" max="144" width="15.26953125" style="47" customWidth="1" outlineLevel="1"/>
    <col min="145" max="146" width="15.26953125" style="47" customWidth="1"/>
    <col min="147" max="147" width="17.26953125" style="47" customWidth="1"/>
    <col min="148" max="148" width="17.81640625" style="47" bestFit="1" customWidth="1"/>
    <col min="149" max="155" width="15.26953125" style="47" customWidth="1"/>
    <col min="156" max="156" width="16.26953125" style="47" bestFit="1" customWidth="1"/>
    <col min="157" max="157" width="17.26953125" style="47" bestFit="1" customWidth="1"/>
    <col min="158" max="158" width="15.26953125" style="47" customWidth="1"/>
    <col min="159" max="160" width="15.26953125" style="47" customWidth="1" outlineLevel="1"/>
    <col min="161" max="161" width="15.26953125" style="47" customWidth="1"/>
    <col min="162" max="162" width="16" style="47" bestFit="1" customWidth="1"/>
    <col min="163" max="167" width="15.26953125" style="47" customWidth="1" outlineLevel="1"/>
    <col min="168" max="168" width="15.26953125" style="47" customWidth="1"/>
    <col min="169" max="178" width="15.26953125" style="47" customWidth="1" outlineLevel="1"/>
    <col min="179" max="179" width="15.26953125" style="47" customWidth="1"/>
    <col min="180" max="180" width="15.26953125" style="47" customWidth="1" outlineLevel="1"/>
    <col min="181" max="182" width="15.26953125" style="47" customWidth="1"/>
    <col min="183" max="183" width="15.26953125" style="47" customWidth="1" outlineLevel="1"/>
    <col min="184" max="184" width="15.26953125" style="47" customWidth="1"/>
    <col min="185" max="185" width="15.26953125" style="47" customWidth="1" outlineLevel="1"/>
    <col min="186" max="187" width="15.26953125" style="47" customWidth="1"/>
    <col min="188" max="188" width="16.81640625" style="47" customWidth="1"/>
    <col min="189" max="189" width="17.81640625" style="47" customWidth="1"/>
    <col min="190" max="196" width="15.26953125" style="47" customWidth="1"/>
    <col min="197" max="197" width="16.26953125" style="47" bestFit="1" customWidth="1"/>
    <col min="198" max="198" width="17.26953125" style="47" bestFit="1" customWidth="1"/>
    <col min="199" max="199" width="15.26953125" style="47" customWidth="1"/>
    <col min="200" max="201" width="15.26953125" style="47" customWidth="1" outlineLevel="1"/>
    <col min="202" max="203" width="15.26953125" style="47" customWidth="1"/>
    <col min="204" max="208" width="15.26953125" style="47" customWidth="1" outlineLevel="1"/>
    <col min="209" max="209" width="15.26953125" style="47" customWidth="1"/>
    <col min="210" max="219" width="15.26953125" style="47" customWidth="1" outlineLevel="1"/>
    <col min="220" max="220" width="15.26953125" style="47" customWidth="1"/>
    <col min="221" max="221" width="16.1796875" style="47" customWidth="1" outlineLevel="1"/>
    <col min="222" max="225" width="15.26953125" style="47" customWidth="1"/>
    <col min="226" max="226" width="15.26953125" style="47" customWidth="1" outlineLevel="1"/>
    <col min="227" max="228" width="15.26953125" style="47" customWidth="1"/>
    <col min="229" max="229" width="18.26953125" style="47" customWidth="1"/>
    <col min="230" max="233" width="15.26953125" style="47" customWidth="1"/>
    <col min="234" max="234" width="15.26953125" style="47" customWidth="1" outlineLevel="1"/>
    <col min="235" max="237" width="15.26953125" style="47" customWidth="1"/>
    <col min="238" max="238" width="16.26953125" style="47" bestFit="1" customWidth="1"/>
    <col min="239" max="239" width="17.26953125" style="47" bestFit="1" customWidth="1"/>
    <col min="240" max="240" width="2.26953125" style="47" customWidth="1"/>
    <col min="241" max="241" width="9.1796875" style="47"/>
    <col min="242" max="242" width="13.54296875" style="47" bestFit="1" customWidth="1"/>
    <col min="243" max="16384" width="9.1796875" style="47"/>
  </cols>
  <sheetData>
    <row r="1" spans="1:243" ht="14.5" x14ac:dyDescent="0.35">
      <c r="A1" s="48" t="s">
        <v>1069</v>
      </c>
      <c r="C1" s="136">
        <v>0</v>
      </c>
      <c r="D1" s="136">
        <v>0</v>
      </c>
      <c r="E1" s="136">
        <v>0</v>
      </c>
      <c r="F1" s="136">
        <v>0</v>
      </c>
      <c r="G1" s="136">
        <v>0</v>
      </c>
      <c r="H1" s="136">
        <v>0</v>
      </c>
      <c r="I1" s="136">
        <v>0</v>
      </c>
      <c r="J1" s="136">
        <v>0</v>
      </c>
      <c r="K1" s="136">
        <v>0</v>
      </c>
      <c r="L1" s="228"/>
      <c r="M1" s="228"/>
      <c r="N1" s="228"/>
      <c r="O1" s="228"/>
      <c r="P1" s="228"/>
      <c r="Q1" s="228"/>
      <c r="R1" s="228"/>
      <c r="S1" s="228"/>
      <c r="T1" s="228"/>
      <c r="U1" s="228"/>
      <c r="V1" s="228"/>
      <c r="W1" s="228"/>
      <c r="X1" s="228"/>
      <c r="Y1" s="228"/>
      <c r="Z1" s="228"/>
      <c r="AA1" s="228"/>
      <c r="AB1" s="228"/>
      <c r="AC1" s="228"/>
      <c r="AD1" s="228"/>
      <c r="AE1" s="228"/>
      <c r="AF1" s="228"/>
      <c r="AG1" s="228"/>
      <c r="AH1" s="228"/>
      <c r="AI1" s="228"/>
      <c r="AJ1" s="228"/>
      <c r="AK1" s="228"/>
      <c r="AL1" s="228"/>
      <c r="AM1" s="228"/>
      <c r="AN1" s="228"/>
      <c r="AO1" s="228"/>
      <c r="AP1" s="228"/>
      <c r="AQ1" s="228"/>
      <c r="AR1" s="228"/>
      <c r="AS1" s="228"/>
      <c r="AT1" s="228"/>
      <c r="AU1" s="228"/>
      <c r="AV1" s="228"/>
      <c r="AW1" s="228"/>
      <c r="AX1" s="228"/>
      <c r="AY1" s="228"/>
      <c r="AZ1" s="228"/>
      <c r="BA1" s="228"/>
      <c r="BB1" s="228"/>
      <c r="BC1" s="228"/>
      <c r="BD1" s="228"/>
      <c r="BE1" s="228"/>
      <c r="BF1" s="228"/>
      <c r="BG1" s="228"/>
      <c r="BH1" s="228"/>
      <c r="BI1" s="228"/>
      <c r="BJ1" s="228"/>
      <c r="BK1" s="228"/>
      <c r="BL1" s="228"/>
      <c r="BM1" s="228"/>
      <c r="BN1" s="228"/>
      <c r="BO1" s="228"/>
      <c r="BP1" s="228"/>
      <c r="BQ1" s="228"/>
      <c r="BR1" s="228"/>
      <c r="BS1" s="228"/>
      <c r="BT1" s="228"/>
      <c r="BU1" s="228"/>
      <c r="BV1" s="228"/>
      <c r="BW1" s="228"/>
      <c r="BX1" s="228"/>
      <c r="BY1" s="228"/>
      <c r="BZ1" s="228"/>
      <c r="CA1" s="228"/>
      <c r="CB1" s="228"/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228"/>
      <c r="DJ1" s="228"/>
      <c r="DK1" s="228"/>
      <c r="DL1" s="228"/>
      <c r="DM1" s="228"/>
      <c r="DN1" s="228"/>
      <c r="DO1" s="228"/>
      <c r="DP1" s="228"/>
      <c r="DQ1" s="228"/>
      <c r="DR1" s="228"/>
      <c r="DS1" s="228"/>
      <c r="DT1" s="228"/>
      <c r="DU1" s="228"/>
      <c r="DV1" s="228"/>
      <c r="DW1" s="228"/>
      <c r="DX1" s="228"/>
      <c r="DY1" s="228"/>
      <c r="DZ1" s="228"/>
      <c r="EA1" s="228"/>
      <c r="EB1" s="228"/>
      <c r="EC1" s="228"/>
      <c r="ED1" s="228"/>
      <c r="EE1" s="228"/>
      <c r="EF1" s="228"/>
      <c r="EG1" s="228"/>
      <c r="EH1" s="228"/>
      <c r="EI1" s="228"/>
      <c r="EJ1" s="228"/>
      <c r="EK1" s="228"/>
      <c r="EL1" s="228"/>
      <c r="EM1" s="228"/>
      <c r="EN1" s="228"/>
      <c r="EO1" s="228"/>
      <c r="EP1" s="228"/>
      <c r="EQ1" s="228"/>
      <c r="ER1" s="228"/>
      <c r="ES1" s="228"/>
      <c r="ET1" s="228"/>
      <c r="EU1" s="228"/>
      <c r="EV1" s="228"/>
      <c r="EW1" s="228"/>
      <c r="EX1" s="228"/>
      <c r="EY1" s="228"/>
      <c r="EZ1" s="228"/>
      <c r="FA1" s="228"/>
      <c r="FB1" s="228"/>
      <c r="FC1" s="228"/>
      <c r="FD1" s="228"/>
      <c r="FE1" s="228"/>
      <c r="FF1" s="228"/>
      <c r="FG1" s="228"/>
      <c r="FH1" s="228"/>
      <c r="FI1" s="228"/>
      <c r="FJ1" s="228"/>
      <c r="FK1" s="228"/>
      <c r="FL1" s="228"/>
      <c r="FM1" s="228"/>
      <c r="FN1" s="228"/>
      <c r="FO1" s="228"/>
      <c r="FP1" s="228"/>
      <c r="FQ1" s="228"/>
      <c r="FR1" s="228"/>
      <c r="FS1" s="228"/>
      <c r="FT1" s="228"/>
      <c r="FU1" s="228"/>
      <c r="FV1" s="228"/>
      <c r="FW1" s="228"/>
      <c r="FX1" s="228"/>
      <c r="FY1" s="228"/>
      <c r="FZ1" s="228"/>
      <c r="GA1" s="228"/>
      <c r="GB1" s="228"/>
      <c r="GC1" s="228"/>
      <c r="GD1" s="228"/>
      <c r="GE1" s="228"/>
      <c r="GF1" s="228"/>
      <c r="GG1" s="228"/>
      <c r="GH1" s="228"/>
      <c r="GI1" s="228"/>
      <c r="GJ1" s="228"/>
      <c r="GK1" s="228"/>
      <c r="GL1" s="228"/>
      <c r="GM1" s="228"/>
      <c r="GN1" s="228"/>
      <c r="GO1" s="228"/>
      <c r="GP1" s="228"/>
      <c r="GQ1" s="228"/>
      <c r="GR1" s="228"/>
      <c r="GS1" s="228"/>
      <c r="GT1" s="228"/>
      <c r="GU1" s="228"/>
      <c r="GV1" s="228"/>
      <c r="GW1" s="228"/>
      <c r="GX1" s="228"/>
      <c r="GY1" s="228"/>
      <c r="GZ1" s="228"/>
      <c r="HA1" s="228"/>
      <c r="HB1" s="228"/>
      <c r="HC1" s="228"/>
      <c r="HD1" s="228"/>
      <c r="HE1" s="228"/>
      <c r="HF1" s="228"/>
      <c r="HG1" s="228"/>
      <c r="HH1" s="228"/>
      <c r="HI1" s="228"/>
      <c r="HJ1" s="228"/>
      <c r="HK1" s="228"/>
      <c r="HL1" s="228"/>
      <c r="HM1" s="228"/>
      <c r="HN1" s="228"/>
      <c r="HO1" s="228"/>
      <c r="HP1" s="228"/>
      <c r="HQ1" s="228"/>
      <c r="HR1" s="228"/>
      <c r="HS1" s="228"/>
      <c r="HT1" s="228"/>
      <c r="HU1" s="228"/>
      <c r="HV1" s="228"/>
      <c r="HW1" s="228"/>
      <c r="HX1" s="228"/>
      <c r="HY1" s="228"/>
      <c r="HZ1" s="228"/>
      <c r="IA1" s="228"/>
      <c r="IB1" s="228"/>
      <c r="IC1" s="228"/>
      <c r="ID1" s="228"/>
      <c r="IE1" s="228"/>
      <c r="IF1" s="47" t="s">
        <v>34</v>
      </c>
      <c r="IH1" s="97"/>
    </row>
    <row r="2" spans="1:243" ht="14.5" x14ac:dyDescent="0.35">
      <c r="A2" s="48" t="s">
        <v>396</v>
      </c>
      <c r="L2" s="217"/>
      <c r="M2" s="217"/>
      <c r="N2" s="229"/>
      <c r="O2" s="229"/>
      <c r="P2" s="229"/>
      <c r="Q2" s="229"/>
      <c r="R2" s="229"/>
      <c r="S2" s="229"/>
      <c r="T2" s="229"/>
      <c r="U2" s="229"/>
      <c r="V2" s="229"/>
      <c r="W2" s="217"/>
      <c r="X2" s="229"/>
      <c r="Y2" s="228"/>
      <c r="Z2" s="228"/>
      <c r="AA2" s="229"/>
      <c r="AB2" s="228"/>
      <c r="AC2" s="229"/>
      <c r="AD2" s="228"/>
      <c r="AE2" s="228"/>
      <c r="AF2" s="229"/>
      <c r="AG2" s="229"/>
      <c r="AH2" s="228"/>
      <c r="AI2" s="217"/>
      <c r="AJ2" s="217"/>
      <c r="AK2" s="229"/>
      <c r="AL2" s="228"/>
      <c r="AM2" s="229"/>
      <c r="AN2" s="229"/>
      <c r="AO2" s="229"/>
      <c r="AP2" s="228"/>
      <c r="AQ2" s="228"/>
      <c r="AR2" s="228"/>
      <c r="AS2" s="229"/>
      <c r="AT2" s="228"/>
      <c r="AU2" s="228"/>
      <c r="AV2" s="228"/>
      <c r="AW2" s="228"/>
      <c r="AX2" s="229"/>
      <c r="AY2" s="229"/>
      <c r="AZ2" s="228"/>
      <c r="BA2" s="229"/>
      <c r="BB2" s="228"/>
      <c r="BC2" s="228"/>
      <c r="BD2" s="228"/>
      <c r="BE2" s="228"/>
      <c r="BF2" s="228"/>
      <c r="BG2" s="228"/>
      <c r="BH2" s="229"/>
      <c r="BI2" s="229"/>
      <c r="BJ2" s="228"/>
      <c r="BK2" s="229"/>
      <c r="BL2" s="228"/>
      <c r="BM2" s="229"/>
      <c r="BN2" s="229"/>
      <c r="BO2" s="229"/>
      <c r="BP2" s="229"/>
      <c r="BQ2" s="229"/>
      <c r="BR2" s="229"/>
      <c r="BS2" s="228"/>
      <c r="BT2" s="229"/>
      <c r="BU2" s="229"/>
      <c r="BV2" s="228"/>
      <c r="BW2" s="217"/>
      <c r="BX2" s="229"/>
      <c r="BY2" s="229"/>
      <c r="BZ2" s="228"/>
      <c r="CA2" s="228"/>
      <c r="CB2" s="229"/>
      <c r="CC2" s="229"/>
      <c r="CD2" s="228"/>
      <c r="CE2" s="228"/>
      <c r="CF2" s="228"/>
      <c r="CG2" s="228"/>
      <c r="CH2" s="228"/>
      <c r="CI2" s="229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9"/>
      <c r="CW2" s="229"/>
      <c r="CX2" s="228"/>
      <c r="CY2" s="229"/>
      <c r="CZ2" s="228"/>
      <c r="DA2" s="229"/>
      <c r="DB2" s="229"/>
      <c r="DC2" s="229"/>
      <c r="DD2" s="229"/>
      <c r="DE2" s="229"/>
      <c r="DF2" s="229"/>
      <c r="DG2" s="228"/>
      <c r="DH2" s="229"/>
      <c r="DI2" s="229"/>
      <c r="DJ2" s="228"/>
      <c r="DK2" s="217"/>
      <c r="DL2" s="229"/>
      <c r="DM2" s="229"/>
      <c r="DN2" s="228"/>
      <c r="DO2" s="228"/>
      <c r="DP2" s="229"/>
      <c r="DQ2" s="229"/>
      <c r="DR2" s="228"/>
      <c r="DS2" s="228"/>
      <c r="DT2" s="228"/>
      <c r="DU2" s="228"/>
      <c r="DV2" s="228"/>
      <c r="DW2" s="229"/>
      <c r="DX2" s="228"/>
      <c r="DY2" s="228"/>
      <c r="DZ2" s="228"/>
      <c r="EA2" s="229"/>
      <c r="EB2" s="228"/>
      <c r="EC2" s="228"/>
      <c r="ED2" s="228"/>
      <c r="EE2" s="228"/>
      <c r="EF2" s="228"/>
      <c r="EG2" s="228"/>
      <c r="EH2" s="229"/>
      <c r="EI2" s="228"/>
      <c r="EJ2" s="229"/>
      <c r="EK2" s="229"/>
      <c r="EL2" s="229"/>
      <c r="EM2" s="229"/>
      <c r="EN2" s="228"/>
      <c r="EO2" s="229"/>
      <c r="EP2" s="229"/>
      <c r="EQ2" s="229"/>
      <c r="ER2" s="229"/>
      <c r="ES2" s="229"/>
      <c r="ET2" s="229"/>
      <c r="EU2" s="229"/>
      <c r="EV2" s="229"/>
      <c r="EW2" s="229"/>
      <c r="EX2" s="229"/>
      <c r="EY2" s="229"/>
      <c r="EZ2" s="217"/>
      <c r="FA2" s="229"/>
      <c r="FB2" s="229"/>
      <c r="FC2" s="228"/>
      <c r="FD2" s="228"/>
      <c r="FE2" s="229"/>
      <c r="FF2" s="229"/>
      <c r="FG2" s="228"/>
      <c r="FH2" s="228"/>
      <c r="FI2" s="228"/>
      <c r="FJ2" s="228"/>
      <c r="FK2" s="228"/>
      <c r="FL2" s="229"/>
      <c r="FM2" s="228"/>
      <c r="FN2" s="228"/>
      <c r="FO2" s="228"/>
      <c r="FP2" s="228"/>
      <c r="FQ2" s="228"/>
      <c r="FR2" s="228"/>
      <c r="FS2" s="228"/>
      <c r="FT2" s="228"/>
      <c r="FU2" s="228"/>
      <c r="FV2" s="228"/>
      <c r="FW2" s="229"/>
      <c r="FX2" s="228"/>
      <c r="FY2" s="229"/>
      <c r="FZ2" s="229"/>
      <c r="GA2" s="228"/>
      <c r="GB2" s="229"/>
      <c r="GC2" s="228"/>
      <c r="GD2" s="229"/>
      <c r="GE2" s="229"/>
      <c r="GF2" s="229"/>
      <c r="GG2" s="229"/>
      <c r="GH2" s="229"/>
      <c r="GI2" s="229"/>
      <c r="GJ2" s="229"/>
      <c r="GK2" s="229"/>
      <c r="GL2" s="229"/>
      <c r="GM2" s="229"/>
      <c r="GN2" s="229"/>
      <c r="GO2" s="217"/>
      <c r="GP2" s="229"/>
      <c r="GQ2" s="229"/>
      <c r="GR2" s="228"/>
      <c r="GS2" s="228"/>
      <c r="GT2" s="229"/>
      <c r="GU2" s="229"/>
      <c r="GV2" s="228"/>
      <c r="GW2" s="228"/>
      <c r="GX2" s="228"/>
      <c r="GY2" s="228"/>
      <c r="GZ2" s="228"/>
      <c r="HA2" s="229"/>
      <c r="HB2" s="228"/>
      <c r="HC2" s="228"/>
      <c r="HD2" s="228"/>
      <c r="HE2" s="228"/>
      <c r="HF2" s="228"/>
      <c r="HG2" s="228"/>
      <c r="HH2" s="228"/>
      <c r="HI2" s="228"/>
      <c r="HJ2" s="228"/>
      <c r="HK2" s="228"/>
      <c r="HL2" s="229"/>
      <c r="HM2" s="228"/>
      <c r="HN2" s="229"/>
      <c r="HO2" s="229"/>
      <c r="HP2" s="229"/>
      <c r="HQ2" s="229"/>
      <c r="HR2" s="228"/>
      <c r="HS2" s="229"/>
      <c r="HT2" s="229"/>
      <c r="HU2" s="229"/>
      <c r="HV2" s="229"/>
      <c r="HW2" s="229"/>
      <c r="HX2" s="229"/>
      <c r="HY2" s="229"/>
      <c r="HZ2" s="228"/>
      <c r="IA2" s="229"/>
      <c r="IB2" s="229"/>
      <c r="IC2" s="217"/>
      <c r="ID2" s="217"/>
      <c r="IE2" s="217"/>
      <c r="IF2" s="47" t="s">
        <v>34</v>
      </c>
      <c r="IH2" s="97"/>
    </row>
    <row r="3" spans="1:243" x14ac:dyDescent="0.3">
      <c r="A3" s="48" t="s">
        <v>36</v>
      </c>
      <c r="C3" s="48"/>
      <c r="D3" s="50" t="str">
        <f t="shared" ref="D3:K3" si="0">IF(ISBLANK(D1),"CHECK NEEDED","")</f>
        <v/>
      </c>
      <c r="E3" s="50" t="str">
        <f t="shared" si="0"/>
        <v/>
      </c>
      <c r="F3" s="50" t="str">
        <f t="shared" si="0"/>
        <v/>
      </c>
      <c r="G3" s="50" t="str">
        <f t="shared" si="0"/>
        <v/>
      </c>
      <c r="H3" s="50" t="str">
        <f t="shared" si="0"/>
        <v/>
      </c>
      <c r="I3" s="50" t="str">
        <f t="shared" si="0"/>
        <v/>
      </c>
      <c r="J3" s="50" t="str">
        <f t="shared" si="0"/>
        <v/>
      </c>
      <c r="K3" s="50" t="str">
        <f t="shared" si="0"/>
        <v/>
      </c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137"/>
      <c r="Z3" s="137"/>
      <c r="AA3" s="50"/>
      <c r="AB3" s="137"/>
      <c r="AC3" s="50"/>
      <c r="AD3" s="137"/>
      <c r="AE3" s="137"/>
      <c r="AF3" s="50"/>
      <c r="AG3" s="50"/>
      <c r="AH3" s="137"/>
      <c r="AK3" s="50"/>
      <c r="AL3" s="137"/>
      <c r="AM3" s="50"/>
      <c r="AN3" s="50"/>
      <c r="AO3" s="230" t="s">
        <v>1059</v>
      </c>
      <c r="AP3" s="137"/>
      <c r="AQ3" s="137"/>
      <c r="AR3" s="137"/>
      <c r="AS3" s="50"/>
      <c r="AT3" s="137"/>
      <c r="AU3" s="137"/>
      <c r="AV3" s="137"/>
      <c r="AW3" s="137"/>
      <c r="AX3" s="50"/>
      <c r="AY3" s="50"/>
      <c r="AZ3" s="137"/>
      <c r="BA3" s="50"/>
      <c r="BB3" s="137"/>
      <c r="BC3" s="137"/>
      <c r="BD3" s="137"/>
      <c r="BE3" s="137"/>
      <c r="BF3" s="137"/>
      <c r="BG3" s="137"/>
      <c r="BH3" s="50"/>
      <c r="BI3" s="50"/>
      <c r="BJ3" s="137"/>
      <c r="BK3" s="230" t="s">
        <v>1024</v>
      </c>
      <c r="BL3" s="137"/>
      <c r="BM3" s="50"/>
      <c r="BN3" s="50"/>
      <c r="BO3" s="50"/>
      <c r="BP3" s="50"/>
      <c r="BQ3" s="50"/>
      <c r="BR3" s="50"/>
      <c r="BS3" s="137"/>
      <c r="BT3" s="230" t="s">
        <v>1024</v>
      </c>
      <c r="BU3" s="50"/>
      <c r="BV3" s="137"/>
      <c r="BY3" s="50"/>
      <c r="BZ3" s="137"/>
      <c r="CA3" s="137"/>
      <c r="CB3" s="50"/>
      <c r="CC3" s="230" t="s">
        <v>1059</v>
      </c>
      <c r="CD3" s="137"/>
      <c r="CE3" s="137"/>
      <c r="CF3" s="137"/>
      <c r="CG3" s="137"/>
      <c r="CH3" s="137"/>
      <c r="CI3" s="50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50"/>
      <c r="CW3" s="50"/>
      <c r="CX3" s="137"/>
      <c r="CY3" s="230" t="s">
        <v>1024</v>
      </c>
      <c r="CZ3" s="137"/>
      <c r="DA3" s="50"/>
      <c r="DB3" s="50"/>
      <c r="DD3" s="230" t="s">
        <v>1024</v>
      </c>
      <c r="DE3" s="230" t="s">
        <v>1024</v>
      </c>
      <c r="DF3" s="50"/>
      <c r="DG3" s="137"/>
      <c r="DH3" s="50"/>
      <c r="DI3" s="230" t="s">
        <v>1021</v>
      </c>
      <c r="DJ3" s="137"/>
      <c r="DM3" s="50"/>
      <c r="DN3" s="137"/>
      <c r="DO3" s="137"/>
      <c r="DP3" s="50"/>
      <c r="DQ3" s="230" t="s">
        <v>1059</v>
      </c>
      <c r="DR3" s="137"/>
      <c r="DS3" s="137"/>
      <c r="DT3" s="137"/>
      <c r="DU3" s="137"/>
      <c r="DV3" s="137"/>
      <c r="DW3" s="50"/>
      <c r="DX3" s="137"/>
      <c r="DY3" s="137"/>
      <c r="DZ3" s="137"/>
      <c r="EA3" s="50"/>
      <c r="EB3" s="137"/>
      <c r="EC3" s="137"/>
      <c r="ED3" s="137"/>
      <c r="EE3" s="137"/>
      <c r="EF3" s="137"/>
      <c r="EG3" s="137"/>
      <c r="EH3" s="230" t="s">
        <v>1024</v>
      </c>
      <c r="EI3" s="137"/>
      <c r="EJ3" s="50"/>
      <c r="EK3" s="50"/>
      <c r="EL3" s="50"/>
      <c r="EM3" s="230" t="s">
        <v>1024</v>
      </c>
      <c r="EN3" s="137"/>
      <c r="EO3" s="50"/>
      <c r="EP3" s="50"/>
      <c r="EQ3" s="50"/>
      <c r="ER3" s="230" t="s">
        <v>1024</v>
      </c>
      <c r="ES3" s="230" t="s">
        <v>1024</v>
      </c>
      <c r="ET3" s="50"/>
      <c r="EU3" s="230" t="s">
        <v>1024</v>
      </c>
      <c r="EV3" s="50"/>
      <c r="EW3" s="230" t="s">
        <v>1021</v>
      </c>
      <c r="EX3" s="230" t="s">
        <v>1021</v>
      </c>
      <c r="EY3" s="230" t="s">
        <v>1024</v>
      </c>
      <c r="FB3" s="50"/>
      <c r="FC3" s="137"/>
      <c r="FD3" s="137"/>
      <c r="FE3" s="50"/>
      <c r="FF3" s="230" t="s">
        <v>1059</v>
      </c>
      <c r="FG3" s="137"/>
      <c r="FH3" s="137"/>
      <c r="FI3" s="137"/>
      <c r="FJ3" s="137"/>
      <c r="FK3" s="137"/>
      <c r="FL3" s="50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230" t="s">
        <v>1024</v>
      </c>
      <c r="FX3" s="137"/>
      <c r="FY3" s="50"/>
      <c r="FZ3" s="50"/>
      <c r="GA3" s="137"/>
      <c r="GB3" s="230" t="s">
        <v>1024</v>
      </c>
      <c r="GC3" s="137"/>
      <c r="GD3" s="50"/>
      <c r="GE3" s="50"/>
      <c r="GF3" s="50"/>
      <c r="GG3" s="230" t="s">
        <v>1024</v>
      </c>
      <c r="GH3" s="230" t="s">
        <v>1024</v>
      </c>
      <c r="GI3" s="50"/>
      <c r="GJ3" s="230" t="s">
        <v>1024</v>
      </c>
      <c r="GK3" s="50"/>
      <c r="GL3" s="230" t="s">
        <v>1021</v>
      </c>
      <c r="GM3" s="230" t="s">
        <v>1021</v>
      </c>
      <c r="GN3" s="230" t="s">
        <v>1024</v>
      </c>
      <c r="GO3" s="48"/>
      <c r="GQ3" s="50"/>
      <c r="GR3" s="137"/>
      <c r="GS3" s="137"/>
      <c r="GT3" s="50"/>
      <c r="GU3" s="230" t="s">
        <v>1059</v>
      </c>
      <c r="GV3" s="137"/>
      <c r="GW3" s="137"/>
      <c r="GX3" s="137"/>
      <c r="GY3" s="137"/>
      <c r="GZ3" s="137"/>
      <c r="HA3" s="50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230" t="s">
        <v>1024</v>
      </c>
      <c r="HM3" s="137"/>
      <c r="HN3" s="50"/>
      <c r="HO3" s="50"/>
      <c r="HP3" s="50"/>
      <c r="HQ3" s="230" t="s">
        <v>1024</v>
      </c>
      <c r="HR3" s="137"/>
      <c r="HS3" s="50"/>
      <c r="HT3" s="50"/>
      <c r="HU3" s="50"/>
      <c r="HV3" s="230" t="s">
        <v>1024</v>
      </c>
      <c r="HW3" s="230" t="s">
        <v>1024</v>
      </c>
      <c r="HX3" s="50"/>
      <c r="HY3" s="230" t="s">
        <v>1024</v>
      </c>
      <c r="HZ3" s="137"/>
      <c r="IA3" s="230" t="s">
        <v>1021</v>
      </c>
      <c r="IB3" s="230" t="s">
        <v>1021</v>
      </c>
      <c r="IC3" s="50"/>
      <c r="ID3" s="48"/>
      <c r="IF3" s="47" t="s">
        <v>34</v>
      </c>
      <c r="IH3" s="97"/>
    </row>
    <row r="4" spans="1:243" x14ac:dyDescent="0.3">
      <c r="A4" s="48" t="s">
        <v>37</v>
      </c>
      <c r="C4" s="48"/>
      <c r="D4" s="336" t="str">
        <f>+TEXT(D9,"0.00")&amp;" R"</f>
        <v>11.01 R</v>
      </c>
      <c r="E4" s="336" t="str">
        <f t="shared" ref="E4:AH4" si="1">+TEXT(E9,"0.00")&amp;" R"</f>
        <v>11.02 R</v>
      </c>
      <c r="F4" s="336" t="str">
        <f t="shared" si="1"/>
        <v>11.03 R</v>
      </c>
      <c r="G4" s="336" t="str">
        <f t="shared" si="1"/>
        <v>11.04 R</v>
      </c>
      <c r="H4" s="336" t="str">
        <f t="shared" si="1"/>
        <v>11.05 R</v>
      </c>
      <c r="I4" s="336" t="str">
        <f t="shared" si="1"/>
        <v>11.06 R</v>
      </c>
      <c r="J4" s="336" t="str">
        <f t="shared" si="1"/>
        <v>11.07 R</v>
      </c>
      <c r="K4" s="336" t="str">
        <f t="shared" si="1"/>
        <v>11.08 R</v>
      </c>
      <c r="L4" s="336" t="str">
        <f t="shared" si="1"/>
        <v>11.09 R</v>
      </c>
      <c r="M4" s="336" t="str">
        <f t="shared" si="1"/>
        <v>11.10 R</v>
      </c>
      <c r="N4" s="336" t="str">
        <f t="shared" si="1"/>
        <v>11.11 R</v>
      </c>
      <c r="O4" s="336" t="str">
        <f t="shared" si="1"/>
        <v>11.12 R</v>
      </c>
      <c r="P4" s="336" t="str">
        <f t="shared" si="1"/>
        <v>11.13 R</v>
      </c>
      <c r="Q4" s="336" t="str">
        <f t="shared" si="1"/>
        <v>11.14 R</v>
      </c>
      <c r="R4" s="336" t="str">
        <f t="shared" si="1"/>
        <v>11.15 R</v>
      </c>
      <c r="S4" s="336" t="str">
        <f t="shared" si="1"/>
        <v>11.16 R</v>
      </c>
      <c r="T4" s="336" t="str">
        <f t="shared" si="1"/>
        <v>11.17 R</v>
      </c>
      <c r="U4" s="336" t="str">
        <f t="shared" si="1"/>
        <v>11.18 R</v>
      </c>
      <c r="V4" s="336" t="str">
        <f t="shared" si="1"/>
        <v>11.19 R</v>
      </c>
      <c r="W4" s="336" t="str">
        <f t="shared" si="1"/>
        <v>11.20 R</v>
      </c>
      <c r="X4" s="336" t="str">
        <f t="shared" si="1"/>
        <v>11.21 R</v>
      </c>
      <c r="Y4" s="336" t="str">
        <f t="shared" si="1"/>
        <v>11.22 R</v>
      </c>
      <c r="Z4" s="336" t="str">
        <f t="shared" si="1"/>
        <v>11.23 R</v>
      </c>
      <c r="AA4" s="336" t="str">
        <f t="shared" si="1"/>
        <v>11.24 R</v>
      </c>
      <c r="AB4" s="336" t="str">
        <f t="shared" si="1"/>
        <v>11.25 R</v>
      </c>
      <c r="AC4" s="336" t="str">
        <f t="shared" si="1"/>
        <v>11.26 R</v>
      </c>
      <c r="AD4" s="336" t="str">
        <f t="shared" si="1"/>
        <v>11.27 R</v>
      </c>
      <c r="AE4" s="336" t="str">
        <f t="shared" si="1"/>
        <v>11.45 R</v>
      </c>
      <c r="AF4" s="336" t="str">
        <f t="shared" si="1"/>
        <v>11.48 R</v>
      </c>
      <c r="AG4" s="336" t="str">
        <f t="shared" si="1"/>
        <v>11.49 R</v>
      </c>
      <c r="AH4" s="336" t="str">
        <f t="shared" si="1"/>
        <v>11.50 R</v>
      </c>
      <c r="AI4" s="58"/>
      <c r="AJ4" s="58"/>
      <c r="AK4" s="336" t="str">
        <f>+TEXT(AK9,"0.00")&amp;" P"</f>
        <v>11.01 P</v>
      </c>
      <c r="AL4" s="336" t="str">
        <f t="shared" ref="AL4:BV4" si="2">+TEXT(AL9,"0.00")&amp;" P"</f>
        <v>11.02 P</v>
      </c>
      <c r="AM4" s="336" t="str">
        <f t="shared" si="2"/>
        <v>11.03 P</v>
      </c>
      <c r="AN4" s="336" t="str">
        <f t="shared" si="2"/>
        <v>11.04 P</v>
      </c>
      <c r="AO4" s="336" t="str">
        <f t="shared" si="2"/>
        <v>11.05 P</v>
      </c>
      <c r="AP4" s="336" t="str">
        <f t="shared" si="2"/>
        <v>11.06 P</v>
      </c>
      <c r="AQ4" s="336" t="str">
        <f t="shared" si="2"/>
        <v>11.07 P</v>
      </c>
      <c r="AR4" s="336" t="str">
        <f t="shared" si="2"/>
        <v>11.08 P</v>
      </c>
      <c r="AS4" s="336" t="str">
        <f t="shared" si="2"/>
        <v>11.09 P</v>
      </c>
      <c r="AT4" s="336" t="str">
        <f t="shared" si="2"/>
        <v>11.10 P</v>
      </c>
      <c r="AU4" s="336" t="str">
        <f t="shared" si="2"/>
        <v>11.11 P</v>
      </c>
      <c r="AV4" s="336" t="str">
        <f t="shared" si="2"/>
        <v>11.12 P</v>
      </c>
      <c r="AW4" s="336" t="str">
        <f t="shared" si="2"/>
        <v>11.13 P</v>
      </c>
      <c r="AX4" s="336" t="str">
        <f t="shared" si="2"/>
        <v>11.14 P</v>
      </c>
      <c r="AY4" s="336" t="str">
        <f t="shared" si="2"/>
        <v>11.15 P</v>
      </c>
      <c r="AZ4" s="336" t="str">
        <f t="shared" si="2"/>
        <v>11.16 P</v>
      </c>
      <c r="BA4" s="336" t="str">
        <f t="shared" si="2"/>
        <v>11.17 P</v>
      </c>
      <c r="BB4" s="336" t="str">
        <f t="shared" si="2"/>
        <v>11.18 P</v>
      </c>
      <c r="BC4" s="336" t="str">
        <f t="shared" si="2"/>
        <v>11.19 P</v>
      </c>
      <c r="BD4" s="336" t="str">
        <f t="shared" si="2"/>
        <v>11.20 P</v>
      </c>
      <c r="BE4" s="336" t="str">
        <f t="shared" si="2"/>
        <v>11.21 P</v>
      </c>
      <c r="BF4" s="336" t="str">
        <f t="shared" si="2"/>
        <v>11.22 P</v>
      </c>
      <c r="BG4" s="336" t="str">
        <f t="shared" si="2"/>
        <v>11.23 P</v>
      </c>
      <c r="BH4" s="336" t="str">
        <f t="shared" si="2"/>
        <v>11.24 P</v>
      </c>
      <c r="BI4" s="336" t="str">
        <f t="shared" si="2"/>
        <v>11.25 P</v>
      </c>
      <c r="BJ4" s="336" t="str">
        <f t="shared" si="2"/>
        <v>11.26 P</v>
      </c>
      <c r="BK4" s="336" t="str">
        <f t="shared" si="2"/>
        <v>11.27 P</v>
      </c>
      <c r="BL4" s="336" t="str">
        <f t="shared" si="2"/>
        <v>11.28 P</v>
      </c>
      <c r="BM4" s="336" t="str">
        <f t="shared" si="2"/>
        <v>11.29 P</v>
      </c>
      <c r="BN4" s="336" t="str">
        <f t="shared" si="2"/>
        <v>11.30 P</v>
      </c>
      <c r="BO4" s="336" t="str">
        <f t="shared" si="2"/>
        <v>11.31 P</v>
      </c>
      <c r="BP4" s="336" t="str">
        <f t="shared" si="2"/>
        <v>11.32 P</v>
      </c>
      <c r="BQ4" s="336" t="str">
        <f t="shared" si="2"/>
        <v>11.33 P</v>
      </c>
      <c r="BR4" s="336" t="str">
        <f t="shared" si="2"/>
        <v>11.34 P</v>
      </c>
      <c r="BS4" s="336" t="str">
        <f t="shared" si="2"/>
        <v>11.45 P</v>
      </c>
      <c r="BT4" s="336" t="str">
        <f t="shared" si="2"/>
        <v>11.48 P</v>
      </c>
      <c r="BU4" s="336" t="str">
        <f t="shared" si="2"/>
        <v>11.49 P</v>
      </c>
      <c r="BV4" s="336" t="str">
        <f t="shared" si="2"/>
        <v>11.50 P</v>
      </c>
      <c r="BW4" s="58"/>
      <c r="BX4" s="58"/>
      <c r="BY4" s="336" t="str">
        <f>+TEXT(BY9,"0.00")&amp;" GY"</f>
        <v>11.01 GY</v>
      </c>
      <c r="BZ4" s="336" t="str">
        <f t="shared" ref="BZ4:DJ4" si="3">+TEXT(BZ9,"0.00")&amp;" GY"</f>
        <v>11.02 GY</v>
      </c>
      <c r="CA4" s="336" t="str">
        <f t="shared" si="3"/>
        <v>11.03 GY</v>
      </c>
      <c r="CB4" s="336" t="str">
        <f t="shared" si="3"/>
        <v>11.04 GY</v>
      </c>
      <c r="CC4" s="336" t="str">
        <f t="shared" si="3"/>
        <v>11.05 GY</v>
      </c>
      <c r="CD4" s="336" t="str">
        <f t="shared" si="3"/>
        <v>11.06 GY</v>
      </c>
      <c r="CE4" s="336" t="str">
        <f t="shared" si="3"/>
        <v>11.07 GY</v>
      </c>
      <c r="CF4" s="336" t="str">
        <f t="shared" si="3"/>
        <v>11.08 GY</v>
      </c>
      <c r="CG4" s="336" t="str">
        <f t="shared" si="3"/>
        <v>11.09 GY</v>
      </c>
      <c r="CH4" s="336" t="str">
        <f t="shared" si="3"/>
        <v>11.10 GY</v>
      </c>
      <c r="CI4" s="336" t="str">
        <f t="shared" si="3"/>
        <v>11.11 GY</v>
      </c>
      <c r="CJ4" s="336" t="str">
        <f t="shared" si="3"/>
        <v>11.12 GY</v>
      </c>
      <c r="CK4" s="336" t="str">
        <f t="shared" si="3"/>
        <v>11.13 GY</v>
      </c>
      <c r="CL4" s="336" t="str">
        <f t="shared" si="3"/>
        <v>11.14 GY</v>
      </c>
      <c r="CM4" s="336" t="str">
        <f t="shared" si="3"/>
        <v>11.15 GY</v>
      </c>
      <c r="CN4" s="336" t="str">
        <f t="shared" si="3"/>
        <v>11.16 GY</v>
      </c>
      <c r="CO4" s="336" t="str">
        <f t="shared" si="3"/>
        <v>11.17 GY</v>
      </c>
      <c r="CP4" s="336" t="str">
        <f t="shared" si="3"/>
        <v>11.18 GY</v>
      </c>
      <c r="CQ4" s="336" t="str">
        <f t="shared" si="3"/>
        <v>11.19 GY</v>
      </c>
      <c r="CR4" s="336" t="str">
        <f t="shared" si="3"/>
        <v>11.20 GY</v>
      </c>
      <c r="CS4" s="336" t="str">
        <f t="shared" si="3"/>
        <v>11.21 GY</v>
      </c>
      <c r="CT4" s="336" t="str">
        <f t="shared" si="3"/>
        <v>11.22 GY</v>
      </c>
      <c r="CU4" s="336" t="str">
        <f t="shared" si="3"/>
        <v>11.23 GY</v>
      </c>
      <c r="CV4" s="336" t="str">
        <f t="shared" si="3"/>
        <v>11.24 GY</v>
      </c>
      <c r="CW4" s="336" t="str">
        <f t="shared" si="3"/>
        <v>11.25 GY</v>
      </c>
      <c r="CX4" s="336" t="str">
        <f t="shared" si="3"/>
        <v>11.26 GY</v>
      </c>
      <c r="CY4" s="336" t="str">
        <f t="shared" si="3"/>
        <v>11.27 GY</v>
      </c>
      <c r="CZ4" s="336" t="str">
        <f t="shared" si="3"/>
        <v>11.28 GY</v>
      </c>
      <c r="DA4" s="336" t="str">
        <f t="shared" si="3"/>
        <v>11.29 GY</v>
      </c>
      <c r="DB4" s="336" t="str">
        <f t="shared" si="3"/>
        <v>11.30 GY</v>
      </c>
      <c r="DC4" s="336" t="str">
        <f t="shared" si="3"/>
        <v>11.31 GY</v>
      </c>
      <c r="DD4" s="336" t="str">
        <f t="shared" si="3"/>
        <v>11.32 GY</v>
      </c>
      <c r="DE4" s="336" t="str">
        <f t="shared" si="3"/>
        <v>11.33 GY</v>
      </c>
      <c r="DF4" s="336" t="str">
        <f t="shared" si="3"/>
        <v>11.34 GY</v>
      </c>
      <c r="DG4" s="336" t="str">
        <f t="shared" si="3"/>
        <v>11.48 GY</v>
      </c>
      <c r="DH4" s="336" t="str">
        <f t="shared" si="3"/>
        <v>11.49 GY</v>
      </c>
      <c r="DI4" s="336" t="s">
        <v>1017</v>
      </c>
      <c r="DJ4" s="336" t="str">
        <f t="shared" si="3"/>
        <v>11.50 GY</v>
      </c>
      <c r="DK4" s="58"/>
      <c r="DL4" s="58"/>
      <c r="DM4" s="336" t="str">
        <f>+TEXT(DM9,"0.00")&amp;" RY1"</f>
        <v>11.01 RY1</v>
      </c>
      <c r="DN4" s="336" t="str">
        <f t="shared" ref="DN4:EY4" si="4">+TEXT(DN9,"0.00")&amp;" RY1"</f>
        <v>11.02 RY1</v>
      </c>
      <c r="DO4" s="336" t="str">
        <f t="shared" si="4"/>
        <v>11.03 RY1</v>
      </c>
      <c r="DP4" s="336" t="str">
        <f t="shared" si="4"/>
        <v>11.04 RY1</v>
      </c>
      <c r="DQ4" s="336" t="str">
        <f t="shared" si="4"/>
        <v>11.05 RY1</v>
      </c>
      <c r="DR4" s="336" t="str">
        <f t="shared" si="4"/>
        <v>11.06 RY1</v>
      </c>
      <c r="DS4" s="336" t="str">
        <f t="shared" si="4"/>
        <v>11.07 RY1</v>
      </c>
      <c r="DT4" s="336" t="str">
        <f t="shared" si="4"/>
        <v>11.08 RY1</v>
      </c>
      <c r="DU4" s="336" t="str">
        <f t="shared" si="4"/>
        <v>11.09 RY1</v>
      </c>
      <c r="DV4" s="336" t="str">
        <f t="shared" si="4"/>
        <v>11.10 RY1</v>
      </c>
      <c r="DW4" s="336" t="str">
        <f t="shared" si="4"/>
        <v>11.11 RY1</v>
      </c>
      <c r="DX4" s="336" t="str">
        <f t="shared" si="4"/>
        <v>11.12 RY1</v>
      </c>
      <c r="DY4" s="336" t="str">
        <f t="shared" si="4"/>
        <v>11.13 RY1</v>
      </c>
      <c r="DZ4" s="336" t="str">
        <f t="shared" si="4"/>
        <v>11.14 RY1</v>
      </c>
      <c r="EA4" s="336" t="str">
        <f t="shared" si="4"/>
        <v>11.15 RY1</v>
      </c>
      <c r="EB4" s="336" t="str">
        <f t="shared" si="4"/>
        <v>11.16 RY1</v>
      </c>
      <c r="EC4" s="336" t="str">
        <f t="shared" si="4"/>
        <v>11.17 RY1</v>
      </c>
      <c r="ED4" s="336" t="str">
        <f t="shared" si="4"/>
        <v>11.18 RY1</v>
      </c>
      <c r="EE4" s="336" t="str">
        <f t="shared" si="4"/>
        <v>11.19 RY1</v>
      </c>
      <c r="EF4" s="336" t="str">
        <f t="shared" si="4"/>
        <v>11.20 RY1</v>
      </c>
      <c r="EG4" s="336" t="str">
        <f t="shared" si="4"/>
        <v>11.21 RY1</v>
      </c>
      <c r="EH4" s="336" t="str">
        <f t="shared" si="4"/>
        <v>11.22 RY1</v>
      </c>
      <c r="EI4" s="336" t="str">
        <f t="shared" si="4"/>
        <v>11.23 RY1</v>
      </c>
      <c r="EJ4" s="336" t="str">
        <f t="shared" si="4"/>
        <v>11.24 RY1</v>
      </c>
      <c r="EK4" s="336" t="str">
        <f t="shared" si="4"/>
        <v>11.25 RY1</v>
      </c>
      <c r="EL4" s="336" t="str">
        <f t="shared" si="4"/>
        <v>11.26 RY1</v>
      </c>
      <c r="EM4" s="336" t="str">
        <f t="shared" si="4"/>
        <v>11.27 RY1</v>
      </c>
      <c r="EN4" s="336" t="str">
        <f t="shared" si="4"/>
        <v>11.28 RY1</v>
      </c>
      <c r="EO4" s="336" t="str">
        <f t="shared" si="4"/>
        <v>11.29 RY1</v>
      </c>
      <c r="EP4" s="336" t="str">
        <f t="shared" si="4"/>
        <v>11.30 RY1</v>
      </c>
      <c r="EQ4" s="336" t="str">
        <f t="shared" si="4"/>
        <v>11.31 RY1</v>
      </c>
      <c r="ER4" s="336" t="str">
        <f t="shared" si="4"/>
        <v>11.32 RY1</v>
      </c>
      <c r="ES4" s="336" t="str">
        <f t="shared" si="4"/>
        <v>11.33 RY1</v>
      </c>
      <c r="ET4" s="336" t="str">
        <f t="shared" si="4"/>
        <v>11.34 RY1</v>
      </c>
      <c r="EU4" s="336" t="str">
        <f t="shared" si="4"/>
        <v>11.48 RY1</v>
      </c>
      <c r="EV4" s="336" t="str">
        <f t="shared" si="4"/>
        <v>11.49 RY1</v>
      </c>
      <c r="EW4" s="336" t="s">
        <v>1023</v>
      </c>
      <c r="EX4" s="336" t="s">
        <v>1048</v>
      </c>
      <c r="EY4" s="336" t="str">
        <f t="shared" si="4"/>
        <v>11.50 RY1</v>
      </c>
      <c r="EZ4" s="58"/>
      <c r="FA4" s="58"/>
      <c r="FB4" s="336" t="str">
        <f>+TEXT(FB9,"0.00")&amp;" RY2"</f>
        <v>11.01 RY2</v>
      </c>
      <c r="FC4" s="336" t="str">
        <f t="shared" ref="FC4:GN4" si="5">+TEXT(FC9,"0.00")&amp;" RY2"</f>
        <v>11.02 RY2</v>
      </c>
      <c r="FD4" s="336" t="str">
        <f t="shared" si="5"/>
        <v>11.03 RY2</v>
      </c>
      <c r="FE4" s="336" t="str">
        <f t="shared" si="5"/>
        <v>11.04 RY2</v>
      </c>
      <c r="FF4" s="336" t="str">
        <f t="shared" si="5"/>
        <v>11.05 RY2</v>
      </c>
      <c r="FG4" s="336" t="str">
        <f t="shared" si="5"/>
        <v>11.06 RY2</v>
      </c>
      <c r="FH4" s="336" t="str">
        <f t="shared" si="5"/>
        <v>11.07 RY2</v>
      </c>
      <c r="FI4" s="336" t="str">
        <f t="shared" si="5"/>
        <v>11.08 RY2</v>
      </c>
      <c r="FJ4" s="336" t="str">
        <f t="shared" si="5"/>
        <v>11.09 RY2</v>
      </c>
      <c r="FK4" s="336" t="str">
        <f t="shared" si="5"/>
        <v>11.10 RY2</v>
      </c>
      <c r="FL4" s="336" t="str">
        <f t="shared" si="5"/>
        <v>11.11 RY2</v>
      </c>
      <c r="FM4" s="336" t="str">
        <f t="shared" si="5"/>
        <v>11.12 RY2</v>
      </c>
      <c r="FN4" s="336" t="str">
        <f t="shared" si="5"/>
        <v>11.13 RY2</v>
      </c>
      <c r="FO4" s="336" t="str">
        <f t="shared" si="5"/>
        <v>11.14 RY2</v>
      </c>
      <c r="FP4" s="336" t="str">
        <f t="shared" si="5"/>
        <v>11.15 RY2</v>
      </c>
      <c r="FQ4" s="336" t="str">
        <f t="shared" si="5"/>
        <v>11.16 RY2</v>
      </c>
      <c r="FR4" s="336" t="str">
        <f t="shared" si="5"/>
        <v>11.17 RY2</v>
      </c>
      <c r="FS4" s="336" t="str">
        <f t="shared" si="5"/>
        <v>11.18 RY2</v>
      </c>
      <c r="FT4" s="336" t="str">
        <f t="shared" si="5"/>
        <v>11.19 RY2</v>
      </c>
      <c r="FU4" s="336" t="str">
        <f t="shared" si="5"/>
        <v>11.20 RY2</v>
      </c>
      <c r="FV4" s="336" t="str">
        <f t="shared" si="5"/>
        <v>11.21 RY2</v>
      </c>
      <c r="FW4" s="336" t="str">
        <f t="shared" si="5"/>
        <v>11.22 RY2</v>
      </c>
      <c r="FX4" s="336" t="str">
        <f t="shared" si="5"/>
        <v>11.23 RY2</v>
      </c>
      <c r="FY4" s="336" t="str">
        <f t="shared" si="5"/>
        <v>11.24 RY2</v>
      </c>
      <c r="FZ4" s="336" t="str">
        <f t="shared" si="5"/>
        <v>11.25 RY2</v>
      </c>
      <c r="GA4" s="336" t="str">
        <f t="shared" si="5"/>
        <v>11.26 RY2</v>
      </c>
      <c r="GB4" s="336" t="str">
        <f t="shared" si="5"/>
        <v>11.27 RY2</v>
      </c>
      <c r="GC4" s="336" t="str">
        <f t="shared" si="5"/>
        <v>11.28 RY2</v>
      </c>
      <c r="GD4" s="336" t="str">
        <f t="shared" si="5"/>
        <v>11.29 RY2</v>
      </c>
      <c r="GE4" s="336" t="str">
        <f t="shared" si="5"/>
        <v>11.30 RY2</v>
      </c>
      <c r="GF4" s="336" t="str">
        <f t="shared" si="5"/>
        <v>11.31 RY2</v>
      </c>
      <c r="GG4" s="336" t="str">
        <f t="shared" si="5"/>
        <v>11.32 RY2</v>
      </c>
      <c r="GH4" s="336" t="str">
        <f t="shared" si="5"/>
        <v>11.33 RY2</v>
      </c>
      <c r="GI4" s="336" t="str">
        <f t="shared" si="5"/>
        <v>11.34 RY2</v>
      </c>
      <c r="GJ4" s="336" t="str">
        <f t="shared" si="5"/>
        <v>11.48 RY2</v>
      </c>
      <c r="GK4" s="336" t="str">
        <f t="shared" si="5"/>
        <v>11.49 RY2</v>
      </c>
      <c r="GL4" s="336" t="s">
        <v>1018</v>
      </c>
      <c r="GM4" s="336" t="s">
        <v>1047</v>
      </c>
      <c r="GN4" s="336" t="str">
        <f t="shared" si="5"/>
        <v>11.50 RY2</v>
      </c>
      <c r="GO4" s="58"/>
      <c r="GP4" s="58"/>
      <c r="GQ4" s="336" t="str">
        <f>+TEXT(GQ9,"0.00")&amp;" RY3"</f>
        <v>11.01 RY3</v>
      </c>
      <c r="GR4" s="336" t="str">
        <f t="shared" ref="GR4:IC4" si="6">+TEXT(GR9,"0.00")&amp;" RY3"</f>
        <v>11.02 RY3</v>
      </c>
      <c r="GS4" s="336" t="str">
        <f t="shared" si="6"/>
        <v>11.03 RY3</v>
      </c>
      <c r="GT4" s="336" t="str">
        <f t="shared" si="6"/>
        <v>11.04 RY3</v>
      </c>
      <c r="GU4" s="336" t="str">
        <f t="shared" si="6"/>
        <v>11.05 RY3</v>
      </c>
      <c r="GV4" s="336" t="str">
        <f t="shared" si="6"/>
        <v>11.06 RY3</v>
      </c>
      <c r="GW4" s="336" t="str">
        <f t="shared" si="6"/>
        <v>11.07 RY3</v>
      </c>
      <c r="GX4" s="336" t="str">
        <f t="shared" si="6"/>
        <v>11.08 RY3</v>
      </c>
      <c r="GY4" s="336" t="str">
        <f t="shared" si="6"/>
        <v>11.09 RY3</v>
      </c>
      <c r="GZ4" s="336" t="str">
        <f t="shared" si="6"/>
        <v>11.10 RY3</v>
      </c>
      <c r="HA4" s="336" t="str">
        <f t="shared" si="6"/>
        <v>11.11 RY3</v>
      </c>
      <c r="HB4" s="336" t="str">
        <f t="shared" si="6"/>
        <v>11.12 RY3</v>
      </c>
      <c r="HC4" s="336" t="str">
        <f t="shared" si="6"/>
        <v>11.13 RY3</v>
      </c>
      <c r="HD4" s="336" t="str">
        <f t="shared" si="6"/>
        <v>11.14 RY3</v>
      </c>
      <c r="HE4" s="336" t="str">
        <f t="shared" si="6"/>
        <v>11.15 RY3</v>
      </c>
      <c r="HF4" s="336" t="str">
        <f t="shared" si="6"/>
        <v>11.16 RY3</v>
      </c>
      <c r="HG4" s="336" t="str">
        <f t="shared" si="6"/>
        <v>11.17 RY3</v>
      </c>
      <c r="HH4" s="336" t="str">
        <f t="shared" si="6"/>
        <v>11.18 RY3</v>
      </c>
      <c r="HI4" s="336" t="str">
        <f t="shared" si="6"/>
        <v>11.19 RY3</v>
      </c>
      <c r="HJ4" s="336" t="str">
        <f t="shared" si="6"/>
        <v>11.20 RY3</v>
      </c>
      <c r="HK4" s="336" t="str">
        <f t="shared" si="6"/>
        <v>11.21 RY3</v>
      </c>
      <c r="HL4" s="336" t="str">
        <f t="shared" si="6"/>
        <v>11.22 RY3</v>
      </c>
      <c r="HM4" s="336" t="str">
        <f t="shared" si="6"/>
        <v>11.23 RY3</v>
      </c>
      <c r="HN4" s="336" t="str">
        <f t="shared" si="6"/>
        <v>11.24 RY3</v>
      </c>
      <c r="HO4" s="336" t="str">
        <f t="shared" si="6"/>
        <v>11.25 RY3</v>
      </c>
      <c r="HP4" s="336" t="str">
        <f t="shared" si="6"/>
        <v>11.26 RY3</v>
      </c>
      <c r="HQ4" s="336" t="str">
        <f t="shared" si="6"/>
        <v>11.27 RY3</v>
      </c>
      <c r="HR4" s="336" t="str">
        <f t="shared" si="6"/>
        <v>11.28 RY3</v>
      </c>
      <c r="HS4" s="336" t="str">
        <f t="shared" si="6"/>
        <v>11.29 RY3</v>
      </c>
      <c r="HT4" s="336" t="str">
        <f t="shared" si="6"/>
        <v>11.30 RY3</v>
      </c>
      <c r="HU4" s="336" t="str">
        <f t="shared" si="6"/>
        <v>11.31 RY3</v>
      </c>
      <c r="HV4" s="336" t="str">
        <f t="shared" si="6"/>
        <v>11.32 RY3</v>
      </c>
      <c r="HW4" s="336" t="str">
        <f t="shared" si="6"/>
        <v>11.33 RY3</v>
      </c>
      <c r="HX4" s="336" t="str">
        <f t="shared" si="6"/>
        <v>11.34 RY3</v>
      </c>
      <c r="HY4" s="336" t="str">
        <f t="shared" si="6"/>
        <v>11.48 RY3</v>
      </c>
      <c r="HZ4" s="336" t="str">
        <f t="shared" si="6"/>
        <v>11.49 RY3</v>
      </c>
      <c r="IA4" s="336" t="s">
        <v>1019</v>
      </c>
      <c r="IB4" s="336" t="s">
        <v>1046</v>
      </c>
      <c r="IC4" s="336" t="str">
        <f t="shared" si="6"/>
        <v>11.50 RY3</v>
      </c>
      <c r="ID4" s="58"/>
      <c r="IE4" s="58"/>
      <c r="IF4" s="58" t="s">
        <v>34</v>
      </c>
      <c r="IH4" s="97"/>
    </row>
    <row r="5" spans="1:243" x14ac:dyDescent="0.3">
      <c r="A5" s="48"/>
      <c r="B5" s="52"/>
      <c r="D5" s="53">
        <v>44348</v>
      </c>
      <c r="E5" s="53">
        <v>44348</v>
      </c>
      <c r="F5" s="53">
        <v>44348</v>
      </c>
      <c r="G5" s="53">
        <v>44348</v>
      </c>
      <c r="H5" s="53">
        <v>44348</v>
      </c>
      <c r="I5" s="53">
        <v>44348</v>
      </c>
      <c r="J5" s="53">
        <v>44348</v>
      </c>
      <c r="K5" s="53">
        <v>44348</v>
      </c>
      <c r="L5" s="53">
        <v>44348</v>
      </c>
      <c r="M5" s="53">
        <v>44348</v>
      </c>
      <c r="N5" s="53">
        <v>44348</v>
      </c>
      <c r="O5" s="53">
        <v>44348</v>
      </c>
      <c r="P5" s="53">
        <v>44348</v>
      </c>
      <c r="Q5" s="53">
        <v>44348</v>
      </c>
      <c r="R5" s="53">
        <v>44348</v>
      </c>
      <c r="S5" s="53">
        <v>44348</v>
      </c>
      <c r="T5" s="53">
        <v>44348</v>
      </c>
      <c r="U5" s="53">
        <v>44348</v>
      </c>
      <c r="V5" s="53">
        <v>44348</v>
      </c>
      <c r="W5" s="53">
        <v>44348</v>
      </c>
      <c r="X5" s="53">
        <v>44348</v>
      </c>
      <c r="Y5" s="139">
        <v>44348</v>
      </c>
      <c r="Z5" s="139">
        <v>44348</v>
      </c>
      <c r="AA5" s="53">
        <v>44348</v>
      </c>
      <c r="AB5" s="139">
        <v>44348</v>
      </c>
      <c r="AC5" s="53">
        <v>44348</v>
      </c>
      <c r="AD5" s="139">
        <v>44348</v>
      </c>
      <c r="AE5" s="139">
        <v>44348</v>
      </c>
      <c r="AF5" s="53">
        <v>44348</v>
      </c>
      <c r="AG5" s="53">
        <v>44348</v>
      </c>
      <c r="AH5" s="139">
        <v>44348</v>
      </c>
      <c r="AK5" s="53">
        <v>44531</v>
      </c>
      <c r="AL5" s="139">
        <v>44531</v>
      </c>
      <c r="AM5" s="53">
        <v>44531</v>
      </c>
      <c r="AN5" s="53">
        <v>44531</v>
      </c>
      <c r="AO5" s="53">
        <v>44531</v>
      </c>
      <c r="AP5" s="139">
        <v>44531</v>
      </c>
      <c r="AQ5" s="139">
        <v>44531</v>
      </c>
      <c r="AR5" s="139">
        <v>44531</v>
      </c>
      <c r="AS5" s="53">
        <v>44531</v>
      </c>
      <c r="AT5" s="139">
        <v>44531</v>
      </c>
      <c r="AU5" s="139">
        <v>44531</v>
      </c>
      <c r="AV5" s="139">
        <v>44531</v>
      </c>
      <c r="AW5" s="139">
        <v>44531</v>
      </c>
      <c r="AX5" s="53">
        <v>44531</v>
      </c>
      <c r="AY5" s="53">
        <v>44531</v>
      </c>
      <c r="AZ5" s="139">
        <v>44531</v>
      </c>
      <c r="BA5" s="53">
        <v>44531</v>
      </c>
      <c r="BB5" s="139">
        <v>44531</v>
      </c>
      <c r="BC5" s="139">
        <v>44531</v>
      </c>
      <c r="BD5" s="139">
        <v>44531</v>
      </c>
      <c r="BE5" s="139">
        <v>44531</v>
      </c>
      <c r="BF5" s="139">
        <v>44531</v>
      </c>
      <c r="BG5" s="139">
        <v>44531</v>
      </c>
      <c r="BH5" s="53">
        <v>44531</v>
      </c>
      <c r="BI5" s="53">
        <v>44531</v>
      </c>
      <c r="BJ5" s="139">
        <v>44531</v>
      </c>
      <c r="BK5" s="53">
        <v>44531</v>
      </c>
      <c r="BL5" s="139">
        <v>44531</v>
      </c>
      <c r="BM5" s="53">
        <v>44531</v>
      </c>
      <c r="BN5" s="53">
        <v>44531</v>
      </c>
      <c r="BO5" s="53">
        <v>44531</v>
      </c>
      <c r="BP5" s="53">
        <v>44531</v>
      </c>
      <c r="BQ5" s="53">
        <v>44531</v>
      </c>
      <c r="BR5" s="53">
        <v>44531</v>
      </c>
      <c r="BS5" s="139">
        <v>44531</v>
      </c>
      <c r="BT5" s="53">
        <v>44531</v>
      </c>
      <c r="BU5" s="53">
        <v>44531</v>
      </c>
      <c r="BV5" s="139">
        <v>44531</v>
      </c>
      <c r="BY5" s="53">
        <v>44896</v>
      </c>
      <c r="BZ5" s="139">
        <v>44896</v>
      </c>
      <c r="CA5" s="139">
        <v>44896</v>
      </c>
      <c r="CB5" s="53">
        <v>44896</v>
      </c>
      <c r="CC5" s="53">
        <v>44896</v>
      </c>
      <c r="CD5" s="139">
        <v>44896</v>
      </c>
      <c r="CE5" s="139">
        <v>44896</v>
      </c>
      <c r="CF5" s="139">
        <v>44896</v>
      </c>
      <c r="CG5" s="139">
        <v>44896</v>
      </c>
      <c r="CH5" s="139">
        <v>44896</v>
      </c>
      <c r="CI5" s="53">
        <v>44896</v>
      </c>
      <c r="CJ5" s="139">
        <v>44896</v>
      </c>
      <c r="CK5" s="139">
        <v>44896</v>
      </c>
      <c r="CL5" s="139">
        <v>44896</v>
      </c>
      <c r="CM5" s="139">
        <v>44896</v>
      </c>
      <c r="CN5" s="139">
        <v>44896</v>
      </c>
      <c r="CO5" s="139">
        <v>44896</v>
      </c>
      <c r="CP5" s="139">
        <v>44896</v>
      </c>
      <c r="CQ5" s="139">
        <v>44896</v>
      </c>
      <c r="CR5" s="139">
        <v>44896</v>
      </c>
      <c r="CS5" s="139">
        <v>44896</v>
      </c>
      <c r="CT5" s="139">
        <v>44896</v>
      </c>
      <c r="CU5" s="139">
        <v>44896</v>
      </c>
      <c r="CV5" s="53">
        <v>44896</v>
      </c>
      <c r="CW5" s="53">
        <v>44896</v>
      </c>
      <c r="CX5" s="139">
        <v>44896</v>
      </c>
      <c r="CY5" s="53">
        <v>44896</v>
      </c>
      <c r="CZ5" s="139">
        <v>44896</v>
      </c>
      <c r="DA5" s="53">
        <v>44896</v>
      </c>
      <c r="DB5" s="53">
        <v>44896</v>
      </c>
      <c r="DC5" s="53">
        <v>44896</v>
      </c>
      <c r="DD5" s="53">
        <v>44896</v>
      </c>
      <c r="DE5" s="53">
        <v>44896</v>
      </c>
      <c r="DF5" s="53">
        <v>44896</v>
      </c>
      <c r="DG5" s="139">
        <v>44896</v>
      </c>
      <c r="DH5" s="53">
        <v>44896</v>
      </c>
      <c r="DI5" s="53">
        <f>+DH5</f>
        <v>44896</v>
      </c>
      <c r="DJ5" s="139">
        <v>44896</v>
      </c>
      <c r="DM5" s="53">
        <v>45261</v>
      </c>
      <c r="DN5" s="139">
        <v>45261</v>
      </c>
      <c r="DO5" s="139">
        <v>45261</v>
      </c>
      <c r="DP5" s="53">
        <v>45261</v>
      </c>
      <c r="DQ5" s="53">
        <v>45261</v>
      </c>
      <c r="DR5" s="139">
        <v>45261</v>
      </c>
      <c r="DS5" s="139">
        <v>45261</v>
      </c>
      <c r="DT5" s="139">
        <v>45261</v>
      </c>
      <c r="DU5" s="139">
        <v>45261</v>
      </c>
      <c r="DV5" s="139">
        <v>45261</v>
      </c>
      <c r="DW5" s="53">
        <v>45261</v>
      </c>
      <c r="DX5" s="139">
        <v>45261</v>
      </c>
      <c r="DY5" s="139">
        <v>45261</v>
      </c>
      <c r="DZ5" s="139">
        <v>45261</v>
      </c>
      <c r="EA5" s="53">
        <v>45261</v>
      </c>
      <c r="EB5" s="139">
        <v>45261</v>
      </c>
      <c r="EC5" s="139">
        <v>45261</v>
      </c>
      <c r="ED5" s="139">
        <v>45261</v>
      </c>
      <c r="EE5" s="139">
        <v>45261</v>
      </c>
      <c r="EF5" s="139">
        <v>45261</v>
      </c>
      <c r="EG5" s="139">
        <v>45261</v>
      </c>
      <c r="EH5" s="53">
        <v>45261</v>
      </c>
      <c r="EI5" s="139">
        <v>45261</v>
      </c>
      <c r="EJ5" s="53">
        <v>45261</v>
      </c>
      <c r="EK5" s="53">
        <v>45261</v>
      </c>
      <c r="EL5" s="53">
        <v>45261</v>
      </c>
      <c r="EM5" s="53">
        <v>45261</v>
      </c>
      <c r="EN5" s="139">
        <v>45261</v>
      </c>
      <c r="EO5" s="53">
        <v>45261</v>
      </c>
      <c r="EP5" s="53">
        <v>45261</v>
      </c>
      <c r="EQ5" s="53">
        <v>45261</v>
      </c>
      <c r="ER5" s="53">
        <v>45261</v>
      </c>
      <c r="ES5" s="53">
        <v>45261</v>
      </c>
      <c r="ET5" s="53">
        <v>45261</v>
      </c>
      <c r="EU5" s="53">
        <v>45261</v>
      </c>
      <c r="EV5" s="53">
        <v>45261</v>
      </c>
      <c r="EW5" s="53">
        <f t="shared" ref="EW5:EX7" si="7">+EV5</f>
        <v>45261</v>
      </c>
      <c r="EX5" s="53">
        <f t="shared" si="7"/>
        <v>45261</v>
      </c>
      <c r="EY5" s="53">
        <v>45261</v>
      </c>
      <c r="FB5" s="53">
        <v>45627</v>
      </c>
      <c r="FC5" s="139">
        <v>45627</v>
      </c>
      <c r="FD5" s="139">
        <v>45627</v>
      </c>
      <c r="FE5" s="53">
        <v>45627</v>
      </c>
      <c r="FF5" s="53">
        <v>45627</v>
      </c>
      <c r="FG5" s="139">
        <v>45627</v>
      </c>
      <c r="FH5" s="139">
        <v>45627</v>
      </c>
      <c r="FI5" s="139">
        <v>45627</v>
      </c>
      <c r="FJ5" s="139">
        <v>45627</v>
      </c>
      <c r="FK5" s="139">
        <v>45627</v>
      </c>
      <c r="FL5" s="53">
        <v>45627</v>
      </c>
      <c r="FM5" s="139">
        <v>45627</v>
      </c>
      <c r="FN5" s="139">
        <v>45627</v>
      </c>
      <c r="FO5" s="139">
        <v>45627</v>
      </c>
      <c r="FP5" s="139">
        <v>45627</v>
      </c>
      <c r="FQ5" s="139">
        <v>45627</v>
      </c>
      <c r="FR5" s="139">
        <v>45627</v>
      </c>
      <c r="FS5" s="139">
        <v>45627</v>
      </c>
      <c r="FT5" s="139">
        <v>45627</v>
      </c>
      <c r="FU5" s="139">
        <v>45627</v>
      </c>
      <c r="FV5" s="139">
        <v>45627</v>
      </c>
      <c r="FW5" s="53">
        <v>45627</v>
      </c>
      <c r="FX5" s="139">
        <v>45627</v>
      </c>
      <c r="FY5" s="53">
        <v>45627</v>
      </c>
      <c r="FZ5" s="53">
        <v>45627</v>
      </c>
      <c r="GA5" s="139">
        <v>45627</v>
      </c>
      <c r="GB5" s="53">
        <v>45627</v>
      </c>
      <c r="GC5" s="139">
        <v>45627</v>
      </c>
      <c r="GD5" s="53">
        <v>45627</v>
      </c>
      <c r="GE5" s="53">
        <v>45627</v>
      </c>
      <c r="GF5" s="53">
        <v>45627</v>
      </c>
      <c r="GG5" s="53">
        <v>45627</v>
      </c>
      <c r="GH5" s="53">
        <v>45627</v>
      </c>
      <c r="GI5" s="53">
        <v>45627</v>
      </c>
      <c r="GJ5" s="53">
        <v>45627</v>
      </c>
      <c r="GK5" s="53">
        <v>45627</v>
      </c>
      <c r="GL5" s="53">
        <f t="shared" ref="GL5:GM7" si="8">+GK5</f>
        <v>45627</v>
      </c>
      <c r="GM5" s="53">
        <f t="shared" si="8"/>
        <v>45627</v>
      </c>
      <c r="GN5" s="53">
        <v>45627</v>
      </c>
      <c r="GQ5" s="53">
        <v>45992</v>
      </c>
      <c r="GR5" s="139">
        <v>45992</v>
      </c>
      <c r="GS5" s="139">
        <v>45992</v>
      </c>
      <c r="GT5" s="53">
        <v>45992</v>
      </c>
      <c r="GU5" s="53">
        <v>45992</v>
      </c>
      <c r="GV5" s="139">
        <v>45992</v>
      </c>
      <c r="GW5" s="139">
        <v>45992</v>
      </c>
      <c r="GX5" s="139">
        <v>45992</v>
      </c>
      <c r="GY5" s="139">
        <v>45992</v>
      </c>
      <c r="GZ5" s="139">
        <v>45992</v>
      </c>
      <c r="HA5" s="53">
        <v>45992</v>
      </c>
      <c r="HB5" s="139">
        <v>45992</v>
      </c>
      <c r="HC5" s="139">
        <v>45992</v>
      </c>
      <c r="HD5" s="139">
        <v>45992</v>
      </c>
      <c r="HE5" s="139">
        <v>45992</v>
      </c>
      <c r="HF5" s="139">
        <v>45992</v>
      </c>
      <c r="HG5" s="139">
        <v>45992</v>
      </c>
      <c r="HH5" s="139">
        <v>45992</v>
      </c>
      <c r="HI5" s="139">
        <v>45992</v>
      </c>
      <c r="HJ5" s="139">
        <v>45992</v>
      </c>
      <c r="HK5" s="139">
        <v>45992</v>
      </c>
      <c r="HL5" s="53">
        <v>45992</v>
      </c>
      <c r="HM5" s="139">
        <v>45992</v>
      </c>
      <c r="HN5" s="53">
        <v>45992</v>
      </c>
      <c r="HO5" s="53">
        <v>45992</v>
      </c>
      <c r="HP5" s="53">
        <v>45992</v>
      </c>
      <c r="HQ5" s="53">
        <v>45992</v>
      </c>
      <c r="HR5" s="139">
        <v>45992</v>
      </c>
      <c r="HS5" s="53">
        <v>45992</v>
      </c>
      <c r="HT5" s="53">
        <v>45992</v>
      </c>
      <c r="HU5" s="53">
        <v>45992</v>
      </c>
      <c r="HV5" s="53">
        <v>45992</v>
      </c>
      <c r="HW5" s="53">
        <v>45992</v>
      </c>
      <c r="HX5" s="53">
        <v>45992</v>
      </c>
      <c r="HY5" s="53">
        <v>45992</v>
      </c>
      <c r="HZ5" s="139">
        <v>45992</v>
      </c>
      <c r="IA5" s="53">
        <f t="shared" ref="IA5:IB7" si="9">+HZ5</f>
        <v>45992</v>
      </c>
      <c r="IB5" s="53">
        <f t="shared" si="9"/>
        <v>45992</v>
      </c>
      <c r="IC5" s="53">
        <v>45992</v>
      </c>
      <c r="IF5" s="47" t="s">
        <v>34</v>
      </c>
      <c r="IH5" s="97"/>
    </row>
    <row r="6" spans="1:243" x14ac:dyDescent="0.3">
      <c r="B6" s="54"/>
      <c r="D6" s="55" t="s">
        <v>38</v>
      </c>
      <c r="E6" s="55" t="s">
        <v>38</v>
      </c>
      <c r="F6" s="55" t="s">
        <v>38</v>
      </c>
      <c r="G6" s="55" t="s">
        <v>38</v>
      </c>
      <c r="H6" s="55" t="s">
        <v>38</v>
      </c>
      <c r="I6" s="55" t="s">
        <v>38</v>
      </c>
      <c r="J6" s="55" t="s">
        <v>38</v>
      </c>
      <c r="K6" s="55" t="s">
        <v>38</v>
      </c>
      <c r="L6" s="55" t="s">
        <v>38</v>
      </c>
      <c r="M6" s="55" t="s">
        <v>38</v>
      </c>
      <c r="N6" s="55" t="s">
        <v>38</v>
      </c>
      <c r="O6" s="55" t="s">
        <v>38</v>
      </c>
      <c r="P6" s="55" t="s">
        <v>38</v>
      </c>
      <c r="Q6" s="55" t="s">
        <v>38</v>
      </c>
      <c r="R6" s="55" t="s">
        <v>38</v>
      </c>
      <c r="S6" s="55" t="s">
        <v>38</v>
      </c>
      <c r="T6" s="55" t="s">
        <v>38</v>
      </c>
      <c r="U6" s="55" t="s">
        <v>38</v>
      </c>
      <c r="V6" s="55" t="s">
        <v>38</v>
      </c>
      <c r="W6" s="55" t="s">
        <v>38</v>
      </c>
      <c r="X6" s="55" t="s">
        <v>38</v>
      </c>
      <c r="Y6" s="140" t="s">
        <v>38</v>
      </c>
      <c r="Z6" s="140" t="s">
        <v>38</v>
      </c>
      <c r="AA6" s="55" t="s">
        <v>38</v>
      </c>
      <c r="AB6" s="140" t="s">
        <v>38</v>
      </c>
      <c r="AC6" s="55" t="s">
        <v>38</v>
      </c>
      <c r="AD6" s="140" t="s">
        <v>38</v>
      </c>
      <c r="AE6" s="141" t="s">
        <v>397</v>
      </c>
      <c r="AF6" s="56" t="s">
        <v>397</v>
      </c>
      <c r="AG6" s="56" t="s">
        <v>397</v>
      </c>
      <c r="AH6" s="141" t="s">
        <v>397</v>
      </c>
      <c r="AK6" s="55" t="s">
        <v>38</v>
      </c>
      <c r="AL6" s="140" t="s">
        <v>38</v>
      </c>
      <c r="AM6" s="55" t="s">
        <v>38</v>
      </c>
      <c r="AN6" s="55" t="s">
        <v>38</v>
      </c>
      <c r="AO6" s="55" t="s">
        <v>38</v>
      </c>
      <c r="AP6" s="140" t="s">
        <v>38</v>
      </c>
      <c r="AQ6" s="140" t="s">
        <v>38</v>
      </c>
      <c r="AR6" s="140" t="s">
        <v>38</v>
      </c>
      <c r="AS6" s="55" t="s">
        <v>38</v>
      </c>
      <c r="AT6" s="140" t="s">
        <v>38</v>
      </c>
      <c r="AU6" s="140" t="s">
        <v>38</v>
      </c>
      <c r="AV6" s="140" t="s">
        <v>38</v>
      </c>
      <c r="AW6" s="140" t="s">
        <v>38</v>
      </c>
      <c r="AX6" s="55" t="s">
        <v>38</v>
      </c>
      <c r="AY6" s="55" t="s">
        <v>38</v>
      </c>
      <c r="AZ6" s="140" t="s">
        <v>38</v>
      </c>
      <c r="BA6" s="55" t="s">
        <v>38</v>
      </c>
      <c r="BB6" s="140" t="s">
        <v>38</v>
      </c>
      <c r="BC6" s="140" t="s">
        <v>38</v>
      </c>
      <c r="BD6" s="140" t="s">
        <v>38</v>
      </c>
      <c r="BE6" s="140" t="s">
        <v>38</v>
      </c>
      <c r="BF6" s="140" t="s">
        <v>38</v>
      </c>
      <c r="BG6" s="140" t="s">
        <v>38</v>
      </c>
      <c r="BH6" s="55" t="s">
        <v>38</v>
      </c>
      <c r="BI6" s="55" t="s">
        <v>38</v>
      </c>
      <c r="BJ6" s="140" t="s">
        <v>38</v>
      </c>
      <c r="BK6" s="55" t="s">
        <v>38</v>
      </c>
      <c r="BL6" s="140" t="s">
        <v>38</v>
      </c>
      <c r="BM6" s="55" t="s">
        <v>38</v>
      </c>
      <c r="BN6" s="55" t="s">
        <v>38</v>
      </c>
      <c r="BO6" s="55" t="s">
        <v>38</v>
      </c>
      <c r="BP6" s="55" t="s">
        <v>38</v>
      </c>
      <c r="BQ6" s="55" t="s">
        <v>38</v>
      </c>
      <c r="BR6" s="55" t="s">
        <v>38</v>
      </c>
      <c r="BS6" s="141" t="s">
        <v>397</v>
      </c>
      <c r="BT6" s="56" t="s">
        <v>397</v>
      </c>
      <c r="BU6" s="56" t="s">
        <v>397</v>
      </c>
      <c r="BV6" s="141" t="s">
        <v>397</v>
      </c>
      <c r="BW6" s="56"/>
      <c r="BY6" s="55" t="s">
        <v>38</v>
      </c>
      <c r="BZ6" s="140" t="s">
        <v>38</v>
      </c>
      <c r="CA6" s="140" t="s">
        <v>38</v>
      </c>
      <c r="CB6" s="55" t="s">
        <v>38</v>
      </c>
      <c r="CC6" s="55" t="s">
        <v>38</v>
      </c>
      <c r="CD6" s="140" t="s">
        <v>38</v>
      </c>
      <c r="CE6" s="140" t="s">
        <v>38</v>
      </c>
      <c r="CF6" s="140" t="s">
        <v>38</v>
      </c>
      <c r="CG6" s="140" t="s">
        <v>38</v>
      </c>
      <c r="CH6" s="140" t="s">
        <v>38</v>
      </c>
      <c r="CI6" s="55" t="s">
        <v>38</v>
      </c>
      <c r="CJ6" s="140" t="s">
        <v>38</v>
      </c>
      <c r="CK6" s="140" t="s">
        <v>38</v>
      </c>
      <c r="CL6" s="140" t="s">
        <v>38</v>
      </c>
      <c r="CM6" s="140" t="s">
        <v>38</v>
      </c>
      <c r="CN6" s="140" t="s">
        <v>38</v>
      </c>
      <c r="CO6" s="140" t="s">
        <v>38</v>
      </c>
      <c r="CP6" s="140" t="s">
        <v>38</v>
      </c>
      <c r="CQ6" s="140" t="s">
        <v>38</v>
      </c>
      <c r="CR6" s="140" t="s">
        <v>38</v>
      </c>
      <c r="CS6" s="140" t="s">
        <v>38</v>
      </c>
      <c r="CT6" s="140" t="s">
        <v>38</v>
      </c>
      <c r="CU6" s="140" t="s">
        <v>38</v>
      </c>
      <c r="CV6" s="55" t="s">
        <v>38</v>
      </c>
      <c r="CW6" s="55" t="s">
        <v>38</v>
      </c>
      <c r="CX6" s="140" t="s">
        <v>38</v>
      </c>
      <c r="CY6" s="55" t="s">
        <v>38</v>
      </c>
      <c r="CZ6" s="140" t="s">
        <v>38</v>
      </c>
      <c r="DA6" s="55" t="s">
        <v>38</v>
      </c>
      <c r="DB6" s="55" t="s">
        <v>38</v>
      </c>
      <c r="DC6" s="55" t="s">
        <v>38</v>
      </c>
      <c r="DD6" s="55" t="s">
        <v>38</v>
      </c>
      <c r="DE6" s="55" t="s">
        <v>38</v>
      </c>
      <c r="DF6" s="55" t="s">
        <v>38</v>
      </c>
      <c r="DG6" s="140" t="s">
        <v>397</v>
      </c>
      <c r="DH6" s="56" t="s">
        <v>397</v>
      </c>
      <c r="DI6" s="56" t="str">
        <f>+DH6</f>
        <v>GAS</v>
      </c>
      <c r="DJ6" s="140" t="s">
        <v>397</v>
      </c>
      <c r="DM6" s="55" t="s">
        <v>38</v>
      </c>
      <c r="DN6" s="140" t="s">
        <v>38</v>
      </c>
      <c r="DO6" s="140" t="s">
        <v>38</v>
      </c>
      <c r="DP6" s="55" t="s">
        <v>38</v>
      </c>
      <c r="DQ6" s="55" t="s">
        <v>38</v>
      </c>
      <c r="DR6" s="140" t="s">
        <v>38</v>
      </c>
      <c r="DS6" s="140" t="s">
        <v>38</v>
      </c>
      <c r="DT6" s="140" t="s">
        <v>38</v>
      </c>
      <c r="DU6" s="140" t="s">
        <v>38</v>
      </c>
      <c r="DV6" s="140" t="s">
        <v>38</v>
      </c>
      <c r="DW6" s="55" t="s">
        <v>38</v>
      </c>
      <c r="DX6" s="140" t="s">
        <v>38</v>
      </c>
      <c r="DY6" s="140" t="s">
        <v>38</v>
      </c>
      <c r="DZ6" s="140" t="s">
        <v>38</v>
      </c>
      <c r="EA6" s="55" t="s">
        <v>38</v>
      </c>
      <c r="EB6" s="140" t="s">
        <v>38</v>
      </c>
      <c r="EC6" s="140" t="s">
        <v>38</v>
      </c>
      <c r="ED6" s="140" t="s">
        <v>38</v>
      </c>
      <c r="EE6" s="140" t="s">
        <v>38</v>
      </c>
      <c r="EF6" s="140" t="s">
        <v>38</v>
      </c>
      <c r="EG6" s="140" t="s">
        <v>38</v>
      </c>
      <c r="EH6" s="55" t="s">
        <v>38</v>
      </c>
      <c r="EI6" s="140" t="s">
        <v>38</v>
      </c>
      <c r="EJ6" s="55" t="s">
        <v>38</v>
      </c>
      <c r="EK6" s="55" t="s">
        <v>38</v>
      </c>
      <c r="EL6" s="55" t="s">
        <v>38</v>
      </c>
      <c r="EM6" s="55" t="s">
        <v>38</v>
      </c>
      <c r="EN6" s="140" t="s">
        <v>38</v>
      </c>
      <c r="EO6" s="55" t="s">
        <v>38</v>
      </c>
      <c r="EP6" s="55" t="s">
        <v>38</v>
      </c>
      <c r="EQ6" s="55" t="s">
        <v>38</v>
      </c>
      <c r="ER6" s="55" t="s">
        <v>38</v>
      </c>
      <c r="ES6" s="55" t="s">
        <v>38</v>
      </c>
      <c r="ET6" s="55" t="s">
        <v>38</v>
      </c>
      <c r="EU6" s="56" t="s">
        <v>397</v>
      </c>
      <c r="EV6" s="56" t="s">
        <v>397</v>
      </c>
      <c r="EW6" s="56" t="str">
        <f t="shared" si="7"/>
        <v>GAS</v>
      </c>
      <c r="EX6" s="56" t="str">
        <f t="shared" si="7"/>
        <v>GAS</v>
      </c>
      <c r="EY6" s="56" t="s">
        <v>397</v>
      </c>
      <c r="FB6" s="55" t="s">
        <v>38</v>
      </c>
      <c r="FC6" s="140" t="s">
        <v>38</v>
      </c>
      <c r="FD6" s="140" t="s">
        <v>38</v>
      </c>
      <c r="FE6" s="55" t="s">
        <v>38</v>
      </c>
      <c r="FF6" s="55" t="s">
        <v>38</v>
      </c>
      <c r="FG6" s="140" t="s">
        <v>38</v>
      </c>
      <c r="FH6" s="140" t="s">
        <v>38</v>
      </c>
      <c r="FI6" s="140" t="s">
        <v>38</v>
      </c>
      <c r="FJ6" s="140" t="s">
        <v>38</v>
      </c>
      <c r="FK6" s="140" t="s">
        <v>38</v>
      </c>
      <c r="FL6" s="55" t="s">
        <v>38</v>
      </c>
      <c r="FM6" s="140" t="s">
        <v>38</v>
      </c>
      <c r="FN6" s="140" t="s">
        <v>38</v>
      </c>
      <c r="FO6" s="140" t="s">
        <v>38</v>
      </c>
      <c r="FP6" s="140" t="s">
        <v>38</v>
      </c>
      <c r="FQ6" s="140" t="s">
        <v>38</v>
      </c>
      <c r="FR6" s="140" t="s">
        <v>38</v>
      </c>
      <c r="FS6" s="140" t="s">
        <v>38</v>
      </c>
      <c r="FT6" s="140" t="s">
        <v>38</v>
      </c>
      <c r="FU6" s="140" t="s">
        <v>38</v>
      </c>
      <c r="FV6" s="140" t="s">
        <v>38</v>
      </c>
      <c r="FW6" s="55" t="s">
        <v>38</v>
      </c>
      <c r="FX6" s="140" t="s">
        <v>38</v>
      </c>
      <c r="FY6" s="55" t="s">
        <v>38</v>
      </c>
      <c r="FZ6" s="55" t="s">
        <v>38</v>
      </c>
      <c r="GA6" s="140" t="s">
        <v>38</v>
      </c>
      <c r="GB6" s="55" t="s">
        <v>38</v>
      </c>
      <c r="GC6" s="140" t="s">
        <v>38</v>
      </c>
      <c r="GD6" s="55" t="s">
        <v>38</v>
      </c>
      <c r="GE6" s="55" t="s">
        <v>38</v>
      </c>
      <c r="GF6" s="55" t="s">
        <v>38</v>
      </c>
      <c r="GG6" s="55" t="s">
        <v>38</v>
      </c>
      <c r="GH6" s="55" t="s">
        <v>38</v>
      </c>
      <c r="GI6" s="55" t="s">
        <v>38</v>
      </c>
      <c r="GJ6" s="56" t="s">
        <v>397</v>
      </c>
      <c r="GK6" s="56" t="s">
        <v>397</v>
      </c>
      <c r="GL6" s="56" t="str">
        <f t="shared" si="8"/>
        <v>GAS</v>
      </c>
      <c r="GM6" s="56" t="str">
        <f t="shared" si="8"/>
        <v>GAS</v>
      </c>
      <c r="GN6" s="56" t="s">
        <v>397</v>
      </c>
      <c r="GQ6" s="55" t="s">
        <v>38</v>
      </c>
      <c r="GR6" s="140" t="s">
        <v>38</v>
      </c>
      <c r="GS6" s="140" t="s">
        <v>38</v>
      </c>
      <c r="GT6" s="55" t="s">
        <v>38</v>
      </c>
      <c r="GU6" s="55" t="s">
        <v>38</v>
      </c>
      <c r="GV6" s="140" t="s">
        <v>38</v>
      </c>
      <c r="GW6" s="140" t="s">
        <v>38</v>
      </c>
      <c r="GX6" s="140" t="s">
        <v>38</v>
      </c>
      <c r="GY6" s="140" t="s">
        <v>38</v>
      </c>
      <c r="GZ6" s="140" t="s">
        <v>38</v>
      </c>
      <c r="HA6" s="55" t="s">
        <v>38</v>
      </c>
      <c r="HB6" s="140" t="s">
        <v>38</v>
      </c>
      <c r="HC6" s="140" t="s">
        <v>38</v>
      </c>
      <c r="HD6" s="140" t="s">
        <v>38</v>
      </c>
      <c r="HE6" s="140" t="s">
        <v>38</v>
      </c>
      <c r="HF6" s="140" t="s">
        <v>38</v>
      </c>
      <c r="HG6" s="140" t="s">
        <v>38</v>
      </c>
      <c r="HH6" s="140" t="s">
        <v>38</v>
      </c>
      <c r="HI6" s="140" t="s">
        <v>38</v>
      </c>
      <c r="HJ6" s="140" t="s">
        <v>38</v>
      </c>
      <c r="HK6" s="140" t="s">
        <v>38</v>
      </c>
      <c r="HL6" s="55" t="s">
        <v>38</v>
      </c>
      <c r="HM6" s="140" t="s">
        <v>38</v>
      </c>
      <c r="HN6" s="55" t="s">
        <v>38</v>
      </c>
      <c r="HO6" s="55" t="s">
        <v>38</v>
      </c>
      <c r="HP6" s="55" t="s">
        <v>38</v>
      </c>
      <c r="HQ6" s="55" t="s">
        <v>38</v>
      </c>
      <c r="HR6" s="140" t="s">
        <v>38</v>
      </c>
      <c r="HS6" s="55" t="s">
        <v>38</v>
      </c>
      <c r="HT6" s="55" t="s">
        <v>38</v>
      </c>
      <c r="HU6" s="55" t="s">
        <v>38</v>
      </c>
      <c r="HV6" s="55" t="s">
        <v>38</v>
      </c>
      <c r="HW6" s="55" t="s">
        <v>38</v>
      </c>
      <c r="HX6" s="55" t="s">
        <v>38</v>
      </c>
      <c r="HY6" s="56" t="s">
        <v>397</v>
      </c>
      <c r="HZ6" s="140" t="s">
        <v>397</v>
      </c>
      <c r="IA6" s="56" t="str">
        <f t="shared" si="9"/>
        <v>GAS</v>
      </c>
      <c r="IB6" s="56" t="str">
        <f t="shared" si="9"/>
        <v>GAS</v>
      </c>
      <c r="IC6" s="56" t="s">
        <v>397</v>
      </c>
      <c r="IF6" s="47" t="s">
        <v>34</v>
      </c>
      <c r="IH6" s="97"/>
    </row>
    <row r="7" spans="1:243" x14ac:dyDescent="0.3">
      <c r="B7" s="142"/>
      <c r="D7" s="58" t="s">
        <v>40</v>
      </c>
      <c r="E7" s="58" t="s">
        <v>40</v>
      </c>
      <c r="F7" s="58" t="s">
        <v>40</v>
      </c>
      <c r="G7" s="58" t="s">
        <v>40</v>
      </c>
      <c r="H7" s="58" t="s">
        <v>40</v>
      </c>
      <c r="I7" s="58" t="s">
        <v>40</v>
      </c>
      <c r="J7" s="58" t="s">
        <v>40</v>
      </c>
      <c r="K7" s="58" t="s">
        <v>40</v>
      </c>
      <c r="L7" s="58" t="s">
        <v>40</v>
      </c>
      <c r="M7" s="58" t="s">
        <v>40</v>
      </c>
      <c r="N7" s="58" t="s">
        <v>40</v>
      </c>
      <c r="O7" s="58" t="s">
        <v>40</v>
      </c>
      <c r="P7" s="58" t="s">
        <v>40</v>
      </c>
      <c r="Q7" s="58" t="s">
        <v>40</v>
      </c>
      <c r="R7" s="58" t="s">
        <v>40</v>
      </c>
      <c r="S7" s="58" t="s">
        <v>40</v>
      </c>
      <c r="T7" s="58" t="s">
        <v>40</v>
      </c>
      <c r="U7" s="58" t="s">
        <v>40</v>
      </c>
      <c r="V7" s="58" t="s">
        <v>40</v>
      </c>
      <c r="W7" s="58" t="s">
        <v>40</v>
      </c>
      <c r="X7" s="58" t="s">
        <v>40</v>
      </c>
      <c r="Y7" s="143" t="s">
        <v>40</v>
      </c>
      <c r="Z7" s="143" t="s">
        <v>40</v>
      </c>
      <c r="AA7" s="58" t="s">
        <v>40</v>
      </c>
      <c r="AB7" s="143" t="s">
        <v>40</v>
      </c>
      <c r="AC7" s="58" t="s">
        <v>40</v>
      </c>
      <c r="AD7" s="143" t="s">
        <v>40</v>
      </c>
      <c r="AE7" s="143" t="s">
        <v>40</v>
      </c>
      <c r="AF7" s="58" t="s">
        <v>40</v>
      </c>
      <c r="AG7" s="58" t="s">
        <v>40</v>
      </c>
      <c r="AH7" s="143" t="s">
        <v>40</v>
      </c>
      <c r="AK7" s="58" t="s">
        <v>41</v>
      </c>
      <c r="AL7" s="143" t="s">
        <v>41</v>
      </c>
      <c r="AM7" s="58" t="s">
        <v>41</v>
      </c>
      <c r="AN7" s="58" t="s">
        <v>41</v>
      </c>
      <c r="AO7" s="58" t="s">
        <v>41</v>
      </c>
      <c r="AP7" s="143" t="s">
        <v>41</v>
      </c>
      <c r="AQ7" s="143" t="s">
        <v>41</v>
      </c>
      <c r="AR7" s="143" t="s">
        <v>41</v>
      </c>
      <c r="AS7" s="58" t="s">
        <v>41</v>
      </c>
      <c r="AT7" s="143" t="s">
        <v>41</v>
      </c>
      <c r="AU7" s="143" t="s">
        <v>41</v>
      </c>
      <c r="AV7" s="143" t="s">
        <v>41</v>
      </c>
      <c r="AW7" s="143" t="s">
        <v>41</v>
      </c>
      <c r="AX7" s="58" t="s">
        <v>41</v>
      </c>
      <c r="AY7" s="58" t="s">
        <v>41</v>
      </c>
      <c r="AZ7" s="143" t="s">
        <v>41</v>
      </c>
      <c r="BA7" s="58" t="s">
        <v>41</v>
      </c>
      <c r="BB7" s="143" t="s">
        <v>41</v>
      </c>
      <c r="BC7" s="143" t="s">
        <v>41</v>
      </c>
      <c r="BD7" s="143" t="s">
        <v>41</v>
      </c>
      <c r="BE7" s="143" t="s">
        <v>41</v>
      </c>
      <c r="BF7" s="143" t="s">
        <v>41</v>
      </c>
      <c r="BG7" s="143" t="s">
        <v>41</v>
      </c>
      <c r="BH7" s="58" t="s">
        <v>41</v>
      </c>
      <c r="BI7" s="58" t="s">
        <v>41</v>
      </c>
      <c r="BJ7" s="143" t="s">
        <v>41</v>
      </c>
      <c r="BK7" s="58" t="s">
        <v>41</v>
      </c>
      <c r="BL7" s="143" t="s">
        <v>41</v>
      </c>
      <c r="BM7" s="58" t="s">
        <v>41</v>
      </c>
      <c r="BN7" s="58" t="s">
        <v>41</v>
      </c>
      <c r="BO7" s="58" t="s">
        <v>41</v>
      </c>
      <c r="BP7" s="58" t="s">
        <v>41</v>
      </c>
      <c r="BQ7" s="58" t="s">
        <v>41</v>
      </c>
      <c r="BR7" s="58" t="s">
        <v>41</v>
      </c>
      <c r="BS7" s="143" t="s">
        <v>41</v>
      </c>
      <c r="BT7" s="58" t="s">
        <v>41</v>
      </c>
      <c r="BU7" s="58" t="s">
        <v>41</v>
      </c>
      <c r="BV7" s="143" t="s">
        <v>41</v>
      </c>
      <c r="BY7" s="58" t="s">
        <v>42</v>
      </c>
      <c r="BZ7" s="143" t="s">
        <v>42</v>
      </c>
      <c r="CA7" s="143" t="s">
        <v>42</v>
      </c>
      <c r="CB7" s="58" t="s">
        <v>42</v>
      </c>
      <c r="CC7" s="58" t="s">
        <v>42</v>
      </c>
      <c r="CD7" s="143" t="s">
        <v>42</v>
      </c>
      <c r="CE7" s="143" t="s">
        <v>42</v>
      </c>
      <c r="CF7" s="143" t="s">
        <v>42</v>
      </c>
      <c r="CG7" s="143" t="s">
        <v>42</v>
      </c>
      <c r="CH7" s="143" t="s">
        <v>42</v>
      </c>
      <c r="CI7" s="58" t="s">
        <v>42</v>
      </c>
      <c r="CJ7" s="143" t="s">
        <v>42</v>
      </c>
      <c r="CK7" s="143" t="s">
        <v>42</v>
      </c>
      <c r="CL7" s="143" t="s">
        <v>42</v>
      </c>
      <c r="CM7" s="143" t="s">
        <v>42</v>
      </c>
      <c r="CN7" s="143" t="s">
        <v>42</v>
      </c>
      <c r="CO7" s="143" t="s">
        <v>42</v>
      </c>
      <c r="CP7" s="143" t="s">
        <v>42</v>
      </c>
      <c r="CQ7" s="143" t="s">
        <v>42</v>
      </c>
      <c r="CR7" s="143" t="s">
        <v>42</v>
      </c>
      <c r="CS7" s="143" t="s">
        <v>42</v>
      </c>
      <c r="CT7" s="143" t="s">
        <v>42</v>
      </c>
      <c r="CU7" s="143" t="s">
        <v>42</v>
      </c>
      <c r="CV7" s="58" t="s">
        <v>42</v>
      </c>
      <c r="CW7" s="58" t="s">
        <v>42</v>
      </c>
      <c r="CX7" s="143" t="s">
        <v>42</v>
      </c>
      <c r="CY7" s="58" t="s">
        <v>42</v>
      </c>
      <c r="CZ7" s="143" t="s">
        <v>42</v>
      </c>
      <c r="DA7" s="58" t="s">
        <v>42</v>
      </c>
      <c r="DB7" s="58" t="s">
        <v>42</v>
      </c>
      <c r="DC7" s="58" t="s">
        <v>42</v>
      </c>
      <c r="DD7" s="58" t="s">
        <v>42</v>
      </c>
      <c r="DE7" s="58" t="s">
        <v>42</v>
      </c>
      <c r="DF7" s="58" t="s">
        <v>42</v>
      </c>
      <c r="DG7" s="143" t="s">
        <v>42</v>
      </c>
      <c r="DH7" s="58" t="s">
        <v>42</v>
      </c>
      <c r="DI7" s="58" t="str">
        <f>+DH7</f>
        <v>GAP YEAR</v>
      </c>
      <c r="DJ7" s="143" t="s">
        <v>42</v>
      </c>
      <c r="DM7" s="58" t="s">
        <v>43</v>
      </c>
      <c r="DN7" s="143" t="s">
        <v>43</v>
      </c>
      <c r="DO7" s="143" t="s">
        <v>43</v>
      </c>
      <c r="DP7" s="58" t="s">
        <v>43</v>
      </c>
      <c r="DQ7" s="58" t="s">
        <v>43</v>
      </c>
      <c r="DR7" s="143" t="s">
        <v>43</v>
      </c>
      <c r="DS7" s="143" t="s">
        <v>43</v>
      </c>
      <c r="DT7" s="143" t="s">
        <v>43</v>
      </c>
      <c r="DU7" s="143" t="s">
        <v>43</v>
      </c>
      <c r="DV7" s="143" t="s">
        <v>43</v>
      </c>
      <c r="DW7" s="58" t="s">
        <v>43</v>
      </c>
      <c r="DX7" s="143" t="s">
        <v>43</v>
      </c>
      <c r="DY7" s="143" t="s">
        <v>43</v>
      </c>
      <c r="DZ7" s="143" t="s">
        <v>43</v>
      </c>
      <c r="EA7" s="58" t="s">
        <v>43</v>
      </c>
      <c r="EB7" s="143" t="s">
        <v>43</v>
      </c>
      <c r="EC7" s="143" t="s">
        <v>43</v>
      </c>
      <c r="ED7" s="143" t="s">
        <v>43</v>
      </c>
      <c r="EE7" s="143" t="s">
        <v>43</v>
      </c>
      <c r="EF7" s="143" t="s">
        <v>43</v>
      </c>
      <c r="EG7" s="143" t="s">
        <v>43</v>
      </c>
      <c r="EH7" s="58" t="s">
        <v>43</v>
      </c>
      <c r="EI7" s="143" t="s">
        <v>43</v>
      </c>
      <c r="EJ7" s="58" t="s">
        <v>43</v>
      </c>
      <c r="EK7" s="58" t="s">
        <v>43</v>
      </c>
      <c r="EL7" s="58" t="s">
        <v>43</v>
      </c>
      <c r="EM7" s="58" t="s">
        <v>43</v>
      </c>
      <c r="EN7" s="143" t="s">
        <v>43</v>
      </c>
      <c r="EO7" s="58" t="s">
        <v>43</v>
      </c>
      <c r="EP7" s="58" t="s">
        <v>43</v>
      </c>
      <c r="EQ7" s="58" t="s">
        <v>43</v>
      </c>
      <c r="ER7" s="58" t="s">
        <v>43</v>
      </c>
      <c r="ES7" s="58" t="s">
        <v>43</v>
      </c>
      <c r="ET7" s="58" t="s">
        <v>43</v>
      </c>
      <c r="EU7" s="58" t="s">
        <v>43</v>
      </c>
      <c r="EV7" s="58" t="s">
        <v>43</v>
      </c>
      <c r="EW7" s="58" t="str">
        <f t="shared" si="7"/>
        <v>RATE YEAR 1</v>
      </c>
      <c r="EX7" s="58" t="str">
        <f t="shared" si="7"/>
        <v>RATE YEAR 1</v>
      </c>
      <c r="EY7" s="58" t="s">
        <v>43</v>
      </c>
      <c r="FB7" s="58" t="s">
        <v>44</v>
      </c>
      <c r="FC7" s="143" t="s">
        <v>44</v>
      </c>
      <c r="FD7" s="143" t="s">
        <v>44</v>
      </c>
      <c r="FE7" s="58" t="s">
        <v>44</v>
      </c>
      <c r="FF7" s="58" t="s">
        <v>44</v>
      </c>
      <c r="FG7" s="143" t="s">
        <v>44</v>
      </c>
      <c r="FH7" s="143" t="s">
        <v>44</v>
      </c>
      <c r="FI7" s="143" t="s">
        <v>44</v>
      </c>
      <c r="FJ7" s="143" t="s">
        <v>44</v>
      </c>
      <c r="FK7" s="143" t="s">
        <v>44</v>
      </c>
      <c r="FL7" s="58" t="s">
        <v>44</v>
      </c>
      <c r="FM7" s="143" t="s">
        <v>44</v>
      </c>
      <c r="FN7" s="143" t="s">
        <v>44</v>
      </c>
      <c r="FO7" s="143" t="s">
        <v>44</v>
      </c>
      <c r="FP7" s="143" t="s">
        <v>44</v>
      </c>
      <c r="FQ7" s="143" t="s">
        <v>44</v>
      </c>
      <c r="FR7" s="143" t="s">
        <v>44</v>
      </c>
      <c r="FS7" s="143" t="s">
        <v>44</v>
      </c>
      <c r="FT7" s="143" t="s">
        <v>44</v>
      </c>
      <c r="FU7" s="143" t="s">
        <v>44</v>
      </c>
      <c r="FV7" s="143" t="s">
        <v>44</v>
      </c>
      <c r="FW7" s="58" t="s">
        <v>44</v>
      </c>
      <c r="FX7" s="143" t="s">
        <v>44</v>
      </c>
      <c r="FY7" s="58" t="s">
        <v>44</v>
      </c>
      <c r="FZ7" s="58" t="s">
        <v>44</v>
      </c>
      <c r="GA7" s="143" t="s">
        <v>44</v>
      </c>
      <c r="GB7" s="58" t="s">
        <v>44</v>
      </c>
      <c r="GC7" s="143" t="s">
        <v>44</v>
      </c>
      <c r="GD7" s="58" t="s">
        <v>44</v>
      </c>
      <c r="GE7" s="58" t="s">
        <v>44</v>
      </c>
      <c r="GF7" s="58" t="s">
        <v>44</v>
      </c>
      <c r="GG7" s="58" t="s">
        <v>44</v>
      </c>
      <c r="GH7" s="58" t="s">
        <v>44</v>
      </c>
      <c r="GI7" s="58" t="s">
        <v>44</v>
      </c>
      <c r="GJ7" s="58" t="s">
        <v>44</v>
      </c>
      <c r="GK7" s="58" t="s">
        <v>44</v>
      </c>
      <c r="GL7" s="58" t="str">
        <f t="shared" si="8"/>
        <v>RATE YEAR 2</v>
      </c>
      <c r="GM7" s="58" t="str">
        <f t="shared" si="8"/>
        <v>RATE YEAR 2</v>
      </c>
      <c r="GN7" s="58" t="s">
        <v>44</v>
      </c>
      <c r="GQ7" s="58" t="s">
        <v>45</v>
      </c>
      <c r="GR7" s="143" t="s">
        <v>45</v>
      </c>
      <c r="GS7" s="143" t="s">
        <v>45</v>
      </c>
      <c r="GT7" s="58" t="s">
        <v>45</v>
      </c>
      <c r="GU7" s="58" t="s">
        <v>45</v>
      </c>
      <c r="GV7" s="143" t="s">
        <v>45</v>
      </c>
      <c r="GW7" s="143" t="s">
        <v>45</v>
      </c>
      <c r="GX7" s="143" t="s">
        <v>45</v>
      </c>
      <c r="GY7" s="143" t="s">
        <v>45</v>
      </c>
      <c r="GZ7" s="143" t="s">
        <v>45</v>
      </c>
      <c r="HA7" s="58" t="s">
        <v>45</v>
      </c>
      <c r="HB7" s="143" t="s">
        <v>45</v>
      </c>
      <c r="HC7" s="143" t="s">
        <v>45</v>
      </c>
      <c r="HD7" s="143" t="s">
        <v>45</v>
      </c>
      <c r="HE7" s="143" t="s">
        <v>45</v>
      </c>
      <c r="HF7" s="143" t="s">
        <v>45</v>
      </c>
      <c r="HG7" s="143" t="s">
        <v>45</v>
      </c>
      <c r="HH7" s="143" t="s">
        <v>45</v>
      </c>
      <c r="HI7" s="143" t="s">
        <v>45</v>
      </c>
      <c r="HJ7" s="143" t="s">
        <v>45</v>
      </c>
      <c r="HK7" s="143" t="s">
        <v>45</v>
      </c>
      <c r="HL7" s="58" t="s">
        <v>45</v>
      </c>
      <c r="HM7" s="143" t="s">
        <v>45</v>
      </c>
      <c r="HN7" s="58" t="s">
        <v>45</v>
      </c>
      <c r="HO7" s="58" t="s">
        <v>45</v>
      </c>
      <c r="HP7" s="58" t="s">
        <v>45</v>
      </c>
      <c r="HQ7" s="58" t="s">
        <v>45</v>
      </c>
      <c r="HR7" s="143" t="s">
        <v>45</v>
      </c>
      <c r="HS7" s="58" t="s">
        <v>45</v>
      </c>
      <c r="HT7" s="58" t="s">
        <v>45</v>
      </c>
      <c r="HU7" s="58" t="s">
        <v>45</v>
      </c>
      <c r="HV7" s="58" t="s">
        <v>45</v>
      </c>
      <c r="HW7" s="58" t="s">
        <v>45</v>
      </c>
      <c r="HX7" s="58" t="s">
        <v>45</v>
      </c>
      <c r="HY7" s="58" t="s">
        <v>45</v>
      </c>
      <c r="HZ7" s="143" t="s">
        <v>45</v>
      </c>
      <c r="IA7" s="58" t="str">
        <f t="shared" si="9"/>
        <v>RATE YEAR 3</v>
      </c>
      <c r="IB7" s="58" t="str">
        <f t="shared" si="9"/>
        <v>RATE YEAR 3</v>
      </c>
      <c r="IC7" s="58" t="s">
        <v>45</v>
      </c>
      <c r="IF7" s="47" t="s">
        <v>34</v>
      </c>
      <c r="IH7" s="97"/>
    </row>
    <row r="8" spans="1:243" x14ac:dyDescent="0.3">
      <c r="B8" s="59"/>
      <c r="U8" s="60"/>
      <c r="Y8" s="138"/>
      <c r="Z8" s="138"/>
      <c r="AB8" s="138"/>
      <c r="AD8" s="138"/>
      <c r="AE8" s="138"/>
      <c r="AH8" s="138"/>
      <c r="AL8" s="138"/>
      <c r="AN8" s="58" t="s">
        <v>46</v>
      </c>
      <c r="AO8" s="58" t="s">
        <v>46</v>
      </c>
      <c r="AP8" s="138"/>
      <c r="AQ8" s="138"/>
      <c r="AR8" s="138"/>
      <c r="AT8" s="138"/>
      <c r="AU8" s="138"/>
      <c r="AV8" s="138"/>
      <c r="AW8" s="138"/>
      <c r="AZ8" s="138"/>
      <c r="BB8" s="138"/>
      <c r="BC8" s="138"/>
      <c r="BD8" s="138"/>
      <c r="BE8" s="138"/>
      <c r="BF8" s="138"/>
      <c r="BG8" s="138"/>
      <c r="BJ8" s="138"/>
      <c r="BL8" s="138"/>
      <c r="BS8" s="138"/>
      <c r="BV8" s="138"/>
      <c r="BZ8" s="138"/>
      <c r="CA8" s="138"/>
      <c r="CB8" s="58" t="s">
        <v>46</v>
      </c>
      <c r="CC8" s="58" t="s">
        <v>46</v>
      </c>
      <c r="CD8" s="138"/>
      <c r="CE8" s="138"/>
      <c r="CF8" s="138"/>
      <c r="CG8" s="138"/>
      <c r="CH8" s="138"/>
      <c r="CJ8" s="138"/>
      <c r="CK8" s="138"/>
      <c r="CL8" s="138"/>
      <c r="CM8" s="138"/>
      <c r="CN8" s="138"/>
      <c r="CO8" s="138"/>
      <c r="CP8" s="138"/>
      <c r="CQ8" s="138"/>
      <c r="CR8" s="138"/>
      <c r="CS8" s="138"/>
      <c r="CT8" s="138"/>
      <c r="CU8" s="138"/>
      <c r="CX8" s="138"/>
      <c r="CZ8" s="138"/>
      <c r="DG8" s="138"/>
      <c r="DJ8" s="138"/>
      <c r="DN8" s="138"/>
      <c r="DO8" s="138"/>
      <c r="DP8" s="58" t="s">
        <v>46</v>
      </c>
      <c r="DQ8" s="58" t="s">
        <v>46</v>
      </c>
      <c r="DR8" s="138"/>
      <c r="DS8" s="138"/>
      <c r="DT8" s="138"/>
      <c r="DU8" s="138"/>
      <c r="DV8" s="138"/>
      <c r="DX8" s="138"/>
      <c r="DY8" s="138"/>
      <c r="DZ8" s="138"/>
      <c r="EB8" s="138"/>
      <c r="EC8" s="138"/>
      <c r="ED8" s="138"/>
      <c r="EE8" s="138"/>
      <c r="EF8" s="138"/>
      <c r="EG8" s="138"/>
      <c r="EI8" s="138"/>
      <c r="EN8" s="138"/>
      <c r="FC8" s="138"/>
      <c r="FD8" s="138"/>
      <c r="FE8" s="58" t="s">
        <v>46</v>
      </c>
      <c r="FF8" s="58"/>
      <c r="FG8" s="138"/>
      <c r="FH8" s="138"/>
      <c r="FI8" s="138"/>
      <c r="FJ8" s="138"/>
      <c r="FK8" s="138"/>
      <c r="FM8" s="138"/>
      <c r="FN8" s="138"/>
      <c r="FO8" s="138"/>
      <c r="FP8" s="138"/>
      <c r="FQ8" s="138"/>
      <c r="FR8" s="138"/>
      <c r="FS8" s="138"/>
      <c r="FT8" s="138"/>
      <c r="FU8" s="138"/>
      <c r="FV8" s="138"/>
      <c r="FX8" s="138"/>
      <c r="GA8" s="138"/>
      <c r="GC8" s="138"/>
      <c r="GR8" s="138"/>
      <c r="GS8" s="138"/>
      <c r="GT8" s="58" t="s">
        <v>46</v>
      </c>
      <c r="GU8" s="58" t="s">
        <v>46</v>
      </c>
      <c r="GV8" s="138"/>
      <c r="GW8" s="138"/>
      <c r="GX8" s="138"/>
      <c r="GY8" s="138"/>
      <c r="GZ8" s="138"/>
      <c r="HB8" s="138"/>
      <c r="HC8" s="138"/>
      <c r="HD8" s="138"/>
      <c r="HE8" s="138"/>
      <c r="HF8" s="138"/>
      <c r="HG8" s="138"/>
      <c r="HH8" s="138"/>
      <c r="HI8" s="138"/>
      <c r="HJ8" s="138"/>
      <c r="HK8" s="138"/>
      <c r="HM8" s="138"/>
      <c r="HR8" s="138"/>
      <c r="HZ8" s="138"/>
      <c r="IF8" s="47" t="s">
        <v>34</v>
      </c>
      <c r="IH8" s="97"/>
    </row>
    <row r="9" spans="1:243" x14ac:dyDescent="0.3">
      <c r="C9" s="61"/>
      <c r="D9" s="62">
        <v>11.01</v>
      </c>
      <c r="E9" s="62">
        <v>11.02</v>
      </c>
      <c r="F9" s="62">
        <v>11.03</v>
      </c>
      <c r="G9" s="62">
        <v>11.04</v>
      </c>
      <c r="H9" s="62">
        <v>11.049999999999999</v>
      </c>
      <c r="I9" s="62">
        <v>11.059999999999999</v>
      </c>
      <c r="J9" s="62">
        <v>11.069999999999999</v>
      </c>
      <c r="K9" s="62">
        <v>11.079999999999998</v>
      </c>
      <c r="L9" s="62">
        <v>11.089999999999998</v>
      </c>
      <c r="M9" s="62">
        <v>11.099999999999998</v>
      </c>
      <c r="N9" s="62">
        <v>11.109999999999998</v>
      </c>
      <c r="O9" s="62">
        <v>11.119999999999997</v>
      </c>
      <c r="P9" s="62">
        <v>11.129999999999997</v>
      </c>
      <c r="Q9" s="62">
        <v>11.139999999999997</v>
      </c>
      <c r="R9" s="62">
        <v>11.149999999999997</v>
      </c>
      <c r="S9" s="62">
        <v>11.159999999999997</v>
      </c>
      <c r="T9" s="62">
        <v>11.169999999999996</v>
      </c>
      <c r="U9" s="62">
        <v>11.179999999999996</v>
      </c>
      <c r="V9" s="62">
        <v>11.189999999999996</v>
      </c>
      <c r="W9" s="62">
        <v>11.199999999999996</v>
      </c>
      <c r="X9" s="62">
        <v>11.209999999999996</v>
      </c>
      <c r="Y9" s="144">
        <v>11.219999999999995</v>
      </c>
      <c r="Z9" s="144">
        <v>11.229999999999995</v>
      </c>
      <c r="AA9" s="62">
        <v>11.239999999999995</v>
      </c>
      <c r="AB9" s="144">
        <v>11.249999999999995</v>
      </c>
      <c r="AC9" s="62">
        <v>11.259999999999994</v>
      </c>
      <c r="AD9" s="144">
        <v>11.269999999999994</v>
      </c>
      <c r="AE9" s="144">
        <v>11.45</v>
      </c>
      <c r="AF9" s="62">
        <v>11.479999999999999</v>
      </c>
      <c r="AG9" s="62">
        <v>11.489999999999998</v>
      </c>
      <c r="AH9" s="144">
        <v>11.499999999999998</v>
      </c>
      <c r="AI9" s="61"/>
      <c r="AJ9" s="61"/>
      <c r="AK9" s="63">
        <v>11.01</v>
      </c>
      <c r="AL9" s="145">
        <v>11.02</v>
      </c>
      <c r="AM9" s="63">
        <v>11.03</v>
      </c>
      <c r="AN9" s="63">
        <v>11.04</v>
      </c>
      <c r="AO9" s="63">
        <v>11.049999999999999</v>
      </c>
      <c r="AP9" s="145">
        <v>11.059999999999999</v>
      </c>
      <c r="AQ9" s="145">
        <v>11.069999999999999</v>
      </c>
      <c r="AR9" s="145">
        <v>11.079999999999998</v>
      </c>
      <c r="AS9" s="63">
        <v>11.089999999999998</v>
      </c>
      <c r="AT9" s="145">
        <v>11.099999999999998</v>
      </c>
      <c r="AU9" s="145">
        <v>11.109999999999998</v>
      </c>
      <c r="AV9" s="145">
        <v>11.119999999999997</v>
      </c>
      <c r="AW9" s="145">
        <v>11.129999999999997</v>
      </c>
      <c r="AX9" s="63">
        <v>11.139999999999997</v>
      </c>
      <c r="AY9" s="63">
        <v>11.149999999999997</v>
      </c>
      <c r="AZ9" s="145">
        <v>11.159999999999997</v>
      </c>
      <c r="BA9" s="63">
        <v>11.169999999999996</v>
      </c>
      <c r="BB9" s="145">
        <v>11.179999999999996</v>
      </c>
      <c r="BC9" s="145">
        <v>11.189999999999996</v>
      </c>
      <c r="BD9" s="145">
        <v>11.199999999999996</v>
      </c>
      <c r="BE9" s="145">
        <v>11.209999999999996</v>
      </c>
      <c r="BF9" s="145">
        <v>11.219999999999995</v>
      </c>
      <c r="BG9" s="146">
        <v>11.229999999999995</v>
      </c>
      <c r="BH9" s="63">
        <v>11.239999999999995</v>
      </c>
      <c r="BI9" s="63">
        <v>11.249999999999995</v>
      </c>
      <c r="BJ9" s="145">
        <v>11.259999999999994</v>
      </c>
      <c r="BK9" s="63">
        <v>11.269999999999994</v>
      </c>
      <c r="BL9" s="144">
        <v>11.279999999999994</v>
      </c>
      <c r="BM9" s="63">
        <v>11.289999999999994</v>
      </c>
      <c r="BN9" s="63">
        <v>11.299999999999994</v>
      </c>
      <c r="BO9" s="63">
        <v>11.309999999999993</v>
      </c>
      <c r="BP9" s="63">
        <v>11.319999999999993</v>
      </c>
      <c r="BQ9" s="63">
        <v>11.329999999999993</v>
      </c>
      <c r="BR9" s="63">
        <v>11.339999999999993</v>
      </c>
      <c r="BS9" s="145">
        <v>11.45</v>
      </c>
      <c r="BT9" s="63">
        <v>11.479999999999999</v>
      </c>
      <c r="BU9" s="63">
        <v>11.489999999999998</v>
      </c>
      <c r="BV9" s="145">
        <v>11.499999999999998</v>
      </c>
      <c r="BW9" s="61"/>
      <c r="BX9" s="64" t="s">
        <v>47</v>
      </c>
      <c r="BY9" s="63">
        <v>11.01</v>
      </c>
      <c r="BZ9" s="145">
        <v>11.02</v>
      </c>
      <c r="CA9" s="145">
        <v>11.03</v>
      </c>
      <c r="CB9" s="63">
        <v>11.04</v>
      </c>
      <c r="CC9" s="63">
        <v>11.049999999999999</v>
      </c>
      <c r="CD9" s="145">
        <v>11.059999999999999</v>
      </c>
      <c r="CE9" s="145">
        <v>11.069999999999999</v>
      </c>
      <c r="CF9" s="145">
        <v>11.079999999999998</v>
      </c>
      <c r="CG9" s="145">
        <v>11.089999999999998</v>
      </c>
      <c r="CH9" s="145">
        <v>11.099999999999998</v>
      </c>
      <c r="CI9" s="63">
        <v>11.109999999999998</v>
      </c>
      <c r="CJ9" s="145">
        <v>11.119999999999997</v>
      </c>
      <c r="CK9" s="145">
        <v>11.129999999999997</v>
      </c>
      <c r="CL9" s="145">
        <v>11.139999999999997</v>
      </c>
      <c r="CM9" s="145">
        <v>11.149999999999997</v>
      </c>
      <c r="CN9" s="145">
        <v>11.159999999999997</v>
      </c>
      <c r="CO9" s="145">
        <v>11.169999999999996</v>
      </c>
      <c r="CP9" s="145">
        <v>11.179999999999996</v>
      </c>
      <c r="CQ9" s="145">
        <v>11.189999999999996</v>
      </c>
      <c r="CR9" s="145">
        <v>11.199999999999996</v>
      </c>
      <c r="CS9" s="145">
        <v>11.209999999999996</v>
      </c>
      <c r="CT9" s="145">
        <v>11.219999999999995</v>
      </c>
      <c r="CU9" s="145">
        <v>11.229999999999995</v>
      </c>
      <c r="CV9" s="63">
        <v>11.239999999999995</v>
      </c>
      <c r="CW9" s="63">
        <v>11.249999999999995</v>
      </c>
      <c r="CX9" s="145">
        <v>11.259999999999994</v>
      </c>
      <c r="CY9" s="63">
        <v>11.269999999999994</v>
      </c>
      <c r="CZ9" s="145">
        <v>11.279999999999994</v>
      </c>
      <c r="DA9" s="63">
        <v>11.289999999999994</v>
      </c>
      <c r="DB9" s="63">
        <v>11.299999999999994</v>
      </c>
      <c r="DC9" s="63">
        <v>11.309999999999993</v>
      </c>
      <c r="DD9" s="63">
        <v>11.319999999999993</v>
      </c>
      <c r="DE9" s="63">
        <v>11.329999999999993</v>
      </c>
      <c r="DF9" s="63">
        <v>11.339999999999993</v>
      </c>
      <c r="DG9" s="145">
        <v>11.479999999999999</v>
      </c>
      <c r="DH9" s="63">
        <v>11.489999999999998</v>
      </c>
      <c r="DI9" s="63" t="str">
        <f>+DI4</f>
        <v>A1 GY</v>
      </c>
      <c r="DJ9" s="145">
        <v>11.499999999999998</v>
      </c>
      <c r="DK9" s="61">
        <v>2022</v>
      </c>
      <c r="DL9" s="61">
        <v>2022</v>
      </c>
      <c r="DM9" s="63">
        <v>11.01</v>
      </c>
      <c r="DN9" s="145">
        <v>11.02</v>
      </c>
      <c r="DO9" s="145">
        <v>11.03</v>
      </c>
      <c r="DP9" s="63">
        <v>11.04</v>
      </c>
      <c r="DQ9" s="63">
        <v>11.049999999999999</v>
      </c>
      <c r="DR9" s="145">
        <v>11.059999999999999</v>
      </c>
      <c r="DS9" s="145">
        <v>11.069999999999999</v>
      </c>
      <c r="DT9" s="145">
        <v>11.079999999999998</v>
      </c>
      <c r="DU9" s="145">
        <v>11.089999999999998</v>
      </c>
      <c r="DV9" s="145">
        <v>11.099999999999998</v>
      </c>
      <c r="DW9" s="63">
        <v>11.109999999999998</v>
      </c>
      <c r="DX9" s="145">
        <v>11.119999999999997</v>
      </c>
      <c r="DY9" s="145">
        <v>11.129999999999997</v>
      </c>
      <c r="DZ9" s="145">
        <v>11.139999999999997</v>
      </c>
      <c r="EA9" s="63">
        <v>11.149999999999997</v>
      </c>
      <c r="EB9" s="145">
        <v>11.159999999999997</v>
      </c>
      <c r="EC9" s="145">
        <v>11.169999999999996</v>
      </c>
      <c r="ED9" s="145">
        <v>11.179999999999996</v>
      </c>
      <c r="EE9" s="145">
        <v>11.189999999999996</v>
      </c>
      <c r="EF9" s="145">
        <v>11.199999999999996</v>
      </c>
      <c r="EG9" s="145">
        <v>11.209999999999996</v>
      </c>
      <c r="EH9" s="63">
        <v>11.219999999999995</v>
      </c>
      <c r="EI9" s="145">
        <v>11.229999999999995</v>
      </c>
      <c r="EJ9" s="63">
        <v>11.239999999999995</v>
      </c>
      <c r="EK9" s="63">
        <v>11.249999999999995</v>
      </c>
      <c r="EL9" s="63">
        <v>11.259999999999994</v>
      </c>
      <c r="EM9" s="63">
        <v>11.269999999999994</v>
      </c>
      <c r="EN9" s="145">
        <v>11.279999999999994</v>
      </c>
      <c r="EO9" s="63">
        <v>11.289999999999994</v>
      </c>
      <c r="EP9" s="63">
        <v>11.299999999999994</v>
      </c>
      <c r="EQ9" s="63">
        <v>11.309999999999993</v>
      </c>
      <c r="ER9" s="63">
        <v>11.319999999999993</v>
      </c>
      <c r="ES9" s="63">
        <v>11.329999999999993</v>
      </c>
      <c r="ET9" s="63">
        <v>11.339999999999993</v>
      </c>
      <c r="EU9" s="63">
        <v>11.479999999999999</v>
      </c>
      <c r="EV9" s="63">
        <v>11.489999999999998</v>
      </c>
      <c r="EW9" s="63" t="str">
        <f>+EW4</f>
        <v>A1 RY1</v>
      </c>
      <c r="EX9" s="63" t="str">
        <f>+EX4</f>
        <v>A2 RY1</v>
      </c>
      <c r="EY9" s="63">
        <v>11.499999999999998</v>
      </c>
      <c r="EZ9" s="61">
        <v>2023</v>
      </c>
      <c r="FA9" s="61">
        <v>2023</v>
      </c>
      <c r="FB9" s="63">
        <v>11.01</v>
      </c>
      <c r="FC9" s="145">
        <v>11.02</v>
      </c>
      <c r="FD9" s="145">
        <v>11.03</v>
      </c>
      <c r="FE9" s="63">
        <v>11.04</v>
      </c>
      <c r="FF9" s="63">
        <v>11.049999999999999</v>
      </c>
      <c r="FG9" s="145">
        <v>11.059999999999999</v>
      </c>
      <c r="FH9" s="145">
        <v>11.069999999999999</v>
      </c>
      <c r="FI9" s="145">
        <v>11.079999999999998</v>
      </c>
      <c r="FJ9" s="145">
        <v>11.089999999999998</v>
      </c>
      <c r="FK9" s="145">
        <v>11.099999999999998</v>
      </c>
      <c r="FL9" s="63">
        <v>11.109999999999998</v>
      </c>
      <c r="FM9" s="145">
        <v>11.119999999999997</v>
      </c>
      <c r="FN9" s="145">
        <v>11.129999999999997</v>
      </c>
      <c r="FO9" s="145">
        <v>11.139999999999997</v>
      </c>
      <c r="FP9" s="145">
        <v>11.149999999999997</v>
      </c>
      <c r="FQ9" s="145">
        <v>11.159999999999997</v>
      </c>
      <c r="FR9" s="145">
        <v>11.169999999999996</v>
      </c>
      <c r="FS9" s="145">
        <v>11.179999999999996</v>
      </c>
      <c r="FT9" s="145">
        <v>11.189999999999996</v>
      </c>
      <c r="FU9" s="145">
        <v>11.199999999999996</v>
      </c>
      <c r="FV9" s="145">
        <v>11.209999999999996</v>
      </c>
      <c r="FW9" s="63">
        <v>11.219999999999995</v>
      </c>
      <c r="FX9" s="145">
        <v>11.229999999999995</v>
      </c>
      <c r="FY9" s="63">
        <v>11.239999999999995</v>
      </c>
      <c r="FZ9" s="63">
        <v>11.249999999999995</v>
      </c>
      <c r="GA9" s="145">
        <v>11.259999999999994</v>
      </c>
      <c r="GB9" s="63">
        <v>11.269999999999994</v>
      </c>
      <c r="GC9" s="145">
        <v>11.279999999999994</v>
      </c>
      <c r="GD9" s="63">
        <v>11.289999999999994</v>
      </c>
      <c r="GE9" s="63">
        <v>11.299999999999994</v>
      </c>
      <c r="GF9" s="63">
        <v>11.309999999999993</v>
      </c>
      <c r="GG9" s="63">
        <v>11.319999999999993</v>
      </c>
      <c r="GH9" s="63">
        <v>11.329999999999993</v>
      </c>
      <c r="GI9" s="63">
        <v>11.339999999999993</v>
      </c>
      <c r="GJ9" s="63">
        <v>11.479999999999999</v>
      </c>
      <c r="GK9" s="63">
        <v>11.489999999999998</v>
      </c>
      <c r="GL9" s="63" t="str">
        <f>+GL4</f>
        <v>A1 RY2</v>
      </c>
      <c r="GM9" s="63" t="str">
        <f>+GM4</f>
        <v>A2 RY2</v>
      </c>
      <c r="GN9" s="63">
        <v>11.499999999999998</v>
      </c>
      <c r="GO9" s="61">
        <v>2024</v>
      </c>
      <c r="GP9" s="61">
        <v>2024</v>
      </c>
      <c r="GQ9" s="63">
        <v>11.01</v>
      </c>
      <c r="GR9" s="145">
        <v>11.02</v>
      </c>
      <c r="GS9" s="145">
        <v>11.03</v>
      </c>
      <c r="GT9" s="63">
        <v>11.04</v>
      </c>
      <c r="GU9" s="63">
        <v>11.049999999999999</v>
      </c>
      <c r="GV9" s="145">
        <v>11.059999999999999</v>
      </c>
      <c r="GW9" s="145">
        <v>11.069999999999999</v>
      </c>
      <c r="GX9" s="145">
        <v>11.079999999999998</v>
      </c>
      <c r="GY9" s="145">
        <v>11.089999999999998</v>
      </c>
      <c r="GZ9" s="145">
        <v>11.099999999999998</v>
      </c>
      <c r="HA9" s="63">
        <v>11.109999999999998</v>
      </c>
      <c r="HB9" s="145">
        <v>11.119999999999997</v>
      </c>
      <c r="HC9" s="145">
        <v>11.129999999999997</v>
      </c>
      <c r="HD9" s="145">
        <v>11.139999999999997</v>
      </c>
      <c r="HE9" s="145">
        <v>11.149999999999997</v>
      </c>
      <c r="HF9" s="145">
        <v>11.159999999999997</v>
      </c>
      <c r="HG9" s="145">
        <v>11.169999999999996</v>
      </c>
      <c r="HH9" s="145">
        <v>11.179999999999996</v>
      </c>
      <c r="HI9" s="145">
        <v>11.189999999999996</v>
      </c>
      <c r="HJ9" s="145">
        <v>11.199999999999996</v>
      </c>
      <c r="HK9" s="145">
        <v>11.209999999999996</v>
      </c>
      <c r="HL9" s="63">
        <v>11.219999999999995</v>
      </c>
      <c r="HM9" s="145">
        <v>11.229999999999995</v>
      </c>
      <c r="HN9" s="63">
        <v>11.239999999999995</v>
      </c>
      <c r="HO9" s="63">
        <v>11.249999999999995</v>
      </c>
      <c r="HP9" s="63">
        <v>11.259999999999994</v>
      </c>
      <c r="HQ9" s="63">
        <v>11.269999999999994</v>
      </c>
      <c r="HR9" s="145">
        <v>11.279999999999994</v>
      </c>
      <c r="HS9" s="63">
        <v>11.289999999999994</v>
      </c>
      <c r="HT9" s="63">
        <v>11.299999999999994</v>
      </c>
      <c r="HU9" s="63">
        <v>11.309999999999993</v>
      </c>
      <c r="HV9" s="63">
        <v>11.319999999999993</v>
      </c>
      <c r="HW9" s="63">
        <v>11.329999999999993</v>
      </c>
      <c r="HX9" s="63">
        <v>11.339999999999993</v>
      </c>
      <c r="HY9" s="63">
        <v>11.479999999999999</v>
      </c>
      <c r="HZ9" s="145">
        <v>11.489999999999998</v>
      </c>
      <c r="IA9" s="63" t="str">
        <f>+IA4</f>
        <v>A1 RY3</v>
      </c>
      <c r="IB9" s="63" t="str">
        <f>+IB4</f>
        <v>A2 RY3</v>
      </c>
      <c r="IC9" s="63">
        <v>11.499999999999998</v>
      </c>
      <c r="ID9" s="61">
        <v>2025</v>
      </c>
      <c r="IE9" s="61">
        <v>2025</v>
      </c>
      <c r="IF9" s="47" t="s">
        <v>34</v>
      </c>
      <c r="IH9" s="97"/>
    </row>
    <row r="10" spans="1:243" ht="65" x14ac:dyDescent="0.3">
      <c r="A10" s="60" t="s">
        <v>48</v>
      </c>
      <c r="B10" s="60" t="s">
        <v>49</v>
      </c>
      <c r="C10" s="67" t="s">
        <v>50</v>
      </c>
      <c r="D10" s="68" t="s">
        <v>904</v>
      </c>
      <c r="E10" s="68" t="s">
        <v>905</v>
      </c>
      <c r="F10" s="69" t="s">
        <v>906</v>
      </c>
      <c r="G10" s="68" t="s">
        <v>907</v>
      </c>
      <c r="H10" s="68" t="s">
        <v>908</v>
      </c>
      <c r="I10" s="68" t="s">
        <v>909</v>
      </c>
      <c r="J10" s="70" t="s">
        <v>910</v>
      </c>
      <c r="K10" s="68" t="s">
        <v>911</v>
      </c>
      <c r="L10" s="68" t="s">
        <v>912</v>
      </c>
      <c r="M10" s="68" t="s">
        <v>913</v>
      </c>
      <c r="N10" s="68" t="s">
        <v>914</v>
      </c>
      <c r="O10" s="68" t="s">
        <v>915</v>
      </c>
      <c r="P10" s="68" t="s">
        <v>916</v>
      </c>
      <c r="Q10" s="68" t="s">
        <v>917</v>
      </c>
      <c r="R10" s="68" t="s">
        <v>918</v>
      </c>
      <c r="S10" s="68" t="s">
        <v>919</v>
      </c>
      <c r="T10" s="68" t="s">
        <v>920</v>
      </c>
      <c r="U10" s="68" t="s">
        <v>921</v>
      </c>
      <c r="V10" s="68" t="s">
        <v>922</v>
      </c>
      <c r="W10" s="68" t="s">
        <v>923</v>
      </c>
      <c r="X10" s="71" t="s">
        <v>924</v>
      </c>
      <c r="Y10" s="147" t="s">
        <v>925</v>
      </c>
      <c r="Z10" s="147" t="s">
        <v>926</v>
      </c>
      <c r="AA10" s="68" t="s">
        <v>927</v>
      </c>
      <c r="AB10" s="147" t="s">
        <v>928</v>
      </c>
      <c r="AC10" s="68" t="s">
        <v>929</v>
      </c>
      <c r="AD10" s="148" t="s">
        <v>930</v>
      </c>
      <c r="AE10" s="148" t="s">
        <v>931</v>
      </c>
      <c r="AF10" s="71" t="s">
        <v>932</v>
      </c>
      <c r="AG10" s="71" t="s">
        <v>933</v>
      </c>
      <c r="AH10" s="148" t="s">
        <v>934</v>
      </c>
      <c r="AI10" s="67" t="s">
        <v>51</v>
      </c>
      <c r="AJ10" s="67" t="s">
        <v>52</v>
      </c>
      <c r="AK10" s="68" t="str">
        <f t="shared" ref="AK10:BD10" si="10">D10</f>
        <v>REVENUES AND EXPENSES</v>
      </c>
      <c r="AL10" s="147" t="str">
        <f t="shared" si="10"/>
        <v>PASS-THROUGH REVENUE &amp; EXPENSE</v>
      </c>
      <c r="AM10" s="69" t="str">
        <f t="shared" si="10"/>
        <v>TEMPERATURE NORMALIZATION</v>
      </c>
      <c r="AN10" s="68" t="str">
        <f t="shared" si="10"/>
        <v>FEDERAL INCOME TAX</v>
      </c>
      <c r="AO10" s="68" t="str">
        <f t="shared" si="10"/>
        <v>TAX BENEFIT OF INTEREST</v>
      </c>
      <c r="AP10" s="147" t="str">
        <f t="shared" si="10"/>
        <v>BAD DEBT EXPENSE</v>
      </c>
      <c r="AQ10" s="149" t="str">
        <f t="shared" si="10"/>
        <v>RATE CASE EXPENSE</v>
      </c>
      <c r="AR10" s="147" t="str">
        <f t="shared" si="10"/>
        <v xml:space="preserve">EXCISE TAX </v>
      </c>
      <c r="AS10" s="68" t="str">
        <f t="shared" si="10"/>
        <v>EMPLOYEE INSURANCE</v>
      </c>
      <c r="AT10" s="147" t="str">
        <f t="shared" si="10"/>
        <v>INJURIES &amp; DAMAGES</v>
      </c>
      <c r="AU10" s="147" t="str">
        <f t="shared" si="10"/>
        <v>INCENTIVE PAY</v>
      </c>
      <c r="AV10" s="147" t="str">
        <f t="shared" si="10"/>
        <v>INVESTMENT PLAN</v>
      </c>
      <c r="AW10" s="147" t="str">
        <f t="shared" si="10"/>
        <v>INTEREST ON  CUSTOMER DEPOSITS</v>
      </c>
      <c r="AX10" s="68" t="str">
        <f t="shared" si="10"/>
        <v>PROPERTY AND LIAB INSURANCE</v>
      </c>
      <c r="AY10" s="68" t="str">
        <f t="shared" si="10"/>
        <v>DEFERRED GAINS AND LOSSES ON PROPERTY SALES</v>
      </c>
      <c r="AZ10" s="147" t="str">
        <f t="shared" si="10"/>
        <v>D&amp;O INSURANCE</v>
      </c>
      <c r="BA10" s="68" t="str">
        <f t="shared" si="10"/>
        <v>PENSION PLAN</v>
      </c>
      <c r="BB10" s="147" t="str">
        <f t="shared" si="10"/>
        <v>WAGE INCREASE</v>
      </c>
      <c r="BC10" s="147" t="str">
        <f t="shared" si="10"/>
        <v>AMA TO EOP RATE BASE</v>
      </c>
      <c r="BD10" s="147" t="str">
        <f t="shared" si="10"/>
        <v>AMA TO EOP DEPRECIATION</v>
      </c>
      <c r="BE10" s="147" t="s">
        <v>924</v>
      </c>
      <c r="BF10" s="147" t="str">
        <f t="shared" ref="BF10:BK10" si="11">Y10</f>
        <v>PRO FORMA O&amp;M</v>
      </c>
      <c r="BG10" s="150" t="str">
        <f t="shared" si="11"/>
        <v>AMR REGULATORY ASSET</v>
      </c>
      <c r="BH10" s="68" t="str">
        <f t="shared" si="11"/>
        <v>AMI PLANT AND DEFERRAL</v>
      </c>
      <c r="BI10" s="68" t="str">
        <f t="shared" si="11"/>
        <v>GTZ DEFERRAL</v>
      </c>
      <c r="BJ10" s="147" t="str">
        <f t="shared" si="11"/>
        <v>ENVIRONMENTAL REMEDIATION</v>
      </c>
      <c r="BK10" s="71" t="str">
        <f t="shared" si="11"/>
        <v>COVID DEFERRAL</v>
      </c>
      <c r="BL10" s="148" t="s">
        <v>935</v>
      </c>
      <c r="BM10" s="71" t="s">
        <v>936</v>
      </c>
      <c r="BN10" s="71" t="s">
        <v>937</v>
      </c>
      <c r="BO10" s="71" t="s">
        <v>938</v>
      </c>
      <c r="BP10" s="71" t="s">
        <v>939</v>
      </c>
      <c r="BQ10" s="71" t="s">
        <v>940</v>
      </c>
      <c r="BR10" s="71" t="s">
        <v>941</v>
      </c>
      <c r="BS10" s="148" t="str">
        <f>AE10</f>
        <v>OPEN 1A</v>
      </c>
      <c r="BT10" s="71" t="str">
        <f>AF10</f>
        <v>TACOMA LNG UPGRADE PLANT AND DEFERRAL</v>
      </c>
      <c r="BU10" s="71" t="str">
        <f>AG10</f>
        <v>REGULATORY ASSETS &amp; LIAB</v>
      </c>
      <c r="BV10" s="148" t="str">
        <f>AH10</f>
        <v>TACOMA LNG PLANT DEFERRAL</v>
      </c>
      <c r="BW10" s="67" t="s">
        <v>398</v>
      </c>
      <c r="BX10" s="67" t="s">
        <v>54</v>
      </c>
      <c r="BY10" s="68" t="str">
        <f t="shared" ref="BY10:DF10" si="12">AK10</f>
        <v>REVENUES AND EXPENSES</v>
      </c>
      <c r="BZ10" s="147" t="str">
        <f t="shared" si="12"/>
        <v>PASS-THROUGH REVENUE &amp; EXPENSE</v>
      </c>
      <c r="CA10" s="151" t="str">
        <f t="shared" si="12"/>
        <v>TEMPERATURE NORMALIZATION</v>
      </c>
      <c r="CB10" s="68" t="str">
        <f t="shared" si="12"/>
        <v>FEDERAL INCOME TAX</v>
      </c>
      <c r="CC10" s="68" t="str">
        <f t="shared" si="12"/>
        <v>TAX BENEFIT OF INTEREST</v>
      </c>
      <c r="CD10" s="147" t="str">
        <f t="shared" si="12"/>
        <v>BAD DEBT EXPENSE</v>
      </c>
      <c r="CE10" s="147" t="str">
        <f t="shared" si="12"/>
        <v>RATE CASE EXPENSE</v>
      </c>
      <c r="CF10" s="147" t="str">
        <f t="shared" si="12"/>
        <v xml:space="preserve">EXCISE TAX </v>
      </c>
      <c r="CG10" s="147" t="str">
        <f t="shared" si="12"/>
        <v>EMPLOYEE INSURANCE</v>
      </c>
      <c r="CH10" s="147" t="str">
        <f t="shared" si="12"/>
        <v>INJURIES &amp; DAMAGES</v>
      </c>
      <c r="CI10" s="68" t="str">
        <f t="shared" si="12"/>
        <v>INCENTIVE PAY</v>
      </c>
      <c r="CJ10" s="147" t="str">
        <f t="shared" si="12"/>
        <v>INVESTMENT PLAN</v>
      </c>
      <c r="CK10" s="147" t="str">
        <f t="shared" si="12"/>
        <v>INTEREST ON  CUSTOMER DEPOSITS</v>
      </c>
      <c r="CL10" s="147" t="str">
        <f t="shared" si="12"/>
        <v>PROPERTY AND LIAB INSURANCE</v>
      </c>
      <c r="CM10" s="147" t="str">
        <f t="shared" si="12"/>
        <v>DEFERRED GAINS AND LOSSES ON PROPERTY SALES</v>
      </c>
      <c r="CN10" s="147" t="str">
        <f t="shared" si="12"/>
        <v>D&amp;O INSURANCE</v>
      </c>
      <c r="CO10" s="147" t="str">
        <f t="shared" si="12"/>
        <v>PENSION PLAN</v>
      </c>
      <c r="CP10" s="147" t="str">
        <f t="shared" si="12"/>
        <v>WAGE INCREASE</v>
      </c>
      <c r="CQ10" s="147" t="str">
        <f t="shared" si="12"/>
        <v>AMA TO EOP RATE BASE</v>
      </c>
      <c r="CR10" s="147" t="str">
        <f t="shared" si="12"/>
        <v>AMA TO EOP DEPRECIATION</v>
      </c>
      <c r="CS10" s="147" t="str">
        <f t="shared" si="12"/>
        <v>WUTC FILING FEE</v>
      </c>
      <c r="CT10" s="147" t="str">
        <f t="shared" si="12"/>
        <v>PRO FORMA O&amp;M</v>
      </c>
      <c r="CU10" s="147" t="str">
        <f t="shared" si="12"/>
        <v>AMR REGULATORY ASSET</v>
      </c>
      <c r="CV10" s="68" t="str">
        <f t="shared" si="12"/>
        <v>AMI PLANT AND DEFERRAL</v>
      </c>
      <c r="CW10" s="68" t="str">
        <f t="shared" si="12"/>
        <v>GTZ DEFERRAL</v>
      </c>
      <c r="CX10" s="147" t="str">
        <f t="shared" si="12"/>
        <v>ENVIRONMENTAL REMEDIATION</v>
      </c>
      <c r="CY10" s="71" t="str">
        <f t="shared" si="12"/>
        <v>COVID DEFERRAL</v>
      </c>
      <c r="CZ10" s="147" t="str">
        <f t="shared" si="12"/>
        <v>ESTIMATED PLANT RETIREMENTS RATE BASE</v>
      </c>
      <c r="DA10" s="71" t="str">
        <f t="shared" si="12"/>
        <v>TEST YEAR PLANT ROLL FORWARD</v>
      </c>
      <c r="DB10" s="71" t="str">
        <f t="shared" si="12"/>
        <v>PROVISIONAL PROFORMA RETIREMENTS DEPRECIATION</v>
      </c>
      <c r="DC10" s="71" t="str">
        <f t="shared" si="12"/>
        <v>PROGRAMMATIC PROVISIONAL PROFORMA</v>
      </c>
      <c r="DD10" s="71" t="str">
        <f t="shared" si="12"/>
        <v>CUSTOMER DRIVEN PROGRAMMATIC PROVISIONAL PROFORMA</v>
      </c>
      <c r="DE10" s="71" t="str">
        <f t="shared" si="12"/>
        <v>SPECIFIC PROVISIONAL PROFORMA</v>
      </c>
      <c r="DF10" s="71" t="str">
        <f t="shared" si="12"/>
        <v>PROJECTED PROVISIONAL PROFORMA</v>
      </c>
      <c r="DG10" s="147" t="str">
        <f>BT10</f>
        <v>TACOMA LNG UPGRADE PLANT AND DEFERRAL</v>
      </c>
      <c r="DH10" s="71" t="str">
        <f>BU10</f>
        <v>REGULATORY ASSETS &amp; LIAB</v>
      </c>
      <c r="DI10" s="231" t="s">
        <v>674</v>
      </c>
      <c r="DJ10" s="147" t="str">
        <f>BV10</f>
        <v>TACOMA LNG PLANT DEFERRAL</v>
      </c>
      <c r="DK10" s="67" t="s">
        <v>55</v>
      </c>
      <c r="DL10" s="67" t="s">
        <v>56</v>
      </c>
      <c r="DM10" s="68" t="str">
        <f t="shared" ref="DM10:EV10" si="13">BY10</f>
        <v>REVENUES AND EXPENSES</v>
      </c>
      <c r="DN10" s="147" t="str">
        <f t="shared" si="13"/>
        <v>PASS-THROUGH REVENUE &amp; EXPENSE</v>
      </c>
      <c r="DO10" s="147" t="str">
        <f t="shared" si="13"/>
        <v>TEMPERATURE NORMALIZATION</v>
      </c>
      <c r="DP10" s="68" t="str">
        <f t="shared" si="13"/>
        <v>FEDERAL INCOME TAX</v>
      </c>
      <c r="DQ10" s="68" t="str">
        <f t="shared" si="13"/>
        <v>TAX BENEFIT OF INTEREST</v>
      </c>
      <c r="DR10" s="147" t="str">
        <f t="shared" si="13"/>
        <v>BAD DEBT EXPENSE</v>
      </c>
      <c r="DS10" s="147" t="str">
        <f t="shared" si="13"/>
        <v>RATE CASE EXPENSE</v>
      </c>
      <c r="DT10" s="147" t="str">
        <f t="shared" si="13"/>
        <v xml:space="preserve">EXCISE TAX </v>
      </c>
      <c r="DU10" s="147" t="str">
        <f t="shared" si="13"/>
        <v>EMPLOYEE INSURANCE</v>
      </c>
      <c r="DV10" s="147" t="str">
        <f t="shared" si="13"/>
        <v>INJURIES &amp; DAMAGES</v>
      </c>
      <c r="DW10" s="68" t="str">
        <f t="shared" si="13"/>
        <v>INCENTIVE PAY</v>
      </c>
      <c r="DX10" s="147" t="str">
        <f t="shared" si="13"/>
        <v>INVESTMENT PLAN</v>
      </c>
      <c r="DY10" s="147" t="str">
        <f t="shared" si="13"/>
        <v>INTEREST ON  CUSTOMER DEPOSITS</v>
      </c>
      <c r="DZ10" s="147" t="str">
        <f t="shared" si="13"/>
        <v>PROPERTY AND LIAB INSURANCE</v>
      </c>
      <c r="EA10" s="68" t="str">
        <f t="shared" si="13"/>
        <v>DEFERRED GAINS AND LOSSES ON PROPERTY SALES</v>
      </c>
      <c r="EB10" s="147" t="str">
        <f t="shared" si="13"/>
        <v>D&amp;O INSURANCE</v>
      </c>
      <c r="EC10" s="147" t="str">
        <f t="shared" si="13"/>
        <v>PENSION PLAN</v>
      </c>
      <c r="ED10" s="147" t="str">
        <f t="shared" si="13"/>
        <v>WAGE INCREASE</v>
      </c>
      <c r="EE10" s="147" t="str">
        <f t="shared" si="13"/>
        <v>AMA TO EOP RATE BASE</v>
      </c>
      <c r="EF10" s="147" t="str">
        <f t="shared" si="13"/>
        <v>AMA TO EOP DEPRECIATION</v>
      </c>
      <c r="EG10" s="147" t="str">
        <f t="shared" si="13"/>
        <v>WUTC FILING FEE</v>
      </c>
      <c r="EH10" s="68" t="str">
        <f t="shared" si="13"/>
        <v>PRO FORMA O&amp;M</v>
      </c>
      <c r="EI10" s="147" t="str">
        <f t="shared" si="13"/>
        <v>AMR REGULATORY ASSET</v>
      </c>
      <c r="EJ10" s="68" t="str">
        <f t="shared" si="13"/>
        <v>AMI PLANT AND DEFERRAL</v>
      </c>
      <c r="EK10" s="68" t="str">
        <f t="shared" si="13"/>
        <v>GTZ DEFERRAL</v>
      </c>
      <c r="EL10" s="68" t="str">
        <f t="shared" si="13"/>
        <v>ENVIRONMENTAL REMEDIATION</v>
      </c>
      <c r="EM10" s="71" t="str">
        <f t="shared" si="13"/>
        <v>COVID DEFERRAL</v>
      </c>
      <c r="EN10" s="147" t="str">
        <f t="shared" si="13"/>
        <v>ESTIMATED PLANT RETIREMENTS RATE BASE</v>
      </c>
      <c r="EO10" s="71" t="str">
        <f t="shared" si="13"/>
        <v>TEST YEAR PLANT ROLL FORWARD</v>
      </c>
      <c r="EP10" s="71" t="str">
        <f t="shared" si="13"/>
        <v>PROVISIONAL PROFORMA RETIREMENTS DEPRECIATION</v>
      </c>
      <c r="EQ10" s="71" t="str">
        <f t="shared" si="13"/>
        <v>PROGRAMMATIC PROVISIONAL PROFORMA</v>
      </c>
      <c r="ER10" s="71" t="str">
        <f t="shared" si="13"/>
        <v>CUSTOMER DRIVEN PROGRAMMATIC PROVISIONAL PROFORMA</v>
      </c>
      <c r="ES10" s="71" t="str">
        <f t="shared" si="13"/>
        <v>SPECIFIC PROVISIONAL PROFORMA</v>
      </c>
      <c r="ET10" s="71" t="str">
        <f t="shared" si="13"/>
        <v>PROJECTED PROVISIONAL PROFORMA</v>
      </c>
      <c r="EU10" s="71" t="str">
        <f t="shared" si="13"/>
        <v>TACOMA LNG UPGRADE PLANT AND DEFERRAL</v>
      </c>
      <c r="EV10" s="71" t="str">
        <f t="shared" si="13"/>
        <v>REGULATORY ASSETS &amp; LIAB</v>
      </c>
      <c r="EW10" s="231" t="s">
        <v>674</v>
      </c>
      <c r="EX10" s="231" t="s">
        <v>1045</v>
      </c>
      <c r="EY10" s="71" t="str">
        <f>DJ10</f>
        <v>TACOMA LNG PLANT DEFERRAL</v>
      </c>
      <c r="EZ10" s="67" t="s">
        <v>57</v>
      </c>
      <c r="FA10" s="67" t="s">
        <v>58</v>
      </c>
      <c r="FB10" s="68" t="str">
        <f t="shared" ref="FB10:GK10" si="14">DM10</f>
        <v>REVENUES AND EXPENSES</v>
      </c>
      <c r="FC10" s="147" t="str">
        <f t="shared" si="14"/>
        <v>PASS-THROUGH REVENUE &amp; EXPENSE</v>
      </c>
      <c r="FD10" s="147" t="str">
        <f t="shared" si="14"/>
        <v>TEMPERATURE NORMALIZATION</v>
      </c>
      <c r="FE10" s="68" t="str">
        <f t="shared" si="14"/>
        <v>FEDERAL INCOME TAX</v>
      </c>
      <c r="FF10" s="68" t="str">
        <f t="shared" si="14"/>
        <v>TAX BENEFIT OF INTEREST</v>
      </c>
      <c r="FG10" s="147" t="str">
        <f t="shared" si="14"/>
        <v>BAD DEBT EXPENSE</v>
      </c>
      <c r="FH10" s="147" t="str">
        <f t="shared" si="14"/>
        <v>RATE CASE EXPENSE</v>
      </c>
      <c r="FI10" s="147" t="str">
        <f t="shared" si="14"/>
        <v xml:space="preserve">EXCISE TAX </v>
      </c>
      <c r="FJ10" s="147" t="str">
        <f t="shared" si="14"/>
        <v>EMPLOYEE INSURANCE</v>
      </c>
      <c r="FK10" s="147" t="str">
        <f t="shared" si="14"/>
        <v>INJURIES &amp; DAMAGES</v>
      </c>
      <c r="FL10" s="68" t="str">
        <f t="shared" si="14"/>
        <v>INCENTIVE PAY</v>
      </c>
      <c r="FM10" s="147" t="str">
        <f t="shared" si="14"/>
        <v>INVESTMENT PLAN</v>
      </c>
      <c r="FN10" s="147" t="str">
        <f t="shared" si="14"/>
        <v>INTEREST ON  CUSTOMER DEPOSITS</v>
      </c>
      <c r="FO10" s="147" t="str">
        <f t="shared" si="14"/>
        <v>PROPERTY AND LIAB INSURANCE</v>
      </c>
      <c r="FP10" s="147" t="str">
        <f t="shared" si="14"/>
        <v>DEFERRED GAINS AND LOSSES ON PROPERTY SALES</v>
      </c>
      <c r="FQ10" s="147" t="str">
        <f t="shared" si="14"/>
        <v>D&amp;O INSURANCE</v>
      </c>
      <c r="FR10" s="147" t="str">
        <f t="shared" si="14"/>
        <v>PENSION PLAN</v>
      </c>
      <c r="FS10" s="147" t="str">
        <f t="shared" si="14"/>
        <v>WAGE INCREASE</v>
      </c>
      <c r="FT10" s="147" t="str">
        <f t="shared" si="14"/>
        <v>AMA TO EOP RATE BASE</v>
      </c>
      <c r="FU10" s="147" t="str">
        <f t="shared" si="14"/>
        <v>AMA TO EOP DEPRECIATION</v>
      </c>
      <c r="FV10" s="147" t="str">
        <f t="shared" si="14"/>
        <v>WUTC FILING FEE</v>
      </c>
      <c r="FW10" s="68" t="str">
        <f t="shared" si="14"/>
        <v>PRO FORMA O&amp;M</v>
      </c>
      <c r="FX10" s="147" t="str">
        <f t="shared" si="14"/>
        <v>AMR REGULATORY ASSET</v>
      </c>
      <c r="FY10" s="68" t="str">
        <f t="shared" si="14"/>
        <v>AMI PLANT AND DEFERRAL</v>
      </c>
      <c r="FZ10" s="68" t="str">
        <f t="shared" si="14"/>
        <v>GTZ DEFERRAL</v>
      </c>
      <c r="GA10" s="147" t="str">
        <f t="shared" si="14"/>
        <v>ENVIRONMENTAL REMEDIATION</v>
      </c>
      <c r="GB10" s="71" t="str">
        <f t="shared" si="14"/>
        <v>COVID DEFERRAL</v>
      </c>
      <c r="GC10" s="147" t="str">
        <f t="shared" si="14"/>
        <v>ESTIMATED PLANT RETIREMENTS RATE BASE</v>
      </c>
      <c r="GD10" s="71" t="str">
        <f t="shared" si="14"/>
        <v>TEST YEAR PLANT ROLL FORWARD</v>
      </c>
      <c r="GE10" s="71" t="str">
        <f t="shared" si="14"/>
        <v>PROVISIONAL PROFORMA RETIREMENTS DEPRECIATION</v>
      </c>
      <c r="GF10" s="71" t="str">
        <f t="shared" si="14"/>
        <v>PROGRAMMATIC PROVISIONAL PROFORMA</v>
      </c>
      <c r="GG10" s="71" t="str">
        <f t="shared" si="14"/>
        <v>CUSTOMER DRIVEN PROGRAMMATIC PROVISIONAL PROFORMA</v>
      </c>
      <c r="GH10" s="71" t="str">
        <f t="shared" si="14"/>
        <v>SPECIFIC PROVISIONAL PROFORMA</v>
      </c>
      <c r="GI10" s="71" t="str">
        <f t="shared" si="14"/>
        <v>PROJECTED PROVISIONAL PROFORMA</v>
      </c>
      <c r="GJ10" s="71" t="str">
        <f t="shared" si="14"/>
        <v>TACOMA LNG UPGRADE PLANT AND DEFERRAL</v>
      </c>
      <c r="GK10" s="71" t="str">
        <f t="shared" si="14"/>
        <v>REGULATORY ASSETS &amp; LIAB</v>
      </c>
      <c r="GL10" s="231" t="s">
        <v>674</v>
      </c>
      <c r="GM10" s="231" t="s">
        <v>1045</v>
      </c>
      <c r="GN10" s="71" t="str">
        <f t="shared" ref="GN10" si="15">EY10</f>
        <v>TACOMA LNG PLANT DEFERRAL</v>
      </c>
      <c r="GO10" s="67" t="s">
        <v>59</v>
      </c>
      <c r="GP10" s="67" t="s">
        <v>60</v>
      </c>
      <c r="GQ10" s="68" t="str">
        <f t="shared" ref="GQ10:HZ10" si="16">FB10</f>
        <v>REVENUES AND EXPENSES</v>
      </c>
      <c r="GR10" s="147" t="str">
        <f t="shared" si="16"/>
        <v>PASS-THROUGH REVENUE &amp; EXPENSE</v>
      </c>
      <c r="GS10" s="147" t="str">
        <f t="shared" si="16"/>
        <v>TEMPERATURE NORMALIZATION</v>
      </c>
      <c r="GT10" s="68" t="str">
        <f t="shared" si="16"/>
        <v>FEDERAL INCOME TAX</v>
      </c>
      <c r="GU10" s="68" t="str">
        <f t="shared" si="16"/>
        <v>TAX BENEFIT OF INTEREST</v>
      </c>
      <c r="GV10" s="147" t="str">
        <f t="shared" si="16"/>
        <v>BAD DEBT EXPENSE</v>
      </c>
      <c r="GW10" s="147" t="str">
        <f t="shared" si="16"/>
        <v>RATE CASE EXPENSE</v>
      </c>
      <c r="GX10" s="147" t="str">
        <f t="shared" si="16"/>
        <v xml:space="preserve">EXCISE TAX </v>
      </c>
      <c r="GY10" s="147" t="str">
        <f t="shared" si="16"/>
        <v>EMPLOYEE INSURANCE</v>
      </c>
      <c r="GZ10" s="147" t="str">
        <f t="shared" si="16"/>
        <v>INJURIES &amp; DAMAGES</v>
      </c>
      <c r="HA10" s="68" t="str">
        <f t="shared" si="16"/>
        <v>INCENTIVE PAY</v>
      </c>
      <c r="HB10" s="147" t="str">
        <f t="shared" si="16"/>
        <v>INVESTMENT PLAN</v>
      </c>
      <c r="HC10" s="147" t="str">
        <f t="shared" si="16"/>
        <v>INTEREST ON  CUSTOMER DEPOSITS</v>
      </c>
      <c r="HD10" s="147" t="str">
        <f t="shared" si="16"/>
        <v>PROPERTY AND LIAB INSURANCE</v>
      </c>
      <c r="HE10" s="147" t="str">
        <f t="shared" si="16"/>
        <v>DEFERRED GAINS AND LOSSES ON PROPERTY SALES</v>
      </c>
      <c r="HF10" s="147" t="str">
        <f t="shared" si="16"/>
        <v>D&amp;O INSURANCE</v>
      </c>
      <c r="HG10" s="147" t="str">
        <f t="shared" si="16"/>
        <v>PENSION PLAN</v>
      </c>
      <c r="HH10" s="147" t="str">
        <f t="shared" si="16"/>
        <v>WAGE INCREASE</v>
      </c>
      <c r="HI10" s="147" t="str">
        <f t="shared" si="16"/>
        <v>AMA TO EOP RATE BASE</v>
      </c>
      <c r="HJ10" s="147" t="str">
        <f t="shared" si="16"/>
        <v>AMA TO EOP DEPRECIATION</v>
      </c>
      <c r="HK10" s="147" t="str">
        <f t="shared" si="16"/>
        <v>WUTC FILING FEE</v>
      </c>
      <c r="HL10" s="68" t="str">
        <f t="shared" si="16"/>
        <v>PRO FORMA O&amp;M</v>
      </c>
      <c r="HM10" s="147" t="str">
        <f t="shared" si="16"/>
        <v>AMR REGULATORY ASSET</v>
      </c>
      <c r="HN10" s="68" t="str">
        <f t="shared" si="16"/>
        <v>AMI PLANT AND DEFERRAL</v>
      </c>
      <c r="HO10" s="68" t="str">
        <f t="shared" si="16"/>
        <v>GTZ DEFERRAL</v>
      </c>
      <c r="HP10" s="68" t="str">
        <f t="shared" si="16"/>
        <v>ENVIRONMENTAL REMEDIATION</v>
      </c>
      <c r="HQ10" s="71" t="str">
        <f t="shared" si="16"/>
        <v>COVID DEFERRAL</v>
      </c>
      <c r="HR10" s="147" t="str">
        <f t="shared" si="16"/>
        <v>ESTIMATED PLANT RETIREMENTS RATE BASE</v>
      </c>
      <c r="HS10" s="71" t="str">
        <f t="shared" si="16"/>
        <v>TEST YEAR PLANT ROLL FORWARD</v>
      </c>
      <c r="HT10" s="71" t="str">
        <f t="shared" si="16"/>
        <v>PROVISIONAL PROFORMA RETIREMENTS DEPRECIATION</v>
      </c>
      <c r="HU10" s="71" t="str">
        <f t="shared" si="16"/>
        <v>PROGRAMMATIC PROVISIONAL PROFORMA</v>
      </c>
      <c r="HV10" s="71" t="str">
        <f t="shared" si="16"/>
        <v>CUSTOMER DRIVEN PROGRAMMATIC PROVISIONAL PROFORMA</v>
      </c>
      <c r="HW10" s="71" t="str">
        <f t="shared" si="16"/>
        <v>SPECIFIC PROVISIONAL PROFORMA</v>
      </c>
      <c r="HX10" s="71" t="str">
        <f t="shared" si="16"/>
        <v>PROJECTED PROVISIONAL PROFORMA</v>
      </c>
      <c r="HY10" s="71" t="str">
        <f t="shared" si="16"/>
        <v>TACOMA LNG UPGRADE PLANT AND DEFERRAL</v>
      </c>
      <c r="HZ10" s="147" t="str">
        <f t="shared" si="16"/>
        <v>REGULATORY ASSETS &amp; LIAB</v>
      </c>
      <c r="IA10" s="231" t="s">
        <v>674</v>
      </c>
      <c r="IB10" s="231" t="s">
        <v>1045</v>
      </c>
      <c r="IC10" s="71" t="str">
        <f t="shared" ref="IC10" si="17">GN10</f>
        <v>TACOMA LNG PLANT DEFERRAL</v>
      </c>
      <c r="ID10" s="67" t="s">
        <v>61</v>
      </c>
      <c r="IE10" s="67" t="s">
        <v>62</v>
      </c>
      <c r="IF10" s="47" t="s">
        <v>34</v>
      </c>
    </row>
    <row r="11" spans="1:243" x14ac:dyDescent="0.3">
      <c r="C11" s="73" t="s">
        <v>675</v>
      </c>
      <c r="D11" s="58" t="s">
        <v>676</v>
      </c>
      <c r="E11" s="58" t="s">
        <v>677</v>
      </c>
      <c r="F11" s="58" t="s">
        <v>93</v>
      </c>
      <c r="G11" s="58" t="s">
        <v>678</v>
      </c>
      <c r="H11" s="58" t="s">
        <v>679</v>
      </c>
      <c r="I11" s="58" t="s">
        <v>680</v>
      </c>
      <c r="J11" s="58" t="s">
        <v>681</v>
      </c>
      <c r="K11" s="58" t="s">
        <v>682</v>
      </c>
      <c r="L11" s="58" t="s">
        <v>683</v>
      </c>
      <c r="M11" s="58" t="s">
        <v>684</v>
      </c>
      <c r="N11" s="58" t="s">
        <v>685</v>
      </c>
      <c r="O11" s="58" t="s">
        <v>686</v>
      </c>
      <c r="P11" s="58" t="s">
        <v>687</v>
      </c>
      <c r="Q11" s="58" t="s">
        <v>688</v>
      </c>
      <c r="R11" s="58" t="s">
        <v>689</v>
      </c>
      <c r="S11" s="58" t="s">
        <v>690</v>
      </c>
      <c r="T11" s="58" t="s">
        <v>691</v>
      </c>
      <c r="U11" s="58" t="s">
        <v>692</v>
      </c>
      <c r="V11" s="58" t="s">
        <v>693</v>
      </c>
      <c r="W11" s="58" t="s">
        <v>694</v>
      </c>
      <c r="X11" s="58" t="s">
        <v>695</v>
      </c>
      <c r="Y11" s="143" t="s">
        <v>696</v>
      </c>
      <c r="Z11" s="143" t="s">
        <v>697</v>
      </c>
      <c r="AA11" s="58" t="s">
        <v>698</v>
      </c>
      <c r="AB11" s="143" t="s">
        <v>699</v>
      </c>
      <c r="AC11" s="58" t="s">
        <v>700</v>
      </c>
      <c r="AD11" s="143" t="s">
        <v>701</v>
      </c>
      <c r="AE11" s="143" t="s">
        <v>702</v>
      </c>
      <c r="AF11" s="58" t="s">
        <v>703</v>
      </c>
      <c r="AG11" s="58" t="s">
        <v>704</v>
      </c>
      <c r="AH11" s="143" t="s">
        <v>705</v>
      </c>
      <c r="AI11" s="73" t="s">
        <v>706</v>
      </c>
      <c r="AJ11" s="73" t="s">
        <v>707</v>
      </c>
      <c r="AK11" s="58" t="s">
        <v>708</v>
      </c>
      <c r="AL11" s="143" t="s">
        <v>709</v>
      </c>
      <c r="AM11" s="58" t="s">
        <v>710</v>
      </c>
      <c r="AN11" s="58" t="s">
        <v>711</v>
      </c>
      <c r="AO11" s="58" t="s">
        <v>712</v>
      </c>
      <c r="AP11" s="143" t="s">
        <v>713</v>
      </c>
      <c r="AQ11" s="143" t="s">
        <v>714</v>
      </c>
      <c r="AR11" s="143" t="s">
        <v>715</v>
      </c>
      <c r="AS11" s="58" t="s">
        <v>716</v>
      </c>
      <c r="AT11" s="143" t="s">
        <v>717</v>
      </c>
      <c r="AU11" s="143" t="s">
        <v>718</v>
      </c>
      <c r="AV11" s="143" t="s">
        <v>719</v>
      </c>
      <c r="AW11" s="143" t="s">
        <v>720</v>
      </c>
      <c r="AX11" s="58" t="s">
        <v>721</v>
      </c>
      <c r="AY11" s="58" t="s">
        <v>722</v>
      </c>
      <c r="AZ11" s="143" t="s">
        <v>723</v>
      </c>
      <c r="BA11" s="58" t="s">
        <v>724</v>
      </c>
      <c r="BB11" s="143" t="s">
        <v>725</v>
      </c>
      <c r="BC11" s="143" t="s">
        <v>726</v>
      </c>
      <c r="BD11" s="143" t="s">
        <v>727</v>
      </c>
      <c r="BE11" s="143" t="s">
        <v>728</v>
      </c>
      <c r="BF11" s="143" t="s">
        <v>729</v>
      </c>
      <c r="BG11" s="143" t="s">
        <v>730</v>
      </c>
      <c r="BH11" s="58" t="s">
        <v>731</v>
      </c>
      <c r="BI11" s="58" t="s">
        <v>732</v>
      </c>
      <c r="BJ11" s="143" t="s">
        <v>733</v>
      </c>
      <c r="BK11" s="58" t="s">
        <v>734</v>
      </c>
      <c r="BL11" s="143" t="s">
        <v>735</v>
      </c>
      <c r="BM11" s="58" t="s">
        <v>736</v>
      </c>
      <c r="BN11" s="58" t="s">
        <v>737</v>
      </c>
      <c r="BO11" s="58" t="s">
        <v>738</v>
      </c>
      <c r="BP11" s="58" t="s">
        <v>739</v>
      </c>
      <c r="BQ11" s="58" t="s">
        <v>740</v>
      </c>
      <c r="BR11" s="58" t="s">
        <v>741</v>
      </c>
      <c r="BS11" s="143" t="s">
        <v>742</v>
      </c>
      <c r="BT11" s="58" t="s">
        <v>743</v>
      </c>
      <c r="BU11" s="58" t="s">
        <v>744</v>
      </c>
      <c r="BV11" s="143" t="s">
        <v>745</v>
      </c>
      <c r="BW11" s="73" t="s">
        <v>746</v>
      </c>
      <c r="BX11" s="73" t="s">
        <v>747</v>
      </c>
      <c r="BY11" s="58" t="s">
        <v>748</v>
      </c>
      <c r="BZ11" s="143" t="s">
        <v>749</v>
      </c>
      <c r="CA11" s="143" t="s">
        <v>750</v>
      </c>
      <c r="CB11" s="58" t="s">
        <v>751</v>
      </c>
      <c r="CC11" s="58" t="s">
        <v>752</v>
      </c>
      <c r="CD11" s="143" t="s">
        <v>753</v>
      </c>
      <c r="CE11" s="143" t="s">
        <v>754</v>
      </c>
      <c r="CF11" s="143" t="s">
        <v>755</v>
      </c>
      <c r="CG11" s="143" t="s">
        <v>756</v>
      </c>
      <c r="CH11" s="143" t="s">
        <v>757</v>
      </c>
      <c r="CI11" s="58" t="s">
        <v>758</v>
      </c>
      <c r="CJ11" s="143" t="s">
        <v>759</v>
      </c>
      <c r="CK11" s="143" t="s">
        <v>760</v>
      </c>
      <c r="CL11" s="143" t="s">
        <v>761</v>
      </c>
      <c r="CM11" s="143" t="s">
        <v>762</v>
      </c>
      <c r="CN11" s="143" t="s">
        <v>763</v>
      </c>
      <c r="CO11" s="143" t="s">
        <v>764</v>
      </c>
      <c r="CP11" s="143" t="s">
        <v>765</v>
      </c>
      <c r="CQ11" s="143" t="s">
        <v>766</v>
      </c>
      <c r="CR11" s="143" t="s">
        <v>767</v>
      </c>
      <c r="CS11" s="143" t="s">
        <v>768</v>
      </c>
      <c r="CT11" s="143" t="s">
        <v>769</v>
      </c>
      <c r="CU11" s="143" t="s">
        <v>770</v>
      </c>
      <c r="CV11" s="58" t="s">
        <v>771</v>
      </c>
      <c r="CW11" s="58" t="s">
        <v>772</v>
      </c>
      <c r="CX11" s="143" t="s">
        <v>773</v>
      </c>
      <c r="CY11" s="58" t="s">
        <v>774</v>
      </c>
      <c r="CZ11" s="143" t="s">
        <v>775</v>
      </c>
      <c r="DA11" s="58" t="s">
        <v>776</v>
      </c>
      <c r="DB11" s="58" t="s">
        <v>777</v>
      </c>
      <c r="DC11" s="58" t="s">
        <v>778</v>
      </c>
      <c r="DD11" s="58" t="s">
        <v>779</v>
      </c>
      <c r="DE11" s="58" t="s">
        <v>780</v>
      </c>
      <c r="DF11" s="58" t="s">
        <v>781</v>
      </c>
      <c r="DG11" s="143" t="s">
        <v>782</v>
      </c>
      <c r="DH11" s="58" t="s">
        <v>783</v>
      </c>
      <c r="DI11" s="204" t="s">
        <v>1022</v>
      </c>
      <c r="DJ11" s="143" t="s">
        <v>784</v>
      </c>
      <c r="DK11" s="73" t="s">
        <v>785</v>
      </c>
      <c r="DL11" s="73" t="s">
        <v>786</v>
      </c>
      <c r="DM11" s="58" t="s">
        <v>787</v>
      </c>
      <c r="DN11" s="143" t="s">
        <v>788</v>
      </c>
      <c r="DO11" s="143" t="s">
        <v>789</v>
      </c>
      <c r="DP11" s="58" t="s">
        <v>790</v>
      </c>
      <c r="DQ11" s="58" t="s">
        <v>791</v>
      </c>
      <c r="DR11" s="143" t="s">
        <v>792</v>
      </c>
      <c r="DS11" s="143" t="s">
        <v>793</v>
      </c>
      <c r="DT11" s="143" t="s">
        <v>794</v>
      </c>
      <c r="DU11" s="143" t="s">
        <v>795</v>
      </c>
      <c r="DV11" s="143" t="s">
        <v>796</v>
      </c>
      <c r="DW11" s="58" t="s">
        <v>797</v>
      </c>
      <c r="DX11" s="143" t="s">
        <v>798</v>
      </c>
      <c r="DY11" s="143" t="s">
        <v>799</v>
      </c>
      <c r="DZ11" s="143" t="s">
        <v>800</v>
      </c>
      <c r="EA11" s="58" t="s">
        <v>801</v>
      </c>
      <c r="EB11" s="143" t="s">
        <v>802</v>
      </c>
      <c r="EC11" s="143" t="s">
        <v>803</v>
      </c>
      <c r="ED11" s="143" t="s">
        <v>804</v>
      </c>
      <c r="EE11" s="143" t="s">
        <v>805</v>
      </c>
      <c r="EF11" s="143" t="s">
        <v>806</v>
      </c>
      <c r="EG11" s="143" t="s">
        <v>807</v>
      </c>
      <c r="EH11" s="58" t="s">
        <v>808</v>
      </c>
      <c r="EI11" s="143" t="s">
        <v>809</v>
      </c>
      <c r="EJ11" s="58" t="s">
        <v>810</v>
      </c>
      <c r="EK11" s="58" t="s">
        <v>811</v>
      </c>
      <c r="EL11" s="58" t="s">
        <v>812</v>
      </c>
      <c r="EM11" s="58" t="s">
        <v>813</v>
      </c>
      <c r="EN11" s="143" t="s">
        <v>814</v>
      </c>
      <c r="EO11" s="58" t="s">
        <v>815</v>
      </c>
      <c r="EP11" s="58" t="s">
        <v>816</v>
      </c>
      <c r="EQ11" s="58" t="s">
        <v>817</v>
      </c>
      <c r="ER11" s="58" t="s">
        <v>818</v>
      </c>
      <c r="ES11" s="58" t="s">
        <v>819</v>
      </c>
      <c r="ET11" s="58" t="s">
        <v>820</v>
      </c>
      <c r="EU11" s="58" t="s">
        <v>821</v>
      </c>
      <c r="EV11" s="58" t="s">
        <v>822</v>
      </c>
      <c r="EW11" s="204" t="s">
        <v>1022</v>
      </c>
      <c r="EX11" s="204" t="s">
        <v>1022</v>
      </c>
      <c r="EY11" s="58" t="s">
        <v>823</v>
      </c>
      <c r="EZ11" s="73" t="s">
        <v>824</v>
      </c>
      <c r="FA11" s="73" t="s">
        <v>825</v>
      </c>
      <c r="FB11" s="58" t="s">
        <v>826</v>
      </c>
      <c r="FC11" s="143" t="s">
        <v>827</v>
      </c>
      <c r="FD11" s="143" t="s">
        <v>828</v>
      </c>
      <c r="FE11" s="58" t="s">
        <v>829</v>
      </c>
      <c r="FF11" s="58" t="s">
        <v>830</v>
      </c>
      <c r="FG11" s="143" t="s">
        <v>831</v>
      </c>
      <c r="FH11" s="143" t="s">
        <v>832</v>
      </c>
      <c r="FI11" s="143" t="s">
        <v>833</v>
      </c>
      <c r="FJ11" s="143" t="s">
        <v>834</v>
      </c>
      <c r="FK11" s="143" t="s">
        <v>835</v>
      </c>
      <c r="FL11" s="58" t="s">
        <v>836</v>
      </c>
      <c r="FM11" s="143" t="s">
        <v>837</v>
      </c>
      <c r="FN11" s="143" t="s">
        <v>838</v>
      </c>
      <c r="FO11" s="143" t="s">
        <v>839</v>
      </c>
      <c r="FP11" s="143" t="s">
        <v>840</v>
      </c>
      <c r="FQ11" s="143" t="s">
        <v>841</v>
      </c>
      <c r="FR11" s="143" t="s">
        <v>842</v>
      </c>
      <c r="FS11" s="143" t="s">
        <v>843</v>
      </c>
      <c r="FT11" s="143" t="s">
        <v>844</v>
      </c>
      <c r="FU11" s="143" t="s">
        <v>845</v>
      </c>
      <c r="FV11" s="143" t="s">
        <v>846</v>
      </c>
      <c r="FW11" s="58" t="s">
        <v>847</v>
      </c>
      <c r="FX11" s="143" t="s">
        <v>848</v>
      </c>
      <c r="FY11" s="58" t="s">
        <v>849</v>
      </c>
      <c r="FZ11" s="58" t="s">
        <v>850</v>
      </c>
      <c r="GA11" s="143" t="s">
        <v>851</v>
      </c>
      <c r="GB11" s="58" t="s">
        <v>852</v>
      </c>
      <c r="GC11" s="143" t="s">
        <v>853</v>
      </c>
      <c r="GD11" s="58" t="s">
        <v>854</v>
      </c>
      <c r="GE11" s="58" t="s">
        <v>855</v>
      </c>
      <c r="GF11" s="58" t="s">
        <v>856</v>
      </c>
      <c r="GG11" s="58" t="s">
        <v>857</v>
      </c>
      <c r="GH11" s="58" t="s">
        <v>858</v>
      </c>
      <c r="GI11" s="58" t="s">
        <v>859</v>
      </c>
      <c r="GJ11" s="58" t="s">
        <v>860</v>
      </c>
      <c r="GK11" s="58" t="s">
        <v>861</v>
      </c>
      <c r="GL11" s="204" t="s">
        <v>1022</v>
      </c>
      <c r="GM11" s="204" t="s">
        <v>1022</v>
      </c>
      <c r="GN11" s="58" t="s">
        <v>862</v>
      </c>
      <c r="GO11" s="73" t="s">
        <v>863</v>
      </c>
      <c r="GP11" s="73" t="s">
        <v>864</v>
      </c>
      <c r="GQ11" s="58" t="s">
        <v>865</v>
      </c>
      <c r="GR11" s="143" t="s">
        <v>866</v>
      </c>
      <c r="GS11" s="143" t="s">
        <v>867</v>
      </c>
      <c r="GT11" s="58" t="s">
        <v>868</v>
      </c>
      <c r="GU11" s="58" t="s">
        <v>869</v>
      </c>
      <c r="GV11" s="143" t="s">
        <v>870</v>
      </c>
      <c r="GW11" s="143" t="s">
        <v>871</v>
      </c>
      <c r="GX11" s="143" t="s">
        <v>872</v>
      </c>
      <c r="GY11" s="143" t="s">
        <v>873</v>
      </c>
      <c r="GZ11" s="143" t="s">
        <v>874</v>
      </c>
      <c r="HA11" s="58" t="s">
        <v>875</v>
      </c>
      <c r="HB11" s="143" t="s">
        <v>876</v>
      </c>
      <c r="HC11" s="143" t="s">
        <v>877</v>
      </c>
      <c r="HD11" s="143" t="s">
        <v>878</v>
      </c>
      <c r="HE11" s="143" t="s">
        <v>879</v>
      </c>
      <c r="HF11" s="143" t="s">
        <v>880</v>
      </c>
      <c r="HG11" s="143" t="s">
        <v>881</v>
      </c>
      <c r="HH11" s="143" t="s">
        <v>882</v>
      </c>
      <c r="HI11" s="143" t="s">
        <v>883</v>
      </c>
      <c r="HJ11" s="143" t="s">
        <v>884</v>
      </c>
      <c r="HK11" s="143" t="s">
        <v>885</v>
      </c>
      <c r="HL11" s="58" t="s">
        <v>886</v>
      </c>
      <c r="HM11" s="143" t="s">
        <v>887</v>
      </c>
      <c r="HN11" s="58" t="s">
        <v>888</v>
      </c>
      <c r="HO11" s="58" t="s">
        <v>889</v>
      </c>
      <c r="HP11" s="58" t="s">
        <v>890</v>
      </c>
      <c r="HQ11" s="58" t="s">
        <v>891</v>
      </c>
      <c r="HR11" s="143" t="s">
        <v>892</v>
      </c>
      <c r="HS11" s="58" t="s">
        <v>893</v>
      </c>
      <c r="HT11" s="58" t="s">
        <v>894</v>
      </c>
      <c r="HU11" s="58" t="s">
        <v>895</v>
      </c>
      <c r="HV11" s="58" t="s">
        <v>896</v>
      </c>
      <c r="HW11" s="58" t="s">
        <v>897</v>
      </c>
      <c r="HX11" s="58" t="s">
        <v>898</v>
      </c>
      <c r="HY11" s="58" t="s">
        <v>899</v>
      </c>
      <c r="HZ11" s="143" t="s">
        <v>900</v>
      </c>
      <c r="IA11" s="204" t="s">
        <v>1022</v>
      </c>
      <c r="IB11" s="204" t="s">
        <v>1022</v>
      </c>
      <c r="IC11" s="58" t="s">
        <v>901</v>
      </c>
      <c r="ID11" s="73" t="s">
        <v>902</v>
      </c>
      <c r="IE11" s="73" t="s">
        <v>903</v>
      </c>
      <c r="IF11" s="47" t="s">
        <v>34</v>
      </c>
    </row>
    <row r="12" spans="1:243" x14ac:dyDescent="0.3">
      <c r="A12" s="58">
        <f>ROW()</f>
        <v>12</v>
      </c>
      <c r="B12" s="74" t="s">
        <v>63</v>
      </c>
      <c r="C12" s="75"/>
      <c r="Y12" s="138"/>
      <c r="Z12" s="138"/>
      <c r="AB12" s="138"/>
      <c r="AD12" s="138"/>
      <c r="AE12" s="138"/>
      <c r="AH12" s="138"/>
      <c r="AI12" s="75"/>
      <c r="AJ12" s="75"/>
      <c r="AL12" s="138"/>
      <c r="AP12" s="138"/>
      <c r="AQ12" s="138"/>
      <c r="AR12" s="138"/>
      <c r="AT12" s="138"/>
      <c r="AU12" s="138"/>
      <c r="AV12" s="138"/>
      <c r="AW12" s="138"/>
      <c r="AZ12" s="138"/>
      <c r="BB12" s="138"/>
      <c r="BC12" s="138"/>
      <c r="BD12" s="138"/>
      <c r="BE12" s="138"/>
      <c r="BF12" s="138"/>
      <c r="BG12" s="138"/>
      <c r="BJ12" s="138"/>
      <c r="BL12" s="138"/>
      <c r="BS12" s="138"/>
      <c r="BV12" s="138"/>
      <c r="BW12" s="75"/>
      <c r="BX12" s="75"/>
      <c r="BZ12" s="138"/>
      <c r="CA12" s="138"/>
      <c r="CD12" s="138"/>
      <c r="CE12" s="138"/>
      <c r="CF12" s="138"/>
      <c r="CG12" s="138"/>
      <c r="CH12" s="138"/>
      <c r="CJ12" s="138"/>
      <c r="CK12" s="138"/>
      <c r="CL12" s="138"/>
      <c r="CM12" s="138"/>
      <c r="CN12" s="138"/>
      <c r="CO12" s="138"/>
      <c r="CP12" s="138"/>
      <c r="CQ12" s="138"/>
      <c r="CR12" s="138"/>
      <c r="CS12" s="138"/>
      <c r="CT12" s="138"/>
      <c r="CU12" s="138"/>
      <c r="CX12" s="138"/>
      <c r="CZ12" s="138"/>
      <c r="DG12" s="138"/>
      <c r="DI12" s="205"/>
      <c r="DJ12" s="138"/>
      <c r="DK12" s="75"/>
      <c r="DL12" s="75"/>
      <c r="DN12" s="138"/>
      <c r="DO12" s="138"/>
      <c r="DR12" s="138"/>
      <c r="DS12" s="138"/>
      <c r="DT12" s="138"/>
      <c r="DU12" s="138"/>
      <c r="DV12" s="138"/>
      <c r="DX12" s="138"/>
      <c r="DY12" s="138"/>
      <c r="DZ12" s="138"/>
      <c r="EB12" s="138"/>
      <c r="EC12" s="138"/>
      <c r="ED12" s="138"/>
      <c r="EE12" s="138"/>
      <c r="EF12" s="138"/>
      <c r="EG12" s="138"/>
      <c r="EI12" s="138"/>
      <c r="EN12" s="138"/>
      <c r="EW12" s="205"/>
      <c r="EX12" s="205"/>
      <c r="EZ12" s="75"/>
      <c r="FA12" s="75"/>
      <c r="FC12" s="138"/>
      <c r="FD12" s="138"/>
      <c r="FG12" s="138"/>
      <c r="FH12" s="138"/>
      <c r="FI12" s="138"/>
      <c r="FJ12" s="138"/>
      <c r="FK12" s="138"/>
      <c r="FM12" s="138"/>
      <c r="FN12" s="138"/>
      <c r="FO12" s="138"/>
      <c r="FP12" s="138"/>
      <c r="FQ12" s="138"/>
      <c r="FR12" s="138"/>
      <c r="FS12" s="138"/>
      <c r="FT12" s="138"/>
      <c r="FU12" s="138"/>
      <c r="FV12" s="138"/>
      <c r="FX12" s="138"/>
      <c r="GA12" s="138"/>
      <c r="GC12" s="138"/>
      <c r="GL12" s="205"/>
      <c r="GM12" s="205"/>
      <c r="GO12" s="75"/>
      <c r="GP12" s="75"/>
      <c r="GR12" s="138"/>
      <c r="GS12" s="138"/>
      <c r="GV12" s="138"/>
      <c r="GW12" s="138"/>
      <c r="GX12" s="138"/>
      <c r="GY12" s="138"/>
      <c r="GZ12" s="138"/>
      <c r="HB12" s="138"/>
      <c r="HC12" s="138"/>
      <c r="HD12" s="138"/>
      <c r="HE12" s="138"/>
      <c r="HF12" s="138"/>
      <c r="HG12" s="138"/>
      <c r="HH12" s="138"/>
      <c r="HI12" s="138"/>
      <c r="HJ12" s="138"/>
      <c r="HK12" s="138"/>
      <c r="HM12" s="138"/>
      <c r="HR12" s="138"/>
      <c r="HZ12" s="138"/>
      <c r="IA12" s="205"/>
      <c r="IB12" s="205"/>
      <c r="ID12" s="75"/>
      <c r="IE12" s="75"/>
      <c r="IF12" s="47" t="s">
        <v>34</v>
      </c>
      <c r="IH12" s="51"/>
      <c r="II12" s="51"/>
    </row>
    <row r="13" spans="1:243" x14ac:dyDescent="0.3">
      <c r="A13" s="58">
        <f>ROW()</f>
        <v>13</v>
      </c>
      <c r="B13" s="74" t="s">
        <v>64</v>
      </c>
      <c r="C13" s="83">
        <v>989598359.40999997</v>
      </c>
      <c r="D13" s="77">
        <v>9517873.9146679379</v>
      </c>
      <c r="E13" s="77">
        <v>-476057839.91554326</v>
      </c>
      <c r="F13" s="77">
        <v>48442.102737191832</v>
      </c>
      <c r="G13" s="77"/>
      <c r="H13" s="77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152"/>
      <c r="Z13" s="152"/>
      <c r="AA13" s="77"/>
      <c r="AB13" s="152"/>
      <c r="AC13" s="77"/>
      <c r="AD13" s="152"/>
      <c r="AE13" s="152"/>
      <c r="AF13" s="77"/>
      <c r="AG13" s="77"/>
      <c r="AH13" s="152"/>
      <c r="AI13" s="76">
        <f>SUM(D13:AH13)</f>
        <v>-466491523.89813811</v>
      </c>
      <c r="AJ13" s="76">
        <f>+AI13+C13</f>
        <v>523106835.51186186</v>
      </c>
      <c r="AK13" s="77">
        <v>-15520170.580995444</v>
      </c>
      <c r="AL13" s="152"/>
      <c r="AM13" s="77">
        <v>13001482.406718556</v>
      </c>
      <c r="AN13" s="77"/>
      <c r="AO13" s="77"/>
      <c r="AP13" s="152"/>
      <c r="AQ13" s="152"/>
      <c r="AR13" s="152"/>
      <c r="AS13" s="77"/>
      <c r="AT13" s="152"/>
      <c r="AU13" s="152"/>
      <c r="AV13" s="152"/>
      <c r="AW13" s="152"/>
      <c r="AX13" s="77"/>
      <c r="AY13" s="77"/>
      <c r="AZ13" s="152"/>
      <c r="BA13" s="77"/>
      <c r="BB13" s="152"/>
      <c r="BC13" s="152"/>
      <c r="BD13" s="152"/>
      <c r="BE13" s="152"/>
      <c r="BF13" s="152"/>
      <c r="BG13" s="152"/>
      <c r="BH13" s="77"/>
      <c r="BI13" s="77"/>
      <c r="BJ13" s="152"/>
      <c r="BK13" s="77"/>
      <c r="BL13" s="152"/>
      <c r="BM13" s="77"/>
      <c r="BN13" s="77"/>
      <c r="BO13" s="77"/>
      <c r="BP13" s="77"/>
      <c r="BQ13" s="77"/>
      <c r="BR13" s="77"/>
      <c r="BS13" s="152"/>
      <c r="BT13" s="77"/>
      <c r="BU13" s="77"/>
      <c r="BV13" s="152"/>
      <c r="BW13" s="76">
        <f>SUM(AK13:BV13)</f>
        <v>-2518688.1742768884</v>
      </c>
      <c r="BX13" s="76">
        <f>+BW13+AJ13</f>
        <v>520588147.33758497</v>
      </c>
      <c r="BY13" s="77">
        <v>15012199.290499585</v>
      </c>
      <c r="BZ13" s="152"/>
      <c r="CA13" s="152"/>
      <c r="CB13" s="77"/>
      <c r="CC13" s="77"/>
      <c r="CD13" s="152"/>
      <c r="CE13" s="152"/>
      <c r="CF13" s="152"/>
      <c r="CG13" s="152"/>
      <c r="CH13" s="152"/>
      <c r="CI13" s="77"/>
      <c r="CJ13" s="152"/>
      <c r="CK13" s="152"/>
      <c r="CL13" s="152"/>
      <c r="CM13" s="152"/>
      <c r="CN13" s="152"/>
      <c r="CO13" s="152"/>
      <c r="CP13" s="152"/>
      <c r="CQ13" s="152"/>
      <c r="CR13" s="152"/>
      <c r="CS13" s="152"/>
      <c r="CT13" s="152"/>
      <c r="CU13" s="152"/>
      <c r="CV13" s="77"/>
      <c r="CW13" s="77"/>
      <c r="CX13" s="152"/>
      <c r="CY13" s="77"/>
      <c r="CZ13" s="152"/>
      <c r="DA13" s="77"/>
      <c r="DB13" s="77"/>
      <c r="DC13" s="77"/>
      <c r="DD13" s="77"/>
      <c r="DE13" s="77"/>
      <c r="DF13" s="77"/>
      <c r="DG13" s="152"/>
      <c r="DH13" s="77"/>
      <c r="DI13" s="207"/>
      <c r="DJ13" s="152"/>
      <c r="DK13" s="76">
        <f>SUM(BY13:DJ13)</f>
        <v>15012199.290499585</v>
      </c>
      <c r="DL13" s="76">
        <f>+DK13+BX13</f>
        <v>535600346.62808454</v>
      </c>
      <c r="DM13" s="77">
        <v>3182640.6072111833</v>
      </c>
      <c r="DN13" s="152"/>
      <c r="DO13" s="152"/>
      <c r="DP13" s="77"/>
      <c r="DQ13" s="77"/>
      <c r="DR13" s="152"/>
      <c r="DS13" s="152"/>
      <c r="DT13" s="152"/>
      <c r="DU13" s="152"/>
      <c r="DV13" s="152"/>
      <c r="DW13" s="77"/>
      <c r="DX13" s="152"/>
      <c r="DY13" s="152"/>
      <c r="DZ13" s="152"/>
      <c r="EA13" s="77"/>
      <c r="EB13" s="152"/>
      <c r="EC13" s="152"/>
      <c r="ED13" s="152"/>
      <c r="EE13" s="152"/>
      <c r="EF13" s="152"/>
      <c r="EG13" s="152"/>
      <c r="EH13" s="77"/>
      <c r="EI13" s="152"/>
      <c r="EJ13" s="77"/>
      <c r="EK13" s="77"/>
      <c r="EL13" s="77"/>
      <c r="EM13" s="77"/>
      <c r="EN13" s="152"/>
      <c r="EO13" s="77"/>
      <c r="EP13" s="77"/>
      <c r="EQ13" s="77"/>
      <c r="ER13" s="77"/>
      <c r="ES13" s="77"/>
      <c r="ET13" s="77"/>
      <c r="EU13" s="77"/>
      <c r="EV13" s="77"/>
      <c r="EW13" s="207"/>
      <c r="EX13" s="207"/>
      <c r="EY13" s="77"/>
      <c r="EZ13" s="76">
        <f>SUM(DM13:EY13)</f>
        <v>3182640.6072111833</v>
      </c>
      <c r="FA13" s="76">
        <f>+EZ13+DL13</f>
        <v>538782987.23529577</v>
      </c>
      <c r="FB13" s="77">
        <v>4088503.6398947756</v>
      </c>
      <c r="FC13" s="152"/>
      <c r="FD13" s="152"/>
      <c r="FE13" s="77"/>
      <c r="FF13" s="77"/>
      <c r="FG13" s="152"/>
      <c r="FH13" s="152"/>
      <c r="FI13" s="152"/>
      <c r="FJ13" s="152"/>
      <c r="FK13" s="152"/>
      <c r="FL13" s="77"/>
      <c r="FM13" s="152"/>
      <c r="FN13" s="152"/>
      <c r="FO13" s="152"/>
      <c r="FP13" s="152"/>
      <c r="FQ13" s="152"/>
      <c r="FR13" s="152"/>
      <c r="FS13" s="152"/>
      <c r="FT13" s="152"/>
      <c r="FU13" s="152"/>
      <c r="FV13" s="152"/>
      <c r="FW13" s="77"/>
      <c r="FX13" s="152"/>
      <c r="FY13" s="77"/>
      <c r="FZ13" s="77"/>
      <c r="GA13" s="152"/>
      <c r="GB13" s="77"/>
      <c r="GC13" s="152"/>
      <c r="GD13" s="77"/>
      <c r="GE13" s="77"/>
      <c r="GF13" s="77"/>
      <c r="GG13" s="77"/>
      <c r="GH13" s="77"/>
      <c r="GI13" s="77"/>
      <c r="GJ13" s="77"/>
      <c r="GK13" s="77"/>
      <c r="GL13" s="207"/>
      <c r="GM13" s="207"/>
      <c r="GN13" s="77"/>
      <c r="GO13" s="76">
        <f>SUM(FB13:GN13)</f>
        <v>4088503.6398947756</v>
      </c>
      <c r="GP13" s="76">
        <f>+GO13+FA13</f>
        <v>542871490.8751905</v>
      </c>
      <c r="GQ13" s="77">
        <v>854215.47975359601</v>
      </c>
      <c r="GR13" s="152"/>
      <c r="GS13" s="152"/>
      <c r="GT13" s="77"/>
      <c r="GU13" s="77"/>
      <c r="GV13" s="152"/>
      <c r="GW13" s="152"/>
      <c r="GX13" s="152"/>
      <c r="GY13" s="152"/>
      <c r="GZ13" s="152"/>
      <c r="HA13" s="77"/>
      <c r="HB13" s="152"/>
      <c r="HC13" s="152"/>
      <c r="HD13" s="152"/>
      <c r="HE13" s="152"/>
      <c r="HF13" s="152"/>
      <c r="HG13" s="152"/>
      <c r="HH13" s="152"/>
      <c r="HI13" s="152"/>
      <c r="HJ13" s="152"/>
      <c r="HK13" s="152"/>
      <c r="HL13" s="77"/>
      <c r="HM13" s="152"/>
      <c r="HN13" s="77"/>
      <c r="HO13" s="77"/>
      <c r="HP13" s="77"/>
      <c r="HQ13" s="77"/>
      <c r="HR13" s="152"/>
      <c r="HS13" s="77"/>
      <c r="HT13" s="77"/>
      <c r="HU13" s="77"/>
      <c r="HV13" s="77"/>
      <c r="HW13" s="77"/>
      <c r="HX13" s="77"/>
      <c r="HY13" s="77"/>
      <c r="HZ13" s="152"/>
      <c r="IA13" s="207"/>
      <c r="IB13" s="207"/>
      <c r="IC13" s="77"/>
      <c r="ID13" s="76">
        <f>SUM(GQ13:IC13)</f>
        <v>854215.47975359601</v>
      </c>
      <c r="IE13" s="76">
        <f>+ID13+GP13</f>
        <v>543725706.35494411</v>
      </c>
      <c r="IF13" s="47" t="s">
        <v>34</v>
      </c>
      <c r="IH13" s="51"/>
    </row>
    <row r="14" spans="1:243" x14ac:dyDescent="0.3">
      <c r="A14" s="58">
        <f>ROW()</f>
        <v>14</v>
      </c>
      <c r="B14" s="74" t="s">
        <v>65</v>
      </c>
      <c r="C14" s="78">
        <v>0</v>
      </c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153"/>
      <c r="Z14" s="153"/>
      <c r="AA14" s="79"/>
      <c r="AB14" s="153"/>
      <c r="AC14" s="79"/>
      <c r="AD14" s="153"/>
      <c r="AE14" s="153"/>
      <c r="AF14" s="79"/>
      <c r="AG14" s="79"/>
      <c r="AH14" s="153"/>
      <c r="AI14" s="78">
        <f>SUM(D14:AH14)</f>
        <v>0</v>
      </c>
      <c r="AJ14" s="78">
        <f>+AI14+C14</f>
        <v>0</v>
      </c>
      <c r="AK14" s="79"/>
      <c r="AL14" s="153"/>
      <c r="AM14" s="79"/>
      <c r="AN14" s="79"/>
      <c r="AO14" s="79"/>
      <c r="AP14" s="153"/>
      <c r="AQ14" s="153"/>
      <c r="AR14" s="153"/>
      <c r="AS14" s="79"/>
      <c r="AT14" s="153"/>
      <c r="AU14" s="153"/>
      <c r="AV14" s="153"/>
      <c r="AW14" s="153"/>
      <c r="AX14" s="79"/>
      <c r="AY14" s="79"/>
      <c r="AZ14" s="153"/>
      <c r="BA14" s="79"/>
      <c r="BB14" s="153"/>
      <c r="BC14" s="153"/>
      <c r="BD14" s="153"/>
      <c r="BE14" s="153"/>
      <c r="BF14" s="153"/>
      <c r="BG14" s="153"/>
      <c r="BH14" s="79"/>
      <c r="BI14" s="79"/>
      <c r="BJ14" s="153"/>
      <c r="BK14" s="79"/>
      <c r="BL14" s="153"/>
      <c r="BM14" s="79"/>
      <c r="BN14" s="79"/>
      <c r="BO14" s="79"/>
      <c r="BP14" s="79"/>
      <c r="BQ14" s="79"/>
      <c r="BR14" s="79"/>
      <c r="BS14" s="153"/>
      <c r="BT14" s="79"/>
      <c r="BU14" s="79"/>
      <c r="BV14" s="153"/>
      <c r="BW14" s="78">
        <f>SUM(AK14:BV14)</f>
        <v>0</v>
      </c>
      <c r="BX14" s="78">
        <f>+BW14+AJ14</f>
        <v>0</v>
      </c>
      <c r="BY14" s="79"/>
      <c r="BZ14" s="153"/>
      <c r="CA14" s="153"/>
      <c r="CB14" s="79"/>
      <c r="CC14" s="79"/>
      <c r="CD14" s="153"/>
      <c r="CE14" s="153"/>
      <c r="CF14" s="153"/>
      <c r="CG14" s="153"/>
      <c r="CH14" s="153"/>
      <c r="CI14" s="79"/>
      <c r="CJ14" s="153"/>
      <c r="CK14" s="153"/>
      <c r="CL14" s="153"/>
      <c r="CM14" s="153"/>
      <c r="CN14" s="153"/>
      <c r="CO14" s="153"/>
      <c r="CP14" s="153"/>
      <c r="CQ14" s="153"/>
      <c r="CR14" s="153"/>
      <c r="CS14" s="153"/>
      <c r="CT14" s="153"/>
      <c r="CU14" s="153"/>
      <c r="CV14" s="79"/>
      <c r="CW14" s="79"/>
      <c r="CX14" s="153"/>
      <c r="CY14" s="79"/>
      <c r="CZ14" s="153"/>
      <c r="DA14" s="79"/>
      <c r="DB14" s="79"/>
      <c r="DC14" s="79"/>
      <c r="DD14" s="79"/>
      <c r="DE14" s="79"/>
      <c r="DF14" s="79"/>
      <c r="DG14" s="153"/>
      <c r="DH14" s="79"/>
      <c r="DI14" s="208"/>
      <c r="DJ14" s="153"/>
      <c r="DK14" s="78">
        <f>SUM(BY14:DJ14)</f>
        <v>0</v>
      </c>
      <c r="DL14" s="78">
        <f>+DK14+BX14</f>
        <v>0</v>
      </c>
      <c r="DM14" s="79"/>
      <c r="DN14" s="153"/>
      <c r="DO14" s="153"/>
      <c r="DP14" s="79"/>
      <c r="DQ14" s="79"/>
      <c r="DR14" s="153"/>
      <c r="DS14" s="153"/>
      <c r="DT14" s="153"/>
      <c r="DU14" s="153"/>
      <c r="DV14" s="153"/>
      <c r="DW14" s="79"/>
      <c r="DX14" s="153"/>
      <c r="DY14" s="153"/>
      <c r="DZ14" s="153"/>
      <c r="EA14" s="79"/>
      <c r="EB14" s="153"/>
      <c r="EC14" s="153"/>
      <c r="ED14" s="153"/>
      <c r="EE14" s="153"/>
      <c r="EF14" s="153"/>
      <c r="EG14" s="153"/>
      <c r="EH14" s="79"/>
      <c r="EI14" s="153"/>
      <c r="EJ14" s="79"/>
      <c r="EK14" s="79"/>
      <c r="EL14" s="79"/>
      <c r="EM14" s="79"/>
      <c r="EN14" s="153"/>
      <c r="EO14" s="79"/>
      <c r="EP14" s="79"/>
      <c r="EQ14" s="79"/>
      <c r="ER14" s="79"/>
      <c r="ES14" s="79"/>
      <c r="ET14" s="79"/>
      <c r="EU14" s="79"/>
      <c r="EV14" s="79"/>
      <c r="EW14" s="208"/>
      <c r="EX14" s="208"/>
      <c r="EY14" s="79"/>
      <c r="EZ14" s="78">
        <f>SUM(DM14:EY14)</f>
        <v>0</v>
      </c>
      <c r="FA14" s="78">
        <f>+EZ14+DL14</f>
        <v>0</v>
      </c>
      <c r="FB14" s="79"/>
      <c r="FC14" s="153"/>
      <c r="FD14" s="153"/>
      <c r="FE14" s="79"/>
      <c r="FF14" s="79"/>
      <c r="FG14" s="153"/>
      <c r="FH14" s="153"/>
      <c r="FI14" s="153"/>
      <c r="FJ14" s="153"/>
      <c r="FK14" s="153"/>
      <c r="FL14" s="79"/>
      <c r="FM14" s="153"/>
      <c r="FN14" s="153"/>
      <c r="FO14" s="153"/>
      <c r="FP14" s="153"/>
      <c r="FQ14" s="153"/>
      <c r="FR14" s="153"/>
      <c r="FS14" s="153"/>
      <c r="FT14" s="153"/>
      <c r="FU14" s="153"/>
      <c r="FV14" s="153"/>
      <c r="FW14" s="79"/>
      <c r="FX14" s="153"/>
      <c r="FY14" s="79"/>
      <c r="FZ14" s="79"/>
      <c r="GA14" s="153"/>
      <c r="GB14" s="79"/>
      <c r="GC14" s="153"/>
      <c r="GD14" s="79"/>
      <c r="GE14" s="79"/>
      <c r="GF14" s="79"/>
      <c r="GG14" s="79"/>
      <c r="GH14" s="79"/>
      <c r="GI14" s="79"/>
      <c r="GJ14" s="79"/>
      <c r="GK14" s="79"/>
      <c r="GL14" s="208"/>
      <c r="GM14" s="208"/>
      <c r="GN14" s="79"/>
      <c r="GO14" s="78">
        <f>SUM(FB14:GN14)</f>
        <v>0</v>
      </c>
      <c r="GP14" s="78">
        <f>+GO14+FA14</f>
        <v>0</v>
      </c>
      <c r="GQ14" s="79"/>
      <c r="GR14" s="153"/>
      <c r="GS14" s="153"/>
      <c r="GT14" s="79"/>
      <c r="GU14" s="79"/>
      <c r="GV14" s="153"/>
      <c r="GW14" s="153"/>
      <c r="GX14" s="153"/>
      <c r="GY14" s="153"/>
      <c r="GZ14" s="153"/>
      <c r="HA14" s="79"/>
      <c r="HB14" s="153"/>
      <c r="HC14" s="153"/>
      <c r="HD14" s="153"/>
      <c r="HE14" s="153"/>
      <c r="HF14" s="153"/>
      <c r="HG14" s="153"/>
      <c r="HH14" s="153"/>
      <c r="HI14" s="153"/>
      <c r="HJ14" s="153"/>
      <c r="HK14" s="153"/>
      <c r="HL14" s="79"/>
      <c r="HM14" s="153"/>
      <c r="HN14" s="79"/>
      <c r="HO14" s="79"/>
      <c r="HP14" s="79"/>
      <c r="HQ14" s="79"/>
      <c r="HR14" s="153"/>
      <c r="HS14" s="79"/>
      <c r="HT14" s="79"/>
      <c r="HU14" s="79"/>
      <c r="HV14" s="79"/>
      <c r="HW14" s="79"/>
      <c r="HX14" s="79"/>
      <c r="HY14" s="79"/>
      <c r="HZ14" s="153"/>
      <c r="IA14" s="208"/>
      <c r="IB14" s="208"/>
      <c r="IC14" s="79"/>
      <c r="ID14" s="78">
        <f>SUM(GQ14:IC14)</f>
        <v>0</v>
      </c>
      <c r="IE14" s="78">
        <f>+ID14+GP14</f>
        <v>0</v>
      </c>
      <c r="IF14" s="47" t="s">
        <v>34</v>
      </c>
      <c r="IH14" s="154"/>
    </row>
    <row r="15" spans="1:243" x14ac:dyDescent="0.3">
      <c r="A15" s="58">
        <f>ROW()</f>
        <v>15</v>
      </c>
      <c r="B15" s="74" t="s">
        <v>66</v>
      </c>
      <c r="C15" s="78">
        <v>0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153"/>
      <c r="Z15" s="153"/>
      <c r="AA15" s="79"/>
      <c r="AB15" s="153"/>
      <c r="AC15" s="79"/>
      <c r="AD15" s="153"/>
      <c r="AE15" s="153"/>
      <c r="AF15" s="79"/>
      <c r="AG15" s="79"/>
      <c r="AH15" s="153"/>
      <c r="AI15" s="78">
        <f>SUM(D15:AH15)</f>
        <v>0</v>
      </c>
      <c r="AJ15" s="78">
        <f>+AI15+C15</f>
        <v>0</v>
      </c>
      <c r="AK15" s="79"/>
      <c r="AL15" s="153"/>
      <c r="AM15" s="79"/>
      <c r="AN15" s="79"/>
      <c r="AO15" s="79"/>
      <c r="AP15" s="153"/>
      <c r="AQ15" s="153"/>
      <c r="AR15" s="153"/>
      <c r="AS15" s="79"/>
      <c r="AT15" s="153"/>
      <c r="AU15" s="153"/>
      <c r="AV15" s="153"/>
      <c r="AW15" s="153"/>
      <c r="AX15" s="79"/>
      <c r="AY15" s="79"/>
      <c r="AZ15" s="153"/>
      <c r="BA15" s="79"/>
      <c r="BB15" s="153"/>
      <c r="BC15" s="153"/>
      <c r="BD15" s="153"/>
      <c r="BE15" s="153"/>
      <c r="BF15" s="153"/>
      <c r="BG15" s="153"/>
      <c r="BH15" s="79"/>
      <c r="BI15" s="79"/>
      <c r="BJ15" s="153"/>
      <c r="BK15" s="79"/>
      <c r="BL15" s="153"/>
      <c r="BM15" s="79"/>
      <c r="BN15" s="79"/>
      <c r="BO15" s="79"/>
      <c r="BP15" s="79"/>
      <c r="BQ15" s="79"/>
      <c r="BR15" s="79"/>
      <c r="BS15" s="153"/>
      <c r="BT15" s="79"/>
      <c r="BU15" s="79"/>
      <c r="BV15" s="153"/>
      <c r="BW15" s="78">
        <f>SUM(AK15:BV15)</f>
        <v>0</v>
      </c>
      <c r="BX15" s="78">
        <f>+BW15+AJ15</f>
        <v>0</v>
      </c>
      <c r="BY15" s="79"/>
      <c r="BZ15" s="153"/>
      <c r="CA15" s="153"/>
      <c r="CB15" s="79"/>
      <c r="CC15" s="79"/>
      <c r="CD15" s="153"/>
      <c r="CE15" s="153"/>
      <c r="CF15" s="153"/>
      <c r="CG15" s="153"/>
      <c r="CH15" s="153"/>
      <c r="CI15" s="79"/>
      <c r="CJ15" s="153"/>
      <c r="CK15" s="153"/>
      <c r="CL15" s="153"/>
      <c r="CM15" s="153"/>
      <c r="CN15" s="153"/>
      <c r="CO15" s="153"/>
      <c r="CP15" s="153"/>
      <c r="CQ15" s="153"/>
      <c r="CR15" s="153"/>
      <c r="CS15" s="153"/>
      <c r="CT15" s="153"/>
      <c r="CU15" s="153"/>
      <c r="CV15" s="79"/>
      <c r="CW15" s="79"/>
      <c r="CX15" s="153"/>
      <c r="CY15" s="79"/>
      <c r="CZ15" s="153"/>
      <c r="DA15" s="79"/>
      <c r="DB15" s="79"/>
      <c r="DC15" s="79"/>
      <c r="DD15" s="79"/>
      <c r="DE15" s="79"/>
      <c r="DF15" s="79"/>
      <c r="DG15" s="153"/>
      <c r="DH15" s="79"/>
      <c r="DI15" s="208"/>
      <c r="DJ15" s="153"/>
      <c r="DK15" s="78">
        <f>SUM(BY15:DJ15)</f>
        <v>0</v>
      </c>
      <c r="DL15" s="78">
        <f>+DK15+BX15</f>
        <v>0</v>
      </c>
      <c r="DM15" s="79"/>
      <c r="DN15" s="153"/>
      <c r="DO15" s="153"/>
      <c r="DP15" s="79"/>
      <c r="DQ15" s="79"/>
      <c r="DR15" s="153"/>
      <c r="DS15" s="153"/>
      <c r="DT15" s="153"/>
      <c r="DU15" s="153"/>
      <c r="DV15" s="153"/>
      <c r="DW15" s="79"/>
      <c r="DX15" s="153"/>
      <c r="DY15" s="153"/>
      <c r="DZ15" s="153"/>
      <c r="EA15" s="79"/>
      <c r="EB15" s="153"/>
      <c r="EC15" s="153"/>
      <c r="ED15" s="153"/>
      <c r="EE15" s="153"/>
      <c r="EF15" s="153"/>
      <c r="EG15" s="153"/>
      <c r="EH15" s="79"/>
      <c r="EI15" s="153"/>
      <c r="EJ15" s="79"/>
      <c r="EK15" s="79"/>
      <c r="EL15" s="79"/>
      <c r="EM15" s="79"/>
      <c r="EN15" s="153"/>
      <c r="EO15" s="79"/>
      <c r="EP15" s="79"/>
      <c r="EQ15" s="79"/>
      <c r="ER15" s="79"/>
      <c r="ES15" s="79"/>
      <c r="ET15" s="79"/>
      <c r="EU15" s="79"/>
      <c r="EV15" s="79"/>
      <c r="EW15" s="208"/>
      <c r="EX15" s="208"/>
      <c r="EY15" s="79"/>
      <c r="EZ15" s="78">
        <f>SUM(DM15:EY15)</f>
        <v>0</v>
      </c>
      <c r="FA15" s="78">
        <f>+EZ15+DL15</f>
        <v>0</v>
      </c>
      <c r="FB15" s="79"/>
      <c r="FC15" s="153"/>
      <c r="FD15" s="153"/>
      <c r="FE15" s="79"/>
      <c r="FF15" s="79"/>
      <c r="FG15" s="153"/>
      <c r="FH15" s="153"/>
      <c r="FI15" s="153"/>
      <c r="FJ15" s="153"/>
      <c r="FK15" s="153"/>
      <c r="FL15" s="79"/>
      <c r="FM15" s="153"/>
      <c r="FN15" s="153"/>
      <c r="FO15" s="153"/>
      <c r="FP15" s="153"/>
      <c r="FQ15" s="153"/>
      <c r="FR15" s="153"/>
      <c r="FS15" s="153"/>
      <c r="FT15" s="153"/>
      <c r="FU15" s="153"/>
      <c r="FV15" s="153"/>
      <c r="FW15" s="79"/>
      <c r="FX15" s="153"/>
      <c r="FY15" s="79"/>
      <c r="FZ15" s="79"/>
      <c r="GA15" s="153"/>
      <c r="GB15" s="79"/>
      <c r="GC15" s="153"/>
      <c r="GD15" s="79"/>
      <c r="GE15" s="79"/>
      <c r="GF15" s="79"/>
      <c r="GG15" s="79"/>
      <c r="GH15" s="79"/>
      <c r="GI15" s="79"/>
      <c r="GJ15" s="79"/>
      <c r="GK15" s="79"/>
      <c r="GL15" s="208"/>
      <c r="GM15" s="208"/>
      <c r="GN15" s="79"/>
      <c r="GO15" s="78">
        <f>SUM(FB15:GN15)</f>
        <v>0</v>
      </c>
      <c r="GP15" s="78">
        <f>+GO15+FA15</f>
        <v>0</v>
      </c>
      <c r="GQ15" s="79"/>
      <c r="GR15" s="153"/>
      <c r="GS15" s="153"/>
      <c r="GT15" s="79"/>
      <c r="GU15" s="79"/>
      <c r="GV15" s="153"/>
      <c r="GW15" s="153"/>
      <c r="GX15" s="153"/>
      <c r="GY15" s="153"/>
      <c r="GZ15" s="153"/>
      <c r="HA15" s="79"/>
      <c r="HB15" s="153"/>
      <c r="HC15" s="153"/>
      <c r="HD15" s="153"/>
      <c r="HE15" s="153"/>
      <c r="HF15" s="153"/>
      <c r="HG15" s="153"/>
      <c r="HH15" s="153"/>
      <c r="HI15" s="153"/>
      <c r="HJ15" s="153"/>
      <c r="HK15" s="153"/>
      <c r="HL15" s="79"/>
      <c r="HM15" s="153"/>
      <c r="HN15" s="79"/>
      <c r="HO15" s="79"/>
      <c r="HP15" s="79"/>
      <c r="HQ15" s="79"/>
      <c r="HR15" s="153"/>
      <c r="HS15" s="79"/>
      <c r="HT15" s="79"/>
      <c r="HU15" s="79"/>
      <c r="HV15" s="79"/>
      <c r="HW15" s="79"/>
      <c r="HX15" s="79"/>
      <c r="HY15" s="79"/>
      <c r="HZ15" s="153"/>
      <c r="IA15" s="208"/>
      <c r="IB15" s="208"/>
      <c r="IC15" s="79"/>
      <c r="ID15" s="78">
        <f>SUM(GQ15:IC15)</f>
        <v>0</v>
      </c>
      <c r="IE15" s="78">
        <f>+ID15+GP15</f>
        <v>0</v>
      </c>
      <c r="IF15" s="47" t="s">
        <v>34</v>
      </c>
      <c r="IH15" s="51"/>
    </row>
    <row r="16" spans="1:243" x14ac:dyDescent="0.3">
      <c r="A16" s="58">
        <f>ROW()</f>
        <v>16</v>
      </c>
      <c r="B16" s="74" t="s">
        <v>67</v>
      </c>
      <c r="C16" s="78">
        <v>30704362.150000002</v>
      </c>
      <c r="D16" s="79">
        <v>-5603540.5800000001</v>
      </c>
      <c r="E16" s="79">
        <v>5477236.2699999996</v>
      </c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153"/>
      <c r="Z16" s="153"/>
      <c r="AA16" s="79"/>
      <c r="AB16" s="153"/>
      <c r="AC16" s="79"/>
      <c r="AD16" s="153"/>
      <c r="AE16" s="153"/>
      <c r="AF16" s="79"/>
      <c r="AG16" s="79"/>
      <c r="AH16" s="153"/>
      <c r="AI16" s="78">
        <f>SUM(D16:AH16)</f>
        <v>-126304.31000000052</v>
      </c>
      <c r="AJ16" s="78">
        <f>+AI16+C16</f>
        <v>30578057.840000004</v>
      </c>
      <c r="AK16" s="79">
        <v>-23790349.489999998</v>
      </c>
      <c r="AL16" s="153"/>
      <c r="AM16" s="79"/>
      <c r="AN16" s="79"/>
      <c r="AO16" s="79"/>
      <c r="AP16" s="153"/>
      <c r="AQ16" s="153"/>
      <c r="AR16" s="153"/>
      <c r="AS16" s="79"/>
      <c r="AT16" s="153"/>
      <c r="AU16" s="153"/>
      <c r="AV16" s="153"/>
      <c r="AW16" s="153"/>
      <c r="AX16" s="79"/>
      <c r="AY16" s="79"/>
      <c r="AZ16" s="153"/>
      <c r="BA16" s="79"/>
      <c r="BB16" s="153"/>
      <c r="BC16" s="153"/>
      <c r="BD16" s="153"/>
      <c r="BE16" s="153"/>
      <c r="BF16" s="153"/>
      <c r="BG16" s="153"/>
      <c r="BH16" s="79">
        <v>-2737438.2</v>
      </c>
      <c r="BI16" s="79"/>
      <c r="BJ16" s="153"/>
      <c r="BK16" s="79"/>
      <c r="BL16" s="153"/>
      <c r="BM16" s="79"/>
      <c r="BN16" s="79"/>
      <c r="BO16" s="79"/>
      <c r="BP16" s="79"/>
      <c r="BQ16" s="79"/>
      <c r="BR16" s="79"/>
      <c r="BS16" s="153"/>
      <c r="BT16" s="79"/>
      <c r="BU16" s="79"/>
      <c r="BV16" s="153"/>
      <c r="BW16" s="78">
        <f>SUM(AK16:BV16)</f>
        <v>-26527787.689999998</v>
      </c>
      <c r="BX16" s="78">
        <f>+BW16+AJ16</f>
        <v>4050270.150000006</v>
      </c>
      <c r="BY16" s="79"/>
      <c r="BZ16" s="153"/>
      <c r="CA16" s="153"/>
      <c r="CB16" s="79"/>
      <c r="CC16" s="79"/>
      <c r="CD16" s="153"/>
      <c r="CE16" s="153"/>
      <c r="CF16" s="153"/>
      <c r="CG16" s="153"/>
      <c r="CH16" s="153"/>
      <c r="CI16" s="79"/>
      <c r="CJ16" s="153"/>
      <c r="CK16" s="153"/>
      <c r="CL16" s="153"/>
      <c r="CM16" s="153"/>
      <c r="CN16" s="153"/>
      <c r="CO16" s="153"/>
      <c r="CP16" s="153"/>
      <c r="CQ16" s="153"/>
      <c r="CR16" s="153"/>
      <c r="CS16" s="153"/>
      <c r="CT16" s="153"/>
      <c r="CU16" s="153"/>
      <c r="CV16" s="79"/>
      <c r="CW16" s="79"/>
      <c r="CX16" s="153"/>
      <c r="CY16" s="79"/>
      <c r="CZ16" s="153"/>
      <c r="DA16" s="79"/>
      <c r="DB16" s="79"/>
      <c r="DC16" s="79"/>
      <c r="DD16" s="79"/>
      <c r="DE16" s="79"/>
      <c r="DF16" s="79"/>
      <c r="DG16" s="153"/>
      <c r="DH16" s="79"/>
      <c r="DI16" s="208"/>
      <c r="DJ16" s="153"/>
      <c r="DK16" s="78">
        <f>SUM(BY16:DJ16)</f>
        <v>0</v>
      </c>
      <c r="DL16" s="78">
        <f>+DK16+BX16</f>
        <v>4050270.150000006</v>
      </c>
      <c r="DM16" s="79"/>
      <c r="DN16" s="153"/>
      <c r="DO16" s="153"/>
      <c r="DP16" s="79"/>
      <c r="DQ16" s="79"/>
      <c r="DR16" s="153"/>
      <c r="DS16" s="153"/>
      <c r="DT16" s="153"/>
      <c r="DU16" s="153"/>
      <c r="DV16" s="153"/>
      <c r="DW16" s="79"/>
      <c r="DX16" s="153"/>
      <c r="DY16" s="153"/>
      <c r="DZ16" s="153"/>
      <c r="EA16" s="79"/>
      <c r="EB16" s="153"/>
      <c r="EC16" s="153"/>
      <c r="ED16" s="153"/>
      <c r="EE16" s="153"/>
      <c r="EF16" s="153"/>
      <c r="EG16" s="153"/>
      <c r="EH16" s="79"/>
      <c r="EI16" s="153"/>
      <c r="EJ16" s="79">
        <v>-3499802.4110317589</v>
      </c>
      <c r="EK16" s="79"/>
      <c r="EL16" s="79"/>
      <c r="EM16" s="79"/>
      <c r="EN16" s="153"/>
      <c r="EO16" s="79"/>
      <c r="EP16" s="79"/>
      <c r="EQ16" s="79"/>
      <c r="ER16" s="79"/>
      <c r="ES16" s="79"/>
      <c r="ET16" s="79"/>
      <c r="EU16" s="79">
        <v>0</v>
      </c>
      <c r="EV16" s="79"/>
      <c r="EW16" s="208"/>
      <c r="EX16" s="208"/>
      <c r="EY16" s="79">
        <v>0</v>
      </c>
      <c r="EZ16" s="78">
        <f>SUM(DM16:EY16)</f>
        <v>-3499802.4110317589</v>
      </c>
      <c r="FA16" s="78">
        <f>+EZ16+DL16</f>
        <v>550467.73896824708</v>
      </c>
      <c r="FB16" s="79"/>
      <c r="FC16" s="153"/>
      <c r="FD16" s="153"/>
      <c r="FE16" s="79"/>
      <c r="FF16" s="79"/>
      <c r="FG16" s="153"/>
      <c r="FH16" s="153"/>
      <c r="FI16" s="153"/>
      <c r="FJ16" s="153"/>
      <c r="FK16" s="153"/>
      <c r="FL16" s="79"/>
      <c r="FM16" s="153"/>
      <c r="FN16" s="153"/>
      <c r="FO16" s="153"/>
      <c r="FP16" s="153"/>
      <c r="FQ16" s="153"/>
      <c r="FR16" s="153"/>
      <c r="FS16" s="153"/>
      <c r="FT16" s="153"/>
      <c r="FU16" s="153"/>
      <c r="FV16" s="153"/>
      <c r="FW16" s="79"/>
      <c r="FX16" s="153"/>
      <c r="FY16" s="79">
        <v>0</v>
      </c>
      <c r="FZ16" s="79"/>
      <c r="GA16" s="153"/>
      <c r="GB16" s="79"/>
      <c r="GC16" s="153"/>
      <c r="GD16" s="79"/>
      <c r="GE16" s="79"/>
      <c r="GF16" s="79"/>
      <c r="GG16" s="79"/>
      <c r="GH16" s="79"/>
      <c r="GI16" s="79"/>
      <c r="GJ16" s="79"/>
      <c r="GK16" s="79"/>
      <c r="GL16" s="208"/>
      <c r="GM16" s="208"/>
      <c r="GN16" s="79"/>
      <c r="GO16" s="78">
        <f>SUM(FB16:GN16)</f>
        <v>0</v>
      </c>
      <c r="GP16" s="78">
        <f>+GO16+FA16</f>
        <v>550467.73896824708</v>
      </c>
      <c r="GQ16" s="79"/>
      <c r="GR16" s="153"/>
      <c r="GS16" s="153"/>
      <c r="GT16" s="79"/>
      <c r="GU16" s="79"/>
      <c r="GV16" s="153"/>
      <c r="GW16" s="153"/>
      <c r="GX16" s="153"/>
      <c r="GY16" s="153"/>
      <c r="GZ16" s="153"/>
      <c r="HA16" s="79"/>
      <c r="HB16" s="153"/>
      <c r="HC16" s="153"/>
      <c r="HD16" s="153"/>
      <c r="HE16" s="153"/>
      <c r="HF16" s="153"/>
      <c r="HG16" s="153"/>
      <c r="HH16" s="153"/>
      <c r="HI16" s="153"/>
      <c r="HJ16" s="153"/>
      <c r="HK16" s="153"/>
      <c r="HL16" s="79"/>
      <c r="HM16" s="153"/>
      <c r="HN16" s="79">
        <v>0</v>
      </c>
      <c r="HO16" s="79"/>
      <c r="HP16" s="79"/>
      <c r="HQ16" s="79"/>
      <c r="HR16" s="153"/>
      <c r="HS16" s="79"/>
      <c r="HT16" s="79"/>
      <c r="HU16" s="79"/>
      <c r="HV16" s="79"/>
      <c r="HW16" s="79"/>
      <c r="HX16" s="79"/>
      <c r="HY16" s="79"/>
      <c r="HZ16" s="153"/>
      <c r="IA16" s="208"/>
      <c r="IB16" s="208"/>
      <c r="IC16" s="79"/>
      <c r="ID16" s="78">
        <f>SUM(GQ16:IC16)</f>
        <v>0</v>
      </c>
      <c r="IE16" s="78">
        <f>+ID16+GP16</f>
        <v>550467.73896824708</v>
      </c>
      <c r="IF16" s="47" t="s">
        <v>34</v>
      </c>
      <c r="IH16" s="51"/>
    </row>
    <row r="17" spans="1:242" x14ac:dyDescent="0.3">
      <c r="A17" s="58">
        <f>ROW()</f>
        <v>17</v>
      </c>
      <c r="B17" s="74" t="s">
        <v>68</v>
      </c>
      <c r="C17" s="84">
        <f t="shared" ref="C17:AH17" si="18">SUM(C13:C16)</f>
        <v>1020302721.5599999</v>
      </c>
      <c r="D17" s="81">
        <f t="shared" si="18"/>
        <v>3914333.3346679378</v>
      </c>
      <c r="E17" s="81">
        <f t="shared" si="18"/>
        <v>-470580603.64554328</v>
      </c>
      <c r="F17" s="81">
        <f t="shared" si="18"/>
        <v>48442.102737191832</v>
      </c>
      <c r="G17" s="81">
        <f t="shared" si="18"/>
        <v>0</v>
      </c>
      <c r="H17" s="81">
        <f t="shared" si="18"/>
        <v>0</v>
      </c>
      <c r="I17" s="81">
        <f t="shared" si="18"/>
        <v>0</v>
      </c>
      <c r="J17" s="81">
        <f t="shared" si="18"/>
        <v>0</v>
      </c>
      <c r="K17" s="81">
        <f t="shared" si="18"/>
        <v>0</v>
      </c>
      <c r="L17" s="81">
        <f t="shared" si="18"/>
        <v>0</v>
      </c>
      <c r="M17" s="81">
        <f t="shared" si="18"/>
        <v>0</v>
      </c>
      <c r="N17" s="81">
        <f t="shared" si="18"/>
        <v>0</v>
      </c>
      <c r="O17" s="81">
        <f t="shared" si="18"/>
        <v>0</v>
      </c>
      <c r="P17" s="81">
        <f t="shared" si="18"/>
        <v>0</v>
      </c>
      <c r="Q17" s="81">
        <f t="shared" si="18"/>
        <v>0</v>
      </c>
      <c r="R17" s="81">
        <f t="shared" si="18"/>
        <v>0</v>
      </c>
      <c r="S17" s="81">
        <f t="shared" si="18"/>
        <v>0</v>
      </c>
      <c r="T17" s="81">
        <f t="shared" si="18"/>
        <v>0</v>
      </c>
      <c r="U17" s="81">
        <f t="shared" si="18"/>
        <v>0</v>
      </c>
      <c r="V17" s="81">
        <f t="shared" si="18"/>
        <v>0</v>
      </c>
      <c r="W17" s="81">
        <f t="shared" si="18"/>
        <v>0</v>
      </c>
      <c r="X17" s="81">
        <f>SUM(X13:X16)</f>
        <v>0</v>
      </c>
      <c r="Y17" s="155">
        <f t="shared" si="18"/>
        <v>0</v>
      </c>
      <c r="Z17" s="155">
        <f t="shared" si="18"/>
        <v>0</v>
      </c>
      <c r="AA17" s="81">
        <f t="shared" si="18"/>
        <v>0</v>
      </c>
      <c r="AB17" s="155">
        <f t="shared" si="18"/>
        <v>0</v>
      </c>
      <c r="AC17" s="81">
        <f t="shared" si="18"/>
        <v>0</v>
      </c>
      <c r="AD17" s="155">
        <f t="shared" si="18"/>
        <v>0</v>
      </c>
      <c r="AE17" s="155">
        <f t="shared" si="18"/>
        <v>0</v>
      </c>
      <c r="AF17" s="81">
        <f>SUM(AF13:AF16)</f>
        <v>0</v>
      </c>
      <c r="AG17" s="81">
        <f t="shared" si="18"/>
        <v>0</v>
      </c>
      <c r="AH17" s="155">
        <f t="shared" si="18"/>
        <v>0</v>
      </c>
      <c r="AI17" s="80">
        <f>SUM(AI13:AI16)</f>
        <v>-466617828.20813811</v>
      </c>
      <c r="AJ17" s="80">
        <f>SUM(AJ13:AJ16)</f>
        <v>553684893.35186183</v>
      </c>
      <c r="AK17" s="81">
        <f t="shared" ref="AK17:BT17" si="19">SUM(AK13:AK16)</f>
        <v>-39310520.070995443</v>
      </c>
      <c r="AL17" s="155">
        <f t="shared" si="19"/>
        <v>0</v>
      </c>
      <c r="AM17" s="81">
        <f t="shared" si="19"/>
        <v>13001482.406718556</v>
      </c>
      <c r="AN17" s="81">
        <f t="shared" si="19"/>
        <v>0</v>
      </c>
      <c r="AO17" s="81">
        <f t="shared" si="19"/>
        <v>0</v>
      </c>
      <c r="AP17" s="155">
        <f t="shared" si="19"/>
        <v>0</v>
      </c>
      <c r="AQ17" s="155">
        <f t="shared" si="19"/>
        <v>0</v>
      </c>
      <c r="AR17" s="155">
        <f t="shared" si="19"/>
        <v>0</v>
      </c>
      <c r="AS17" s="81">
        <f t="shared" si="19"/>
        <v>0</v>
      </c>
      <c r="AT17" s="155">
        <f t="shared" si="19"/>
        <v>0</v>
      </c>
      <c r="AU17" s="155">
        <f t="shared" si="19"/>
        <v>0</v>
      </c>
      <c r="AV17" s="155">
        <f t="shared" si="19"/>
        <v>0</v>
      </c>
      <c r="AW17" s="155">
        <f t="shared" si="19"/>
        <v>0</v>
      </c>
      <c r="AX17" s="81">
        <f t="shared" si="19"/>
        <v>0</v>
      </c>
      <c r="AY17" s="81">
        <f t="shared" si="19"/>
        <v>0</v>
      </c>
      <c r="AZ17" s="155">
        <f t="shared" si="19"/>
        <v>0</v>
      </c>
      <c r="BA17" s="81">
        <f t="shared" si="19"/>
        <v>0</v>
      </c>
      <c r="BB17" s="155">
        <f t="shared" si="19"/>
        <v>0</v>
      </c>
      <c r="BC17" s="155">
        <f t="shared" si="19"/>
        <v>0</v>
      </c>
      <c r="BD17" s="155">
        <f t="shared" si="19"/>
        <v>0</v>
      </c>
      <c r="BE17" s="155">
        <f t="shared" si="19"/>
        <v>0</v>
      </c>
      <c r="BF17" s="155">
        <f t="shared" si="19"/>
        <v>0</v>
      </c>
      <c r="BG17" s="155">
        <f t="shared" si="19"/>
        <v>0</v>
      </c>
      <c r="BH17" s="81">
        <f t="shared" si="19"/>
        <v>-2737438.2</v>
      </c>
      <c r="BI17" s="81">
        <f t="shared" si="19"/>
        <v>0</v>
      </c>
      <c r="BJ17" s="155">
        <f t="shared" si="19"/>
        <v>0</v>
      </c>
      <c r="BK17" s="81">
        <f t="shared" si="19"/>
        <v>0</v>
      </c>
      <c r="BL17" s="155">
        <f t="shared" si="19"/>
        <v>0</v>
      </c>
      <c r="BM17" s="81">
        <f t="shared" si="19"/>
        <v>0</v>
      </c>
      <c r="BN17" s="81">
        <f t="shared" si="19"/>
        <v>0</v>
      </c>
      <c r="BO17" s="81">
        <f t="shared" si="19"/>
        <v>0</v>
      </c>
      <c r="BP17" s="81">
        <f t="shared" si="19"/>
        <v>0</v>
      </c>
      <c r="BQ17" s="81">
        <f t="shared" si="19"/>
        <v>0</v>
      </c>
      <c r="BR17" s="81">
        <f t="shared" si="19"/>
        <v>0</v>
      </c>
      <c r="BS17" s="155">
        <f t="shared" si="19"/>
        <v>0</v>
      </c>
      <c r="BT17" s="81">
        <f t="shared" si="19"/>
        <v>0</v>
      </c>
      <c r="BU17" s="81">
        <f>SUM(BU13:BU16)</f>
        <v>0</v>
      </c>
      <c r="BV17" s="155">
        <f>SUM(BV13:BV16)</f>
        <v>0</v>
      </c>
      <c r="BW17" s="80">
        <f>SUM(BW13:BW16)</f>
        <v>-29046475.864276886</v>
      </c>
      <c r="BX17" s="80">
        <f>SUM(BX13:BX16)</f>
        <v>524638417.48758495</v>
      </c>
      <c r="BY17" s="81">
        <f t="shared" ref="BY17:DG17" si="20">SUM(BY13:BY16)</f>
        <v>15012199.290499585</v>
      </c>
      <c r="BZ17" s="155">
        <f t="shared" si="20"/>
        <v>0</v>
      </c>
      <c r="CA17" s="155">
        <f t="shared" si="20"/>
        <v>0</v>
      </c>
      <c r="CB17" s="81">
        <f t="shared" si="20"/>
        <v>0</v>
      </c>
      <c r="CC17" s="81">
        <f t="shared" si="20"/>
        <v>0</v>
      </c>
      <c r="CD17" s="155">
        <f t="shared" si="20"/>
        <v>0</v>
      </c>
      <c r="CE17" s="155">
        <f t="shared" si="20"/>
        <v>0</v>
      </c>
      <c r="CF17" s="155">
        <f t="shared" si="20"/>
        <v>0</v>
      </c>
      <c r="CG17" s="155">
        <f t="shared" si="20"/>
        <v>0</v>
      </c>
      <c r="CH17" s="155">
        <f t="shared" si="20"/>
        <v>0</v>
      </c>
      <c r="CI17" s="81">
        <f t="shared" si="20"/>
        <v>0</v>
      </c>
      <c r="CJ17" s="155">
        <f t="shared" si="20"/>
        <v>0</v>
      </c>
      <c r="CK17" s="155">
        <f t="shared" si="20"/>
        <v>0</v>
      </c>
      <c r="CL17" s="155">
        <f t="shared" si="20"/>
        <v>0</v>
      </c>
      <c r="CM17" s="155">
        <f t="shared" si="20"/>
        <v>0</v>
      </c>
      <c r="CN17" s="155">
        <f t="shared" si="20"/>
        <v>0</v>
      </c>
      <c r="CO17" s="155">
        <f t="shared" si="20"/>
        <v>0</v>
      </c>
      <c r="CP17" s="155">
        <f t="shared" si="20"/>
        <v>0</v>
      </c>
      <c r="CQ17" s="155">
        <f t="shared" si="20"/>
        <v>0</v>
      </c>
      <c r="CR17" s="155">
        <f t="shared" si="20"/>
        <v>0</v>
      </c>
      <c r="CS17" s="155">
        <f t="shared" si="20"/>
        <v>0</v>
      </c>
      <c r="CT17" s="155">
        <f t="shared" si="20"/>
        <v>0</v>
      </c>
      <c r="CU17" s="155">
        <f t="shared" si="20"/>
        <v>0</v>
      </c>
      <c r="CV17" s="81">
        <f t="shared" si="20"/>
        <v>0</v>
      </c>
      <c r="CW17" s="81">
        <f t="shared" si="20"/>
        <v>0</v>
      </c>
      <c r="CX17" s="155">
        <f t="shared" si="20"/>
        <v>0</v>
      </c>
      <c r="CY17" s="81">
        <f t="shared" si="20"/>
        <v>0</v>
      </c>
      <c r="CZ17" s="155">
        <f t="shared" si="20"/>
        <v>0</v>
      </c>
      <c r="DA17" s="81">
        <f t="shared" si="20"/>
        <v>0</v>
      </c>
      <c r="DB17" s="81">
        <f t="shared" si="20"/>
        <v>0</v>
      </c>
      <c r="DC17" s="81">
        <f t="shared" si="20"/>
        <v>0</v>
      </c>
      <c r="DD17" s="81">
        <f t="shared" si="20"/>
        <v>0</v>
      </c>
      <c r="DE17" s="81">
        <f t="shared" si="20"/>
        <v>0</v>
      </c>
      <c r="DF17" s="81">
        <f t="shared" si="20"/>
        <v>0</v>
      </c>
      <c r="DG17" s="155">
        <f t="shared" si="20"/>
        <v>0</v>
      </c>
      <c r="DH17" s="81">
        <f>SUM(DH13:DH16)</f>
        <v>0</v>
      </c>
      <c r="DI17" s="209">
        <f>SUM(DI13:DI16)</f>
        <v>0</v>
      </c>
      <c r="DJ17" s="155">
        <f>SUM(DJ13:DJ16)</f>
        <v>0</v>
      </c>
      <c r="DK17" s="80">
        <f t="shared" ref="DK17:EU17" si="21">SUM(DK13:DK16)</f>
        <v>15012199.290499585</v>
      </c>
      <c r="DL17" s="80">
        <f t="shared" si="21"/>
        <v>539650616.77808452</v>
      </c>
      <c r="DM17" s="81">
        <f t="shared" si="21"/>
        <v>3182640.6072111833</v>
      </c>
      <c r="DN17" s="155">
        <f t="shared" si="21"/>
        <v>0</v>
      </c>
      <c r="DO17" s="155">
        <f t="shared" si="21"/>
        <v>0</v>
      </c>
      <c r="DP17" s="81">
        <f t="shared" si="21"/>
        <v>0</v>
      </c>
      <c r="DQ17" s="81">
        <f t="shared" si="21"/>
        <v>0</v>
      </c>
      <c r="DR17" s="155">
        <f t="shared" si="21"/>
        <v>0</v>
      </c>
      <c r="DS17" s="155">
        <f t="shared" si="21"/>
        <v>0</v>
      </c>
      <c r="DT17" s="155">
        <f t="shared" si="21"/>
        <v>0</v>
      </c>
      <c r="DU17" s="155">
        <f t="shared" si="21"/>
        <v>0</v>
      </c>
      <c r="DV17" s="155">
        <f t="shared" si="21"/>
        <v>0</v>
      </c>
      <c r="DW17" s="81">
        <f t="shared" si="21"/>
        <v>0</v>
      </c>
      <c r="DX17" s="155">
        <f t="shared" si="21"/>
        <v>0</v>
      </c>
      <c r="DY17" s="155">
        <f t="shared" si="21"/>
        <v>0</v>
      </c>
      <c r="DZ17" s="155">
        <f t="shared" si="21"/>
        <v>0</v>
      </c>
      <c r="EA17" s="81">
        <f t="shared" si="21"/>
        <v>0</v>
      </c>
      <c r="EB17" s="155">
        <f t="shared" si="21"/>
        <v>0</v>
      </c>
      <c r="EC17" s="155">
        <f t="shared" si="21"/>
        <v>0</v>
      </c>
      <c r="ED17" s="155">
        <f t="shared" si="21"/>
        <v>0</v>
      </c>
      <c r="EE17" s="155">
        <f t="shared" si="21"/>
        <v>0</v>
      </c>
      <c r="EF17" s="155">
        <f t="shared" si="21"/>
        <v>0</v>
      </c>
      <c r="EG17" s="155">
        <f t="shared" si="21"/>
        <v>0</v>
      </c>
      <c r="EH17" s="81">
        <f t="shared" si="21"/>
        <v>0</v>
      </c>
      <c r="EI17" s="155">
        <f t="shared" si="21"/>
        <v>0</v>
      </c>
      <c r="EJ17" s="81">
        <f t="shared" si="21"/>
        <v>-3499802.4110317589</v>
      </c>
      <c r="EK17" s="81">
        <f t="shared" si="21"/>
        <v>0</v>
      </c>
      <c r="EL17" s="81">
        <f t="shared" si="21"/>
        <v>0</v>
      </c>
      <c r="EM17" s="81">
        <f t="shared" si="21"/>
        <v>0</v>
      </c>
      <c r="EN17" s="155">
        <f t="shared" si="21"/>
        <v>0</v>
      </c>
      <c r="EO17" s="81">
        <f t="shared" si="21"/>
        <v>0</v>
      </c>
      <c r="EP17" s="81">
        <f t="shared" si="21"/>
        <v>0</v>
      </c>
      <c r="EQ17" s="81">
        <f t="shared" si="21"/>
        <v>0</v>
      </c>
      <c r="ER17" s="81">
        <f t="shared" si="21"/>
        <v>0</v>
      </c>
      <c r="ES17" s="81">
        <f t="shared" si="21"/>
        <v>0</v>
      </c>
      <c r="ET17" s="81">
        <f t="shared" si="21"/>
        <v>0</v>
      </c>
      <c r="EU17" s="81">
        <f t="shared" si="21"/>
        <v>0</v>
      </c>
      <c r="EV17" s="81">
        <f>SUM(EV13:EV16)</f>
        <v>0</v>
      </c>
      <c r="EW17" s="209">
        <f>SUM(EW13:EW16)</f>
        <v>0</v>
      </c>
      <c r="EX17" s="209">
        <f>SUM(EX13:EX16)</f>
        <v>0</v>
      </c>
      <c r="EY17" s="81">
        <f>SUM(EY13:EY16)</f>
        <v>0</v>
      </c>
      <c r="EZ17" s="80">
        <f t="shared" ref="EZ17:GJ17" si="22">SUM(EZ13:EZ16)</f>
        <v>-317161.80382057559</v>
      </c>
      <c r="FA17" s="80">
        <f t="shared" si="22"/>
        <v>539333454.97426403</v>
      </c>
      <c r="FB17" s="81">
        <f t="shared" si="22"/>
        <v>4088503.6398947756</v>
      </c>
      <c r="FC17" s="155">
        <f t="shared" si="22"/>
        <v>0</v>
      </c>
      <c r="FD17" s="155">
        <f t="shared" si="22"/>
        <v>0</v>
      </c>
      <c r="FE17" s="81">
        <f t="shared" si="22"/>
        <v>0</v>
      </c>
      <c r="FF17" s="81">
        <f t="shared" si="22"/>
        <v>0</v>
      </c>
      <c r="FG17" s="155">
        <f t="shared" si="22"/>
        <v>0</v>
      </c>
      <c r="FH17" s="155">
        <f t="shared" si="22"/>
        <v>0</v>
      </c>
      <c r="FI17" s="155">
        <f t="shared" si="22"/>
        <v>0</v>
      </c>
      <c r="FJ17" s="155">
        <f t="shared" si="22"/>
        <v>0</v>
      </c>
      <c r="FK17" s="155">
        <f t="shared" si="22"/>
        <v>0</v>
      </c>
      <c r="FL17" s="81">
        <f t="shared" si="22"/>
        <v>0</v>
      </c>
      <c r="FM17" s="155">
        <f t="shared" si="22"/>
        <v>0</v>
      </c>
      <c r="FN17" s="155">
        <f t="shared" si="22"/>
        <v>0</v>
      </c>
      <c r="FO17" s="155">
        <f t="shared" si="22"/>
        <v>0</v>
      </c>
      <c r="FP17" s="155">
        <f t="shared" si="22"/>
        <v>0</v>
      </c>
      <c r="FQ17" s="155">
        <f t="shared" si="22"/>
        <v>0</v>
      </c>
      <c r="FR17" s="155">
        <f t="shared" si="22"/>
        <v>0</v>
      </c>
      <c r="FS17" s="155">
        <f t="shared" si="22"/>
        <v>0</v>
      </c>
      <c r="FT17" s="155">
        <f t="shared" si="22"/>
        <v>0</v>
      </c>
      <c r="FU17" s="155">
        <f t="shared" si="22"/>
        <v>0</v>
      </c>
      <c r="FV17" s="155">
        <f t="shared" si="22"/>
        <v>0</v>
      </c>
      <c r="FW17" s="81">
        <f t="shared" si="22"/>
        <v>0</v>
      </c>
      <c r="FX17" s="155">
        <f t="shared" si="22"/>
        <v>0</v>
      </c>
      <c r="FY17" s="81">
        <f t="shared" si="22"/>
        <v>0</v>
      </c>
      <c r="FZ17" s="81">
        <f t="shared" si="22"/>
        <v>0</v>
      </c>
      <c r="GA17" s="155">
        <f t="shared" si="22"/>
        <v>0</v>
      </c>
      <c r="GB17" s="81">
        <f t="shared" si="22"/>
        <v>0</v>
      </c>
      <c r="GC17" s="155">
        <f t="shared" si="22"/>
        <v>0</v>
      </c>
      <c r="GD17" s="81">
        <f t="shared" si="22"/>
        <v>0</v>
      </c>
      <c r="GE17" s="81">
        <f t="shared" si="22"/>
        <v>0</v>
      </c>
      <c r="GF17" s="81">
        <f t="shared" si="22"/>
        <v>0</v>
      </c>
      <c r="GG17" s="81">
        <f t="shared" si="22"/>
        <v>0</v>
      </c>
      <c r="GH17" s="81">
        <f t="shared" si="22"/>
        <v>0</v>
      </c>
      <c r="GI17" s="81">
        <f t="shared" si="22"/>
        <v>0</v>
      </c>
      <c r="GJ17" s="81">
        <f t="shared" si="22"/>
        <v>0</v>
      </c>
      <c r="GK17" s="81">
        <f>SUM(GK13:GK16)</f>
        <v>0</v>
      </c>
      <c r="GL17" s="209">
        <f>SUM(GL13:GL16)</f>
        <v>0</v>
      </c>
      <c r="GM17" s="209">
        <f>SUM(GM13:GM16)</f>
        <v>0</v>
      </c>
      <c r="GN17" s="81">
        <f>SUM(GN13:GN16)</f>
        <v>0</v>
      </c>
      <c r="GO17" s="80">
        <f t="shared" ref="GO17:IE17" si="23">SUM(GO13:GO16)</f>
        <v>4088503.6398947756</v>
      </c>
      <c r="GP17" s="80">
        <f t="shared" si="23"/>
        <v>543421958.61415875</v>
      </c>
      <c r="GQ17" s="81">
        <f t="shared" si="23"/>
        <v>854215.47975359601</v>
      </c>
      <c r="GR17" s="155">
        <f t="shared" si="23"/>
        <v>0</v>
      </c>
      <c r="GS17" s="155">
        <f t="shared" si="23"/>
        <v>0</v>
      </c>
      <c r="GT17" s="81">
        <f t="shared" si="23"/>
        <v>0</v>
      </c>
      <c r="GU17" s="81">
        <f t="shared" si="23"/>
        <v>0</v>
      </c>
      <c r="GV17" s="155">
        <f t="shared" si="23"/>
        <v>0</v>
      </c>
      <c r="GW17" s="155">
        <f t="shared" si="23"/>
        <v>0</v>
      </c>
      <c r="GX17" s="155">
        <f t="shared" si="23"/>
        <v>0</v>
      </c>
      <c r="GY17" s="155">
        <f t="shared" si="23"/>
        <v>0</v>
      </c>
      <c r="GZ17" s="155">
        <f t="shared" si="23"/>
        <v>0</v>
      </c>
      <c r="HA17" s="81">
        <f t="shared" si="23"/>
        <v>0</v>
      </c>
      <c r="HB17" s="155">
        <f t="shared" si="23"/>
        <v>0</v>
      </c>
      <c r="HC17" s="155">
        <f t="shared" si="23"/>
        <v>0</v>
      </c>
      <c r="HD17" s="155">
        <f t="shared" si="23"/>
        <v>0</v>
      </c>
      <c r="HE17" s="155">
        <f t="shared" si="23"/>
        <v>0</v>
      </c>
      <c r="HF17" s="155">
        <f t="shared" si="23"/>
        <v>0</v>
      </c>
      <c r="HG17" s="155">
        <f t="shared" si="23"/>
        <v>0</v>
      </c>
      <c r="HH17" s="155">
        <f t="shared" si="23"/>
        <v>0</v>
      </c>
      <c r="HI17" s="155">
        <f t="shared" si="23"/>
        <v>0</v>
      </c>
      <c r="HJ17" s="155">
        <f t="shared" si="23"/>
        <v>0</v>
      </c>
      <c r="HK17" s="155">
        <f t="shared" si="23"/>
        <v>0</v>
      </c>
      <c r="HL17" s="81">
        <f t="shared" si="23"/>
        <v>0</v>
      </c>
      <c r="HM17" s="155">
        <f t="shared" si="23"/>
        <v>0</v>
      </c>
      <c r="HN17" s="81">
        <f t="shared" si="23"/>
        <v>0</v>
      </c>
      <c r="HO17" s="81">
        <f t="shared" si="23"/>
        <v>0</v>
      </c>
      <c r="HP17" s="81">
        <f t="shared" si="23"/>
        <v>0</v>
      </c>
      <c r="HQ17" s="81">
        <f t="shared" si="23"/>
        <v>0</v>
      </c>
      <c r="HR17" s="155">
        <f t="shared" si="23"/>
        <v>0</v>
      </c>
      <c r="HS17" s="81">
        <f t="shared" si="23"/>
        <v>0</v>
      </c>
      <c r="HT17" s="81">
        <f t="shared" si="23"/>
        <v>0</v>
      </c>
      <c r="HU17" s="81">
        <f t="shared" si="23"/>
        <v>0</v>
      </c>
      <c r="HV17" s="81">
        <f t="shared" si="23"/>
        <v>0</v>
      </c>
      <c r="HW17" s="81">
        <f t="shared" si="23"/>
        <v>0</v>
      </c>
      <c r="HX17" s="81">
        <f t="shared" si="23"/>
        <v>0</v>
      </c>
      <c r="HY17" s="81">
        <f t="shared" si="23"/>
        <v>0</v>
      </c>
      <c r="HZ17" s="155">
        <f t="shared" si="23"/>
        <v>0</v>
      </c>
      <c r="IA17" s="209">
        <f>SUM(IA13:IA16)</f>
        <v>0</v>
      </c>
      <c r="IB17" s="209">
        <f>SUM(IB13:IB16)</f>
        <v>0</v>
      </c>
      <c r="IC17" s="81">
        <f t="shared" si="23"/>
        <v>0</v>
      </c>
      <c r="ID17" s="80">
        <f t="shared" si="23"/>
        <v>854215.47975359601</v>
      </c>
      <c r="IE17" s="80">
        <f t="shared" si="23"/>
        <v>544276174.09391236</v>
      </c>
      <c r="IF17" s="47" t="s">
        <v>34</v>
      </c>
      <c r="IH17" s="51"/>
    </row>
    <row r="18" spans="1:242" s="82" customFormat="1" x14ac:dyDescent="0.3">
      <c r="A18" s="58">
        <f>ROW()</f>
        <v>18</v>
      </c>
      <c r="C18" s="78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153"/>
      <c r="Z18" s="153"/>
      <c r="AA18" s="79"/>
      <c r="AB18" s="153"/>
      <c r="AC18" s="79"/>
      <c r="AD18" s="153"/>
      <c r="AE18" s="153"/>
      <c r="AF18" s="79"/>
      <c r="AG18" s="79"/>
      <c r="AH18" s="153"/>
      <c r="AI18" s="78"/>
      <c r="AJ18" s="78"/>
      <c r="AK18" s="79"/>
      <c r="AL18" s="153"/>
      <c r="AM18" s="79"/>
      <c r="AN18" s="79"/>
      <c r="AO18" s="79"/>
      <c r="AP18" s="153"/>
      <c r="AQ18" s="153"/>
      <c r="AR18" s="153"/>
      <c r="AS18" s="79"/>
      <c r="AT18" s="153"/>
      <c r="AU18" s="153"/>
      <c r="AV18" s="153"/>
      <c r="AW18" s="153"/>
      <c r="AX18" s="79"/>
      <c r="AY18" s="79"/>
      <c r="AZ18" s="153"/>
      <c r="BA18" s="79"/>
      <c r="BB18" s="153"/>
      <c r="BC18" s="153"/>
      <c r="BD18" s="153"/>
      <c r="BE18" s="153"/>
      <c r="BF18" s="153"/>
      <c r="BG18" s="153"/>
      <c r="BH18" s="79"/>
      <c r="BI18" s="79"/>
      <c r="BJ18" s="153"/>
      <c r="BK18" s="79"/>
      <c r="BL18" s="153"/>
      <c r="BM18" s="79"/>
      <c r="BN18" s="79"/>
      <c r="BO18" s="79"/>
      <c r="BP18" s="79"/>
      <c r="BQ18" s="79"/>
      <c r="BR18" s="79"/>
      <c r="BS18" s="153"/>
      <c r="BT18" s="79"/>
      <c r="BU18" s="79"/>
      <c r="BV18" s="153"/>
      <c r="BW18" s="78"/>
      <c r="BX18" s="78"/>
      <c r="BY18" s="79"/>
      <c r="BZ18" s="153"/>
      <c r="CA18" s="153"/>
      <c r="CB18" s="79"/>
      <c r="CC18" s="79"/>
      <c r="CD18" s="153"/>
      <c r="CE18" s="153"/>
      <c r="CF18" s="153"/>
      <c r="CG18" s="153"/>
      <c r="CH18" s="153"/>
      <c r="CI18" s="79"/>
      <c r="CJ18" s="153"/>
      <c r="CK18" s="153"/>
      <c r="CL18" s="153"/>
      <c r="CM18" s="153"/>
      <c r="CN18" s="153"/>
      <c r="CO18" s="153"/>
      <c r="CP18" s="153"/>
      <c r="CQ18" s="153"/>
      <c r="CR18" s="153"/>
      <c r="CS18" s="153"/>
      <c r="CT18" s="153"/>
      <c r="CU18" s="153"/>
      <c r="CV18" s="79"/>
      <c r="CW18" s="79"/>
      <c r="CX18" s="153"/>
      <c r="CY18" s="79"/>
      <c r="CZ18" s="153"/>
      <c r="DA18" s="79"/>
      <c r="DB18" s="79"/>
      <c r="DC18" s="79"/>
      <c r="DD18" s="79"/>
      <c r="DE18" s="79"/>
      <c r="DF18" s="79"/>
      <c r="DG18" s="153"/>
      <c r="DH18" s="79"/>
      <c r="DI18" s="208"/>
      <c r="DJ18" s="153"/>
      <c r="DK18" s="78"/>
      <c r="DL18" s="78"/>
      <c r="DM18" s="79"/>
      <c r="DN18" s="153"/>
      <c r="DO18" s="153"/>
      <c r="DP18" s="79"/>
      <c r="DQ18" s="79"/>
      <c r="DR18" s="153"/>
      <c r="DS18" s="153"/>
      <c r="DT18" s="153"/>
      <c r="DU18" s="153"/>
      <c r="DV18" s="153"/>
      <c r="DW18" s="79"/>
      <c r="DX18" s="153"/>
      <c r="DY18" s="153"/>
      <c r="DZ18" s="153"/>
      <c r="EA18" s="79"/>
      <c r="EB18" s="153"/>
      <c r="EC18" s="153"/>
      <c r="ED18" s="153"/>
      <c r="EE18" s="153"/>
      <c r="EF18" s="153"/>
      <c r="EG18" s="153"/>
      <c r="EH18" s="79"/>
      <c r="EI18" s="153"/>
      <c r="EJ18" s="79"/>
      <c r="EK18" s="79"/>
      <c r="EL18" s="79"/>
      <c r="EM18" s="79"/>
      <c r="EN18" s="153"/>
      <c r="EO18" s="79"/>
      <c r="EP18" s="79"/>
      <c r="EQ18" s="79"/>
      <c r="ER18" s="79"/>
      <c r="ES18" s="79"/>
      <c r="ET18" s="79"/>
      <c r="EU18" s="79"/>
      <c r="EV18" s="79"/>
      <c r="EW18" s="208"/>
      <c r="EX18" s="208"/>
      <c r="EY18" s="79"/>
      <c r="EZ18" s="78"/>
      <c r="FA18" s="78"/>
      <c r="FB18" s="79"/>
      <c r="FC18" s="153"/>
      <c r="FD18" s="153"/>
      <c r="FE18" s="79"/>
      <c r="FF18" s="79"/>
      <c r="FG18" s="153"/>
      <c r="FH18" s="153"/>
      <c r="FI18" s="153"/>
      <c r="FJ18" s="153"/>
      <c r="FK18" s="153"/>
      <c r="FL18" s="79"/>
      <c r="FM18" s="153"/>
      <c r="FN18" s="153"/>
      <c r="FO18" s="153"/>
      <c r="FP18" s="153"/>
      <c r="FQ18" s="153"/>
      <c r="FR18" s="153"/>
      <c r="FS18" s="153"/>
      <c r="FT18" s="153"/>
      <c r="FU18" s="153"/>
      <c r="FV18" s="153"/>
      <c r="FW18" s="79"/>
      <c r="FX18" s="153"/>
      <c r="FY18" s="79"/>
      <c r="FZ18" s="79"/>
      <c r="GA18" s="153"/>
      <c r="GB18" s="79"/>
      <c r="GC18" s="153"/>
      <c r="GD18" s="79"/>
      <c r="GE18" s="79"/>
      <c r="GF18" s="79"/>
      <c r="GG18" s="79"/>
      <c r="GH18" s="79"/>
      <c r="GI18" s="79"/>
      <c r="GJ18" s="79"/>
      <c r="GK18" s="79"/>
      <c r="GL18" s="208"/>
      <c r="GM18" s="208"/>
      <c r="GN18" s="79"/>
      <c r="GO18" s="78"/>
      <c r="GP18" s="78"/>
      <c r="GQ18" s="79"/>
      <c r="GR18" s="153"/>
      <c r="GS18" s="153"/>
      <c r="GT18" s="79"/>
      <c r="GU18" s="79"/>
      <c r="GV18" s="153"/>
      <c r="GW18" s="153"/>
      <c r="GX18" s="153"/>
      <c r="GY18" s="153"/>
      <c r="GZ18" s="153"/>
      <c r="HA18" s="79"/>
      <c r="HB18" s="153"/>
      <c r="HC18" s="153"/>
      <c r="HD18" s="153"/>
      <c r="HE18" s="153"/>
      <c r="HF18" s="153"/>
      <c r="HG18" s="153"/>
      <c r="HH18" s="153"/>
      <c r="HI18" s="153"/>
      <c r="HJ18" s="153"/>
      <c r="HK18" s="153"/>
      <c r="HL18" s="79"/>
      <c r="HM18" s="153"/>
      <c r="HN18" s="79"/>
      <c r="HO18" s="79"/>
      <c r="HP18" s="79"/>
      <c r="HQ18" s="79"/>
      <c r="HR18" s="153"/>
      <c r="HS18" s="79"/>
      <c r="HT18" s="79"/>
      <c r="HU18" s="79"/>
      <c r="HV18" s="79"/>
      <c r="HW18" s="79"/>
      <c r="HX18" s="79"/>
      <c r="HY18" s="79"/>
      <c r="HZ18" s="153"/>
      <c r="IA18" s="208"/>
      <c r="IB18" s="208"/>
      <c r="IC18" s="79"/>
      <c r="ID18" s="78"/>
      <c r="IE18" s="78"/>
      <c r="IF18" s="47" t="s">
        <v>34</v>
      </c>
      <c r="IH18" s="51"/>
    </row>
    <row r="19" spans="1:242" x14ac:dyDescent="0.3">
      <c r="A19" s="58">
        <f>ROW()</f>
        <v>19</v>
      </c>
      <c r="B19" s="74" t="s">
        <v>69</v>
      </c>
      <c r="C19" s="75"/>
      <c r="Y19" s="138"/>
      <c r="Z19" s="138"/>
      <c r="AB19" s="138"/>
      <c r="AD19" s="138"/>
      <c r="AE19" s="138"/>
      <c r="AH19" s="138"/>
      <c r="AI19" s="75"/>
      <c r="AJ19" s="75"/>
      <c r="AL19" s="138"/>
      <c r="AP19" s="138"/>
      <c r="AQ19" s="138"/>
      <c r="AR19" s="138"/>
      <c r="AT19" s="138"/>
      <c r="AU19" s="138"/>
      <c r="AV19" s="138"/>
      <c r="AW19" s="138"/>
      <c r="AZ19" s="138"/>
      <c r="BB19" s="138"/>
      <c r="BC19" s="138"/>
      <c r="BD19" s="138"/>
      <c r="BE19" s="138"/>
      <c r="BF19" s="138"/>
      <c r="BG19" s="138"/>
      <c r="BJ19" s="138"/>
      <c r="BL19" s="138"/>
      <c r="BS19" s="138"/>
      <c r="BV19" s="138"/>
      <c r="BW19" s="75"/>
      <c r="BX19" s="75"/>
      <c r="BZ19" s="138"/>
      <c r="CA19" s="138"/>
      <c r="CD19" s="138"/>
      <c r="CE19" s="138"/>
      <c r="CF19" s="138"/>
      <c r="CG19" s="138"/>
      <c r="CH19" s="138"/>
      <c r="CJ19" s="138"/>
      <c r="CK19" s="138"/>
      <c r="CL19" s="138"/>
      <c r="CM19" s="138"/>
      <c r="CN19" s="138"/>
      <c r="CO19" s="138"/>
      <c r="CP19" s="138"/>
      <c r="CQ19" s="138"/>
      <c r="CR19" s="138"/>
      <c r="CS19" s="138"/>
      <c r="CT19" s="138"/>
      <c r="CU19" s="138"/>
      <c r="CX19" s="138"/>
      <c r="CZ19" s="138"/>
      <c r="DG19" s="138"/>
      <c r="DI19" s="205"/>
      <c r="DJ19" s="138"/>
      <c r="DK19" s="75"/>
      <c r="DL19" s="75"/>
      <c r="DN19" s="138"/>
      <c r="DO19" s="138"/>
      <c r="DR19" s="138"/>
      <c r="DS19" s="138"/>
      <c r="DT19" s="138"/>
      <c r="DU19" s="138"/>
      <c r="DV19" s="138"/>
      <c r="DX19" s="138"/>
      <c r="DY19" s="138"/>
      <c r="DZ19" s="138"/>
      <c r="EB19" s="138"/>
      <c r="EC19" s="138"/>
      <c r="ED19" s="138"/>
      <c r="EE19" s="138"/>
      <c r="EF19" s="138"/>
      <c r="EG19" s="138"/>
      <c r="EI19" s="138"/>
      <c r="EN19" s="138"/>
      <c r="EW19" s="205"/>
      <c r="EX19" s="205"/>
      <c r="EZ19" s="75"/>
      <c r="FA19" s="75"/>
      <c r="FC19" s="138"/>
      <c r="FD19" s="138"/>
      <c r="FG19" s="138"/>
      <c r="FH19" s="138"/>
      <c r="FI19" s="138"/>
      <c r="FJ19" s="138"/>
      <c r="FK19" s="138"/>
      <c r="FM19" s="138"/>
      <c r="FN19" s="138"/>
      <c r="FO19" s="138"/>
      <c r="FP19" s="138"/>
      <c r="FQ19" s="138"/>
      <c r="FR19" s="138"/>
      <c r="FS19" s="138"/>
      <c r="FT19" s="138"/>
      <c r="FU19" s="138"/>
      <c r="FV19" s="138"/>
      <c r="FX19" s="138"/>
      <c r="GA19" s="138"/>
      <c r="GC19" s="138"/>
      <c r="GL19" s="205"/>
      <c r="GM19" s="205"/>
      <c r="GO19" s="75"/>
      <c r="GP19" s="75"/>
      <c r="GR19" s="138"/>
      <c r="GS19" s="138"/>
      <c r="GV19" s="138"/>
      <c r="GW19" s="138"/>
      <c r="GX19" s="138"/>
      <c r="GY19" s="138"/>
      <c r="GZ19" s="138"/>
      <c r="HB19" s="138"/>
      <c r="HC19" s="138"/>
      <c r="HD19" s="138"/>
      <c r="HE19" s="138"/>
      <c r="HF19" s="138"/>
      <c r="HG19" s="138"/>
      <c r="HH19" s="138"/>
      <c r="HI19" s="138"/>
      <c r="HJ19" s="138"/>
      <c r="HK19" s="138"/>
      <c r="HM19" s="138"/>
      <c r="HR19" s="138"/>
      <c r="HZ19" s="138"/>
      <c r="IA19" s="205"/>
      <c r="IB19" s="205"/>
      <c r="ID19" s="75"/>
      <c r="IE19" s="75"/>
      <c r="IF19" s="47" t="s">
        <v>34</v>
      </c>
      <c r="IH19" s="82"/>
    </row>
    <row r="20" spans="1:242" x14ac:dyDescent="0.3">
      <c r="A20" s="58">
        <f>ROW()</f>
        <v>20</v>
      </c>
      <c r="C20" s="75"/>
      <c r="Y20" s="138"/>
      <c r="Z20" s="138"/>
      <c r="AB20" s="138"/>
      <c r="AD20" s="138"/>
      <c r="AE20" s="138"/>
      <c r="AH20" s="138"/>
      <c r="AI20" s="75"/>
      <c r="AJ20" s="75"/>
      <c r="AL20" s="138"/>
      <c r="AP20" s="138"/>
      <c r="AQ20" s="138"/>
      <c r="AR20" s="138"/>
      <c r="AT20" s="138"/>
      <c r="AU20" s="138"/>
      <c r="AV20" s="138"/>
      <c r="AW20" s="138"/>
      <c r="AZ20" s="138"/>
      <c r="BB20" s="138"/>
      <c r="BC20" s="138"/>
      <c r="BD20" s="138"/>
      <c r="BE20" s="138"/>
      <c r="BF20" s="138"/>
      <c r="BG20" s="138"/>
      <c r="BJ20" s="138"/>
      <c r="BL20" s="138"/>
      <c r="BS20" s="138"/>
      <c r="BV20" s="138"/>
      <c r="BW20" s="75"/>
      <c r="BX20" s="75"/>
      <c r="BZ20" s="138"/>
      <c r="CA20" s="138"/>
      <c r="CD20" s="138"/>
      <c r="CE20" s="138"/>
      <c r="CF20" s="138"/>
      <c r="CG20" s="138"/>
      <c r="CH20" s="138"/>
      <c r="CJ20" s="138"/>
      <c r="CK20" s="138"/>
      <c r="CL20" s="138"/>
      <c r="CM20" s="138"/>
      <c r="CN20" s="138"/>
      <c r="CO20" s="138"/>
      <c r="CP20" s="138"/>
      <c r="CQ20" s="138"/>
      <c r="CR20" s="138"/>
      <c r="CS20" s="138"/>
      <c r="CT20" s="138"/>
      <c r="CU20" s="138"/>
      <c r="CX20" s="138"/>
      <c r="CZ20" s="138"/>
      <c r="DG20" s="138"/>
      <c r="DI20" s="205"/>
      <c r="DJ20" s="138"/>
      <c r="DK20" s="75"/>
      <c r="DL20" s="75"/>
      <c r="DN20" s="138"/>
      <c r="DO20" s="138"/>
      <c r="DR20" s="138"/>
      <c r="DS20" s="138"/>
      <c r="DT20" s="138"/>
      <c r="DU20" s="138"/>
      <c r="DV20" s="138"/>
      <c r="DX20" s="138"/>
      <c r="DY20" s="138"/>
      <c r="DZ20" s="138"/>
      <c r="EB20" s="138"/>
      <c r="EC20" s="138"/>
      <c r="ED20" s="138"/>
      <c r="EE20" s="138"/>
      <c r="EF20" s="138"/>
      <c r="EG20" s="138"/>
      <c r="EI20" s="138"/>
      <c r="EN20" s="138"/>
      <c r="EW20" s="205"/>
      <c r="EX20" s="205"/>
      <c r="EZ20" s="75"/>
      <c r="FA20" s="75"/>
      <c r="FC20" s="138"/>
      <c r="FD20" s="138"/>
      <c r="FG20" s="138"/>
      <c r="FH20" s="138"/>
      <c r="FI20" s="138"/>
      <c r="FJ20" s="138"/>
      <c r="FK20" s="138"/>
      <c r="FM20" s="138"/>
      <c r="FN20" s="138"/>
      <c r="FO20" s="138"/>
      <c r="FP20" s="138"/>
      <c r="FQ20" s="138"/>
      <c r="FR20" s="138"/>
      <c r="FS20" s="138"/>
      <c r="FT20" s="138"/>
      <c r="FU20" s="138"/>
      <c r="FV20" s="138"/>
      <c r="FX20" s="138"/>
      <c r="GA20" s="138"/>
      <c r="GC20" s="138"/>
      <c r="GL20" s="205"/>
      <c r="GM20" s="205"/>
      <c r="GO20" s="75"/>
      <c r="GP20" s="75"/>
      <c r="GR20" s="138"/>
      <c r="GS20" s="138"/>
      <c r="GV20" s="138"/>
      <c r="GW20" s="138"/>
      <c r="GX20" s="138"/>
      <c r="GY20" s="138"/>
      <c r="GZ20" s="138"/>
      <c r="HB20" s="138"/>
      <c r="HC20" s="138"/>
      <c r="HD20" s="138"/>
      <c r="HE20" s="138"/>
      <c r="HF20" s="138"/>
      <c r="HG20" s="138"/>
      <c r="HH20" s="138"/>
      <c r="HI20" s="138"/>
      <c r="HJ20" s="138"/>
      <c r="HK20" s="138"/>
      <c r="HM20" s="138"/>
      <c r="HR20" s="138"/>
      <c r="HZ20" s="138"/>
      <c r="IA20" s="205"/>
      <c r="IB20" s="205"/>
      <c r="ID20" s="75"/>
      <c r="IE20" s="75"/>
      <c r="IF20" s="47" t="s">
        <v>34</v>
      </c>
    </row>
    <row r="21" spans="1:242" x14ac:dyDescent="0.3">
      <c r="A21" s="58">
        <f>ROW()</f>
        <v>21</v>
      </c>
      <c r="B21" s="74" t="s">
        <v>70</v>
      </c>
      <c r="C21" s="75"/>
      <c r="Y21" s="138"/>
      <c r="Z21" s="138"/>
      <c r="AB21" s="138"/>
      <c r="AD21" s="138"/>
      <c r="AE21" s="138"/>
      <c r="AH21" s="138"/>
      <c r="AI21" s="75"/>
      <c r="AJ21" s="75"/>
      <c r="AL21" s="138"/>
      <c r="AP21" s="138"/>
      <c r="AQ21" s="138"/>
      <c r="AR21" s="138"/>
      <c r="AT21" s="138"/>
      <c r="AU21" s="138"/>
      <c r="AV21" s="138"/>
      <c r="AW21" s="138"/>
      <c r="AZ21" s="138"/>
      <c r="BB21" s="138"/>
      <c r="BC21" s="138"/>
      <c r="BD21" s="138"/>
      <c r="BE21" s="138"/>
      <c r="BF21" s="138"/>
      <c r="BG21" s="138"/>
      <c r="BJ21" s="138"/>
      <c r="BL21" s="138"/>
      <c r="BS21" s="138"/>
      <c r="BV21" s="138"/>
      <c r="BW21" s="75"/>
      <c r="BX21" s="75"/>
      <c r="BZ21" s="138"/>
      <c r="CA21" s="138"/>
      <c r="CD21" s="138"/>
      <c r="CE21" s="138"/>
      <c r="CF21" s="138"/>
      <c r="CG21" s="138"/>
      <c r="CH21" s="138"/>
      <c r="CJ21" s="138"/>
      <c r="CK21" s="138"/>
      <c r="CL21" s="138"/>
      <c r="CM21" s="138"/>
      <c r="CN21" s="138"/>
      <c r="CO21" s="138"/>
      <c r="CP21" s="138"/>
      <c r="CQ21" s="138"/>
      <c r="CR21" s="138"/>
      <c r="CS21" s="138"/>
      <c r="CT21" s="138"/>
      <c r="CU21" s="138"/>
      <c r="CX21" s="138"/>
      <c r="CZ21" s="138"/>
      <c r="DG21" s="138"/>
      <c r="DI21" s="205"/>
      <c r="DJ21" s="138"/>
      <c r="DK21" s="75"/>
      <c r="DL21" s="75"/>
      <c r="DN21" s="138"/>
      <c r="DO21" s="138"/>
      <c r="DR21" s="138"/>
      <c r="DS21" s="138"/>
      <c r="DT21" s="138"/>
      <c r="DU21" s="138"/>
      <c r="DV21" s="138"/>
      <c r="DX21" s="138"/>
      <c r="DY21" s="138"/>
      <c r="DZ21" s="138"/>
      <c r="EB21" s="138"/>
      <c r="EC21" s="138"/>
      <c r="ED21" s="138"/>
      <c r="EE21" s="138"/>
      <c r="EF21" s="138"/>
      <c r="EG21" s="138"/>
      <c r="EI21" s="138"/>
      <c r="EN21" s="138"/>
      <c r="EW21" s="205"/>
      <c r="EX21" s="205"/>
      <c r="EZ21" s="75"/>
      <c r="FA21" s="75"/>
      <c r="FC21" s="138"/>
      <c r="FD21" s="138"/>
      <c r="FG21" s="138"/>
      <c r="FH21" s="138"/>
      <c r="FI21" s="138"/>
      <c r="FJ21" s="138"/>
      <c r="FK21" s="138"/>
      <c r="FM21" s="138"/>
      <c r="FN21" s="138"/>
      <c r="FO21" s="138"/>
      <c r="FP21" s="138"/>
      <c r="FQ21" s="138"/>
      <c r="FR21" s="138"/>
      <c r="FS21" s="138"/>
      <c r="FT21" s="138"/>
      <c r="FU21" s="138"/>
      <c r="FV21" s="138"/>
      <c r="FX21" s="138"/>
      <c r="GA21" s="138"/>
      <c r="GC21" s="138"/>
      <c r="GL21" s="205"/>
      <c r="GM21" s="205"/>
      <c r="GO21" s="75"/>
      <c r="GP21" s="75"/>
      <c r="GR21" s="138"/>
      <c r="GS21" s="138"/>
      <c r="GV21" s="138"/>
      <c r="GW21" s="138"/>
      <c r="GX21" s="138"/>
      <c r="GY21" s="138"/>
      <c r="GZ21" s="138"/>
      <c r="HB21" s="138"/>
      <c r="HC21" s="138"/>
      <c r="HD21" s="138"/>
      <c r="HE21" s="138"/>
      <c r="HF21" s="138"/>
      <c r="HG21" s="138"/>
      <c r="HH21" s="138"/>
      <c r="HI21" s="138"/>
      <c r="HJ21" s="138"/>
      <c r="HK21" s="138"/>
      <c r="HM21" s="138"/>
      <c r="HR21" s="138"/>
      <c r="HZ21" s="138"/>
      <c r="IA21" s="205"/>
      <c r="IB21" s="205"/>
      <c r="ID21" s="75"/>
      <c r="IE21" s="75"/>
      <c r="IF21" s="47" t="s">
        <v>34</v>
      </c>
    </row>
    <row r="22" spans="1:242" x14ac:dyDescent="0.3">
      <c r="A22" s="58">
        <f>ROW()</f>
        <v>22</v>
      </c>
      <c r="B22" s="74" t="s">
        <v>71</v>
      </c>
      <c r="C22" s="83">
        <v>0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156"/>
      <c r="Z22" s="156"/>
      <c r="AA22" s="51"/>
      <c r="AB22" s="156"/>
      <c r="AC22" s="51"/>
      <c r="AD22" s="156"/>
      <c r="AE22" s="156"/>
      <c r="AF22" s="51"/>
      <c r="AG22" s="51"/>
      <c r="AH22" s="156"/>
      <c r="AI22" s="83">
        <f>SUM(D22:AH22)</f>
        <v>0</v>
      </c>
      <c r="AJ22" s="83">
        <f>+AI22+C22</f>
        <v>0</v>
      </c>
      <c r="AK22" s="51"/>
      <c r="AL22" s="156"/>
      <c r="AM22" s="51"/>
      <c r="AN22" s="51"/>
      <c r="AO22" s="51"/>
      <c r="AP22" s="156"/>
      <c r="AQ22" s="156"/>
      <c r="AR22" s="156"/>
      <c r="AS22" s="51"/>
      <c r="AT22" s="156"/>
      <c r="AU22" s="156"/>
      <c r="AV22" s="156"/>
      <c r="AW22" s="156"/>
      <c r="AX22" s="51"/>
      <c r="AY22" s="51"/>
      <c r="AZ22" s="156"/>
      <c r="BA22" s="51"/>
      <c r="BB22" s="156"/>
      <c r="BC22" s="156"/>
      <c r="BD22" s="156"/>
      <c r="BE22" s="156"/>
      <c r="BF22" s="156"/>
      <c r="BG22" s="156"/>
      <c r="BH22" s="51"/>
      <c r="BI22" s="51"/>
      <c r="BJ22" s="156"/>
      <c r="BK22" s="51"/>
      <c r="BL22" s="156"/>
      <c r="BM22" s="51"/>
      <c r="BN22" s="51"/>
      <c r="BO22" s="51"/>
      <c r="BP22" s="51"/>
      <c r="BQ22" s="51"/>
      <c r="BR22" s="51"/>
      <c r="BS22" s="156"/>
      <c r="BT22" s="51"/>
      <c r="BU22" s="51"/>
      <c r="BV22" s="156"/>
      <c r="BW22" s="83">
        <f>SUM(AK22:BV22)</f>
        <v>0</v>
      </c>
      <c r="BX22" s="83">
        <f>+BW22+AJ22</f>
        <v>0</v>
      </c>
      <c r="BY22" s="51"/>
      <c r="BZ22" s="156"/>
      <c r="CA22" s="156"/>
      <c r="CB22" s="51"/>
      <c r="CC22" s="51"/>
      <c r="CD22" s="156"/>
      <c r="CE22" s="156"/>
      <c r="CF22" s="156"/>
      <c r="CG22" s="156"/>
      <c r="CH22" s="156"/>
      <c r="CI22" s="51"/>
      <c r="CJ22" s="156"/>
      <c r="CK22" s="156"/>
      <c r="CL22" s="156"/>
      <c r="CM22" s="156"/>
      <c r="CN22" s="156"/>
      <c r="CO22" s="156"/>
      <c r="CP22" s="156"/>
      <c r="CQ22" s="156"/>
      <c r="CR22" s="156"/>
      <c r="CS22" s="156"/>
      <c r="CT22" s="156"/>
      <c r="CU22" s="156"/>
      <c r="CV22" s="51"/>
      <c r="CW22" s="51"/>
      <c r="CX22" s="156"/>
      <c r="CY22" s="51"/>
      <c r="CZ22" s="156"/>
      <c r="DA22" s="51"/>
      <c r="DB22" s="51"/>
      <c r="DC22" s="51"/>
      <c r="DD22" s="51"/>
      <c r="DE22" s="51"/>
      <c r="DF22" s="51"/>
      <c r="DG22" s="156"/>
      <c r="DH22" s="51"/>
      <c r="DI22" s="203"/>
      <c r="DJ22" s="156"/>
      <c r="DK22" s="83">
        <f>SUM(BY22:DJ22)</f>
        <v>0</v>
      </c>
      <c r="DL22" s="83">
        <f>+DK22+BX22</f>
        <v>0</v>
      </c>
      <c r="DM22" s="51"/>
      <c r="DN22" s="156"/>
      <c r="DO22" s="156"/>
      <c r="DP22" s="51"/>
      <c r="DQ22" s="51"/>
      <c r="DR22" s="156"/>
      <c r="DS22" s="156"/>
      <c r="DT22" s="156"/>
      <c r="DU22" s="156"/>
      <c r="DV22" s="156"/>
      <c r="DW22" s="51"/>
      <c r="DX22" s="156"/>
      <c r="DY22" s="156"/>
      <c r="DZ22" s="156"/>
      <c r="EA22" s="51"/>
      <c r="EB22" s="156"/>
      <c r="EC22" s="156"/>
      <c r="ED22" s="156"/>
      <c r="EE22" s="156"/>
      <c r="EF22" s="156"/>
      <c r="EG22" s="156"/>
      <c r="EH22" s="51"/>
      <c r="EI22" s="156"/>
      <c r="EJ22" s="51"/>
      <c r="EK22" s="51"/>
      <c r="EL22" s="51"/>
      <c r="EM22" s="51"/>
      <c r="EN22" s="156"/>
      <c r="EO22" s="51"/>
      <c r="EP22" s="51"/>
      <c r="EQ22" s="51"/>
      <c r="ER22" s="51"/>
      <c r="ES22" s="51"/>
      <c r="ET22" s="51"/>
      <c r="EU22" s="51"/>
      <c r="EV22" s="51"/>
      <c r="EW22" s="203"/>
      <c r="EX22" s="203"/>
      <c r="EY22" s="51"/>
      <c r="EZ22" s="83">
        <f>SUM(DM22:EY22)</f>
        <v>0</v>
      </c>
      <c r="FA22" s="83">
        <f>+EZ22+DL22</f>
        <v>0</v>
      </c>
      <c r="FB22" s="51"/>
      <c r="FC22" s="156"/>
      <c r="FD22" s="156"/>
      <c r="FE22" s="51"/>
      <c r="FF22" s="51"/>
      <c r="FG22" s="156"/>
      <c r="FH22" s="156"/>
      <c r="FI22" s="156"/>
      <c r="FJ22" s="156"/>
      <c r="FK22" s="156"/>
      <c r="FL22" s="51"/>
      <c r="FM22" s="156"/>
      <c r="FN22" s="156"/>
      <c r="FO22" s="156"/>
      <c r="FP22" s="156"/>
      <c r="FQ22" s="156"/>
      <c r="FR22" s="156"/>
      <c r="FS22" s="156"/>
      <c r="FT22" s="156"/>
      <c r="FU22" s="156"/>
      <c r="FV22" s="156"/>
      <c r="FW22" s="51"/>
      <c r="FX22" s="156"/>
      <c r="FY22" s="51"/>
      <c r="FZ22" s="51"/>
      <c r="GA22" s="156"/>
      <c r="GB22" s="51"/>
      <c r="GC22" s="156"/>
      <c r="GD22" s="51"/>
      <c r="GE22" s="51"/>
      <c r="GF22" s="51"/>
      <c r="GG22" s="51"/>
      <c r="GH22" s="51"/>
      <c r="GI22" s="51"/>
      <c r="GJ22" s="51"/>
      <c r="GK22" s="51"/>
      <c r="GL22" s="203"/>
      <c r="GM22" s="203"/>
      <c r="GN22" s="51"/>
      <c r="GO22" s="83">
        <f>SUM(FB22:GN22)</f>
        <v>0</v>
      </c>
      <c r="GP22" s="83">
        <f>+GO22+FA22</f>
        <v>0</v>
      </c>
      <c r="GQ22" s="51"/>
      <c r="GR22" s="156"/>
      <c r="GS22" s="156"/>
      <c r="GT22" s="51"/>
      <c r="GU22" s="51"/>
      <c r="GV22" s="156"/>
      <c r="GW22" s="156"/>
      <c r="GX22" s="156"/>
      <c r="GY22" s="156"/>
      <c r="GZ22" s="156"/>
      <c r="HA22" s="51"/>
      <c r="HB22" s="156"/>
      <c r="HC22" s="156"/>
      <c r="HD22" s="156"/>
      <c r="HE22" s="156"/>
      <c r="HF22" s="156"/>
      <c r="HG22" s="156"/>
      <c r="HH22" s="156"/>
      <c r="HI22" s="156"/>
      <c r="HJ22" s="156"/>
      <c r="HK22" s="156"/>
      <c r="HL22" s="51"/>
      <c r="HM22" s="156"/>
      <c r="HN22" s="51"/>
      <c r="HO22" s="51"/>
      <c r="HP22" s="51"/>
      <c r="HQ22" s="51"/>
      <c r="HR22" s="156"/>
      <c r="HS22" s="51"/>
      <c r="HT22" s="51"/>
      <c r="HU22" s="51"/>
      <c r="HV22" s="51"/>
      <c r="HW22" s="51"/>
      <c r="HX22" s="51"/>
      <c r="HY22" s="51"/>
      <c r="HZ22" s="156"/>
      <c r="IA22" s="203"/>
      <c r="IB22" s="203"/>
      <c r="IC22" s="51"/>
      <c r="ID22" s="83">
        <f>SUM(GQ22:IC22)</f>
        <v>0</v>
      </c>
      <c r="IE22" s="83">
        <f>+ID22+GP22</f>
        <v>0</v>
      </c>
      <c r="IF22" s="47" t="s">
        <v>34</v>
      </c>
    </row>
    <row r="23" spans="1:242" x14ac:dyDescent="0.3">
      <c r="A23" s="58">
        <f>ROW()</f>
        <v>23</v>
      </c>
      <c r="B23" s="74" t="s">
        <v>72</v>
      </c>
      <c r="C23" s="78">
        <v>364582892.41000003</v>
      </c>
      <c r="D23" s="79">
        <v>-1662725.49</v>
      </c>
      <c r="E23" s="79">
        <v>-362845944.65999997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153"/>
      <c r="Z23" s="153"/>
      <c r="AA23" s="79"/>
      <c r="AB23" s="153"/>
      <c r="AC23" s="79"/>
      <c r="AD23" s="153"/>
      <c r="AE23" s="153"/>
      <c r="AF23" s="79"/>
      <c r="AG23" s="79"/>
      <c r="AH23" s="153"/>
      <c r="AI23" s="78">
        <f>SUM(D23:AH23)</f>
        <v>-364508670.14999998</v>
      </c>
      <c r="AJ23" s="78">
        <f>+AI23+C23</f>
        <v>74222.260000050068</v>
      </c>
      <c r="AK23" s="77">
        <v>-74222.259999999995</v>
      </c>
      <c r="AL23" s="153"/>
      <c r="AM23" s="79"/>
      <c r="AN23" s="79"/>
      <c r="AO23" s="79"/>
      <c r="AP23" s="153"/>
      <c r="AQ23" s="153"/>
      <c r="AR23" s="153"/>
      <c r="AS23" s="79"/>
      <c r="AT23" s="153"/>
      <c r="AU23" s="153"/>
      <c r="AV23" s="153"/>
      <c r="AW23" s="153"/>
      <c r="AX23" s="79"/>
      <c r="AY23" s="79"/>
      <c r="AZ23" s="153"/>
      <c r="BA23" s="79"/>
      <c r="BB23" s="153"/>
      <c r="BC23" s="153"/>
      <c r="BD23" s="153"/>
      <c r="BE23" s="153"/>
      <c r="BF23" s="153"/>
      <c r="BG23" s="153"/>
      <c r="BH23" s="79"/>
      <c r="BI23" s="79"/>
      <c r="BJ23" s="153"/>
      <c r="BK23" s="79"/>
      <c r="BL23" s="153"/>
      <c r="BM23" s="79"/>
      <c r="BN23" s="79"/>
      <c r="BO23" s="79"/>
      <c r="BP23" s="79"/>
      <c r="BQ23" s="79"/>
      <c r="BR23" s="79"/>
      <c r="BS23" s="153"/>
      <c r="BT23" s="79"/>
      <c r="BU23" s="79"/>
      <c r="BV23" s="153"/>
      <c r="BW23" s="78">
        <f>SUM(AK23:BV23)</f>
        <v>-74222.259999999995</v>
      </c>
      <c r="BX23" s="78">
        <f>+BW23+AJ23</f>
        <v>5.0073140300810337E-8</v>
      </c>
      <c r="BY23" s="79"/>
      <c r="BZ23" s="153"/>
      <c r="CA23" s="153"/>
      <c r="CB23" s="79"/>
      <c r="CC23" s="79"/>
      <c r="CD23" s="153"/>
      <c r="CE23" s="153"/>
      <c r="CF23" s="153"/>
      <c r="CG23" s="153"/>
      <c r="CH23" s="153"/>
      <c r="CI23" s="79"/>
      <c r="CJ23" s="153"/>
      <c r="CK23" s="153"/>
      <c r="CL23" s="153"/>
      <c r="CM23" s="153"/>
      <c r="CN23" s="153"/>
      <c r="CO23" s="153"/>
      <c r="CP23" s="153"/>
      <c r="CQ23" s="153"/>
      <c r="CR23" s="153"/>
      <c r="CS23" s="153"/>
      <c r="CT23" s="153"/>
      <c r="CU23" s="153"/>
      <c r="CV23" s="79"/>
      <c r="CW23" s="79"/>
      <c r="CX23" s="153"/>
      <c r="CY23" s="79"/>
      <c r="CZ23" s="153"/>
      <c r="DA23" s="79"/>
      <c r="DB23" s="79"/>
      <c r="DC23" s="79"/>
      <c r="DD23" s="79"/>
      <c r="DE23" s="79"/>
      <c r="DF23" s="79"/>
      <c r="DG23" s="153"/>
      <c r="DH23" s="79"/>
      <c r="DI23" s="208"/>
      <c r="DJ23" s="153"/>
      <c r="DK23" s="78">
        <f>SUM(BY23:DJ23)</f>
        <v>0</v>
      </c>
      <c r="DL23" s="78">
        <f>+DK23+BX23</f>
        <v>5.0073140300810337E-8</v>
      </c>
      <c r="DM23" s="79"/>
      <c r="DN23" s="153"/>
      <c r="DO23" s="153"/>
      <c r="DP23" s="79"/>
      <c r="DQ23" s="79"/>
      <c r="DR23" s="153"/>
      <c r="DS23" s="153"/>
      <c r="DT23" s="153"/>
      <c r="DU23" s="153"/>
      <c r="DV23" s="153"/>
      <c r="DW23" s="79"/>
      <c r="DX23" s="153"/>
      <c r="DY23" s="153"/>
      <c r="DZ23" s="153"/>
      <c r="EA23" s="79"/>
      <c r="EB23" s="153"/>
      <c r="EC23" s="153"/>
      <c r="ED23" s="153"/>
      <c r="EE23" s="153"/>
      <c r="EF23" s="153"/>
      <c r="EG23" s="153"/>
      <c r="EH23" s="79"/>
      <c r="EI23" s="153"/>
      <c r="EJ23" s="79"/>
      <c r="EK23" s="79"/>
      <c r="EL23" s="79"/>
      <c r="EM23" s="79"/>
      <c r="EN23" s="153"/>
      <c r="EO23" s="79"/>
      <c r="EP23" s="79"/>
      <c r="EQ23" s="79"/>
      <c r="ER23" s="79"/>
      <c r="ES23" s="79"/>
      <c r="ET23" s="79"/>
      <c r="EU23" s="79"/>
      <c r="EV23" s="79"/>
      <c r="EW23" s="208"/>
      <c r="EX23" s="208"/>
      <c r="EY23" s="79"/>
      <c r="EZ23" s="78">
        <f>SUM(DM23:EY23)</f>
        <v>0</v>
      </c>
      <c r="FA23" s="78">
        <f>+EZ23+DL23</f>
        <v>5.0073140300810337E-8</v>
      </c>
      <c r="FB23" s="79"/>
      <c r="FC23" s="153"/>
      <c r="FD23" s="153"/>
      <c r="FE23" s="79"/>
      <c r="FF23" s="79"/>
      <c r="FG23" s="153"/>
      <c r="FH23" s="153"/>
      <c r="FI23" s="153"/>
      <c r="FJ23" s="153"/>
      <c r="FK23" s="153"/>
      <c r="FL23" s="79"/>
      <c r="FM23" s="153"/>
      <c r="FN23" s="153"/>
      <c r="FO23" s="153"/>
      <c r="FP23" s="153"/>
      <c r="FQ23" s="153"/>
      <c r="FR23" s="153"/>
      <c r="FS23" s="153"/>
      <c r="FT23" s="153"/>
      <c r="FU23" s="153"/>
      <c r="FV23" s="153"/>
      <c r="FW23" s="79"/>
      <c r="FX23" s="153"/>
      <c r="FY23" s="79"/>
      <c r="FZ23" s="79"/>
      <c r="GA23" s="153"/>
      <c r="GB23" s="79"/>
      <c r="GC23" s="153"/>
      <c r="GD23" s="79"/>
      <c r="GE23" s="79"/>
      <c r="GF23" s="79"/>
      <c r="GG23" s="79"/>
      <c r="GH23" s="79"/>
      <c r="GI23" s="79"/>
      <c r="GJ23" s="79"/>
      <c r="GK23" s="79"/>
      <c r="GL23" s="208"/>
      <c r="GM23" s="208"/>
      <c r="GN23" s="79"/>
      <c r="GO23" s="78">
        <f>SUM(FB23:GN23)</f>
        <v>0</v>
      </c>
      <c r="GP23" s="78">
        <f>+GO23+FA23</f>
        <v>5.0073140300810337E-8</v>
      </c>
      <c r="GQ23" s="79"/>
      <c r="GR23" s="153"/>
      <c r="GS23" s="153"/>
      <c r="GT23" s="79"/>
      <c r="GU23" s="79"/>
      <c r="GV23" s="153"/>
      <c r="GW23" s="153"/>
      <c r="GX23" s="153"/>
      <c r="GY23" s="153"/>
      <c r="GZ23" s="153"/>
      <c r="HA23" s="79"/>
      <c r="HB23" s="153"/>
      <c r="HC23" s="153"/>
      <c r="HD23" s="153"/>
      <c r="HE23" s="153"/>
      <c r="HF23" s="153"/>
      <c r="HG23" s="153"/>
      <c r="HH23" s="153"/>
      <c r="HI23" s="153"/>
      <c r="HJ23" s="153"/>
      <c r="HK23" s="153"/>
      <c r="HL23" s="79"/>
      <c r="HM23" s="153"/>
      <c r="HN23" s="79"/>
      <c r="HO23" s="79"/>
      <c r="HP23" s="79"/>
      <c r="HQ23" s="79"/>
      <c r="HR23" s="153"/>
      <c r="HS23" s="79"/>
      <c r="HT23" s="79"/>
      <c r="HU23" s="79"/>
      <c r="HV23" s="79"/>
      <c r="HW23" s="79"/>
      <c r="HX23" s="79"/>
      <c r="HY23" s="79"/>
      <c r="HZ23" s="153"/>
      <c r="IA23" s="208"/>
      <c r="IB23" s="208"/>
      <c r="IC23" s="79"/>
      <c r="ID23" s="78">
        <f>SUM(GQ23:IC23)</f>
        <v>0</v>
      </c>
      <c r="IE23" s="78">
        <f>+ID23+GP23</f>
        <v>5.0073140300810337E-8</v>
      </c>
      <c r="IF23" s="47" t="s">
        <v>34</v>
      </c>
    </row>
    <row r="24" spans="1:242" x14ac:dyDescent="0.3">
      <c r="A24" s="58">
        <f>ROW()</f>
        <v>24</v>
      </c>
      <c r="B24" s="74" t="s">
        <v>73</v>
      </c>
      <c r="C24" s="78">
        <v>0</v>
      </c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153"/>
      <c r="Z24" s="153"/>
      <c r="AA24" s="79"/>
      <c r="AB24" s="153"/>
      <c r="AC24" s="79"/>
      <c r="AD24" s="153"/>
      <c r="AE24" s="153"/>
      <c r="AF24" s="79"/>
      <c r="AG24" s="79"/>
      <c r="AH24" s="153"/>
      <c r="AI24" s="78">
        <f>SUM(D24:AH24)</f>
        <v>0</v>
      </c>
      <c r="AJ24" s="78">
        <f>+AI24+C24</f>
        <v>0</v>
      </c>
      <c r="AK24" s="79"/>
      <c r="AL24" s="153"/>
      <c r="AM24" s="79"/>
      <c r="AN24" s="79"/>
      <c r="AO24" s="79"/>
      <c r="AP24" s="153"/>
      <c r="AQ24" s="153"/>
      <c r="AR24" s="153"/>
      <c r="AS24" s="79"/>
      <c r="AT24" s="153"/>
      <c r="AU24" s="153"/>
      <c r="AV24" s="153"/>
      <c r="AW24" s="153"/>
      <c r="AX24" s="79"/>
      <c r="AY24" s="79"/>
      <c r="AZ24" s="153"/>
      <c r="BA24" s="79"/>
      <c r="BB24" s="153"/>
      <c r="BC24" s="153"/>
      <c r="BD24" s="153"/>
      <c r="BE24" s="153"/>
      <c r="BF24" s="153"/>
      <c r="BG24" s="153"/>
      <c r="BH24" s="79"/>
      <c r="BI24" s="79"/>
      <c r="BJ24" s="153"/>
      <c r="BK24" s="79"/>
      <c r="BL24" s="153"/>
      <c r="BM24" s="79"/>
      <c r="BN24" s="79"/>
      <c r="BO24" s="79"/>
      <c r="BP24" s="79"/>
      <c r="BQ24" s="79"/>
      <c r="BR24" s="79"/>
      <c r="BS24" s="153"/>
      <c r="BT24" s="79"/>
      <c r="BU24" s="79"/>
      <c r="BV24" s="153"/>
      <c r="BW24" s="78">
        <f>SUM(AK24:BV24)</f>
        <v>0</v>
      </c>
      <c r="BX24" s="78">
        <f>+BW24+AJ24</f>
        <v>0</v>
      </c>
      <c r="BY24" s="79"/>
      <c r="BZ24" s="153"/>
      <c r="CA24" s="153"/>
      <c r="CB24" s="79"/>
      <c r="CC24" s="79"/>
      <c r="CD24" s="153"/>
      <c r="CE24" s="153"/>
      <c r="CF24" s="153"/>
      <c r="CG24" s="153"/>
      <c r="CH24" s="153"/>
      <c r="CI24" s="79"/>
      <c r="CJ24" s="153"/>
      <c r="CK24" s="153"/>
      <c r="CL24" s="153"/>
      <c r="CM24" s="153"/>
      <c r="CN24" s="153"/>
      <c r="CO24" s="153"/>
      <c r="CP24" s="153"/>
      <c r="CQ24" s="153"/>
      <c r="CR24" s="153"/>
      <c r="CS24" s="153"/>
      <c r="CT24" s="153"/>
      <c r="CU24" s="153"/>
      <c r="CV24" s="79"/>
      <c r="CW24" s="79"/>
      <c r="CX24" s="153"/>
      <c r="CY24" s="79"/>
      <c r="CZ24" s="153"/>
      <c r="DA24" s="79"/>
      <c r="DB24" s="79"/>
      <c r="DC24" s="79"/>
      <c r="DD24" s="79"/>
      <c r="DE24" s="79"/>
      <c r="DF24" s="79"/>
      <c r="DG24" s="153"/>
      <c r="DH24" s="79"/>
      <c r="DI24" s="208"/>
      <c r="DJ24" s="153"/>
      <c r="DK24" s="78">
        <f>SUM(BY24:DJ24)</f>
        <v>0</v>
      </c>
      <c r="DL24" s="78">
        <f>+DK24+BX24</f>
        <v>0</v>
      </c>
      <c r="DM24" s="79"/>
      <c r="DN24" s="153"/>
      <c r="DO24" s="153"/>
      <c r="DP24" s="79"/>
      <c r="DQ24" s="79"/>
      <c r="DR24" s="153"/>
      <c r="DS24" s="153"/>
      <c r="DT24" s="153"/>
      <c r="DU24" s="153"/>
      <c r="DV24" s="153"/>
      <c r="DW24" s="79"/>
      <c r="DX24" s="153"/>
      <c r="DY24" s="153"/>
      <c r="DZ24" s="153"/>
      <c r="EA24" s="79"/>
      <c r="EB24" s="153"/>
      <c r="EC24" s="153"/>
      <c r="ED24" s="153"/>
      <c r="EE24" s="153"/>
      <c r="EF24" s="153"/>
      <c r="EG24" s="153"/>
      <c r="EH24" s="79"/>
      <c r="EI24" s="153"/>
      <c r="EJ24" s="79"/>
      <c r="EK24" s="79"/>
      <c r="EL24" s="79"/>
      <c r="EM24" s="79"/>
      <c r="EN24" s="153"/>
      <c r="EO24" s="79"/>
      <c r="EP24" s="79"/>
      <c r="EQ24" s="79"/>
      <c r="ER24" s="79"/>
      <c r="ES24" s="79"/>
      <c r="ET24" s="79"/>
      <c r="EU24" s="79"/>
      <c r="EV24" s="79"/>
      <c r="EW24" s="208"/>
      <c r="EX24" s="208"/>
      <c r="EY24" s="79"/>
      <c r="EZ24" s="78">
        <f>SUM(DM24:EY24)</f>
        <v>0</v>
      </c>
      <c r="FA24" s="78">
        <f>+EZ24+DL24</f>
        <v>0</v>
      </c>
      <c r="FB24" s="79"/>
      <c r="FC24" s="153"/>
      <c r="FD24" s="153"/>
      <c r="FE24" s="79"/>
      <c r="FF24" s="79"/>
      <c r="FG24" s="153"/>
      <c r="FH24" s="153"/>
      <c r="FI24" s="153"/>
      <c r="FJ24" s="153"/>
      <c r="FK24" s="153"/>
      <c r="FL24" s="79"/>
      <c r="FM24" s="153"/>
      <c r="FN24" s="153"/>
      <c r="FO24" s="153"/>
      <c r="FP24" s="153"/>
      <c r="FQ24" s="153"/>
      <c r="FR24" s="153"/>
      <c r="FS24" s="153"/>
      <c r="FT24" s="153"/>
      <c r="FU24" s="153"/>
      <c r="FV24" s="153"/>
      <c r="FW24" s="79"/>
      <c r="FX24" s="153"/>
      <c r="FY24" s="79"/>
      <c r="FZ24" s="79"/>
      <c r="GA24" s="153"/>
      <c r="GB24" s="79"/>
      <c r="GC24" s="153"/>
      <c r="GD24" s="79"/>
      <c r="GE24" s="79"/>
      <c r="GF24" s="79"/>
      <c r="GG24" s="79"/>
      <c r="GH24" s="79"/>
      <c r="GI24" s="79"/>
      <c r="GJ24" s="79"/>
      <c r="GK24" s="79"/>
      <c r="GL24" s="208"/>
      <c r="GM24" s="208"/>
      <c r="GN24" s="79"/>
      <c r="GO24" s="78">
        <f>SUM(FB24:GN24)</f>
        <v>0</v>
      </c>
      <c r="GP24" s="78">
        <f>+GO24+FA24</f>
        <v>0</v>
      </c>
      <c r="GQ24" s="79"/>
      <c r="GR24" s="153"/>
      <c r="GS24" s="153"/>
      <c r="GT24" s="79"/>
      <c r="GU24" s="79"/>
      <c r="GV24" s="153"/>
      <c r="GW24" s="153"/>
      <c r="GX24" s="153"/>
      <c r="GY24" s="153"/>
      <c r="GZ24" s="153"/>
      <c r="HA24" s="79"/>
      <c r="HB24" s="153"/>
      <c r="HC24" s="153"/>
      <c r="HD24" s="153"/>
      <c r="HE24" s="153"/>
      <c r="HF24" s="153"/>
      <c r="HG24" s="153"/>
      <c r="HH24" s="153"/>
      <c r="HI24" s="153"/>
      <c r="HJ24" s="153"/>
      <c r="HK24" s="153"/>
      <c r="HL24" s="79"/>
      <c r="HM24" s="153"/>
      <c r="HN24" s="79"/>
      <c r="HO24" s="79"/>
      <c r="HP24" s="79"/>
      <c r="HQ24" s="79"/>
      <c r="HR24" s="153"/>
      <c r="HS24" s="79"/>
      <c r="HT24" s="79"/>
      <c r="HU24" s="79"/>
      <c r="HV24" s="79"/>
      <c r="HW24" s="79"/>
      <c r="HX24" s="79"/>
      <c r="HY24" s="79"/>
      <c r="HZ24" s="153"/>
      <c r="IA24" s="208"/>
      <c r="IB24" s="208"/>
      <c r="IC24" s="79"/>
      <c r="ID24" s="78">
        <f>SUM(GQ24:IC24)</f>
        <v>0</v>
      </c>
      <c r="IE24" s="78">
        <f>+ID24+GP24</f>
        <v>0</v>
      </c>
      <c r="IF24" s="47" t="s">
        <v>34</v>
      </c>
    </row>
    <row r="25" spans="1:242" x14ac:dyDescent="0.3">
      <c r="A25" s="58">
        <f>ROW()</f>
        <v>25</v>
      </c>
      <c r="B25" s="47" t="s">
        <v>74</v>
      </c>
      <c r="C25" s="78">
        <v>0</v>
      </c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153"/>
      <c r="Z25" s="153"/>
      <c r="AA25" s="79"/>
      <c r="AB25" s="153"/>
      <c r="AC25" s="79"/>
      <c r="AD25" s="153"/>
      <c r="AE25" s="153"/>
      <c r="AF25" s="79"/>
      <c r="AG25" s="79"/>
      <c r="AH25" s="153"/>
      <c r="AI25" s="78">
        <f>SUM(D25:AH25)</f>
        <v>0</v>
      </c>
      <c r="AJ25" s="78">
        <f>+AI25+C25</f>
        <v>0</v>
      </c>
      <c r="AK25" s="79"/>
      <c r="AL25" s="153"/>
      <c r="AM25" s="79"/>
      <c r="AN25" s="79"/>
      <c r="AO25" s="79"/>
      <c r="AP25" s="153"/>
      <c r="AQ25" s="153"/>
      <c r="AR25" s="153"/>
      <c r="AS25" s="79"/>
      <c r="AT25" s="153"/>
      <c r="AU25" s="153"/>
      <c r="AV25" s="153"/>
      <c r="AW25" s="153"/>
      <c r="AX25" s="79"/>
      <c r="AY25" s="79"/>
      <c r="AZ25" s="153"/>
      <c r="BA25" s="79"/>
      <c r="BB25" s="153"/>
      <c r="BC25" s="153"/>
      <c r="BD25" s="153"/>
      <c r="BE25" s="153"/>
      <c r="BF25" s="153"/>
      <c r="BG25" s="153"/>
      <c r="BH25" s="79"/>
      <c r="BI25" s="79"/>
      <c r="BJ25" s="153"/>
      <c r="BK25" s="79"/>
      <c r="BL25" s="153"/>
      <c r="BM25" s="79"/>
      <c r="BN25" s="79"/>
      <c r="BO25" s="79"/>
      <c r="BP25" s="79"/>
      <c r="BQ25" s="79"/>
      <c r="BR25" s="79"/>
      <c r="BS25" s="153"/>
      <c r="BT25" s="79"/>
      <c r="BU25" s="79"/>
      <c r="BV25" s="153"/>
      <c r="BW25" s="78">
        <f>SUM(AK25:BV25)</f>
        <v>0</v>
      </c>
      <c r="BX25" s="78">
        <f>+BW25+AJ25</f>
        <v>0</v>
      </c>
      <c r="BY25" s="79"/>
      <c r="BZ25" s="153"/>
      <c r="CA25" s="153"/>
      <c r="CB25" s="79"/>
      <c r="CC25" s="79"/>
      <c r="CD25" s="153"/>
      <c r="CE25" s="153"/>
      <c r="CF25" s="153"/>
      <c r="CG25" s="153"/>
      <c r="CH25" s="153"/>
      <c r="CI25" s="79"/>
      <c r="CJ25" s="153"/>
      <c r="CK25" s="153"/>
      <c r="CL25" s="153"/>
      <c r="CM25" s="153"/>
      <c r="CN25" s="153"/>
      <c r="CO25" s="153"/>
      <c r="CP25" s="153"/>
      <c r="CQ25" s="153"/>
      <c r="CR25" s="153"/>
      <c r="CS25" s="153"/>
      <c r="CT25" s="153"/>
      <c r="CU25" s="153"/>
      <c r="CV25" s="79"/>
      <c r="CW25" s="79"/>
      <c r="CX25" s="153"/>
      <c r="CY25" s="79"/>
      <c r="CZ25" s="153"/>
      <c r="DA25" s="79"/>
      <c r="DB25" s="79"/>
      <c r="DC25" s="79"/>
      <c r="DD25" s="79"/>
      <c r="DE25" s="79"/>
      <c r="DF25" s="79"/>
      <c r="DG25" s="153"/>
      <c r="DH25" s="79"/>
      <c r="DI25" s="208"/>
      <c r="DJ25" s="153"/>
      <c r="DK25" s="78">
        <f>SUM(BY25:DJ25)</f>
        <v>0</v>
      </c>
      <c r="DL25" s="78">
        <f>+DK25+BX25</f>
        <v>0</v>
      </c>
      <c r="DM25" s="79"/>
      <c r="DN25" s="153"/>
      <c r="DO25" s="153"/>
      <c r="DP25" s="79"/>
      <c r="DQ25" s="79"/>
      <c r="DR25" s="153"/>
      <c r="DS25" s="153"/>
      <c r="DT25" s="153"/>
      <c r="DU25" s="153"/>
      <c r="DV25" s="153"/>
      <c r="DW25" s="79"/>
      <c r="DX25" s="153"/>
      <c r="DY25" s="153"/>
      <c r="DZ25" s="153"/>
      <c r="EA25" s="79"/>
      <c r="EB25" s="153"/>
      <c r="EC25" s="153"/>
      <c r="ED25" s="153"/>
      <c r="EE25" s="153"/>
      <c r="EF25" s="153"/>
      <c r="EG25" s="153"/>
      <c r="EH25" s="79"/>
      <c r="EI25" s="153"/>
      <c r="EJ25" s="79"/>
      <c r="EK25" s="79"/>
      <c r="EL25" s="79"/>
      <c r="EM25" s="79"/>
      <c r="EN25" s="153"/>
      <c r="EO25" s="79"/>
      <c r="EP25" s="79"/>
      <c r="EQ25" s="79"/>
      <c r="ER25" s="79"/>
      <c r="ES25" s="79"/>
      <c r="ET25" s="79"/>
      <c r="EU25" s="79"/>
      <c r="EV25" s="79"/>
      <c r="EW25" s="208"/>
      <c r="EX25" s="208"/>
      <c r="EY25" s="79"/>
      <c r="EZ25" s="78">
        <f>SUM(DM25:EY25)</f>
        <v>0</v>
      </c>
      <c r="FA25" s="78">
        <f>+EZ25+DL25</f>
        <v>0</v>
      </c>
      <c r="FB25" s="79"/>
      <c r="FC25" s="153"/>
      <c r="FD25" s="153"/>
      <c r="FE25" s="79"/>
      <c r="FF25" s="79"/>
      <c r="FG25" s="153"/>
      <c r="FH25" s="153"/>
      <c r="FI25" s="153"/>
      <c r="FJ25" s="153"/>
      <c r="FK25" s="153"/>
      <c r="FL25" s="79"/>
      <c r="FM25" s="153"/>
      <c r="FN25" s="153"/>
      <c r="FO25" s="153"/>
      <c r="FP25" s="153"/>
      <c r="FQ25" s="153"/>
      <c r="FR25" s="153"/>
      <c r="FS25" s="153"/>
      <c r="FT25" s="153"/>
      <c r="FU25" s="153"/>
      <c r="FV25" s="153"/>
      <c r="FW25" s="79"/>
      <c r="FX25" s="153"/>
      <c r="FY25" s="79"/>
      <c r="FZ25" s="79"/>
      <c r="GA25" s="153"/>
      <c r="GB25" s="79"/>
      <c r="GC25" s="153"/>
      <c r="GD25" s="79"/>
      <c r="GE25" s="79"/>
      <c r="GF25" s="79"/>
      <c r="GG25" s="79"/>
      <c r="GH25" s="79"/>
      <c r="GI25" s="79"/>
      <c r="GJ25" s="79"/>
      <c r="GK25" s="79"/>
      <c r="GL25" s="208"/>
      <c r="GM25" s="208"/>
      <c r="GN25" s="79"/>
      <c r="GO25" s="78">
        <f>SUM(FB25:GN25)</f>
        <v>0</v>
      </c>
      <c r="GP25" s="78">
        <f>+GO25+FA25</f>
        <v>0</v>
      </c>
      <c r="GQ25" s="79"/>
      <c r="GR25" s="153"/>
      <c r="GS25" s="153"/>
      <c r="GT25" s="79"/>
      <c r="GU25" s="79"/>
      <c r="GV25" s="153"/>
      <c r="GW25" s="153"/>
      <c r="GX25" s="153"/>
      <c r="GY25" s="153"/>
      <c r="GZ25" s="153"/>
      <c r="HA25" s="79"/>
      <c r="HB25" s="153"/>
      <c r="HC25" s="153"/>
      <c r="HD25" s="153"/>
      <c r="HE25" s="153"/>
      <c r="HF25" s="153"/>
      <c r="HG25" s="153"/>
      <c r="HH25" s="153"/>
      <c r="HI25" s="153"/>
      <c r="HJ25" s="153"/>
      <c r="HK25" s="153"/>
      <c r="HL25" s="79"/>
      <c r="HM25" s="153"/>
      <c r="HN25" s="79"/>
      <c r="HO25" s="79"/>
      <c r="HP25" s="79"/>
      <c r="HQ25" s="79"/>
      <c r="HR25" s="153"/>
      <c r="HS25" s="79"/>
      <c r="HT25" s="79"/>
      <c r="HU25" s="79"/>
      <c r="HV25" s="79"/>
      <c r="HW25" s="79"/>
      <c r="HX25" s="79"/>
      <c r="HY25" s="79"/>
      <c r="HZ25" s="153"/>
      <c r="IA25" s="208"/>
      <c r="IB25" s="208"/>
      <c r="IC25" s="79"/>
      <c r="ID25" s="78">
        <f>SUM(GQ25:IC25)</f>
        <v>0</v>
      </c>
      <c r="IE25" s="78">
        <f>+ID25+GP25</f>
        <v>0</v>
      </c>
      <c r="IF25" s="47" t="s">
        <v>34</v>
      </c>
    </row>
    <row r="26" spans="1:242" x14ac:dyDescent="0.3">
      <c r="A26" s="58">
        <f>ROW()</f>
        <v>26</v>
      </c>
      <c r="B26" s="74" t="s">
        <v>76</v>
      </c>
      <c r="C26" s="84">
        <f t="shared" ref="C26:AH26" si="24">SUM(C21:C25)</f>
        <v>364582892.41000003</v>
      </c>
      <c r="D26" s="85">
        <f t="shared" si="24"/>
        <v>-1662725.49</v>
      </c>
      <c r="E26" s="85">
        <f t="shared" si="24"/>
        <v>-362845944.65999997</v>
      </c>
      <c r="F26" s="85">
        <f t="shared" si="24"/>
        <v>0</v>
      </c>
      <c r="G26" s="85">
        <f t="shared" si="24"/>
        <v>0</v>
      </c>
      <c r="H26" s="85">
        <f t="shared" si="24"/>
        <v>0</v>
      </c>
      <c r="I26" s="85">
        <f t="shared" si="24"/>
        <v>0</v>
      </c>
      <c r="J26" s="85">
        <f t="shared" si="24"/>
        <v>0</v>
      </c>
      <c r="K26" s="85">
        <f t="shared" si="24"/>
        <v>0</v>
      </c>
      <c r="L26" s="85">
        <f t="shared" si="24"/>
        <v>0</v>
      </c>
      <c r="M26" s="85">
        <f t="shared" si="24"/>
        <v>0</v>
      </c>
      <c r="N26" s="85">
        <f t="shared" si="24"/>
        <v>0</v>
      </c>
      <c r="O26" s="85">
        <f t="shared" si="24"/>
        <v>0</v>
      </c>
      <c r="P26" s="85">
        <f t="shared" si="24"/>
        <v>0</v>
      </c>
      <c r="Q26" s="85">
        <f t="shared" si="24"/>
        <v>0</v>
      </c>
      <c r="R26" s="85">
        <f t="shared" si="24"/>
        <v>0</v>
      </c>
      <c r="S26" s="85">
        <f t="shared" si="24"/>
        <v>0</v>
      </c>
      <c r="T26" s="85">
        <f t="shared" si="24"/>
        <v>0</v>
      </c>
      <c r="U26" s="85">
        <f t="shared" si="24"/>
        <v>0</v>
      </c>
      <c r="V26" s="85">
        <f t="shared" si="24"/>
        <v>0</v>
      </c>
      <c r="W26" s="85">
        <f t="shared" si="24"/>
        <v>0</v>
      </c>
      <c r="X26" s="85">
        <f>SUM(X21:X25)</f>
        <v>0</v>
      </c>
      <c r="Y26" s="157">
        <f t="shared" si="24"/>
        <v>0</v>
      </c>
      <c r="Z26" s="157">
        <f t="shared" si="24"/>
        <v>0</v>
      </c>
      <c r="AA26" s="85">
        <f t="shared" si="24"/>
        <v>0</v>
      </c>
      <c r="AB26" s="157">
        <f t="shared" si="24"/>
        <v>0</v>
      </c>
      <c r="AC26" s="85">
        <f t="shared" si="24"/>
        <v>0</v>
      </c>
      <c r="AD26" s="157">
        <f t="shared" si="24"/>
        <v>0</v>
      </c>
      <c r="AE26" s="157">
        <f t="shared" si="24"/>
        <v>0</v>
      </c>
      <c r="AF26" s="85">
        <f>SUM(AF21:AF25)</f>
        <v>0</v>
      </c>
      <c r="AG26" s="85">
        <f t="shared" si="24"/>
        <v>0</v>
      </c>
      <c r="AH26" s="157">
        <f t="shared" si="24"/>
        <v>0</v>
      </c>
      <c r="AI26" s="84">
        <f>SUM(AI21:AI25)</f>
        <v>-364508670.14999998</v>
      </c>
      <c r="AJ26" s="84">
        <f>SUM(AJ21:AJ25)</f>
        <v>74222.260000050068</v>
      </c>
      <c r="AK26" s="85">
        <f t="shared" ref="AK26:BT26" si="25">SUM(AK21:AK25)</f>
        <v>-74222.259999999995</v>
      </c>
      <c r="AL26" s="157">
        <f t="shared" si="25"/>
        <v>0</v>
      </c>
      <c r="AM26" s="85">
        <f t="shared" si="25"/>
        <v>0</v>
      </c>
      <c r="AN26" s="85">
        <f t="shared" si="25"/>
        <v>0</v>
      </c>
      <c r="AO26" s="85">
        <f t="shared" si="25"/>
        <v>0</v>
      </c>
      <c r="AP26" s="157">
        <f t="shared" si="25"/>
        <v>0</v>
      </c>
      <c r="AQ26" s="157">
        <f t="shared" si="25"/>
        <v>0</v>
      </c>
      <c r="AR26" s="157">
        <f t="shared" si="25"/>
        <v>0</v>
      </c>
      <c r="AS26" s="85">
        <f t="shared" si="25"/>
        <v>0</v>
      </c>
      <c r="AT26" s="157">
        <f t="shared" si="25"/>
        <v>0</v>
      </c>
      <c r="AU26" s="157">
        <f t="shared" si="25"/>
        <v>0</v>
      </c>
      <c r="AV26" s="157">
        <f t="shared" si="25"/>
        <v>0</v>
      </c>
      <c r="AW26" s="157">
        <f t="shared" si="25"/>
        <v>0</v>
      </c>
      <c r="AX26" s="85">
        <f t="shared" si="25"/>
        <v>0</v>
      </c>
      <c r="AY26" s="85">
        <f t="shared" si="25"/>
        <v>0</v>
      </c>
      <c r="AZ26" s="157">
        <f t="shared" si="25"/>
        <v>0</v>
      </c>
      <c r="BA26" s="85">
        <f t="shared" si="25"/>
        <v>0</v>
      </c>
      <c r="BB26" s="157">
        <f t="shared" si="25"/>
        <v>0</v>
      </c>
      <c r="BC26" s="157">
        <f t="shared" si="25"/>
        <v>0</v>
      </c>
      <c r="BD26" s="157">
        <f t="shared" si="25"/>
        <v>0</v>
      </c>
      <c r="BE26" s="157">
        <f t="shared" si="25"/>
        <v>0</v>
      </c>
      <c r="BF26" s="157">
        <f t="shared" si="25"/>
        <v>0</v>
      </c>
      <c r="BG26" s="157">
        <f t="shared" si="25"/>
        <v>0</v>
      </c>
      <c r="BH26" s="85">
        <f t="shared" si="25"/>
        <v>0</v>
      </c>
      <c r="BI26" s="85">
        <f t="shared" si="25"/>
        <v>0</v>
      </c>
      <c r="BJ26" s="157">
        <f t="shared" si="25"/>
        <v>0</v>
      </c>
      <c r="BK26" s="85">
        <f t="shared" si="25"/>
        <v>0</v>
      </c>
      <c r="BL26" s="157">
        <f t="shared" si="25"/>
        <v>0</v>
      </c>
      <c r="BM26" s="85">
        <f t="shared" si="25"/>
        <v>0</v>
      </c>
      <c r="BN26" s="85">
        <f t="shared" si="25"/>
        <v>0</v>
      </c>
      <c r="BO26" s="85">
        <f t="shared" si="25"/>
        <v>0</v>
      </c>
      <c r="BP26" s="85">
        <f t="shared" si="25"/>
        <v>0</v>
      </c>
      <c r="BQ26" s="85">
        <f t="shared" si="25"/>
        <v>0</v>
      </c>
      <c r="BR26" s="85">
        <f t="shared" si="25"/>
        <v>0</v>
      </c>
      <c r="BS26" s="157">
        <f t="shared" si="25"/>
        <v>0</v>
      </c>
      <c r="BT26" s="85">
        <f t="shared" si="25"/>
        <v>0</v>
      </c>
      <c r="BU26" s="85">
        <f>SUM(BU21:BU25)</f>
        <v>0</v>
      </c>
      <c r="BV26" s="157">
        <f>SUM(BV21:BV25)</f>
        <v>0</v>
      </c>
      <c r="BW26" s="84">
        <f>SUM(BW21:BW25)</f>
        <v>-74222.259999999995</v>
      </c>
      <c r="BX26" s="84">
        <f>SUM(BX21:BX25)</f>
        <v>5.0073140300810337E-8</v>
      </c>
      <c r="BY26" s="85">
        <f t="shared" ref="BY26:DG26" si="26">SUM(BY21:BY25)</f>
        <v>0</v>
      </c>
      <c r="BZ26" s="157">
        <f t="shared" si="26"/>
        <v>0</v>
      </c>
      <c r="CA26" s="157">
        <f t="shared" si="26"/>
        <v>0</v>
      </c>
      <c r="CB26" s="85">
        <f t="shared" si="26"/>
        <v>0</v>
      </c>
      <c r="CC26" s="85">
        <f t="shared" si="26"/>
        <v>0</v>
      </c>
      <c r="CD26" s="157">
        <f t="shared" si="26"/>
        <v>0</v>
      </c>
      <c r="CE26" s="157">
        <f t="shared" si="26"/>
        <v>0</v>
      </c>
      <c r="CF26" s="157">
        <f t="shared" si="26"/>
        <v>0</v>
      </c>
      <c r="CG26" s="157">
        <f t="shared" si="26"/>
        <v>0</v>
      </c>
      <c r="CH26" s="157">
        <f t="shared" si="26"/>
        <v>0</v>
      </c>
      <c r="CI26" s="85">
        <f t="shared" si="26"/>
        <v>0</v>
      </c>
      <c r="CJ26" s="157">
        <f t="shared" si="26"/>
        <v>0</v>
      </c>
      <c r="CK26" s="157">
        <f t="shared" si="26"/>
        <v>0</v>
      </c>
      <c r="CL26" s="157">
        <f t="shared" si="26"/>
        <v>0</v>
      </c>
      <c r="CM26" s="157">
        <f t="shared" si="26"/>
        <v>0</v>
      </c>
      <c r="CN26" s="157">
        <f t="shared" si="26"/>
        <v>0</v>
      </c>
      <c r="CO26" s="157">
        <f t="shared" si="26"/>
        <v>0</v>
      </c>
      <c r="CP26" s="157">
        <f t="shared" si="26"/>
        <v>0</v>
      </c>
      <c r="CQ26" s="157">
        <f t="shared" si="26"/>
        <v>0</v>
      </c>
      <c r="CR26" s="157">
        <f t="shared" si="26"/>
        <v>0</v>
      </c>
      <c r="CS26" s="157">
        <f t="shared" si="26"/>
        <v>0</v>
      </c>
      <c r="CT26" s="157">
        <f t="shared" si="26"/>
        <v>0</v>
      </c>
      <c r="CU26" s="157">
        <f t="shared" si="26"/>
        <v>0</v>
      </c>
      <c r="CV26" s="85">
        <f t="shared" si="26"/>
        <v>0</v>
      </c>
      <c r="CW26" s="85">
        <f t="shared" si="26"/>
        <v>0</v>
      </c>
      <c r="CX26" s="157">
        <f t="shared" si="26"/>
        <v>0</v>
      </c>
      <c r="CY26" s="85">
        <f t="shared" si="26"/>
        <v>0</v>
      </c>
      <c r="CZ26" s="157">
        <f t="shared" si="26"/>
        <v>0</v>
      </c>
      <c r="DA26" s="85">
        <f t="shared" si="26"/>
        <v>0</v>
      </c>
      <c r="DB26" s="85">
        <f t="shared" si="26"/>
        <v>0</v>
      </c>
      <c r="DC26" s="85">
        <f t="shared" si="26"/>
        <v>0</v>
      </c>
      <c r="DD26" s="85">
        <f t="shared" si="26"/>
        <v>0</v>
      </c>
      <c r="DE26" s="85">
        <f t="shared" si="26"/>
        <v>0</v>
      </c>
      <c r="DF26" s="85">
        <f t="shared" si="26"/>
        <v>0</v>
      </c>
      <c r="DG26" s="157">
        <f t="shared" si="26"/>
        <v>0</v>
      </c>
      <c r="DH26" s="85">
        <f>SUM(DH21:DH25)</f>
        <v>0</v>
      </c>
      <c r="DI26" s="210">
        <f>SUM(DI21:DI25)</f>
        <v>0</v>
      </c>
      <c r="DJ26" s="157">
        <f>SUM(DJ21:DJ25)</f>
        <v>0</v>
      </c>
      <c r="DK26" s="84">
        <f t="shared" ref="DK26:EU26" si="27">SUM(DK21:DK25)</f>
        <v>0</v>
      </c>
      <c r="DL26" s="84">
        <f t="shared" si="27"/>
        <v>5.0073140300810337E-8</v>
      </c>
      <c r="DM26" s="85">
        <f t="shared" si="27"/>
        <v>0</v>
      </c>
      <c r="DN26" s="157">
        <f t="shared" si="27"/>
        <v>0</v>
      </c>
      <c r="DO26" s="157">
        <f t="shared" si="27"/>
        <v>0</v>
      </c>
      <c r="DP26" s="85">
        <f t="shared" si="27"/>
        <v>0</v>
      </c>
      <c r="DQ26" s="85">
        <f t="shared" si="27"/>
        <v>0</v>
      </c>
      <c r="DR26" s="157">
        <f t="shared" si="27"/>
        <v>0</v>
      </c>
      <c r="DS26" s="157">
        <f t="shared" si="27"/>
        <v>0</v>
      </c>
      <c r="DT26" s="157">
        <f t="shared" si="27"/>
        <v>0</v>
      </c>
      <c r="DU26" s="157">
        <f t="shared" si="27"/>
        <v>0</v>
      </c>
      <c r="DV26" s="157">
        <f t="shared" si="27"/>
        <v>0</v>
      </c>
      <c r="DW26" s="85">
        <f t="shared" si="27"/>
        <v>0</v>
      </c>
      <c r="DX26" s="157">
        <f t="shared" si="27"/>
        <v>0</v>
      </c>
      <c r="DY26" s="157">
        <f t="shared" si="27"/>
        <v>0</v>
      </c>
      <c r="DZ26" s="157">
        <f t="shared" si="27"/>
        <v>0</v>
      </c>
      <c r="EA26" s="85">
        <f t="shared" si="27"/>
        <v>0</v>
      </c>
      <c r="EB26" s="157">
        <f t="shared" si="27"/>
        <v>0</v>
      </c>
      <c r="EC26" s="157">
        <f t="shared" si="27"/>
        <v>0</v>
      </c>
      <c r="ED26" s="157">
        <f t="shared" si="27"/>
        <v>0</v>
      </c>
      <c r="EE26" s="157">
        <f t="shared" si="27"/>
        <v>0</v>
      </c>
      <c r="EF26" s="157">
        <f t="shared" si="27"/>
        <v>0</v>
      </c>
      <c r="EG26" s="157">
        <f t="shared" si="27"/>
        <v>0</v>
      </c>
      <c r="EH26" s="85">
        <f t="shared" si="27"/>
        <v>0</v>
      </c>
      <c r="EI26" s="157">
        <f t="shared" si="27"/>
        <v>0</v>
      </c>
      <c r="EJ26" s="85">
        <f t="shared" si="27"/>
        <v>0</v>
      </c>
      <c r="EK26" s="85">
        <f t="shared" si="27"/>
        <v>0</v>
      </c>
      <c r="EL26" s="85">
        <f t="shared" si="27"/>
        <v>0</v>
      </c>
      <c r="EM26" s="85">
        <f t="shared" si="27"/>
        <v>0</v>
      </c>
      <c r="EN26" s="157">
        <f t="shared" si="27"/>
        <v>0</v>
      </c>
      <c r="EO26" s="85">
        <f t="shared" si="27"/>
        <v>0</v>
      </c>
      <c r="EP26" s="85">
        <f t="shared" si="27"/>
        <v>0</v>
      </c>
      <c r="EQ26" s="85">
        <f t="shared" si="27"/>
        <v>0</v>
      </c>
      <c r="ER26" s="85">
        <f t="shared" si="27"/>
        <v>0</v>
      </c>
      <c r="ES26" s="85">
        <f t="shared" si="27"/>
        <v>0</v>
      </c>
      <c r="ET26" s="85">
        <f t="shared" si="27"/>
        <v>0</v>
      </c>
      <c r="EU26" s="85">
        <f t="shared" si="27"/>
        <v>0</v>
      </c>
      <c r="EV26" s="85">
        <f>SUM(EV21:EV25)</f>
        <v>0</v>
      </c>
      <c r="EW26" s="210">
        <f>SUM(EW21:EW25)</f>
        <v>0</v>
      </c>
      <c r="EX26" s="210">
        <f>SUM(EX21:EX25)</f>
        <v>0</v>
      </c>
      <c r="EY26" s="85">
        <f>SUM(EY21:EY25)</f>
        <v>0</v>
      </c>
      <c r="EZ26" s="84">
        <f t="shared" ref="EZ26:GJ26" si="28">SUM(EZ21:EZ25)</f>
        <v>0</v>
      </c>
      <c r="FA26" s="84">
        <f t="shared" si="28"/>
        <v>5.0073140300810337E-8</v>
      </c>
      <c r="FB26" s="85">
        <f t="shared" si="28"/>
        <v>0</v>
      </c>
      <c r="FC26" s="157">
        <f t="shared" si="28"/>
        <v>0</v>
      </c>
      <c r="FD26" s="157">
        <f t="shared" si="28"/>
        <v>0</v>
      </c>
      <c r="FE26" s="85">
        <f t="shared" si="28"/>
        <v>0</v>
      </c>
      <c r="FF26" s="85">
        <f t="shared" si="28"/>
        <v>0</v>
      </c>
      <c r="FG26" s="157">
        <f t="shared" si="28"/>
        <v>0</v>
      </c>
      <c r="FH26" s="157">
        <f t="shared" si="28"/>
        <v>0</v>
      </c>
      <c r="FI26" s="157">
        <f t="shared" si="28"/>
        <v>0</v>
      </c>
      <c r="FJ26" s="157">
        <f t="shared" si="28"/>
        <v>0</v>
      </c>
      <c r="FK26" s="157">
        <f t="shared" si="28"/>
        <v>0</v>
      </c>
      <c r="FL26" s="85">
        <f t="shared" si="28"/>
        <v>0</v>
      </c>
      <c r="FM26" s="157">
        <f t="shared" si="28"/>
        <v>0</v>
      </c>
      <c r="FN26" s="157">
        <f t="shared" si="28"/>
        <v>0</v>
      </c>
      <c r="FO26" s="157">
        <f t="shared" si="28"/>
        <v>0</v>
      </c>
      <c r="FP26" s="157">
        <f t="shared" si="28"/>
        <v>0</v>
      </c>
      <c r="FQ26" s="157">
        <f t="shared" si="28"/>
        <v>0</v>
      </c>
      <c r="FR26" s="157">
        <f t="shared" si="28"/>
        <v>0</v>
      </c>
      <c r="FS26" s="157">
        <f t="shared" si="28"/>
        <v>0</v>
      </c>
      <c r="FT26" s="157">
        <f t="shared" si="28"/>
        <v>0</v>
      </c>
      <c r="FU26" s="157">
        <f t="shared" si="28"/>
        <v>0</v>
      </c>
      <c r="FV26" s="157">
        <f t="shared" si="28"/>
        <v>0</v>
      </c>
      <c r="FW26" s="85">
        <f t="shared" si="28"/>
        <v>0</v>
      </c>
      <c r="FX26" s="157">
        <f t="shared" si="28"/>
        <v>0</v>
      </c>
      <c r="FY26" s="85">
        <f t="shared" si="28"/>
        <v>0</v>
      </c>
      <c r="FZ26" s="85">
        <f t="shared" si="28"/>
        <v>0</v>
      </c>
      <c r="GA26" s="157">
        <f t="shared" si="28"/>
        <v>0</v>
      </c>
      <c r="GB26" s="85">
        <f t="shared" si="28"/>
        <v>0</v>
      </c>
      <c r="GC26" s="157">
        <f t="shared" si="28"/>
        <v>0</v>
      </c>
      <c r="GD26" s="85">
        <f t="shared" si="28"/>
        <v>0</v>
      </c>
      <c r="GE26" s="85">
        <f t="shared" si="28"/>
        <v>0</v>
      </c>
      <c r="GF26" s="85">
        <f t="shared" si="28"/>
        <v>0</v>
      </c>
      <c r="GG26" s="85">
        <f t="shared" si="28"/>
        <v>0</v>
      </c>
      <c r="GH26" s="85">
        <f t="shared" si="28"/>
        <v>0</v>
      </c>
      <c r="GI26" s="85">
        <f t="shared" si="28"/>
        <v>0</v>
      </c>
      <c r="GJ26" s="85">
        <f t="shared" si="28"/>
        <v>0</v>
      </c>
      <c r="GK26" s="85">
        <f>SUM(GK21:GK25)</f>
        <v>0</v>
      </c>
      <c r="GL26" s="210">
        <f>SUM(GL21:GL25)</f>
        <v>0</v>
      </c>
      <c r="GM26" s="210">
        <f>SUM(GM21:GM25)</f>
        <v>0</v>
      </c>
      <c r="GN26" s="85">
        <f>SUM(GN21:GN25)</f>
        <v>0</v>
      </c>
      <c r="GO26" s="84">
        <f t="shared" ref="GO26:IE26" si="29">SUM(GO21:GO25)</f>
        <v>0</v>
      </c>
      <c r="GP26" s="84">
        <f t="shared" si="29"/>
        <v>5.0073140300810337E-8</v>
      </c>
      <c r="GQ26" s="85">
        <f t="shared" si="29"/>
        <v>0</v>
      </c>
      <c r="GR26" s="157">
        <f t="shared" si="29"/>
        <v>0</v>
      </c>
      <c r="GS26" s="157">
        <f t="shared" si="29"/>
        <v>0</v>
      </c>
      <c r="GT26" s="85">
        <f t="shared" si="29"/>
        <v>0</v>
      </c>
      <c r="GU26" s="85">
        <f t="shared" si="29"/>
        <v>0</v>
      </c>
      <c r="GV26" s="157">
        <f t="shared" si="29"/>
        <v>0</v>
      </c>
      <c r="GW26" s="157">
        <f t="shared" si="29"/>
        <v>0</v>
      </c>
      <c r="GX26" s="157">
        <f t="shared" si="29"/>
        <v>0</v>
      </c>
      <c r="GY26" s="157">
        <f t="shared" si="29"/>
        <v>0</v>
      </c>
      <c r="GZ26" s="157">
        <f t="shared" si="29"/>
        <v>0</v>
      </c>
      <c r="HA26" s="85">
        <f t="shared" si="29"/>
        <v>0</v>
      </c>
      <c r="HB26" s="157">
        <f t="shared" si="29"/>
        <v>0</v>
      </c>
      <c r="HC26" s="157">
        <f t="shared" si="29"/>
        <v>0</v>
      </c>
      <c r="HD26" s="157">
        <f t="shared" si="29"/>
        <v>0</v>
      </c>
      <c r="HE26" s="157">
        <f t="shared" si="29"/>
        <v>0</v>
      </c>
      <c r="HF26" s="157">
        <f t="shared" si="29"/>
        <v>0</v>
      </c>
      <c r="HG26" s="157">
        <f t="shared" si="29"/>
        <v>0</v>
      </c>
      <c r="HH26" s="157">
        <f t="shared" si="29"/>
        <v>0</v>
      </c>
      <c r="HI26" s="157">
        <f t="shared" si="29"/>
        <v>0</v>
      </c>
      <c r="HJ26" s="157">
        <f t="shared" si="29"/>
        <v>0</v>
      </c>
      <c r="HK26" s="157">
        <f t="shared" si="29"/>
        <v>0</v>
      </c>
      <c r="HL26" s="85">
        <f t="shared" si="29"/>
        <v>0</v>
      </c>
      <c r="HM26" s="157">
        <f t="shared" si="29"/>
        <v>0</v>
      </c>
      <c r="HN26" s="85">
        <f t="shared" si="29"/>
        <v>0</v>
      </c>
      <c r="HO26" s="85">
        <f t="shared" si="29"/>
        <v>0</v>
      </c>
      <c r="HP26" s="85">
        <f t="shared" si="29"/>
        <v>0</v>
      </c>
      <c r="HQ26" s="85">
        <f t="shared" si="29"/>
        <v>0</v>
      </c>
      <c r="HR26" s="157">
        <f t="shared" si="29"/>
        <v>0</v>
      </c>
      <c r="HS26" s="85">
        <f t="shared" si="29"/>
        <v>0</v>
      </c>
      <c r="HT26" s="85">
        <f t="shared" si="29"/>
        <v>0</v>
      </c>
      <c r="HU26" s="85">
        <f t="shared" si="29"/>
        <v>0</v>
      </c>
      <c r="HV26" s="85">
        <f t="shared" si="29"/>
        <v>0</v>
      </c>
      <c r="HW26" s="85">
        <f t="shared" si="29"/>
        <v>0</v>
      </c>
      <c r="HX26" s="85">
        <f t="shared" si="29"/>
        <v>0</v>
      </c>
      <c r="HY26" s="85">
        <f t="shared" si="29"/>
        <v>0</v>
      </c>
      <c r="HZ26" s="157">
        <f t="shared" si="29"/>
        <v>0</v>
      </c>
      <c r="IA26" s="210">
        <f>SUM(IA21:IA25)</f>
        <v>0</v>
      </c>
      <c r="IB26" s="210">
        <f>SUM(IB21:IB25)</f>
        <v>0</v>
      </c>
      <c r="IC26" s="85">
        <f t="shared" si="29"/>
        <v>0</v>
      </c>
      <c r="ID26" s="84">
        <f t="shared" si="29"/>
        <v>0</v>
      </c>
      <c r="IE26" s="84">
        <f t="shared" si="29"/>
        <v>5.0073140300810337E-8</v>
      </c>
      <c r="IF26" s="47" t="s">
        <v>34</v>
      </c>
    </row>
    <row r="27" spans="1:242" x14ac:dyDescent="0.3">
      <c r="A27" s="58">
        <f>ROW()</f>
        <v>27</v>
      </c>
      <c r="B27" s="74"/>
      <c r="C27" s="83"/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  <c r="Y27" s="156"/>
      <c r="Z27" s="156"/>
      <c r="AA27" s="51"/>
      <c r="AB27" s="156"/>
      <c r="AC27" s="51"/>
      <c r="AD27" s="156"/>
      <c r="AE27" s="156"/>
      <c r="AF27" s="51"/>
      <c r="AG27" s="51"/>
      <c r="AH27" s="156"/>
      <c r="AI27" s="83"/>
      <c r="AJ27" s="83"/>
      <c r="AK27" s="51"/>
      <c r="AL27" s="156"/>
      <c r="AM27" s="51"/>
      <c r="AN27" s="51"/>
      <c r="AO27" s="51"/>
      <c r="AP27" s="156"/>
      <c r="AQ27" s="156"/>
      <c r="AR27" s="156"/>
      <c r="AS27" s="51"/>
      <c r="AT27" s="156"/>
      <c r="AU27" s="156"/>
      <c r="AV27" s="156"/>
      <c r="AW27" s="156"/>
      <c r="AX27" s="51"/>
      <c r="AY27" s="51"/>
      <c r="AZ27" s="156"/>
      <c r="BA27" s="51"/>
      <c r="BB27" s="156"/>
      <c r="BC27" s="156"/>
      <c r="BD27" s="156"/>
      <c r="BE27" s="156"/>
      <c r="BF27" s="156"/>
      <c r="BG27" s="156"/>
      <c r="BH27" s="51"/>
      <c r="BI27" s="51"/>
      <c r="BJ27" s="156"/>
      <c r="BK27" s="51"/>
      <c r="BL27" s="156"/>
      <c r="BM27" s="51"/>
      <c r="BN27" s="51"/>
      <c r="BO27" s="51"/>
      <c r="BP27" s="51"/>
      <c r="BQ27" s="51"/>
      <c r="BR27" s="51"/>
      <c r="BS27" s="156"/>
      <c r="BT27" s="51"/>
      <c r="BU27" s="51"/>
      <c r="BV27" s="156"/>
      <c r="BW27" s="83"/>
      <c r="BX27" s="83"/>
      <c r="BY27" s="51"/>
      <c r="BZ27" s="156"/>
      <c r="CA27" s="156"/>
      <c r="CB27" s="51"/>
      <c r="CC27" s="51"/>
      <c r="CD27" s="156"/>
      <c r="CE27" s="156"/>
      <c r="CF27" s="156"/>
      <c r="CG27" s="156"/>
      <c r="CH27" s="156"/>
      <c r="CI27" s="51"/>
      <c r="CJ27" s="156"/>
      <c r="CK27" s="156"/>
      <c r="CL27" s="156"/>
      <c r="CM27" s="156"/>
      <c r="CN27" s="156"/>
      <c r="CO27" s="156"/>
      <c r="CP27" s="156"/>
      <c r="CQ27" s="156"/>
      <c r="CR27" s="156"/>
      <c r="CS27" s="156"/>
      <c r="CT27" s="156"/>
      <c r="CU27" s="156"/>
      <c r="CV27" s="51"/>
      <c r="CW27" s="51"/>
      <c r="CX27" s="156"/>
      <c r="CY27" s="51"/>
      <c r="CZ27" s="156"/>
      <c r="DA27" s="51"/>
      <c r="DB27" s="51"/>
      <c r="DC27" s="51"/>
      <c r="DD27" s="51"/>
      <c r="DE27" s="51"/>
      <c r="DF27" s="51"/>
      <c r="DG27" s="156"/>
      <c r="DH27" s="51"/>
      <c r="DI27" s="203"/>
      <c r="DJ27" s="156"/>
      <c r="DK27" s="83"/>
      <c r="DL27" s="83"/>
      <c r="DM27" s="51"/>
      <c r="DN27" s="156"/>
      <c r="DO27" s="156"/>
      <c r="DP27" s="51"/>
      <c r="DQ27" s="51"/>
      <c r="DR27" s="156"/>
      <c r="DS27" s="156"/>
      <c r="DT27" s="156"/>
      <c r="DU27" s="156"/>
      <c r="DV27" s="156"/>
      <c r="DW27" s="51"/>
      <c r="DX27" s="156"/>
      <c r="DY27" s="156"/>
      <c r="DZ27" s="156"/>
      <c r="EA27" s="51"/>
      <c r="EB27" s="156"/>
      <c r="EC27" s="156"/>
      <c r="ED27" s="156"/>
      <c r="EE27" s="156"/>
      <c r="EF27" s="156"/>
      <c r="EG27" s="156"/>
      <c r="EH27" s="51"/>
      <c r="EI27" s="156"/>
      <c r="EJ27" s="51"/>
      <c r="EK27" s="51"/>
      <c r="EL27" s="51"/>
      <c r="EM27" s="51"/>
      <c r="EN27" s="156"/>
      <c r="EO27" s="51"/>
      <c r="EP27" s="51"/>
      <c r="EQ27" s="51"/>
      <c r="ER27" s="51"/>
      <c r="ES27" s="51"/>
      <c r="ET27" s="51"/>
      <c r="EU27" s="51"/>
      <c r="EV27" s="51"/>
      <c r="EW27" s="203"/>
      <c r="EX27" s="203"/>
      <c r="EY27" s="51"/>
      <c r="EZ27" s="83"/>
      <c r="FA27" s="83"/>
      <c r="FB27" s="51"/>
      <c r="FC27" s="156"/>
      <c r="FD27" s="156"/>
      <c r="FE27" s="51"/>
      <c r="FF27" s="51"/>
      <c r="FG27" s="156"/>
      <c r="FH27" s="156"/>
      <c r="FI27" s="156"/>
      <c r="FJ27" s="156"/>
      <c r="FK27" s="156"/>
      <c r="FL27" s="51"/>
      <c r="FM27" s="156"/>
      <c r="FN27" s="156"/>
      <c r="FO27" s="156"/>
      <c r="FP27" s="156"/>
      <c r="FQ27" s="156"/>
      <c r="FR27" s="156"/>
      <c r="FS27" s="156"/>
      <c r="FT27" s="156"/>
      <c r="FU27" s="156"/>
      <c r="FV27" s="156"/>
      <c r="FW27" s="51"/>
      <c r="FX27" s="156"/>
      <c r="FY27" s="51"/>
      <c r="FZ27" s="51"/>
      <c r="GA27" s="156"/>
      <c r="GB27" s="51"/>
      <c r="GC27" s="156"/>
      <c r="GD27" s="51"/>
      <c r="GE27" s="51"/>
      <c r="GF27" s="51"/>
      <c r="GG27" s="51"/>
      <c r="GH27" s="51"/>
      <c r="GI27" s="51"/>
      <c r="GJ27" s="51"/>
      <c r="GK27" s="51"/>
      <c r="GL27" s="203"/>
      <c r="GM27" s="203"/>
      <c r="GN27" s="51"/>
      <c r="GO27" s="83"/>
      <c r="GP27" s="83"/>
      <c r="GQ27" s="51"/>
      <c r="GR27" s="156"/>
      <c r="GS27" s="156"/>
      <c r="GT27" s="51"/>
      <c r="GU27" s="51"/>
      <c r="GV27" s="156"/>
      <c r="GW27" s="156"/>
      <c r="GX27" s="156"/>
      <c r="GY27" s="156"/>
      <c r="GZ27" s="156"/>
      <c r="HA27" s="51"/>
      <c r="HB27" s="156"/>
      <c r="HC27" s="156"/>
      <c r="HD27" s="156"/>
      <c r="HE27" s="156"/>
      <c r="HF27" s="156"/>
      <c r="HG27" s="156"/>
      <c r="HH27" s="156"/>
      <c r="HI27" s="156"/>
      <c r="HJ27" s="156"/>
      <c r="HK27" s="156"/>
      <c r="HL27" s="51"/>
      <c r="HM27" s="156"/>
      <c r="HN27" s="51"/>
      <c r="HO27" s="51"/>
      <c r="HP27" s="51"/>
      <c r="HQ27" s="51"/>
      <c r="HR27" s="156"/>
      <c r="HS27" s="51"/>
      <c r="HT27" s="51"/>
      <c r="HU27" s="51"/>
      <c r="HV27" s="51"/>
      <c r="HW27" s="51"/>
      <c r="HX27" s="51"/>
      <c r="HY27" s="51"/>
      <c r="HZ27" s="156"/>
      <c r="IA27" s="203"/>
      <c r="IB27" s="203"/>
      <c r="IC27" s="51"/>
      <c r="ID27" s="83"/>
      <c r="IE27" s="83"/>
      <c r="IF27" s="47" t="s">
        <v>34</v>
      </c>
    </row>
    <row r="28" spans="1:242" x14ac:dyDescent="0.3">
      <c r="A28" s="58">
        <f>ROW()</f>
        <v>28</v>
      </c>
      <c r="B28" s="197" t="s">
        <v>77</v>
      </c>
      <c r="C28" s="78">
        <v>6729370.9799999995</v>
      </c>
      <c r="D28" s="51"/>
      <c r="E28" s="51"/>
      <c r="F28" s="51"/>
      <c r="G28" s="51"/>
      <c r="H28" s="51"/>
      <c r="I28" s="51"/>
      <c r="J28" s="51"/>
      <c r="K28" s="79"/>
      <c r="L28" s="51"/>
      <c r="M28" s="51"/>
      <c r="N28" s="79">
        <v>173022.3027876078</v>
      </c>
      <c r="O28" s="51"/>
      <c r="P28" s="51"/>
      <c r="Q28" s="51"/>
      <c r="R28" s="79"/>
      <c r="S28" s="51"/>
      <c r="T28" s="51"/>
      <c r="U28" s="79">
        <v>61668.426544097907</v>
      </c>
      <c r="V28" s="51"/>
      <c r="W28" s="51"/>
      <c r="X28" s="51"/>
      <c r="Y28" s="156"/>
      <c r="Z28" s="156"/>
      <c r="AA28" s="51"/>
      <c r="AB28" s="156"/>
      <c r="AC28" s="51"/>
      <c r="AD28" s="156"/>
      <c r="AE28" s="156"/>
      <c r="AF28" s="51"/>
      <c r="AG28" s="51"/>
      <c r="AH28" s="156"/>
      <c r="AI28" s="78">
        <f t="shared" ref="AI28:AI41" si="30">SUM(D28:AH28)</f>
        <v>234690.72933170572</v>
      </c>
      <c r="AJ28" s="83">
        <f t="shared" ref="AJ28:AJ41" si="31">+AI28+C28</f>
        <v>6964061.7093317052</v>
      </c>
      <c r="AK28" s="51"/>
      <c r="AL28" s="156"/>
      <c r="AM28" s="51"/>
      <c r="AN28" s="51"/>
      <c r="AO28" s="51"/>
      <c r="AP28" s="156"/>
      <c r="AQ28" s="153"/>
      <c r="AR28" s="156"/>
      <c r="AS28" s="51"/>
      <c r="AT28" s="156"/>
      <c r="AU28" s="153">
        <v>-71768.190266558202</v>
      </c>
      <c r="AV28" s="156"/>
      <c r="AW28" s="156"/>
      <c r="AX28" s="51"/>
      <c r="AY28" s="51"/>
      <c r="AZ28" s="156"/>
      <c r="BA28" s="51"/>
      <c r="BB28" s="156"/>
      <c r="BC28" s="156"/>
      <c r="BD28" s="156"/>
      <c r="BE28" s="156"/>
      <c r="BF28" s="156"/>
      <c r="BG28" s="156"/>
      <c r="BH28" s="51"/>
      <c r="BI28" s="51"/>
      <c r="BJ28" s="156"/>
      <c r="BK28" s="51"/>
      <c r="BL28" s="156"/>
      <c r="BM28" s="51"/>
      <c r="BN28" s="51"/>
      <c r="BO28" s="51"/>
      <c r="BP28" s="51"/>
      <c r="BQ28" s="51"/>
      <c r="BR28" s="51"/>
      <c r="BS28" s="156"/>
      <c r="BT28" s="51"/>
      <c r="BU28" s="51"/>
      <c r="BV28" s="156"/>
      <c r="BW28" s="78">
        <f t="shared" ref="BW28:BW37" si="32">SUM(AK28:BV28)</f>
        <v>-71768.190266558202</v>
      </c>
      <c r="BX28" s="83">
        <f t="shared" ref="BX28:BX41" si="33">+BW28+AJ28</f>
        <v>6892293.5190651473</v>
      </c>
      <c r="BY28" s="51"/>
      <c r="BZ28" s="156"/>
      <c r="CA28" s="156"/>
      <c r="CB28" s="51"/>
      <c r="CC28" s="51"/>
      <c r="CD28" s="156"/>
      <c r="CE28" s="156"/>
      <c r="CF28" s="156"/>
      <c r="CG28" s="156"/>
      <c r="CH28" s="156"/>
      <c r="CI28" s="51">
        <v>2653.2615301917995</v>
      </c>
      <c r="CJ28" s="156"/>
      <c r="CK28" s="156"/>
      <c r="CL28" s="156"/>
      <c r="CM28" s="156"/>
      <c r="CN28" s="156"/>
      <c r="CO28" s="156"/>
      <c r="CP28" s="156"/>
      <c r="CQ28" s="156"/>
      <c r="CR28" s="156"/>
      <c r="CS28" s="156"/>
      <c r="CT28" s="156"/>
      <c r="CU28" s="156"/>
      <c r="CV28" s="51"/>
      <c r="CW28" s="51"/>
      <c r="CX28" s="156"/>
      <c r="CY28" s="51"/>
      <c r="CZ28" s="156"/>
      <c r="DA28" s="51"/>
      <c r="DB28" s="51"/>
      <c r="DC28" s="51"/>
      <c r="DD28" s="51"/>
      <c r="DE28" s="51"/>
      <c r="DF28" s="51"/>
      <c r="DG28" s="156"/>
      <c r="DH28" s="51"/>
      <c r="DI28" s="203"/>
      <c r="DJ28" s="156"/>
      <c r="DK28" s="78">
        <f t="shared" ref="DK28:DK41" si="34">SUM(BY28:DJ28)</f>
        <v>2653.2615301917995</v>
      </c>
      <c r="DL28" s="83">
        <f t="shared" ref="DL28:DL41" si="35">+DK28+BX28</f>
        <v>6894946.7805953389</v>
      </c>
      <c r="DM28" s="51"/>
      <c r="DN28" s="156"/>
      <c r="DO28" s="156"/>
      <c r="DP28" s="51"/>
      <c r="DQ28" s="51"/>
      <c r="DR28" s="156"/>
      <c r="DS28" s="156"/>
      <c r="DT28" s="156"/>
      <c r="DU28" s="156"/>
      <c r="DV28" s="156"/>
      <c r="DW28" s="51">
        <v>13343.881610638717</v>
      </c>
      <c r="DX28" s="156"/>
      <c r="DY28" s="156"/>
      <c r="DZ28" s="156"/>
      <c r="EA28" s="51"/>
      <c r="EB28" s="156"/>
      <c r="EC28" s="156"/>
      <c r="ED28" s="156"/>
      <c r="EE28" s="156"/>
      <c r="EF28" s="156"/>
      <c r="EG28" s="156"/>
      <c r="EH28" s="208">
        <f>+'[22]BGM-7'!J56</f>
        <v>228664.42091901693</v>
      </c>
      <c r="EI28" s="156"/>
      <c r="EJ28" s="51"/>
      <c r="EK28" s="51"/>
      <c r="EL28" s="51"/>
      <c r="EM28" s="51"/>
      <c r="EN28" s="156"/>
      <c r="EO28" s="51"/>
      <c r="EP28" s="51"/>
      <c r="EQ28" s="51"/>
      <c r="ER28" s="51"/>
      <c r="ES28" s="51"/>
      <c r="ET28" s="51"/>
      <c r="EU28" s="51"/>
      <c r="EV28" s="51"/>
      <c r="EW28" s="203"/>
      <c r="EX28" s="203"/>
      <c r="EY28" s="51"/>
      <c r="EZ28" s="78">
        <f t="shared" ref="EZ28:EZ41" si="36">SUM(DM28:EY28)</f>
        <v>242008.30252965566</v>
      </c>
      <c r="FA28" s="83">
        <f t="shared" ref="FA28:FA41" si="37">+EZ28+DL28</f>
        <v>7136955.0831249943</v>
      </c>
      <c r="FB28" s="51"/>
      <c r="FC28" s="156"/>
      <c r="FD28" s="156"/>
      <c r="FE28" s="51"/>
      <c r="FF28" s="51"/>
      <c r="FG28" s="156"/>
      <c r="FH28" s="156"/>
      <c r="FI28" s="156"/>
      <c r="FJ28" s="156"/>
      <c r="FK28" s="156"/>
      <c r="FL28" s="51">
        <v>40974.828567651137</v>
      </c>
      <c r="FM28" s="156"/>
      <c r="FN28" s="156"/>
      <c r="FO28" s="156"/>
      <c r="FP28" s="156"/>
      <c r="FQ28" s="156"/>
      <c r="FR28" s="156"/>
      <c r="FS28" s="156"/>
      <c r="FT28" s="156"/>
      <c r="FU28" s="156"/>
      <c r="FV28" s="156"/>
      <c r="FW28" s="208">
        <f>+'[22]BGM-7'!K56</f>
        <v>182706.05012800079</v>
      </c>
      <c r="FX28" s="156"/>
      <c r="FY28" s="51"/>
      <c r="FZ28" s="51"/>
      <c r="GA28" s="156"/>
      <c r="GB28" s="51"/>
      <c r="GC28" s="156"/>
      <c r="GD28" s="51"/>
      <c r="GE28" s="51"/>
      <c r="GF28" s="51"/>
      <c r="GG28" s="51"/>
      <c r="GH28" s="51"/>
      <c r="GI28" s="51"/>
      <c r="GJ28" s="51"/>
      <c r="GK28" s="51"/>
      <c r="GL28" s="203"/>
      <c r="GM28" s="203"/>
      <c r="GN28" s="51"/>
      <c r="GO28" s="78">
        <f t="shared" ref="GO28:GO41" si="38">SUM(FB28:GN28)</f>
        <v>223680.87869565192</v>
      </c>
      <c r="GP28" s="83">
        <f t="shared" ref="GP28:GP41" si="39">+GO28+FA28</f>
        <v>7360635.9618206462</v>
      </c>
      <c r="GQ28" s="51"/>
      <c r="GR28" s="156"/>
      <c r="GS28" s="156"/>
      <c r="GT28" s="51"/>
      <c r="GU28" s="51"/>
      <c r="GV28" s="156"/>
      <c r="GW28" s="156"/>
      <c r="GX28" s="156"/>
      <c r="GY28" s="156"/>
      <c r="GZ28" s="156"/>
      <c r="HA28" s="51">
        <v>61883.721766120718</v>
      </c>
      <c r="HB28" s="156"/>
      <c r="HC28" s="156"/>
      <c r="HD28" s="156"/>
      <c r="HE28" s="156"/>
      <c r="HF28" s="156"/>
      <c r="HG28" s="156"/>
      <c r="HH28" s="156"/>
      <c r="HI28" s="156"/>
      <c r="HJ28" s="156"/>
      <c r="HK28" s="156"/>
      <c r="HL28" s="208">
        <f>+'[22]BGM-7'!L56</f>
        <v>187383.32501127757</v>
      </c>
      <c r="HM28" s="156"/>
      <c r="HN28" s="51"/>
      <c r="HO28" s="51"/>
      <c r="HP28" s="51"/>
      <c r="HQ28" s="51"/>
      <c r="HR28" s="156"/>
      <c r="HS28" s="51"/>
      <c r="HT28" s="51"/>
      <c r="HU28" s="51"/>
      <c r="HV28" s="51"/>
      <c r="HW28" s="51"/>
      <c r="HX28" s="51"/>
      <c r="HY28" s="51"/>
      <c r="HZ28" s="156"/>
      <c r="IA28" s="203"/>
      <c r="IB28" s="203"/>
      <c r="IC28" s="51"/>
      <c r="ID28" s="78">
        <f t="shared" ref="ID28:ID41" si="40">SUM(GQ28:IC28)</f>
        <v>249267.0467773983</v>
      </c>
      <c r="IE28" s="83">
        <f t="shared" ref="IE28:IE41" si="41">+ID28+GP28</f>
        <v>7609903.0085980445</v>
      </c>
      <c r="IF28" s="47" t="s">
        <v>34</v>
      </c>
    </row>
    <row r="29" spans="1:242" x14ac:dyDescent="0.3">
      <c r="A29" s="58">
        <f>ROW()</f>
        <v>29</v>
      </c>
      <c r="B29" s="74" t="s">
        <v>78</v>
      </c>
      <c r="C29" s="78">
        <v>0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>
        <v>0</v>
      </c>
      <c r="O29" s="79"/>
      <c r="P29" s="79"/>
      <c r="Q29" s="79"/>
      <c r="R29" s="79"/>
      <c r="S29" s="79"/>
      <c r="T29" s="79"/>
      <c r="U29" s="79">
        <v>0</v>
      </c>
      <c r="V29" s="79"/>
      <c r="W29" s="79"/>
      <c r="X29" s="79"/>
      <c r="Y29" s="153"/>
      <c r="Z29" s="153"/>
      <c r="AA29" s="79"/>
      <c r="AB29" s="153"/>
      <c r="AC29" s="79"/>
      <c r="AD29" s="153"/>
      <c r="AE29" s="153"/>
      <c r="AF29" s="79"/>
      <c r="AG29" s="79"/>
      <c r="AH29" s="153"/>
      <c r="AI29" s="78">
        <f t="shared" si="30"/>
        <v>0</v>
      </c>
      <c r="AJ29" s="78">
        <f t="shared" si="31"/>
        <v>0</v>
      </c>
      <c r="AK29" s="79"/>
      <c r="AL29" s="153"/>
      <c r="AM29" s="79"/>
      <c r="AN29" s="79"/>
      <c r="AO29" s="79"/>
      <c r="AP29" s="153"/>
      <c r="AQ29" s="153"/>
      <c r="AR29" s="153"/>
      <c r="AS29" s="79"/>
      <c r="AT29" s="153"/>
      <c r="AU29" s="153">
        <v>0</v>
      </c>
      <c r="AV29" s="153"/>
      <c r="AW29" s="153"/>
      <c r="AX29" s="79"/>
      <c r="AY29" s="79"/>
      <c r="AZ29" s="153"/>
      <c r="BA29" s="79"/>
      <c r="BB29" s="153"/>
      <c r="BC29" s="153"/>
      <c r="BD29" s="153"/>
      <c r="BE29" s="153"/>
      <c r="BF29" s="153"/>
      <c r="BG29" s="153"/>
      <c r="BH29" s="79"/>
      <c r="BI29" s="79"/>
      <c r="BJ29" s="153"/>
      <c r="BK29" s="79"/>
      <c r="BL29" s="153"/>
      <c r="BM29" s="79"/>
      <c r="BN29" s="79"/>
      <c r="BO29" s="79"/>
      <c r="BP29" s="79"/>
      <c r="BQ29" s="79"/>
      <c r="BR29" s="79"/>
      <c r="BS29" s="153"/>
      <c r="BT29" s="79"/>
      <c r="BU29" s="79"/>
      <c r="BV29" s="153"/>
      <c r="BW29" s="78">
        <f t="shared" si="32"/>
        <v>0</v>
      </c>
      <c r="BX29" s="78">
        <f t="shared" si="33"/>
        <v>0</v>
      </c>
      <c r="BY29" s="79"/>
      <c r="BZ29" s="153"/>
      <c r="CA29" s="153"/>
      <c r="CB29" s="79"/>
      <c r="CC29" s="79"/>
      <c r="CD29" s="153"/>
      <c r="CE29" s="153"/>
      <c r="CF29" s="153"/>
      <c r="CG29" s="153"/>
      <c r="CH29" s="153"/>
      <c r="CI29" s="79"/>
      <c r="CJ29" s="153"/>
      <c r="CK29" s="153"/>
      <c r="CL29" s="153"/>
      <c r="CM29" s="153"/>
      <c r="CN29" s="153"/>
      <c r="CO29" s="153"/>
      <c r="CP29" s="153"/>
      <c r="CQ29" s="153"/>
      <c r="CR29" s="153"/>
      <c r="CS29" s="153"/>
      <c r="CT29" s="153"/>
      <c r="CU29" s="153"/>
      <c r="CV29" s="79"/>
      <c r="CW29" s="79"/>
      <c r="CX29" s="153"/>
      <c r="CY29" s="79"/>
      <c r="CZ29" s="153"/>
      <c r="DA29" s="79"/>
      <c r="DB29" s="79"/>
      <c r="DC29" s="79"/>
      <c r="DD29" s="79"/>
      <c r="DE29" s="79"/>
      <c r="DF29" s="79"/>
      <c r="DG29" s="153"/>
      <c r="DH29" s="79"/>
      <c r="DI29" s="208"/>
      <c r="DJ29" s="153"/>
      <c r="DK29" s="78">
        <f t="shared" si="34"/>
        <v>0</v>
      </c>
      <c r="DL29" s="78">
        <f t="shared" si="35"/>
        <v>0</v>
      </c>
      <c r="DM29" s="79"/>
      <c r="DN29" s="153"/>
      <c r="DO29" s="153"/>
      <c r="DP29" s="79"/>
      <c r="DQ29" s="79"/>
      <c r="DR29" s="153"/>
      <c r="DS29" s="153"/>
      <c r="DT29" s="153"/>
      <c r="DU29" s="153"/>
      <c r="DV29" s="153"/>
      <c r="DW29" s="79"/>
      <c r="DX29" s="153"/>
      <c r="DY29" s="153"/>
      <c r="DZ29" s="153"/>
      <c r="EA29" s="79"/>
      <c r="EB29" s="153"/>
      <c r="EC29" s="153"/>
      <c r="ED29" s="153"/>
      <c r="EE29" s="153"/>
      <c r="EF29" s="153"/>
      <c r="EG29" s="153"/>
      <c r="EH29" s="208">
        <f>+'[22]BGM-7'!J57</f>
        <v>0</v>
      </c>
      <c r="EI29" s="153"/>
      <c r="EJ29" s="79"/>
      <c r="EK29" s="79"/>
      <c r="EL29" s="79"/>
      <c r="EM29" s="79"/>
      <c r="EN29" s="153"/>
      <c r="EO29" s="79"/>
      <c r="EP29" s="79"/>
      <c r="EQ29" s="79"/>
      <c r="ER29" s="79"/>
      <c r="ES29" s="79"/>
      <c r="ET29" s="79"/>
      <c r="EU29" s="79"/>
      <c r="EV29" s="79"/>
      <c r="EW29" s="208"/>
      <c r="EX29" s="208"/>
      <c r="EY29" s="79"/>
      <c r="EZ29" s="78">
        <f t="shared" si="36"/>
        <v>0</v>
      </c>
      <c r="FA29" s="78">
        <f t="shared" si="37"/>
        <v>0</v>
      </c>
      <c r="FB29" s="79"/>
      <c r="FC29" s="153"/>
      <c r="FD29" s="153"/>
      <c r="FE29" s="79"/>
      <c r="FF29" s="79"/>
      <c r="FG29" s="153"/>
      <c r="FH29" s="153"/>
      <c r="FI29" s="153"/>
      <c r="FJ29" s="153"/>
      <c r="FK29" s="153"/>
      <c r="FL29" s="79"/>
      <c r="FM29" s="153"/>
      <c r="FN29" s="153"/>
      <c r="FO29" s="153"/>
      <c r="FP29" s="153"/>
      <c r="FQ29" s="153"/>
      <c r="FR29" s="153"/>
      <c r="FS29" s="153"/>
      <c r="FT29" s="153"/>
      <c r="FU29" s="153"/>
      <c r="FV29" s="153"/>
      <c r="FW29" s="208">
        <f>+'[22]BGM-7'!K57</f>
        <v>0</v>
      </c>
      <c r="FX29" s="153"/>
      <c r="FY29" s="79"/>
      <c r="FZ29" s="79"/>
      <c r="GA29" s="153"/>
      <c r="GB29" s="79"/>
      <c r="GC29" s="153"/>
      <c r="GD29" s="79"/>
      <c r="GE29" s="79"/>
      <c r="GF29" s="79"/>
      <c r="GG29" s="79"/>
      <c r="GH29" s="79"/>
      <c r="GI29" s="79"/>
      <c r="GJ29" s="79"/>
      <c r="GK29" s="79"/>
      <c r="GL29" s="208"/>
      <c r="GM29" s="208"/>
      <c r="GN29" s="79"/>
      <c r="GO29" s="78">
        <f t="shared" si="38"/>
        <v>0</v>
      </c>
      <c r="GP29" s="78">
        <f t="shared" si="39"/>
        <v>0</v>
      </c>
      <c r="GQ29" s="79"/>
      <c r="GR29" s="153"/>
      <c r="GS29" s="153"/>
      <c r="GT29" s="79"/>
      <c r="GU29" s="79"/>
      <c r="GV29" s="153"/>
      <c r="GW29" s="153"/>
      <c r="GX29" s="153"/>
      <c r="GY29" s="153"/>
      <c r="GZ29" s="153"/>
      <c r="HA29" s="79"/>
      <c r="HB29" s="153"/>
      <c r="HC29" s="153"/>
      <c r="HD29" s="153"/>
      <c r="HE29" s="153"/>
      <c r="HF29" s="153"/>
      <c r="HG29" s="153"/>
      <c r="HH29" s="153"/>
      <c r="HI29" s="153"/>
      <c r="HJ29" s="153"/>
      <c r="HK29" s="153"/>
      <c r="HL29" s="208">
        <f>+'[22]BGM-7'!L57</f>
        <v>0</v>
      </c>
      <c r="HM29" s="153"/>
      <c r="HN29" s="79"/>
      <c r="HO29" s="79"/>
      <c r="HP29" s="79"/>
      <c r="HQ29" s="79"/>
      <c r="HR29" s="153"/>
      <c r="HS29" s="79"/>
      <c r="HT29" s="79"/>
      <c r="HU29" s="79"/>
      <c r="HV29" s="79"/>
      <c r="HW29" s="79"/>
      <c r="HX29" s="79"/>
      <c r="HY29" s="79"/>
      <c r="HZ29" s="153"/>
      <c r="IA29" s="208"/>
      <c r="IB29" s="208"/>
      <c r="IC29" s="79"/>
      <c r="ID29" s="78">
        <f t="shared" si="40"/>
        <v>0</v>
      </c>
      <c r="IE29" s="78">
        <f t="shared" si="41"/>
        <v>0</v>
      </c>
      <c r="IF29" s="47" t="s">
        <v>34</v>
      </c>
    </row>
    <row r="30" spans="1:242" x14ac:dyDescent="0.3">
      <c r="A30" s="58">
        <f>ROW()</f>
        <v>30</v>
      </c>
      <c r="B30" s="198" t="s">
        <v>79</v>
      </c>
      <c r="C30" s="78">
        <v>60208848.769999996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>
        <v>1292050.5307426432</v>
      </c>
      <c r="O30" s="79"/>
      <c r="P30" s="79"/>
      <c r="Q30" s="79"/>
      <c r="R30" s="79"/>
      <c r="S30" s="79"/>
      <c r="T30" s="79"/>
      <c r="U30" s="79">
        <v>353121.62726614997</v>
      </c>
      <c r="V30" s="79"/>
      <c r="W30" s="79"/>
      <c r="X30" s="79"/>
      <c r="Y30" s="153"/>
      <c r="Z30" s="153"/>
      <c r="AA30" s="79"/>
      <c r="AB30" s="153"/>
      <c r="AC30" s="79"/>
      <c r="AD30" s="153"/>
      <c r="AE30" s="153"/>
      <c r="AF30" s="79"/>
      <c r="AG30" s="79"/>
      <c r="AH30" s="153"/>
      <c r="AI30" s="78">
        <f t="shared" si="30"/>
        <v>1645172.1580087931</v>
      </c>
      <c r="AJ30" s="78">
        <f t="shared" si="31"/>
        <v>61854020.928008787</v>
      </c>
      <c r="AK30" s="79"/>
      <c r="AL30" s="153"/>
      <c r="AM30" s="79"/>
      <c r="AN30" s="79"/>
      <c r="AO30" s="79"/>
      <c r="AP30" s="153"/>
      <c r="AQ30" s="153"/>
      <c r="AR30" s="153"/>
      <c r="AS30" s="79"/>
      <c r="AT30" s="153"/>
      <c r="AU30" s="153">
        <v>-536750.33257821831</v>
      </c>
      <c r="AV30" s="153"/>
      <c r="AW30" s="153"/>
      <c r="AX30" s="79"/>
      <c r="AY30" s="79"/>
      <c r="AZ30" s="153"/>
      <c r="BA30" s="79"/>
      <c r="BB30" s="153"/>
      <c r="BC30" s="153"/>
      <c r="BD30" s="153"/>
      <c r="BE30" s="153"/>
      <c r="BF30" s="153"/>
      <c r="BG30" s="153"/>
      <c r="BH30" s="79"/>
      <c r="BI30" s="79"/>
      <c r="BJ30" s="153"/>
      <c r="BK30" s="79"/>
      <c r="BL30" s="153"/>
      <c r="BM30" s="79"/>
      <c r="BN30" s="79"/>
      <c r="BO30" s="79"/>
      <c r="BP30" s="79"/>
      <c r="BQ30" s="79"/>
      <c r="BR30" s="79"/>
      <c r="BS30" s="153"/>
      <c r="BT30" s="79"/>
      <c r="BU30" s="79"/>
      <c r="BV30" s="153"/>
      <c r="BW30" s="78">
        <f t="shared" si="32"/>
        <v>-536750.33257821831</v>
      </c>
      <c r="BX30" s="78">
        <f t="shared" si="33"/>
        <v>61317270.595430568</v>
      </c>
      <c r="BY30" s="79"/>
      <c r="BZ30" s="153"/>
      <c r="CA30" s="153"/>
      <c r="CB30" s="79"/>
      <c r="CC30" s="79"/>
      <c r="CD30" s="153"/>
      <c r="CE30" s="153"/>
      <c r="CF30" s="153"/>
      <c r="CG30" s="153"/>
      <c r="CH30" s="153"/>
      <c r="CI30" s="79">
        <v>19843.596493905876</v>
      </c>
      <c r="CJ30" s="153"/>
      <c r="CK30" s="153"/>
      <c r="CL30" s="153"/>
      <c r="CM30" s="153"/>
      <c r="CN30" s="153"/>
      <c r="CO30" s="153"/>
      <c r="CP30" s="153"/>
      <c r="CQ30" s="153"/>
      <c r="CR30" s="153"/>
      <c r="CS30" s="153"/>
      <c r="CT30" s="153"/>
      <c r="CU30" s="153"/>
      <c r="CV30" s="79"/>
      <c r="CW30" s="79"/>
      <c r="CX30" s="153"/>
      <c r="CY30" s="79"/>
      <c r="CZ30" s="153"/>
      <c r="DA30" s="79"/>
      <c r="DB30" s="79"/>
      <c r="DC30" s="79"/>
      <c r="DD30" s="79"/>
      <c r="DE30" s="79"/>
      <c r="DF30" s="79"/>
      <c r="DG30" s="153"/>
      <c r="DH30" s="79"/>
      <c r="DI30" s="208"/>
      <c r="DJ30" s="153"/>
      <c r="DK30" s="78">
        <f t="shared" si="34"/>
        <v>19843.596493905876</v>
      </c>
      <c r="DL30" s="78">
        <f t="shared" si="35"/>
        <v>61337114.191924475</v>
      </c>
      <c r="DM30" s="79"/>
      <c r="DN30" s="153"/>
      <c r="DO30" s="153"/>
      <c r="DP30" s="79"/>
      <c r="DQ30" s="79"/>
      <c r="DR30" s="153"/>
      <c r="DS30" s="153"/>
      <c r="DT30" s="153"/>
      <c r="DU30" s="153"/>
      <c r="DV30" s="153"/>
      <c r="DW30" s="79">
        <v>99798.153831003467</v>
      </c>
      <c r="DX30" s="153"/>
      <c r="DY30" s="153"/>
      <c r="DZ30" s="153"/>
      <c r="EA30" s="79"/>
      <c r="EB30" s="153"/>
      <c r="EC30" s="153"/>
      <c r="ED30" s="153"/>
      <c r="EE30" s="153"/>
      <c r="EF30" s="153"/>
      <c r="EG30" s="153"/>
      <c r="EH30" s="208">
        <f>+'[22]BGM-7'!J58</f>
        <v>2033561.798644498</v>
      </c>
      <c r="EI30" s="153"/>
      <c r="EJ30" s="79"/>
      <c r="EK30" s="79"/>
      <c r="EL30" s="79"/>
      <c r="EM30" s="79"/>
      <c r="EN30" s="153"/>
      <c r="EO30" s="79"/>
      <c r="EP30" s="79"/>
      <c r="EQ30" s="79"/>
      <c r="ER30" s="79"/>
      <c r="ES30" s="79"/>
      <c r="ET30" s="79"/>
      <c r="EU30" s="79"/>
      <c r="EV30" s="79"/>
      <c r="EW30" s="208"/>
      <c r="EX30" s="208"/>
      <c r="EY30" s="79"/>
      <c r="EZ30" s="78">
        <f t="shared" si="36"/>
        <v>2133359.9524755012</v>
      </c>
      <c r="FA30" s="78">
        <f t="shared" si="37"/>
        <v>63470474.144399978</v>
      </c>
      <c r="FB30" s="79"/>
      <c r="FC30" s="153"/>
      <c r="FD30" s="153"/>
      <c r="FE30" s="79"/>
      <c r="FF30" s="79"/>
      <c r="FG30" s="153"/>
      <c r="FH30" s="153"/>
      <c r="FI30" s="153"/>
      <c r="FJ30" s="153"/>
      <c r="FK30" s="153"/>
      <c r="FL30" s="79">
        <v>306448.48057803698</v>
      </c>
      <c r="FM30" s="153"/>
      <c r="FN30" s="153"/>
      <c r="FO30" s="153"/>
      <c r="FP30" s="153"/>
      <c r="FQ30" s="153"/>
      <c r="FR30" s="153"/>
      <c r="FS30" s="153"/>
      <c r="FT30" s="153"/>
      <c r="FU30" s="153"/>
      <c r="FV30" s="153"/>
      <c r="FW30" s="208">
        <f>+'[22]BGM-7'!K58</f>
        <v>1624844.1380966455</v>
      </c>
      <c r="FX30" s="153"/>
      <c r="FY30" s="79"/>
      <c r="FZ30" s="79"/>
      <c r="GA30" s="153"/>
      <c r="GB30" s="79"/>
      <c r="GC30" s="153"/>
      <c r="GD30" s="79"/>
      <c r="GE30" s="79"/>
      <c r="GF30" s="79"/>
      <c r="GG30" s="79"/>
      <c r="GH30" s="79"/>
      <c r="GI30" s="79"/>
      <c r="GJ30" s="79"/>
      <c r="GK30" s="79"/>
      <c r="GL30" s="208"/>
      <c r="GM30" s="208"/>
      <c r="GN30" s="79"/>
      <c r="GO30" s="78">
        <f t="shared" si="38"/>
        <v>1931292.6186746825</v>
      </c>
      <c r="GP30" s="78">
        <f t="shared" si="39"/>
        <v>65401766.763074659</v>
      </c>
      <c r="GQ30" s="79"/>
      <c r="GR30" s="153"/>
      <c r="GS30" s="153"/>
      <c r="GT30" s="79"/>
      <c r="GU30" s="79"/>
      <c r="GV30" s="153"/>
      <c r="GW30" s="153"/>
      <c r="GX30" s="153"/>
      <c r="GY30" s="153"/>
      <c r="GZ30" s="153"/>
      <c r="HA30" s="79">
        <v>462824.93839921872</v>
      </c>
      <c r="HB30" s="153"/>
      <c r="HC30" s="153"/>
      <c r="HD30" s="153"/>
      <c r="HE30" s="153"/>
      <c r="HF30" s="153"/>
      <c r="HG30" s="153"/>
      <c r="HH30" s="153"/>
      <c r="HI30" s="153"/>
      <c r="HJ30" s="153"/>
      <c r="HK30" s="153"/>
      <c r="HL30" s="208">
        <f>+'[22]BGM-7'!L58</f>
        <v>1666440.1480319202</v>
      </c>
      <c r="HM30" s="153"/>
      <c r="HN30" s="79"/>
      <c r="HO30" s="79"/>
      <c r="HP30" s="79"/>
      <c r="HQ30" s="79"/>
      <c r="HR30" s="153"/>
      <c r="HS30" s="79"/>
      <c r="HT30" s="79"/>
      <c r="HU30" s="79"/>
      <c r="HV30" s="79"/>
      <c r="HW30" s="79"/>
      <c r="HX30" s="79"/>
      <c r="HY30" s="79"/>
      <c r="HZ30" s="153"/>
      <c r="IA30" s="208"/>
      <c r="IB30" s="208"/>
      <c r="IC30" s="79"/>
      <c r="ID30" s="78">
        <f t="shared" si="40"/>
        <v>2129265.0864311391</v>
      </c>
      <c r="IE30" s="78">
        <f t="shared" si="41"/>
        <v>67531031.849505797</v>
      </c>
      <c r="IF30" s="47" t="s">
        <v>34</v>
      </c>
    </row>
    <row r="31" spans="1:242" x14ac:dyDescent="0.3">
      <c r="A31" s="58">
        <f>ROW()</f>
        <v>31</v>
      </c>
      <c r="B31" s="74" t="s">
        <v>80</v>
      </c>
      <c r="C31" s="78">
        <v>26440965.699999996</v>
      </c>
      <c r="D31" s="79">
        <v>16432.371338936005</v>
      </c>
      <c r="E31" s="79">
        <v>-1971345.6284835225</v>
      </c>
      <c r="F31" s="79">
        <v>203.35994729073133</v>
      </c>
      <c r="G31" s="79"/>
      <c r="H31" s="79"/>
      <c r="I31" s="79">
        <v>-420667.37425281992</v>
      </c>
      <c r="J31" s="79"/>
      <c r="K31" s="79"/>
      <c r="L31" s="79"/>
      <c r="M31" s="79"/>
      <c r="N31" s="79">
        <v>280510.87981648277</v>
      </c>
      <c r="O31" s="79"/>
      <c r="P31" s="79">
        <v>3870.6276671299306</v>
      </c>
      <c r="Q31" s="79"/>
      <c r="R31" s="79"/>
      <c r="S31" s="79"/>
      <c r="T31" s="79"/>
      <c r="U31" s="79">
        <v>96868.154709194787</v>
      </c>
      <c r="V31" s="79"/>
      <c r="W31" s="79"/>
      <c r="X31" s="79"/>
      <c r="Y31" s="153"/>
      <c r="Z31" s="153"/>
      <c r="AA31" s="79"/>
      <c r="AB31" s="153"/>
      <c r="AC31" s="79"/>
      <c r="AD31" s="153"/>
      <c r="AE31" s="153"/>
      <c r="AF31" s="79"/>
      <c r="AG31" s="79"/>
      <c r="AH31" s="153"/>
      <c r="AI31" s="78">
        <f t="shared" si="30"/>
        <v>-1994127.6092573078</v>
      </c>
      <c r="AJ31" s="78">
        <f t="shared" si="31"/>
        <v>24446838.090742689</v>
      </c>
      <c r="AK31" s="79">
        <v>-165025.56325803889</v>
      </c>
      <c r="AL31" s="153"/>
      <c r="AM31" s="79">
        <v>54580.223143404502</v>
      </c>
      <c r="AN31" s="79"/>
      <c r="AO31" s="79"/>
      <c r="AP31" s="153"/>
      <c r="AQ31" s="153"/>
      <c r="AR31" s="153"/>
      <c r="AS31" s="79"/>
      <c r="AT31" s="153"/>
      <c r="AU31" s="153">
        <v>-116375.05795685516</v>
      </c>
      <c r="AV31" s="153"/>
      <c r="AW31" s="153"/>
      <c r="AX31" s="79"/>
      <c r="AY31" s="79"/>
      <c r="AZ31" s="153"/>
      <c r="BA31" s="79"/>
      <c r="BB31" s="153"/>
      <c r="BC31" s="153"/>
      <c r="BD31" s="153"/>
      <c r="BE31" s="153"/>
      <c r="BF31" s="153"/>
      <c r="BG31" s="153"/>
      <c r="BH31" s="79"/>
      <c r="BI31" s="79"/>
      <c r="BJ31" s="153"/>
      <c r="BK31" s="79"/>
      <c r="BL31" s="153"/>
      <c r="BM31" s="79"/>
      <c r="BN31" s="79"/>
      <c r="BO31" s="79"/>
      <c r="BP31" s="79"/>
      <c r="BQ31" s="79"/>
      <c r="BR31" s="79"/>
      <c r="BS31" s="153"/>
      <c r="BT31" s="79"/>
      <c r="BU31" s="79"/>
      <c r="BV31" s="153"/>
      <c r="BW31" s="78">
        <f t="shared" si="32"/>
        <v>-226820.39807148956</v>
      </c>
      <c r="BX31" s="78">
        <f t="shared" si="33"/>
        <v>24220017.692671198</v>
      </c>
      <c r="BY31" s="79">
        <v>63021.212621517261</v>
      </c>
      <c r="BZ31" s="153"/>
      <c r="CA31" s="153"/>
      <c r="CB31" s="79"/>
      <c r="CC31" s="79"/>
      <c r="CD31" s="153"/>
      <c r="CE31" s="153"/>
      <c r="CF31" s="153"/>
      <c r="CG31" s="153"/>
      <c r="CH31" s="153"/>
      <c r="CI31" s="79">
        <v>4302.3721680027666</v>
      </c>
      <c r="CJ31" s="153"/>
      <c r="CK31" s="153"/>
      <c r="CL31" s="153"/>
      <c r="CM31" s="153"/>
      <c r="CN31" s="153"/>
      <c r="CO31" s="153"/>
      <c r="CP31" s="153"/>
      <c r="CQ31" s="153"/>
      <c r="CR31" s="153"/>
      <c r="CS31" s="153"/>
      <c r="CT31" s="153"/>
      <c r="CU31" s="153"/>
      <c r="CV31" s="79"/>
      <c r="CW31" s="79"/>
      <c r="CX31" s="153"/>
      <c r="CY31" s="79"/>
      <c r="CZ31" s="153"/>
      <c r="DA31" s="79"/>
      <c r="DB31" s="79"/>
      <c r="DC31" s="79"/>
      <c r="DD31" s="79"/>
      <c r="DE31" s="79"/>
      <c r="DF31" s="79"/>
      <c r="DG31" s="153"/>
      <c r="DH31" s="79"/>
      <c r="DI31" s="208"/>
      <c r="DJ31" s="153"/>
      <c r="DK31" s="78">
        <f t="shared" si="34"/>
        <v>67323.584789520028</v>
      </c>
      <c r="DL31" s="78">
        <f t="shared" si="35"/>
        <v>24287341.277460717</v>
      </c>
      <c r="DM31" s="79">
        <v>13360.725269072549</v>
      </c>
      <c r="DN31" s="153"/>
      <c r="DO31" s="153"/>
      <c r="DP31" s="79"/>
      <c r="DQ31" s="79"/>
      <c r="DR31" s="153"/>
      <c r="DS31" s="153"/>
      <c r="DT31" s="153"/>
      <c r="DU31" s="153"/>
      <c r="DV31" s="153"/>
      <c r="DW31" s="79">
        <v>21637.650190701475</v>
      </c>
      <c r="DX31" s="153"/>
      <c r="DY31" s="153"/>
      <c r="DZ31" s="153"/>
      <c r="EA31" s="79"/>
      <c r="EB31" s="153"/>
      <c r="EC31" s="153"/>
      <c r="ED31" s="153"/>
      <c r="EE31" s="153"/>
      <c r="EF31" s="153"/>
      <c r="EG31" s="153"/>
      <c r="EH31" s="208">
        <f>+'[22]BGM-7'!J59</f>
        <v>805069.44251166657</v>
      </c>
      <c r="EI31" s="153"/>
      <c r="EJ31" s="79"/>
      <c r="EK31" s="79"/>
      <c r="EL31" s="79"/>
      <c r="EM31" s="79"/>
      <c r="EN31" s="153"/>
      <c r="EO31" s="79"/>
      <c r="EP31" s="79"/>
      <c r="EQ31" s="79"/>
      <c r="ER31" s="79"/>
      <c r="ES31" s="79"/>
      <c r="ET31" s="79"/>
      <c r="EU31" s="79"/>
      <c r="EV31" s="79"/>
      <c r="EW31" s="208"/>
      <c r="EX31" s="208"/>
      <c r="EY31" s="79"/>
      <c r="EZ31" s="78">
        <f t="shared" si="36"/>
        <v>840067.81797144061</v>
      </c>
      <c r="FA31" s="78">
        <f t="shared" si="37"/>
        <v>25127409.095432159</v>
      </c>
      <c r="FB31" s="79">
        <v>17163.53828027827</v>
      </c>
      <c r="FC31" s="153"/>
      <c r="FD31" s="153"/>
      <c r="FE31" s="79"/>
      <c r="FF31" s="79"/>
      <c r="FG31" s="153"/>
      <c r="FH31" s="153"/>
      <c r="FI31" s="153"/>
      <c r="FJ31" s="153"/>
      <c r="FK31" s="153"/>
      <c r="FL31" s="79">
        <v>66442.361603683326</v>
      </c>
      <c r="FM31" s="153"/>
      <c r="FN31" s="153"/>
      <c r="FO31" s="153"/>
      <c r="FP31" s="153"/>
      <c r="FQ31" s="153"/>
      <c r="FR31" s="153"/>
      <c r="FS31" s="153"/>
      <c r="FT31" s="153"/>
      <c r="FU31" s="153"/>
      <c r="FV31" s="153"/>
      <c r="FW31" s="208">
        <f>+'[22]BGM-7'!K59</f>
        <v>643261.67284306511</v>
      </c>
      <c r="FX31" s="153"/>
      <c r="FY31" s="79"/>
      <c r="FZ31" s="79"/>
      <c r="GA31" s="153"/>
      <c r="GB31" s="79"/>
      <c r="GC31" s="153"/>
      <c r="GD31" s="79"/>
      <c r="GE31" s="79"/>
      <c r="GF31" s="79"/>
      <c r="GG31" s="79"/>
      <c r="GH31" s="79"/>
      <c r="GI31" s="79"/>
      <c r="GJ31" s="79"/>
      <c r="GK31" s="79"/>
      <c r="GL31" s="208"/>
      <c r="GM31" s="208"/>
      <c r="GN31" s="79"/>
      <c r="GO31" s="78">
        <f t="shared" si="38"/>
        <v>726867.57272702665</v>
      </c>
      <c r="GP31" s="78">
        <f t="shared" si="39"/>
        <v>25854276.668159187</v>
      </c>
      <c r="GQ31" s="79">
        <v>3585.9965840055966</v>
      </c>
      <c r="GR31" s="153"/>
      <c r="GS31" s="153"/>
      <c r="GT31" s="79"/>
      <c r="GU31" s="79"/>
      <c r="GV31" s="153"/>
      <c r="GW31" s="153"/>
      <c r="GX31" s="153"/>
      <c r="GY31" s="153"/>
      <c r="GZ31" s="153"/>
      <c r="HA31" s="79">
        <v>100346.98771656188</v>
      </c>
      <c r="HB31" s="153"/>
      <c r="HC31" s="153"/>
      <c r="HD31" s="153"/>
      <c r="HE31" s="153"/>
      <c r="HF31" s="153"/>
      <c r="HG31" s="153"/>
      <c r="HH31" s="153"/>
      <c r="HI31" s="153"/>
      <c r="HJ31" s="153"/>
      <c r="HK31" s="153"/>
      <c r="HL31" s="208">
        <f>+'[22]BGM-7'!L59</f>
        <v>659729.17166784778</v>
      </c>
      <c r="HM31" s="153"/>
      <c r="HN31" s="79"/>
      <c r="HO31" s="79"/>
      <c r="HP31" s="79"/>
      <c r="HQ31" s="79"/>
      <c r="HR31" s="153"/>
      <c r="HS31" s="79"/>
      <c r="HT31" s="79"/>
      <c r="HU31" s="79"/>
      <c r="HV31" s="79"/>
      <c r="HW31" s="79"/>
      <c r="HX31" s="79"/>
      <c r="HY31" s="79"/>
      <c r="HZ31" s="153"/>
      <c r="IA31" s="208"/>
      <c r="IB31" s="208"/>
      <c r="IC31" s="79"/>
      <c r="ID31" s="78">
        <f t="shared" si="40"/>
        <v>763662.15596841532</v>
      </c>
      <c r="IE31" s="78">
        <f t="shared" si="41"/>
        <v>26617938.824127603</v>
      </c>
      <c r="IF31" s="47" t="s">
        <v>34</v>
      </c>
    </row>
    <row r="32" spans="1:242" x14ac:dyDescent="0.3">
      <c r="A32" s="58">
        <f>ROW()</f>
        <v>32</v>
      </c>
      <c r="B32" s="74" t="s">
        <v>81</v>
      </c>
      <c r="C32" s="78">
        <v>8116949.3900000006</v>
      </c>
      <c r="D32" s="79"/>
      <c r="E32" s="79">
        <v>-5563889.8099999996</v>
      </c>
      <c r="F32" s="79"/>
      <c r="G32" s="79"/>
      <c r="H32" s="79"/>
      <c r="I32" s="79"/>
      <c r="J32" s="79"/>
      <c r="K32" s="79"/>
      <c r="L32" s="79"/>
      <c r="M32" s="79"/>
      <c r="N32" s="79">
        <v>67500.808070868632</v>
      </c>
      <c r="O32" s="79"/>
      <c r="P32" s="79"/>
      <c r="Q32" s="79"/>
      <c r="R32" s="79"/>
      <c r="S32" s="79"/>
      <c r="T32" s="79"/>
      <c r="U32" s="79">
        <v>27971.804763096516</v>
      </c>
      <c r="V32" s="79"/>
      <c r="W32" s="79"/>
      <c r="X32" s="79"/>
      <c r="Y32" s="153"/>
      <c r="Z32" s="153"/>
      <c r="AA32" s="79"/>
      <c r="AB32" s="153"/>
      <c r="AC32" s="79"/>
      <c r="AD32" s="153"/>
      <c r="AE32" s="153"/>
      <c r="AF32" s="79"/>
      <c r="AG32" s="79"/>
      <c r="AH32" s="153"/>
      <c r="AI32" s="78">
        <f t="shared" si="30"/>
        <v>-5468417.197166035</v>
      </c>
      <c r="AJ32" s="78">
        <f t="shared" si="31"/>
        <v>2648532.1928339656</v>
      </c>
      <c r="AK32" s="79"/>
      <c r="AL32" s="153"/>
      <c r="AM32" s="79"/>
      <c r="AN32" s="79"/>
      <c r="AO32" s="79"/>
      <c r="AP32" s="153"/>
      <c r="AQ32" s="153"/>
      <c r="AR32" s="153"/>
      <c r="AS32" s="79"/>
      <c r="AT32" s="153"/>
      <c r="AU32" s="153">
        <v>-29017.276993831445</v>
      </c>
      <c r="AV32" s="153"/>
      <c r="AW32" s="153"/>
      <c r="AX32" s="79"/>
      <c r="AY32" s="79"/>
      <c r="AZ32" s="153"/>
      <c r="BA32" s="79"/>
      <c r="BB32" s="153"/>
      <c r="BC32" s="153"/>
      <c r="BD32" s="153"/>
      <c r="BE32" s="153"/>
      <c r="BF32" s="153"/>
      <c r="BG32" s="153"/>
      <c r="BH32" s="79"/>
      <c r="BI32" s="79"/>
      <c r="BJ32" s="153"/>
      <c r="BK32" s="79"/>
      <c r="BL32" s="153"/>
      <c r="BM32" s="79"/>
      <c r="BN32" s="79"/>
      <c r="BO32" s="79"/>
      <c r="BP32" s="79"/>
      <c r="BQ32" s="79"/>
      <c r="BR32" s="79"/>
      <c r="BS32" s="153"/>
      <c r="BT32" s="79"/>
      <c r="BU32" s="79"/>
      <c r="BV32" s="153"/>
      <c r="BW32" s="78">
        <f t="shared" si="32"/>
        <v>-29017.276993831445</v>
      </c>
      <c r="BX32" s="78">
        <f t="shared" si="33"/>
        <v>2619514.915840134</v>
      </c>
      <c r="BY32" s="79"/>
      <c r="BZ32" s="153"/>
      <c r="CA32" s="153"/>
      <c r="CB32" s="79"/>
      <c r="CC32" s="79"/>
      <c r="CD32" s="153"/>
      <c r="CE32" s="153"/>
      <c r="CF32" s="153"/>
      <c r="CG32" s="153"/>
      <c r="CH32" s="153"/>
      <c r="CI32" s="79">
        <v>1034.02437157646</v>
      </c>
      <c r="CJ32" s="153"/>
      <c r="CK32" s="153"/>
      <c r="CL32" s="153"/>
      <c r="CM32" s="153"/>
      <c r="CN32" s="153"/>
      <c r="CO32" s="153"/>
      <c r="CP32" s="153"/>
      <c r="CQ32" s="153"/>
      <c r="CR32" s="153"/>
      <c r="CS32" s="153"/>
      <c r="CT32" s="153"/>
      <c r="CU32" s="153"/>
      <c r="CV32" s="79"/>
      <c r="CW32" s="79"/>
      <c r="CX32" s="153"/>
      <c r="CY32" s="79"/>
      <c r="CZ32" s="153"/>
      <c r="DA32" s="79"/>
      <c r="DB32" s="79"/>
      <c r="DC32" s="79"/>
      <c r="DD32" s="79"/>
      <c r="DE32" s="79"/>
      <c r="DF32" s="79"/>
      <c r="DG32" s="153"/>
      <c r="DH32" s="79"/>
      <c r="DI32" s="208"/>
      <c r="DJ32" s="153"/>
      <c r="DK32" s="78">
        <f t="shared" si="34"/>
        <v>1034.02437157646</v>
      </c>
      <c r="DL32" s="78">
        <f t="shared" si="35"/>
        <v>2620548.9402117105</v>
      </c>
      <c r="DM32" s="79"/>
      <c r="DN32" s="153"/>
      <c r="DO32" s="153"/>
      <c r="DP32" s="79"/>
      <c r="DQ32" s="79"/>
      <c r="DR32" s="153"/>
      <c r="DS32" s="153"/>
      <c r="DT32" s="153"/>
      <c r="DU32" s="153"/>
      <c r="DV32" s="153"/>
      <c r="DW32" s="79">
        <v>5200.3538436838453</v>
      </c>
      <c r="DX32" s="153"/>
      <c r="DY32" s="153"/>
      <c r="DZ32" s="153"/>
      <c r="EA32" s="79"/>
      <c r="EB32" s="153"/>
      <c r="EC32" s="153"/>
      <c r="ED32" s="153"/>
      <c r="EE32" s="153"/>
      <c r="EF32" s="153"/>
      <c r="EG32" s="153"/>
      <c r="EH32" s="208">
        <f>+'[22]BGM-7'!J60</f>
        <v>86912.301633233204</v>
      </c>
      <c r="EI32" s="153"/>
      <c r="EJ32" s="79"/>
      <c r="EK32" s="79"/>
      <c r="EL32" s="79"/>
      <c r="EM32" s="79"/>
      <c r="EN32" s="153"/>
      <c r="EO32" s="79"/>
      <c r="EP32" s="79"/>
      <c r="EQ32" s="79"/>
      <c r="ER32" s="79"/>
      <c r="ES32" s="79"/>
      <c r="ET32" s="79"/>
      <c r="EU32" s="79"/>
      <c r="EV32" s="79"/>
      <c r="EW32" s="208"/>
      <c r="EX32" s="208"/>
      <c r="EY32" s="79"/>
      <c r="EZ32" s="78">
        <f t="shared" si="36"/>
        <v>92112.655476917047</v>
      </c>
      <c r="FA32" s="78">
        <f t="shared" si="37"/>
        <v>2712661.5956886276</v>
      </c>
      <c r="FB32" s="79"/>
      <c r="FC32" s="153"/>
      <c r="FD32" s="153"/>
      <c r="FE32" s="79"/>
      <c r="FF32" s="79"/>
      <c r="FG32" s="153"/>
      <c r="FH32" s="153"/>
      <c r="FI32" s="153"/>
      <c r="FJ32" s="153"/>
      <c r="FK32" s="153"/>
      <c r="FL32" s="79">
        <v>15968.637421527012</v>
      </c>
      <c r="FM32" s="153"/>
      <c r="FN32" s="153"/>
      <c r="FO32" s="153"/>
      <c r="FP32" s="153"/>
      <c r="FQ32" s="153"/>
      <c r="FR32" s="153"/>
      <c r="FS32" s="153"/>
      <c r="FT32" s="153"/>
      <c r="FU32" s="153"/>
      <c r="FV32" s="153"/>
      <c r="FW32" s="208">
        <f>+'[22]BGM-7'!K60</f>
        <v>69444.136849629227</v>
      </c>
      <c r="FX32" s="153"/>
      <c r="FY32" s="79"/>
      <c r="FZ32" s="79"/>
      <c r="GA32" s="153"/>
      <c r="GB32" s="79"/>
      <c r="GC32" s="153"/>
      <c r="GD32" s="79"/>
      <c r="GE32" s="79"/>
      <c r="GF32" s="79"/>
      <c r="GG32" s="79"/>
      <c r="GH32" s="79"/>
      <c r="GI32" s="79"/>
      <c r="GJ32" s="79"/>
      <c r="GK32" s="79"/>
      <c r="GL32" s="208"/>
      <c r="GM32" s="208"/>
      <c r="GN32" s="79"/>
      <c r="GO32" s="78">
        <f t="shared" si="38"/>
        <v>85412.774271156231</v>
      </c>
      <c r="GP32" s="78">
        <f t="shared" si="39"/>
        <v>2798074.3699597837</v>
      </c>
      <c r="GQ32" s="79"/>
      <c r="GR32" s="153"/>
      <c r="GS32" s="153"/>
      <c r="GT32" s="79"/>
      <c r="GU32" s="79"/>
      <c r="GV32" s="153"/>
      <c r="GW32" s="153"/>
      <c r="GX32" s="153"/>
      <c r="GY32" s="153"/>
      <c r="GZ32" s="153"/>
      <c r="HA32" s="79">
        <v>24117.214146394392</v>
      </c>
      <c r="HB32" s="153"/>
      <c r="HC32" s="153"/>
      <c r="HD32" s="153"/>
      <c r="HE32" s="153"/>
      <c r="HF32" s="153"/>
      <c r="HG32" s="153"/>
      <c r="HH32" s="153"/>
      <c r="HI32" s="153"/>
      <c r="HJ32" s="153"/>
      <c r="HK32" s="153"/>
      <c r="HL32" s="208">
        <f>+'[22]BGM-7'!L60</f>
        <v>71221.906752979383</v>
      </c>
      <c r="HM32" s="153"/>
      <c r="HN32" s="79"/>
      <c r="HO32" s="79"/>
      <c r="HP32" s="79"/>
      <c r="HQ32" s="79"/>
      <c r="HR32" s="153"/>
      <c r="HS32" s="79"/>
      <c r="HT32" s="79"/>
      <c r="HU32" s="79"/>
      <c r="HV32" s="79"/>
      <c r="HW32" s="79"/>
      <c r="HX32" s="79"/>
      <c r="HY32" s="79"/>
      <c r="HZ32" s="153"/>
      <c r="IA32" s="208"/>
      <c r="IB32" s="208"/>
      <c r="IC32" s="79"/>
      <c r="ID32" s="78">
        <f t="shared" si="40"/>
        <v>95339.120899373782</v>
      </c>
      <c r="IE32" s="78">
        <f t="shared" si="41"/>
        <v>2893413.4908591574</v>
      </c>
      <c r="IF32" s="47" t="s">
        <v>34</v>
      </c>
    </row>
    <row r="33" spans="1:240" x14ac:dyDescent="0.3">
      <c r="A33" s="58">
        <f>ROW()</f>
        <v>33</v>
      </c>
      <c r="B33" s="74" t="s">
        <v>82</v>
      </c>
      <c r="C33" s="78">
        <v>18854358.350000001</v>
      </c>
      <c r="D33" s="79"/>
      <c r="E33" s="79">
        <v>-18854358.350000001</v>
      </c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153"/>
      <c r="Z33" s="153"/>
      <c r="AA33" s="79"/>
      <c r="AB33" s="153"/>
      <c r="AC33" s="79"/>
      <c r="AD33" s="153"/>
      <c r="AE33" s="153"/>
      <c r="AF33" s="79"/>
      <c r="AG33" s="79"/>
      <c r="AH33" s="153"/>
      <c r="AI33" s="78">
        <f t="shared" si="30"/>
        <v>-18854358.350000001</v>
      </c>
      <c r="AJ33" s="78">
        <f t="shared" si="31"/>
        <v>0</v>
      </c>
      <c r="AK33" s="79"/>
      <c r="AL33" s="153"/>
      <c r="AM33" s="79"/>
      <c r="AN33" s="79"/>
      <c r="AO33" s="79"/>
      <c r="AP33" s="153"/>
      <c r="AQ33" s="156"/>
      <c r="AR33" s="153"/>
      <c r="AS33" s="79"/>
      <c r="AT33" s="153"/>
      <c r="AU33" s="153"/>
      <c r="AV33" s="153"/>
      <c r="AW33" s="153"/>
      <c r="AX33" s="79"/>
      <c r="AY33" s="79"/>
      <c r="AZ33" s="153"/>
      <c r="BA33" s="79"/>
      <c r="BB33" s="153"/>
      <c r="BC33" s="153"/>
      <c r="BD33" s="153"/>
      <c r="BE33" s="153"/>
      <c r="BF33" s="153"/>
      <c r="BG33" s="153"/>
      <c r="BH33" s="79"/>
      <c r="BI33" s="79"/>
      <c r="BJ33" s="153"/>
      <c r="BK33" s="79"/>
      <c r="BL33" s="153"/>
      <c r="BM33" s="79"/>
      <c r="BN33" s="79"/>
      <c r="BO33" s="79"/>
      <c r="BP33" s="79"/>
      <c r="BQ33" s="79"/>
      <c r="BR33" s="79"/>
      <c r="BS33" s="153"/>
      <c r="BT33" s="79"/>
      <c r="BU33" s="79"/>
      <c r="BV33" s="153"/>
      <c r="BW33" s="78">
        <f t="shared" si="32"/>
        <v>0</v>
      </c>
      <c r="BX33" s="78">
        <f t="shared" si="33"/>
        <v>0</v>
      </c>
      <c r="BY33" s="79"/>
      <c r="BZ33" s="153"/>
      <c r="CA33" s="153"/>
      <c r="CB33" s="79"/>
      <c r="CC33" s="79"/>
      <c r="CD33" s="153"/>
      <c r="CE33" s="153"/>
      <c r="CF33" s="153"/>
      <c r="CG33" s="153"/>
      <c r="CH33" s="153"/>
      <c r="CI33" s="79"/>
      <c r="CJ33" s="153"/>
      <c r="CK33" s="153"/>
      <c r="CL33" s="153"/>
      <c r="CM33" s="153"/>
      <c r="CN33" s="153"/>
      <c r="CO33" s="153"/>
      <c r="CP33" s="153"/>
      <c r="CQ33" s="153"/>
      <c r="CR33" s="153"/>
      <c r="CS33" s="153"/>
      <c r="CT33" s="153"/>
      <c r="CU33" s="153"/>
      <c r="CV33" s="79"/>
      <c r="CW33" s="79"/>
      <c r="CX33" s="153"/>
      <c r="CY33" s="79"/>
      <c r="CZ33" s="153"/>
      <c r="DA33" s="79"/>
      <c r="DB33" s="79"/>
      <c r="DC33" s="79"/>
      <c r="DD33" s="79"/>
      <c r="DE33" s="79"/>
      <c r="DF33" s="79"/>
      <c r="DG33" s="153"/>
      <c r="DH33" s="79"/>
      <c r="DI33" s="208"/>
      <c r="DJ33" s="153"/>
      <c r="DK33" s="78">
        <f t="shared" si="34"/>
        <v>0</v>
      </c>
      <c r="DL33" s="78">
        <f t="shared" si="35"/>
        <v>0</v>
      </c>
      <c r="DM33" s="79"/>
      <c r="DN33" s="153"/>
      <c r="DO33" s="153"/>
      <c r="DP33" s="79"/>
      <c r="DQ33" s="79"/>
      <c r="DR33" s="153"/>
      <c r="DS33" s="153"/>
      <c r="DT33" s="153"/>
      <c r="DU33" s="153"/>
      <c r="DV33" s="153"/>
      <c r="DW33" s="79"/>
      <c r="DX33" s="153"/>
      <c r="DY33" s="153"/>
      <c r="DZ33" s="153"/>
      <c r="EA33" s="79"/>
      <c r="EB33" s="153"/>
      <c r="EC33" s="153"/>
      <c r="ED33" s="153"/>
      <c r="EE33" s="153"/>
      <c r="EF33" s="153"/>
      <c r="EG33" s="153"/>
      <c r="EH33" s="208">
        <f>+'[22]BGM-7'!J61</f>
        <v>0</v>
      </c>
      <c r="EI33" s="153"/>
      <c r="EJ33" s="79"/>
      <c r="EK33" s="79"/>
      <c r="EL33" s="79"/>
      <c r="EM33" s="79"/>
      <c r="EN33" s="153"/>
      <c r="EO33" s="79"/>
      <c r="EP33" s="79"/>
      <c r="EQ33" s="79"/>
      <c r="ER33" s="79"/>
      <c r="ES33" s="79"/>
      <c r="ET33" s="79"/>
      <c r="EU33" s="79"/>
      <c r="EV33" s="79"/>
      <c r="EW33" s="208"/>
      <c r="EX33" s="208"/>
      <c r="EY33" s="79"/>
      <c r="EZ33" s="78">
        <f t="shared" si="36"/>
        <v>0</v>
      </c>
      <c r="FA33" s="78">
        <f t="shared" si="37"/>
        <v>0</v>
      </c>
      <c r="FB33" s="79"/>
      <c r="FC33" s="153"/>
      <c r="FD33" s="153"/>
      <c r="FE33" s="79"/>
      <c r="FF33" s="79"/>
      <c r="FG33" s="153"/>
      <c r="FH33" s="153"/>
      <c r="FI33" s="153"/>
      <c r="FJ33" s="153"/>
      <c r="FK33" s="153"/>
      <c r="FL33" s="79"/>
      <c r="FM33" s="153"/>
      <c r="FN33" s="153"/>
      <c r="FO33" s="153"/>
      <c r="FP33" s="153"/>
      <c r="FQ33" s="153"/>
      <c r="FR33" s="153"/>
      <c r="FS33" s="153"/>
      <c r="FT33" s="153"/>
      <c r="FU33" s="153"/>
      <c r="FV33" s="153"/>
      <c r="FW33" s="208">
        <f>+'[22]BGM-7'!K61</f>
        <v>0</v>
      </c>
      <c r="FX33" s="153"/>
      <c r="FY33" s="79"/>
      <c r="FZ33" s="79"/>
      <c r="GA33" s="153"/>
      <c r="GB33" s="79"/>
      <c r="GC33" s="153"/>
      <c r="GD33" s="79"/>
      <c r="GE33" s="79"/>
      <c r="GF33" s="79"/>
      <c r="GG33" s="79"/>
      <c r="GH33" s="79"/>
      <c r="GI33" s="79"/>
      <c r="GJ33" s="79"/>
      <c r="GK33" s="79"/>
      <c r="GL33" s="208"/>
      <c r="GM33" s="208"/>
      <c r="GN33" s="79"/>
      <c r="GO33" s="78">
        <f t="shared" si="38"/>
        <v>0</v>
      </c>
      <c r="GP33" s="78">
        <f t="shared" si="39"/>
        <v>0</v>
      </c>
      <c r="GQ33" s="79"/>
      <c r="GR33" s="153"/>
      <c r="GS33" s="153"/>
      <c r="GT33" s="79"/>
      <c r="GU33" s="79"/>
      <c r="GV33" s="153"/>
      <c r="GW33" s="153"/>
      <c r="GX33" s="153"/>
      <c r="GY33" s="153"/>
      <c r="GZ33" s="153"/>
      <c r="HA33" s="79"/>
      <c r="HB33" s="153"/>
      <c r="HC33" s="153"/>
      <c r="HD33" s="153"/>
      <c r="HE33" s="153"/>
      <c r="HF33" s="153"/>
      <c r="HG33" s="153"/>
      <c r="HH33" s="153"/>
      <c r="HI33" s="153"/>
      <c r="HJ33" s="153"/>
      <c r="HK33" s="153"/>
      <c r="HL33" s="208">
        <f>+'[22]BGM-7'!L61</f>
        <v>0</v>
      </c>
      <c r="HM33" s="153"/>
      <c r="HN33" s="79"/>
      <c r="HO33" s="79"/>
      <c r="HP33" s="79"/>
      <c r="HQ33" s="79"/>
      <c r="HR33" s="153"/>
      <c r="HS33" s="79"/>
      <c r="HT33" s="79"/>
      <c r="HU33" s="79"/>
      <c r="HV33" s="79"/>
      <c r="HW33" s="79"/>
      <c r="HX33" s="79"/>
      <c r="HY33" s="79"/>
      <c r="HZ33" s="153"/>
      <c r="IA33" s="208"/>
      <c r="IB33" s="208"/>
      <c r="IC33" s="79"/>
      <c r="ID33" s="78">
        <f t="shared" si="40"/>
        <v>0</v>
      </c>
      <c r="IE33" s="78">
        <f t="shared" si="41"/>
        <v>0</v>
      </c>
      <c r="IF33" s="47" t="s">
        <v>34</v>
      </c>
    </row>
    <row r="34" spans="1:240" x14ac:dyDescent="0.3">
      <c r="A34" s="58">
        <f>ROW()</f>
        <v>34</v>
      </c>
      <c r="B34" s="74" t="s">
        <v>83</v>
      </c>
      <c r="C34" s="78">
        <v>59502157.68999999</v>
      </c>
      <c r="D34" s="79">
        <v>7828.6666693358757</v>
      </c>
      <c r="E34" s="79">
        <v>-939183.24367961998</v>
      </c>
      <c r="F34" s="79">
        <v>96.884205474383663</v>
      </c>
      <c r="G34" s="79"/>
      <c r="H34" s="79"/>
      <c r="I34" s="79"/>
      <c r="J34" s="79">
        <v>38757.344293999951</v>
      </c>
      <c r="K34" s="79"/>
      <c r="L34" s="79">
        <v>-17426.848169658333</v>
      </c>
      <c r="M34" s="79">
        <v>-838323.23312883906</v>
      </c>
      <c r="N34" s="79">
        <v>760046.82790958113</v>
      </c>
      <c r="O34" s="79">
        <v>62123.506799474359</v>
      </c>
      <c r="P34" s="79"/>
      <c r="Q34" s="79">
        <v>301776.81181456894</v>
      </c>
      <c r="R34" s="79"/>
      <c r="S34" s="79">
        <v>-60189.774001547892</v>
      </c>
      <c r="T34" s="79">
        <v>-797229.46419286658</v>
      </c>
      <c r="U34" s="79">
        <v>538362.60718443245</v>
      </c>
      <c r="V34" s="79"/>
      <c r="W34" s="79"/>
      <c r="X34" s="79">
        <v>-8210.2111799998675</v>
      </c>
      <c r="Y34" s="153"/>
      <c r="Z34" s="153"/>
      <c r="AA34" s="79"/>
      <c r="AB34" s="153"/>
      <c r="AC34" s="79"/>
      <c r="AD34" s="153"/>
      <c r="AE34" s="153"/>
      <c r="AF34" s="79"/>
      <c r="AG34" s="79"/>
      <c r="AH34" s="153"/>
      <c r="AI34" s="78">
        <f t="shared" si="30"/>
        <v>-951570.12547566462</v>
      </c>
      <c r="AJ34" s="78">
        <f t="shared" si="31"/>
        <v>58550587.564524323</v>
      </c>
      <c r="AK34" s="79">
        <v>-78621.040141990889</v>
      </c>
      <c r="AL34" s="153"/>
      <c r="AM34" s="79">
        <v>26002.964813437113</v>
      </c>
      <c r="AN34" s="79"/>
      <c r="AO34" s="79"/>
      <c r="AP34" s="153"/>
      <c r="AQ34" s="153"/>
      <c r="AR34" s="153"/>
      <c r="AS34" s="79">
        <v>44739.367113616318</v>
      </c>
      <c r="AT34" s="153"/>
      <c r="AU34" s="153">
        <v>-312079.6126895253</v>
      </c>
      <c r="AV34" s="153"/>
      <c r="AW34" s="153"/>
      <c r="AX34" s="79">
        <v>564220.72294059698</v>
      </c>
      <c r="AY34" s="79"/>
      <c r="AZ34" s="153"/>
      <c r="BA34" s="79">
        <v>619367.91771937651</v>
      </c>
      <c r="BB34" s="153"/>
      <c r="BC34" s="153"/>
      <c r="BD34" s="153"/>
      <c r="BE34" s="153"/>
      <c r="BF34" s="153"/>
      <c r="BG34" s="153"/>
      <c r="BH34" s="79"/>
      <c r="BI34" s="79"/>
      <c r="BJ34" s="153"/>
      <c r="BK34" s="79"/>
      <c r="BL34" s="153"/>
      <c r="BM34" s="79"/>
      <c r="BN34" s="79"/>
      <c r="BO34" s="79"/>
      <c r="BP34" s="79"/>
      <c r="BQ34" s="79"/>
      <c r="BR34" s="79"/>
      <c r="BS34" s="153"/>
      <c r="BT34" s="79"/>
      <c r="BU34" s="79"/>
      <c r="BV34" s="153"/>
      <c r="BW34" s="78">
        <f t="shared" si="32"/>
        <v>863630.31975551066</v>
      </c>
      <c r="BX34" s="78">
        <f t="shared" si="33"/>
        <v>59414217.884279832</v>
      </c>
      <c r="BY34" s="79">
        <v>30024.398580999172</v>
      </c>
      <c r="BZ34" s="153"/>
      <c r="CA34" s="153"/>
      <c r="CB34" s="79"/>
      <c r="CC34" s="79"/>
      <c r="CD34" s="153"/>
      <c r="CE34" s="153"/>
      <c r="CF34" s="153"/>
      <c r="CG34" s="153"/>
      <c r="CH34" s="153"/>
      <c r="CI34" s="79">
        <v>11578.06196718337</v>
      </c>
      <c r="CJ34" s="153"/>
      <c r="CK34" s="153"/>
      <c r="CL34" s="153"/>
      <c r="CM34" s="153"/>
      <c r="CN34" s="153"/>
      <c r="CO34" s="153"/>
      <c r="CP34" s="153"/>
      <c r="CQ34" s="153"/>
      <c r="CR34" s="153"/>
      <c r="CS34" s="153"/>
      <c r="CT34" s="153"/>
      <c r="CU34" s="153"/>
      <c r="CV34" s="79"/>
      <c r="CW34" s="79"/>
      <c r="CX34" s="153"/>
      <c r="CY34" s="79"/>
      <c r="CZ34" s="153"/>
      <c r="DA34" s="79"/>
      <c r="DB34" s="79"/>
      <c r="DC34" s="79"/>
      <c r="DD34" s="79"/>
      <c r="DE34" s="79"/>
      <c r="DF34" s="79"/>
      <c r="DG34" s="153"/>
      <c r="DH34" s="79"/>
      <c r="DI34" s="208"/>
      <c r="DJ34" s="153"/>
      <c r="DK34" s="78">
        <f t="shared" si="34"/>
        <v>41602.460548182542</v>
      </c>
      <c r="DL34" s="78">
        <f t="shared" si="35"/>
        <v>59455820.344828017</v>
      </c>
      <c r="DM34" s="79">
        <v>6365.2812144223672</v>
      </c>
      <c r="DN34" s="153"/>
      <c r="DO34" s="153"/>
      <c r="DP34" s="79"/>
      <c r="DQ34" s="79"/>
      <c r="DR34" s="153"/>
      <c r="DS34" s="153"/>
      <c r="DT34" s="153"/>
      <c r="DU34" s="153"/>
      <c r="DV34" s="153"/>
      <c r="DW34" s="79">
        <v>58228.820043821936</v>
      </c>
      <c r="DX34" s="153"/>
      <c r="DY34" s="153"/>
      <c r="DZ34" s="153"/>
      <c r="EA34" s="79"/>
      <c r="EB34" s="153"/>
      <c r="EC34" s="153"/>
      <c r="ED34" s="153"/>
      <c r="EE34" s="153"/>
      <c r="EF34" s="153"/>
      <c r="EG34" s="153"/>
      <c r="EH34" s="208">
        <f>+'[22]BGM-7'!J62</f>
        <v>1970125.7181654498</v>
      </c>
      <c r="EI34" s="153"/>
      <c r="EJ34" s="79"/>
      <c r="EK34" s="79"/>
      <c r="EL34" s="79"/>
      <c r="EM34" s="79"/>
      <c r="EN34" s="153"/>
      <c r="EO34" s="79"/>
      <c r="EP34" s="79"/>
      <c r="EQ34" s="79"/>
      <c r="ER34" s="79"/>
      <c r="ES34" s="79"/>
      <c r="ET34" s="79"/>
      <c r="EU34" s="79"/>
      <c r="EV34" s="79"/>
      <c r="EW34" s="208"/>
      <c r="EX34" s="208">
        <f>+'A2 (Dir. Fees)'!X16</f>
        <v>-257278.82831864216</v>
      </c>
      <c r="EY34" s="79"/>
      <c r="EZ34" s="78">
        <f t="shared" si="36"/>
        <v>1777440.9911050519</v>
      </c>
      <c r="FA34" s="78">
        <f t="shared" si="37"/>
        <v>61233261.335933067</v>
      </c>
      <c r="FB34" s="79">
        <v>8177.0072797895509</v>
      </c>
      <c r="FC34" s="153"/>
      <c r="FD34" s="153"/>
      <c r="FE34" s="79"/>
      <c r="FF34" s="79"/>
      <c r="FG34" s="153"/>
      <c r="FH34" s="153"/>
      <c r="FI34" s="153"/>
      <c r="FJ34" s="153"/>
      <c r="FK34" s="153"/>
      <c r="FL34" s="79">
        <v>178802.23975383467</v>
      </c>
      <c r="FM34" s="153"/>
      <c r="FN34" s="153"/>
      <c r="FO34" s="153"/>
      <c r="FP34" s="153"/>
      <c r="FQ34" s="153"/>
      <c r="FR34" s="153"/>
      <c r="FS34" s="153"/>
      <c r="FT34" s="153"/>
      <c r="FU34" s="153"/>
      <c r="FV34" s="153"/>
      <c r="FW34" s="208">
        <f>+'[22]BGM-7'!K62</f>
        <v>1574157.8282048479</v>
      </c>
      <c r="FX34" s="153"/>
      <c r="FY34" s="79"/>
      <c r="FZ34" s="79"/>
      <c r="GA34" s="153"/>
      <c r="GB34" s="79"/>
      <c r="GC34" s="153"/>
      <c r="GD34" s="79"/>
      <c r="GE34" s="79"/>
      <c r="GF34" s="79"/>
      <c r="GG34" s="79"/>
      <c r="GH34" s="79"/>
      <c r="GI34" s="79"/>
      <c r="GJ34" s="79"/>
      <c r="GK34" s="79"/>
      <c r="GL34" s="208"/>
      <c r="GM34" s="208">
        <f>+'A2 (Dir. Fees)'!Y16</f>
        <v>-248</v>
      </c>
      <c r="GN34" s="79"/>
      <c r="GO34" s="78">
        <f t="shared" si="38"/>
        <v>1760889.0752384721</v>
      </c>
      <c r="GP34" s="78">
        <f t="shared" si="39"/>
        <v>62994150.411171541</v>
      </c>
      <c r="GQ34" s="79">
        <v>1708.430959507192</v>
      </c>
      <c r="GR34" s="153"/>
      <c r="GS34" s="153"/>
      <c r="GT34" s="79"/>
      <c r="GU34" s="79"/>
      <c r="GV34" s="153"/>
      <c r="GW34" s="153"/>
      <c r="GX34" s="153"/>
      <c r="GY34" s="153"/>
      <c r="GZ34" s="153"/>
      <c r="HA34" s="79">
        <v>270042.57108280098</v>
      </c>
      <c r="HB34" s="153"/>
      <c r="HC34" s="153"/>
      <c r="HD34" s="153"/>
      <c r="HE34" s="153"/>
      <c r="HF34" s="153"/>
      <c r="HG34" s="153"/>
      <c r="HH34" s="153"/>
      <c r="HI34" s="153"/>
      <c r="HJ34" s="153"/>
      <c r="HK34" s="153"/>
      <c r="HL34" s="208">
        <f>+'[22]BGM-7'!L62</f>
        <v>1614456.2686068937</v>
      </c>
      <c r="HM34" s="153"/>
      <c r="HN34" s="79"/>
      <c r="HO34" s="79"/>
      <c r="HP34" s="79"/>
      <c r="HQ34" s="79"/>
      <c r="HR34" s="153"/>
      <c r="HS34" s="79"/>
      <c r="HT34" s="79"/>
      <c r="HU34" s="79"/>
      <c r="HV34" s="79"/>
      <c r="HW34" s="79"/>
      <c r="HX34" s="79"/>
      <c r="HY34" s="79"/>
      <c r="HZ34" s="153"/>
      <c r="IA34" s="208"/>
      <c r="IB34" s="208">
        <f>+'A2 (Dir. Fees)'!Z16</f>
        <v>-252</v>
      </c>
      <c r="IC34" s="79"/>
      <c r="ID34" s="78">
        <f t="shared" si="40"/>
        <v>1885955.2706492019</v>
      </c>
      <c r="IE34" s="78">
        <f t="shared" si="41"/>
        <v>64880105.681820743</v>
      </c>
      <c r="IF34" s="47" t="s">
        <v>34</v>
      </c>
    </row>
    <row r="35" spans="1:240" x14ac:dyDescent="0.3">
      <c r="A35" s="58">
        <f>ROW()</f>
        <v>35</v>
      </c>
      <c r="B35" s="74" t="s">
        <v>84</v>
      </c>
      <c r="C35" s="78">
        <v>136291383.96000001</v>
      </c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>
        <v>2663313.4357930301</v>
      </c>
      <c r="X35" s="51"/>
      <c r="Y35" s="153"/>
      <c r="Z35" s="153"/>
      <c r="AA35" s="79"/>
      <c r="AB35" s="153"/>
      <c r="AC35" s="79"/>
      <c r="AD35" s="156"/>
      <c r="AE35" s="156"/>
      <c r="AF35" s="51"/>
      <c r="AG35" s="51"/>
      <c r="AH35" s="156"/>
      <c r="AI35" s="78">
        <f t="shared" si="30"/>
        <v>2663313.4357930301</v>
      </c>
      <c r="AJ35" s="78">
        <f t="shared" si="31"/>
        <v>138954697.39579305</v>
      </c>
      <c r="AK35" s="79"/>
      <c r="AL35" s="153"/>
      <c r="AM35" s="79"/>
      <c r="AN35" s="79"/>
      <c r="AO35" s="79"/>
      <c r="AP35" s="153"/>
      <c r="AQ35" s="153"/>
      <c r="AR35" s="153"/>
      <c r="AS35" s="79"/>
      <c r="AT35" s="153"/>
      <c r="AU35" s="153"/>
      <c r="AV35" s="153"/>
      <c r="AW35" s="153"/>
      <c r="AY35" s="79"/>
      <c r="AZ35" s="153"/>
      <c r="BA35" s="79"/>
      <c r="BB35" s="153"/>
      <c r="BC35" s="138"/>
      <c r="BD35" s="153"/>
      <c r="BE35" s="153"/>
      <c r="BF35" s="153"/>
      <c r="BG35" s="153"/>
      <c r="BH35" s="79"/>
      <c r="BI35" s="79"/>
      <c r="BJ35" s="138"/>
      <c r="BL35" s="138"/>
      <c r="BM35" s="88">
        <v>-146202.61966685951</v>
      </c>
      <c r="BN35" s="88">
        <v>-201938.05620600007</v>
      </c>
      <c r="BO35" s="88">
        <v>286937.30799400009</v>
      </c>
      <c r="BP35" s="88">
        <v>389990.21</v>
      </c>
      <c r="BQ35" s="88">
        <v>23.565967999999998</v>
      </c>
      <c r="BR35" s="88">
        <v>176625.51832800003</v>
      </c>
      <c r="BS35" s="138"/>
      <c r="BT35" s="90"/>
      <c r="BV35" s="138"/>
      <c r="BW35" s="78">
        <f t="shared" si="32"/>
        <v>505435.92641714058</v>
      </c>
      <c r="BX35" s="78">
        <f t="shared" si="33"/>
        <v>139460133.32221019</v>
      </c>
      <c r="BZ35" s="138"/>
      <c r="CA35" s="138"/>
      <c r="CD35" s="138"/>
      <c r="CE35" s="138"/>
      <c r="CF35" s="138"/>
      <c r="CG35" s="138"/>
      <c r="CH35" s="138"/>
      <c r="CJ35" s="138"/>
      <c r="CK35" s="138"/>
      <c r="CL35" s="138"/>
      <c r="CM35" s="138"/>
      <c r="CN35" s="138"/>
      <c r="CO35" s="138"/>
      <c r="CP35" s="138"/>
      <c r="CQ35" s="138"/>
      <c r="CR35" s="138"/>
      <c r="CS35" s="138"/>
      <c r="CT35" s="138"/>
      <c r="CU35" s="138"/>
      <c r="CX35" s="138"/>
      <c r="CZ35" s="138"/>
      <c r="DA35" s="79">
        <v>-146127.67466614954</v>
      </c>
      <c r="DB35" s="87">
        <v>-1316868.1218219968</v>
      </c>
      <c r="DC35" s="233">
        <f>3403550.168064</f>
        <v>3403550.1680640001</v>
      </c>
      <c r="DD35" s="235">
        <f>2595454.95+'11.32 (Gas Line Ext. Adj.)'!E30*1000</f>
        <v>332549.16777893063</v>
      </c>
      <c r="DE35" s="235">
        <f>5820946.101936+'11.33 (Tacoma LNG)'!E38*1000</f>
        <v>16174.821936000139</v>
      </c>
      <c r="DF35" s="87">
        <v>669821.58016399993</v>
      </c>
      <c r="DG35" s="138"/>
      <c r="DI35" s="221">
        <f>+'A1 (Gas Adj.)'!E31*1000</f>
        <v>54738.169111333205</v>
      </c>
      <c r="DJ35" s="138"/>
      <c r="DK35" s="78">
        <f t="shared" si="34"/>
        <v>3013838.1105661178</v>
      </c>
      <c r="DL35" s="78">
        <f t="shared" si="35"/>
        <v>142473971.4327763</v>
      </c>
      <c r="DN35" s="138"/>
      <c r="DO35" s="138"/>
      <c r="DR35" s="138"/>
      <c r="DS35" s="138"/>
      <c r="DT35" s="138"/>
      <c r="DU35" s="138"/>
      <c r="DV35" s="138"/>
      <c r="DX35" s="138"/>
      <c r="DY35" s="138"/>
      <c r="DZ35" s="138"/>
      <c r="EB35" s="138"/>
      <c r="EC35" s="138"/>
      <c r="ED35" s="138"/>
      <c r="EE35" s="138"/>
      <c r="EF35" s="138"/>
      <c r="EG35" s="138"/>
      <c r="EH35" s="79"/>
      <c r="EI35" s="138"/>
      <c r="EN35" s="138"/>
      <c r="EO35" s="79">
        <v>17017589.11212999</v>
      </c>
      <c r="EP35" s="88">
        <v>-1446296.1124260013</v>
      </c>
      <c r="EQ35" s="88">
        <v>5089924.9030239992</v>
      </c>
      <c r="ER35" s="216">
        <f>3622750.66+'11.32 (Gas Line Ext. Adj.)'!F30*1000</f>
        <v>2011856.7611514318</v>
      </c>
      <c r="ES35" s="216">
        <f>-688646.96+'11.33 (Tacoma LNG)'!F38*1000</f>
        <v>16624.240000000224</v>
      </c>
      <c r="ET35" s="88">
        <v>841803.14719400008</v>
      </c>
      <c r="EU35" s="90"/>
      <c r="EW35" s="221">
        <f>+'A1 (Gas Adj.)'!F31*1000</f>
        <v>-1614519.7772463441</v>
      </c>
      <c r="EX35" s="221">
        <v>0</v>
      </c>
      <c r="EZ35" s="78">
        <f t="shared" si="36"/>
        <v>21916982.273827076</v>
      </c>
      <c r="FA35" s="78">
        <f t="shared" si="37"/>
        <v>164390953.70660338</v>
      </c>
      <c r="FC35" s="138"/>
      <c r="FD35" s="138"/>
      <c r="FG35" s="138"/>
      <c r="FH35" s="138"/>
      <c r="FI35" s="138"/>
      <c r="FJ35" s="138"/>
      <c r="FK35" s="138"/>
      <c r="FM35" s="138"/>
      <c r="FN35" s="138"/>
      <c r="FO35" s="138"/>
      <c r="FP35" s="138"/>
      <c r="FQ35" s="138"/>
      <c r="FR35" s="138"/>
      <c r="FS35" s="138"/>
      <c r="FT35" s="138"/>
      <c r="FU35" s="138"/>
      <c r="FV35" s="138"/>
      <c r="FW35" s="79"/>
      <c r="FX35" s="138"/>
      <c r="GA35" s="138"/>
      <c r="GC35" s="138"/>
      <c r="GD35" s="79">
        <v>-4652212.2972340118</v>
      </c>
      <c r="GE35" s="88">
        <v>-593219.48881600192</v>
      </c>
      <c r="GF35" s="88">
        <v>10412129.460973997</v>
      </c>
      <c r="GG35" s="216">
        <f>2581569.06000002+'11.32 (Gas Line Ext. Adj.)'!G30*1000</f>
        <v>1195415.2581082042</v>
      </c>
      <c r="GH35" s="88">
        <v>4269.8603739999999</v>
      </c>
      <c r="GI35" s="88">
        <v>748479.1033379999</v>
      </c>
      <c r="GL35" s="221">
        <f>+'A1 (Gas Adj.)'!G31*1000</f>
        <v>-1986101.4990216137</v>
      </c>
      <c r="GM35" s="221">
        <v>0</v>
      </c>
      <c r="GO35" s="78">
        <f t="shared" si="38"/>
        <v>5128760.3977225721</v>
      </c>
      <c r="GP35" s="78">
        <f t="shared" si="39"/>
        <v>169519714.10432595</v>
      </c>
      <c r="GR35" s="138"/>
      <c r="GS35" s="138"/>
      <c r="GV35" s="138"/>
      <c r="GW35" s="138"/>
      <c r="GX35" s="138"/>
      <c r="GY35" s="138"/>
      <c r="GZ35" s="138"/>
      <c r="HB35" s="138"/>
      <c r="HC35" s="138"/>
      <c r="HD35" s="138"/>
      <c r="HE35" s="138"/>
      <c r="HF35" s="138"/>
      <c r="HG35" s="138"/>
      <c r="HH35" s="138"/>
      <c r="HI35" s="138"/>
      <c r="HJ35" s="138"/>
      <c r="HK35" s="138"/>
      <c r="HL35" s="79"/>
      <c r="HM35" s="138"/>
      <c r="HQ35" s="88"/>
      <c r="HR35" s="138"/>
      <c r="HS35" s="88">
        <v>-8256.4799999892712</v>
      </c>
      <c r="HT35" s="88">
        <v>-445267.7588159992</v>
      </c>
      <c r="HU35" s="88">
        <v>5579374.4999999907</v>
      </c>
      <c r="HV35" s="216">
        <f>2325963.29000002+'11.32 (Gas Line Ext. Adj.)'!H30*1000</f>
        <v>1164701.4995954691</v>
      </c>
      <c r="HW35" s="88">
        <v>262000.40866599994</v>
      </c>
      <c r="HX35" s="88">
        <v>863579.75341199979</v>
      </c>
      <c r="HZ35" s="138"/>
      <c r="IA35" s="221">
        <f>+'A1 (Gas Adj.)'!H31*1000</f>
        <v>-842856.6680062213</v>
      </c>
      <c r="IB35" s="221">
        <v>0</v>
      </c>
      <c r="ID35" s="78">
        <f t="shared" si="40"/>
        <v>6573275.25485125</v>
      </c>
      <c r="IE35" s="78">
        <f t="shared" si="41"/>
        <v>176092989.3591772</v>
      </c>
      <c r="IF35" s="47" t="s">
        <v>34</v>
      </c>
    </row>
    <row r="36" spans="1:240" x14ac:dyDescent="0.3">
      <c r="A36" s="58">
        <f>ROW()</f>
        <v>36</v>
      </c>
      <c r="B36" s="74" t="s">
        <v>85</v>
      </c>
      <c r="C36" s="78">
        <v>42880221.939999998</v>
      </c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>
        <v>-2929263.4209680017</v>
      </c>
      <c r="X36" s="79"/>
      <c r="Y36" s="153"/>
      <c r="Z36" s="153"/>
      <c r="AA36" s="79"/>
      <c r="AB36" s="153"/>
      <c r="AC36" s="79"/>
      <c r="AD36" s="153"/>
      <c r="AE36" s="153"/>
      <c r="AF36" s="79"/>
      <c r="AG36" s="79"/>
      <c r="AH36" s="153"/>
      <c r="AI36" s="78">
        <f t="shared" si="30"/>
        <v>-2929263.4209680017</v>
      </c>
      <c r="AJ36" s="78">
        <f t="shared" si="31"/>
        <v>39950958.519031994</v>
      </c>
      <c r="AK36" s="79"/>
      <c r="AL36" s="153"/>
      <c r="AM36" s="79"/>
      <c r="AN36" s="79"/>
      <c r="AO36" s="79"/>
      <c r="AP36" s="153"/>
      <c r="AQ36" s="153"/>
      <c r="AR36" s="153"/>
      <c r="AS36" s="79"/>
      <c r="AT36" s="153"/>
      <c r="AU36" s="153"/>
      <c r="AV36" s="153"/>
      <c r="AW36" s="153"/>
      <c r="AX36" s="79"/>
      <c r="AY36" s="79"/>
      <c r="AZ36" s="153"/>
      <c r="BA36" s="79"/>
      <c r="BB36" s="153"/>
      <c r="BC36" s="153"/>
      <c r="BD36" s="153"/>
      <c r="BE36" s="153"/>
      <c r="BF36" s="153"/>
      <c r="BG36" s="153"/>
      <c r="BH36" s="79"/>
      <c r="BJ36" s="153"/>
      <c r="BK36" s="79"/>
      <c r="BL36" s="153"/>
      <c r="BM36" s="79">
        <v>-1947669.2631360022</v>
      </c>
      <c r="BN36" s="79">
        <v>0</v>
      </c>
      <c r="BO36" s="79">
        <v>87221.909211999999</v>
      </c>
      <c r="BP36" s="79">
        <v>0</v>
      </c>
      <c r="BQ36" s="79">
        <v>2.9734380000000002</v>
      </c>
      <c r="BR36" s="79">
        <v>322398.39959199994</v>
      </c>
      <c r="BS36" s="153"/>
      <c r="BT36" s="79"/>
      <c r="BU36" s="79"/>
      <c r="BV36" s="153"/>
      <c r="BW36" s="78">
        <f t="shared" si="32"/>
        <v>-1538045.9808940021</v>
      </c>
      <c r="BX36" s="78">
        <f t="shared" si="33"/>
        <v>38412912.538137995</v>
      </c>
      <c r="BY36" s="79"/>
      <c r="BZ36" s="153"/>
      <c r="CA36" s="153"/>
      <c r="CB36" s="79"/>
      <c r="CC36" s="79"/>
      <c r="CD36" s="153"/>
      <c r="CE36" s="153"/>
      <c r="CF36" s="153"/>
      <c r="CG36" s="153"/>
      <c r="CH36" s="153"/>
      <c r="CI36" s="79"/>
      <c r="CJ36" s="153"/>
      <c r="CK36" s="153"/>
      <c r="CL36" s="153"/>
      <c r="CM36" s="153"/>
      <c r="CN36" s="153"/>
      <c r="CO36" s="153"/>
      <c r="CP36" s="153"/>
      <c r="CQ36" s="153"/>
      <c r="CR36" s="153"/>
      <c r="CS36" s="153"/>
      <c r="CT36" s="153"/>
      <c r="CU36" s="153"/>
      <c r="CV36" s="79"/>
      <c r="CW36" s="79"/>
      <c r="CX36" s="153"/>
      <c r="CY36" s="79"/>
      <c r="CZ36" s="153"/>
      <c r="DA36" s="79">
        <v>-9712935.6336860023</v>
      </c>
      <c r="DB36" s="79">
        <v>-1634.158424</v>
      </c>
      <c r="DC36" s="79">
        <v>1697581.885796</v>
      </c>
      <c r="DD36" s="79">
        <v>0</v>
      </c>
      <c r="DE36" s="79">
        <v>5.9366580000000013</v>
      </c>
      <c r="DF36" s="79">
        <v>2880313.8212180003</v>
      </c>
      <c r="DG36" s="153"/>
      <c r="DH36" s="79"/>
      <c r="DI36" s="208"/>
      <c r="DJ36" s="153"/>
      <c r="DK36" s="78">
        <f t="shared" si="34"/>
        <v>-5136668.1484380011</v>
      </c>
      <c r="DL36" s="78">
        <f t="shared" si="35"/>
        <v>33276244.389699996</v>
      </c>
      <c r="DM36" s="79"/>
      <c r="DN36" s="153"/>
      <c r="DO36" s="153"/>
      <c r="DP36" s="79"/>
      <c r="DQ36" s="79"/>
      <c r="DR36" s="153"/>
      <c r="DS36" s="153"/>
      <c r="DT36" s="153"/>
      <c r="DU36" s="153"/>
      <c r="DV36" s="153"/>
      <c r="DW36" s="79"/>
      <c r="DX36" s="153"/>
      <c r="DY36" s="153"/>
      <c r="DZ36" s="153"/>
      <c r="EA36" s="79"/>
      <c r="EB36" s="153"/>
      <c r="EC36" s="153"/>
      <c r="ED36" s="153"/>
      <c r="EE36" s="153"/>
      <c r="EF36" s="153"/>
      <c r="EG36" s="153"/>
      <c r="EH36" s="79"/>
      <c r="EI36" s="153"/>
      <c r="EJ36" s="79"/>
      <c r="EK36" s="79"/>
      <c r="EL36" s="79"/>
      <c r="EM36" s="79"/>
      <c r="EN36" s="153"/>
      <c r="EO36" s="79">
        <v>-8854120.5235819984</v>
      </c>
      <c r="EP36" s="79">
        <v>-1826.7774479999998</v>
      </c>
      <c r="EQ36" s="79">
        <v>1984763.2040259999</v>
      </c>
      <c r="ER36" s="208">
        <v>0</v>
      </c>
      <c r="ES36" s="208">
        <v>0</v>
      </c>
      <c r="ET36" s="79">
        <v>3911512.2736100005</v>
      </c>
      <c r="EU36" s="79"/>
      <c r="EV36" s="79"/>
      <c r="EW36" s="208"/>
      <c r="EX36" s="208"/>
      <c r="EY36" s="79"/>
      <c r="EZ36" s="78">
        <f t="shared" si="36"/>
        <v>-2959671.8233939987</v>
      </c>
      <c r="FA36" s="78">
        <f t="shared" si="37"/>
        <v>30316572.566305995</v>
      </c>
      <c r="FB36" s="79"/>
      <c r="FC36" s="153"/>
      <c r="FD36" s="153"/>
      <c r="FE36" s="79"/>
      <c r="FF36" s="79"/>
      <c r="FG36" s="153"/>
      <c r="FH36" s="153"/>
      <c r="FI36" s="153"/>
      <c r="FJ36" s="153"/>
      <c r="FK36" s="153"/>
      <c r="FL36" s="79"/>
      <c r="FM36" s="153"/>
      <c r="FN36" s="153"/>
      <c r="FO36" s="153"/>
      <c r="FP36" s="153"/>
      <c r="FQ36" s="153"/>
      <c r="FR36" s="153"/>
      <c r="FS36" s="153"/>
      <c r="FT36" s="153"/>
      <c r="FU36" s="153"/>
      <c r="FV36" s="153"/>
      <c r="FW36" s="79"/>
      <c r="FX36" s="153"/>
      <c r="FY36" s="79"/>
      <c r="FZ36" s="79"/>
      <c r="GA36" s="153"/>
      <c r="GB36" s="79"/>
      <c r="GC36" s="153"/>
      <c r="GD36" s="79">
        <v>-3473612.2279520039</v>
      </c>
      <c r="GE36" s="79">
        <v>-1826.7774479999998</v>
      </c>
      <c r="GF36" s="79">
        <v>2232823.3056200012</v>
      </c>
      <c r="GG36" s="79">
        <v>0</v>
      </c>
      <c r="GH36" s="79">
        <v>198825.049046</v>
      </c>
      <c r="GI36" s="79">
        <v>5421906.3400599994</v>
      </c>
      <c r="GJ36" s="79"/>
      <c r="GK36" s="79"/>
      <c r="GL36" s="208"/>
      <c r="GM36" s="208"/>
      <c r="GN36" s="79"/>
      <c r="GO36" s="78">
        <f t="shared" si="38"/>
        <v>4378115.6893259967</v>
      </c>
      <c r="GP36" s="78">
        <f t="shared" si="39"/>
        <v>34694688.255631991</v>
      </c>
      <c r="GQ36" s="79"/>
      <c r="GR36" s="153"/>
      <c r="GS36" s="153"/>
      <c r="GT36" s="79"/>
      <c r="GU36" s="79"/>
      <c r="GV36" s="153"/>
      <c r="GW36" s="153"/>
      <c r="GX36" s="153"/>
      <c r="GY36" s="153"/>
      <c r="GZ36" s="153"/>
      <c r="HA36" s="79"/>
      <c r="HB36" s="153"/>
      <c r="HC36" s="153"/>
      <c r="HD36" s="153"/>
      <c r="HE36" s="153"/>
      <c r="HF36" s="153"/>
      <c r="HG36" s="153"/>
      <c r="HH36" s="153"/>
      <c r="HI36" s="153"/>
      <c r="HJ36" s="153"/>
      <c r="HK36" s="153"/>
      <c r="HL36" s="79"/>
      <c r="HM36" s="153"/>
      <c r="HN36" s="79"/>
      <c r="HO36" s="79"/>
      <c r="HP36" s="79"/>
      <c r="HQ36" s="88"/>
      <c r="HR36" s="153"/>
      <c r="HS36" s="88">
        <v>-3052846.811263999</v>
      </c>
      <c r="HT36" s="79">
        <v>-1826.77744799999</v>
      </c>
      <c r="HU36" s="79">
        <v>2291394.7824759991</v>
      </c>
      <c r="HV36" s="208">
        <v>0</v>
      </c>
      <c r="HW36" s="79">
        <v>1068637.026574</v>
      </c>
      <c r="HX36" s="79">
        <v>2546112.9428140055</v>
      </c>
      <c r="HY36" s="79"/>
      <c r="HZ36" s="153"/>
      <c r="IA36" s="208"/>
      <c r="IB36" s="208"/>
      <c r="IC36" s="79"/>
      <c r="ID36" s="78">
        <f t="shared" si="40"/>
        <v>2851471.1631520055</v>
      </c>
      <c r="IE36" s="78">
        <f t="shared" si="41"/>
        <v>37546159.418783993</v>
      </c>
      <c r="IF36" s="47" t="s">
        <v>34</v>
      </c>
    </row>
    <row r="37" spans="1:240" x14ac:dyDescent="0.3">
      <c r="A37" s="58">
        <f>ROW()</f>
        <v>37</v>
      </c>
      <c r="B37" s="86" t="s">
        <v>86</v>
      </c>
      <c r="C37" s="78">
        <v>0</v>
      </c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153"/>
      <c r="Z37" s="153"/>
      <c r="AA37" s="79"/>
      <c r="AB37" s="153"/>
      <c r="AC37" s="79"/>
      <c r="AD37" s="153"/>
      <c r="AE37" s="153"/>
      <c r="AF37" s="79"/>
      <c r="AG37" s="79"/>
      <c r="AH37" s="153"/>
      <c r="AI37" s="78">
        <f t="shared" si="30"/>
        <v>0</v>
      </c>
      <c r="AJ37" s="78">
        <f t="shared" si="31"/>
        <v>0</v>
      </c>
      <c r="AK37" s="79"/>
      <c r="AL37" s="153"/>
      <c r="AM37" s="79"/>
      <c r="AN37" s="79"/>
      <c r="AO37" s="79"/>
      <c r="AP37" s="153"/>
      <c r="AQ37" s="153"/>
      <c r="AR37" s="153"/>
      <c r="AS37" s="79"/>
      <c r="AT37" s="153"/>
      <c r="AU37" s="153"/>
      <c r="AV37" s="153"/>
      <c r="AW37" s="153"/>
      <c r="AX37" s="79"/>
      <c r="AY37" s="79"/>
      <c r="AZ37" s="153"/>
      <c r="BA37" s="79"/>
      <c r="BB37" s="153"/>
      <c r="BC37" s="153"/>
      <c r="BD37" s="153"/>
      <c r="BE37" s="153"/>
      <c r="BF37" s="153"/>
      <c r="BG37" s="153"/>
      <c r="BH37" s="79"/>
      <c r="BI37" s="79"/>
      <c r="BJ37" s="153"/>
      <c r="BK37" s="79"/>
      <c r="BL37" s="153"/>
      <c r="BM37" s="79"/>
      <c r="BN37" s="79"/>
      <c r="BO37" s="79"/>
      <c r="BP37" s="79"/>
      <c r="BQ37" s="79"/>
      <c r="BR37" s="79"/>
      <c r="BS37" s="153"/>
      <c r="BT37" s="79"/>
      <c r="BU37" s="79"/>
      <c r="BV37" s="153"/>
      <c r="BW37" s="78">
        <f t="shared" si="32"/>
        <v>0</v>
      </c>
      <c r="BX37" s="78">
        <f t="shared" si="33"/>
        <v>0</v>
      </c>
      <c r="BY37" s="79"/>
      <c r="BZ37" s="153"/>
      <c r="CA37" s="153"/>
      <c r="CB37" s="79"/>
      <c r="CC37" s="79"/>
      <c r="CD37" s="153"/>
      <c r="CE37" s="153"/>
      <c r="CF37" s="153"/>
      <c r="CG37" s="153"/>
      <c r="CH37" s="153"/>
      <c r="CI37" s="79"/>
      <c r="CJ37" s="153"/>
      <c r="CK37" s="153"/>
      <c r="CL37" s="153"/>
      <c r="CM37" s="153"/>
      <c r="CN37" s="153"/>
      <c r="CO37" s="153"/>
      <c r="CP37" s="153"/>
      <c r="CQ37" s="153"/>
      <c r="CR37" s="153"/>
      <c r="CS37" s="153"/>
      <c r="CT37" s="153"/>
      <c r="CU37" s="153"/>
      <c r="CV37" s="79"/>
      <c r="CW37" s="79"/>
      <c r="CX37" s="153"/>
      <c r="CY37" s="79"/>
      <c r="CZ37" s="153"/>
      <c r="DA37" s="79"/>
      <c r="DB37" s="79"/>
      <c r="DG37" s="153"/>
      <c r="DH37" s="79">
        <v>0</v>
      </c>
      <c r="DI37" s="208">
        <v>0</v>
      </c>
      <c r="DJ37" s="153"/>
      <c r="DK37" s="78">
        <f t="shared" si="34"/>
        <v>0</v>
      </c>
      <c r="DL37" s="78">
        <f t="shared" si="35"/>
        <v>0</v>
      </c>
      <c r="DM37" s="79"/>
      <c r="DN37" s="153"/>
      <c r="DO37" s="153"/>
      <c r="DP37" s="79"/>
      <c r="DQ37" s="79"/>
      <c r="DR37" s="153"/>
      <c r="DS37" s="153"/>
      <c r="DT37" s="153"/>
      <c r="DU37" s="153"/>
      <c r="DV37" s="153"/>
      <c r="DW37" s="79"/>
      <c r="DX37" s="153"/>
      <c r="DY37" s="153"/>
      <c r="DZ37" s="153"/>
      <c r="EA37" s="79"/>
      <c r="EB37" s="153"/>
      <c r="EC37" s="153"/>
      <c r="ED37" s="153"/>
      <c r="EE37" s="153"/>
      <c r="EF37" s="153"/>
      <c r="EG37" s="153"/>
      <c r="EH37" s="79"/>
      <c r="EI37" s="153">
        <v>154804.66349126305</v>
      </c>
      <c r="EJ37" s="79"/>
      <c r="EK37" s="79"/>
      <c r="EL37" s="79"/>
      <c r="EM37" s="79"/>
      <c r="EN37" s="153"/>
      <c r="EO37" s="79"/>
      <c r="EP37" s="79"/>
      <c r="EQ37" s="79"/>
      <c r="ER37" s="79"/>
      <c r="ES37" s="79"/>
      <c r="ET37" s="79"/>
      <c r="EU37" s="79"/>
      <c r="EV37" s="79"/>
      <c r="EW37" s="208">
        <v>0</v>
      </c>
      <c r="EX37" s="208">
        <v>0</v>
      </c>
      <c r="EY37" s="79"/>
      <c r="EZ37" s="78">
        <f t="shared" si="36"/>
        <v>154804.66349126305</v>
      </c>
      <c r="FA37" s="78">
        <f t="shared" si="37"/>
        <v>154804.66349126305</v>
      </c>
      <c r="FB37" s="79"/>
      <c r="FC37" s="153"/>
      <c r="FD37" s="153"/>
      <c r="FE37" s="79"/>
      <c r="FF37" s="79"/>
      <c r="FG37" s="153"/>
      <c r="FH37" s="153"/>
      <c r="FI37" s="153"/>
      <c r="FJ37" s="153"/>
      <c r="FK37" s="153"/>
      <c r="FL37" s="79"/>
      <c r="FM37" s="153"/>
      <c r="FN37" s="153"/>
      <c r="FO37" s="153"/>
      <c r="FP37" s="153"/>
      <c r="FQ37" s="153"/>
      <c r="FR37" s="153"/>
      <c r="FS37" s="153"/>
      <c r="FT37" s="153"/>
      <c r="FU37" s="153"/>
      <c r="FV37" s="153"/>
      <c r="FW37" s="79"/>
      <c r="FX37" s="153">
        <v>1702851.2984038936</v>
      </c>
      <c r="FY37" s="79"/>
      <c r="FZ37" s="79"/>
      <c r="GA37" s="153"/>
      <c r="GB37" s="79"/>
      <c r="GC37" s="153"/>
      <c r="GD37" s="79"/>
      <c r="GE37" s="79"/>
      <c r="GF37" s="79"/>
      <c r="GG37" s="79"/>
      <c r="GH37" s="79"/>
      <c r="GI37" s="79"/>
      <c r="GJ37" s="79"/>
      <c r="GK37" s="79"/>
      <c r="GL37" s="208">
        <v>0</v>
      </c>
      <c r="GM37" s="208">
        <v>0</v>
      </c>
      <c r="GN37" s="79"/>
      <c r="GO37" s="78">
        <f t="shared" si="38"/>
        <v>1702851.2984038936</v>
      </c>
      <c r="GP37" s="78">
        <f t="shared" si="39"/>
        <v>1857655.9618951567</v>
      </c>
      <c r="GQ37" s="79"/>
      <c r="GR37" s="153"/>
      <c r="GS37" s="153"/>
      <c r="GT37" s="79"/>
      <c r="GU37" s="79"/>
      <c r="GV37" s="153"/>
      <c r="GW37" s="153"/>
      <c r="GX37" s="153"/>
      <c r="GY37" s="153"/>
      <c r="GZ37" s="153"/>
      <c r="HA37" s="79"/>
      <c r="HB37" s="153"/>
      <c r="HC37" s="153"/>
      <c r="HD37" s="153"/>
      <c r="HE37" s="153"/>
      <c r="HF37" s="153"/>
      <c r="HG37" s="153"/>
      <c r="HH37" s="153"/>
      <c r="HI37" s="153"/>
      <c r="HJ37" s="153"/>
      <c r="HK37" s="153"/>
      <c r="HL37" s="79"/>
      <c r="HM37" s="153">
        <v>0</v>
      </c>
      <c r="HN37" s="79"/>
      <c r="HO37" s="79"/>
      <c r="HP37" s="79"/>
      <c r="HQ37" s="79"/>
      <c r="HR37" s="153"/>
      <c r="HS37" s="79"/>
      <c r="HT37" s="79"/>
      <c r="HU37" s="79"/>
      <c r="HV37" s="79"/>
      <c r="HW37" s="79"/>
      <c r="HX37" s="79"/>
      <c r="HY37" s="79"/>
      <c r="HZ37" s="153"/>
      <c r="IA37" s="208">
        <v>0</v>
      </c>
      <c r="IB37" s="208">
        <v>0</v>
      </c>
      <c r="IC37" s="79"/>
      <c r="ID37" s="78">
        <f t="shared" si="40"/>
        <v>0</v>
      </c>
      <c r="IE37" s="78">
        <f t="shared" si="41"/>
        <v>1857655.9618951567</v>
      </c>
      <c r="IF37" s="47" t="s">
        <v>34</v>
      </c>
    </row>
    <row r="38" spans="1:240" x14ac:dyDescent="0.3">
      <c r="A38" s="58">
        <f>ROW()</f>
        <v>38</v>
      </c>
      <c r="B38" s="74" t="s">
        <v>87</v>
      </c>
      <c r="C38" s="78">
        <v>5027874.79</v>
      </c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>
        <v>-22852.439999999995</v>
      </c>
      <c r="S38" s="79"/>
      <c r="T38" s="79"/>
      <c r="U38" s="79"/>
      <c r="V38" s="79"/>
      <c r="W38" s="79"/>
      <c r="X38" s="79"/>
      <c r="Y38" s="153"/>
      <c r="Z38" s="153"/>
      <c r="AA38" s="79">
        <v>0</v>
      </c>
      <c r="AB38" s="153"/>
      <c r="AC38" s="79">
        <v>-883359.94052478392</v>
      </c>
      <c r="AD38" s="153"/>
      <c r="AE38" s="153"/>
      <c r="AF38" s="79"/>
      <c r="AG38" s="79">
        <v>0</v>
      </c>
      <c r="AH38" s="153"/>
      <c r="AI38" s="78">
        <f t="shared" si="30"/>
        <v>-906212.38052478386</v>
      </c>
      <c r="AJ38" s="78">
        <f t="shared" si="31"/>
        <v>4121662.4094752162</v>
      </c>
      <c r="AK38" s="79"/>
      <c r="AL38" s="153"/>
      <c r="AM38" s="79"/>
      <c r="AN38" s="79"/>
      <c r="AO38" s="79"/>
      <c r="AP38" s="153"/>
      <c r="AQ38" s="153"/>
      <c r="AR38" s="153"/>
      <c r="AS38" s="79"/>
      <c r="AT38" s="153"/>
      <c r="AU38" s="153"/>
      <c r="AV38" s="153"/>
      <c r="AW38" s="153"/>
      <c r="AX38" s="79"/>
      <c r="AY38" s="79">
        <v>-24347.969999999976</v>
      </c>
      <c r="AZ38" s="153"/>
      <c r="BA38" s="79"/>
      <c r="BB38" s="153"/>
      <c r="BC38" s="153"/>
      <c r="BD38" s="153"/>
      <c r="BE38" s="153"/>
      <c r="BF38" s="153"/>
      <c r="BG38" s="153"/>
      <c r="BH38" s="79"/>
      <c r="BI38" s="79">
        <v>5849175.2306000004</v>
      </c>
      <c r="BJ38" s="153"/>
      <c r="BK38" s="79"/>
      <c r="BL38" s="153"/>
      <c r="BM38" s="79"/>
      <c r="BN38" s="79"/>
      <c r="BO38" s="79"/>
      <c r="BP38" s="79"/>
      <c r="BQ38" s="79"/>
      <c r="BR38" s="79"/>
      <c r="BS38" s="153"/>
      <c r="BT38" s="79">
        <v>0</v>
      </c>
      <c r="BU38" s="79">
        <v>424716.20982690901</v>
      </c>
      <c r="BV38" s="138"/>
      <c r="BW38" s="78">
        <f>SUM(AK38:BU38)</f>
        <v>6249543.4704269096</v>
      </c>
      <c r="BX38" s="78">
        <f t="shared" si="33"/>
        <v>10371205.879902126</v>
      </c>
      <c r="BY38" s="79"/>
      <c r="BZ38" s="153"/>
      <c r="CA38" s="153"/>
      <c r="CB38" s="79"/>
      <c r="CC38" s="79"/>
      <c r="CD38" s="153"/>
      <c r="CE38" s="153"/>
      <c r="CF38" s="153"/>
      <c r="CG38" s="153"/>
      <c r="CH38" s="153"/>
      <c r="CI38" s="79"/>
      <c r="CJ38" s="153"/>
      <c r="CK38" s="153"/>
      <c r="CL38" s="153"/>
      <c r="CM38" s="153"/>
      <c r="CN38" s="153"/>
      <c r="CO38" s="153"/>
      <c r="CP38" s="153"/>
      <c r="CQ38" s="153"/>
      <c r="CR38" s="153"/>
      <c r="CS38" s="153"/>
      <c r="CT38" s="153"/>
      <c r="CU38" s="153"/>
      <c r="CV38" s="79"/>
      <c r="CW38" s="79"/>
      <c r="CX38" s="153"/>
      <c r="CY38" s="79"/>
      <c r="CZ38" s="153"/>
      <c r="DA38" s="79"/>
      <c r="DB38" s="79"/>
      <c r="DC38" s="79"/>
      <c r="DD38" s="79"/>
      <c r="DE38" s="79"/>
      <c r="DF38" s="79"/>
      <c r="DG38" s="153"/>
      <c r="DH38" s="79"/>
      <c r="DI38" s="208"/>
      <c r="DJ38" s="153"/>
      <c r="DK38" s="78">
        <f t="shared" si="34"/>
        <v>0</v>
      </c>
      <c r="DL38" s="78">
        <f t="shared" si="35"/>
        <v>10371205.879902126</v>
      </c>
      <c r="DM38" s="79"/>
      <c r="DN38" s="153"/>
      <c r="DO38" s="153"/>
      <c r="DP38" s="79"/>
      <c r="DQ38" s="79"/>
      <c r="DR38" s="153"/>
      <c r="DS38" s="153"/>
      <c r="DT38" s="153"/>
      <c r="DU38" s="153"/>
      <c r="DV38" s="153"/>
      <c r="DW38" s="79"/>
      <c r="DX38" s="153"/>
      <c r="DY38" s="153"/>
      <c r="DZ38" s="153"/>
      <c r="EA38" s="79">
        <v>1908181.2366666668</v>
      </c>
      <c r="EB38" s="153"/>
      <c r="EC38" s="153"/>
      <c r="ED38" s="153"/>
      <c r="EE38" s="153"/>
      <c r="EF38" s="153"/>
      <c r="EG38" s="153"/>
      <c r="EH38" s="79"/>
      <c r="EI38" s="153"/>
      <c r="EJ38" s="79"/>
      <c r="EK38" s="79">
        <v>4667402.7807480572</v>
      </c>
      <c r="EL38" s="79">
        <v>656555.35457370523</v>
      </c>
      <c r="EM38" s="208">
        <f>+'[21]Lead G'!$K$28</f>
        <v>-411013.51312499976</v>
      </c>
      <c r="EN38" s="153"/>
      <c r="EO38" s="79"/>
      <c r="EP38" s="79"/>
      <c r="EQ38" s="79"/>
      <c r="ER38" s="79"/>
      <c r="ES38" s="79"/>
      <c r="ET38" s="79"/>
      <c r="EU38" s="79">
        <v>0</v>
      </c>
      <c r="EV38" s="79">
        <v>-1459485.6823269089</v>
      </c>
      <c r="EW38" s="208"/>
      <c r="EX38" s="208"/>
      <c r="EY38" s="79">
        <v>0</v>
      </c>
      <c r="EZ38" s="78">
        <f t="shared" si="36"/>
        <v>5361640.1765365209</v>
      </c>
      <c r="FA38" s="78">
        <f t="shared" si="37"/>
        <v>15732846.056438647</v>
      </c>
      <c r="FB38" s="79"/>
      <c r="FC38" s="153"/>
      <c r="FD38" s="153"/>
      <c r="FE38" s="79"/>
      <c r="FF38" s="79"/>
      <c r="FG38" s="153"/>
      <c r="FH38" s="153"/>
      <c r="FI38" s="153"/>
      <c r="FJ38" s="153"/>
      <c r="FK38" s="153"/>
      <c r="FL38" s="79"/>
      <c r="FM38" s="153"/>
      <c r="FN38" s="153"/>
      <c r="FO38" s="153"/>
      <c r="FP38" s="153"/>
      <c r="FQ38" s="153"/>
      <c r="FR38" s="153"/>
      <c r="FS38" s="153"/>
      <c r="FT38" s="153"/>
      <c r="FU38" s="153"/>
      <c r="FV38" s="153"/>
      <c r="FW38" s="79"/>
      <c r="FX38" s="153"/>
      <c r="FY38" s="79"/>
      <c r="FZ38" s="79"/>
      <c r="GA38" s="153"/>
      <c r="GB38" s="79">
        <v>0</v>
      </c>
      <c r="GC38" s="153"/>
      <c r="GD38" s="79"/>
      <c r="GE38" s="79"/>
      <c r="GF38" s="79"/>
      <c r="GG38" s="79"/>
      <c r="GH38" s="79"/>
      <c r="GI38" s="79"/>
      <c r="GJ38" s="79"/>
      <c r="GK38" s="79">
        <v>-4378457.0469807265</v>
      </c>
      <c r="GL38" s="208"/>
      <c r="GM38" s="208"/>
      <c r="GN38" s="79"/>
      <c r="GO38" s="78">
        <f t="shared" si="38"/>
        <v>-4378457.0469807265</v>
      </c>
      <c r="GP38" s="78">
        <f t="shared" si="39"/>
        <v>11354389.00945792</v>
      </c>
      <c r="GQ38" s="79"/>
      <c r="GR38" s="153"/>
      <c r="GS38" s="153"/>
      <c r="GT38" s="79"/>
      <c r="GU38" s="79"/>
      <c r="GV38" s="153"/>
      <c r="GW38" s="153"/>
      <c r="GX38" s="153"/>
      <c r="GY38" s="153"/>
      <c r="GZ38" s="153"/>
      <c r="HA38" s="79"/>
      <c r="HB38" s="153"/>
      <c r="HC38" s="153"/>
      <c r="HD38" s="153"/>
      <c r="HE38" s="153">
        <v>0</v>
      </c>
      <c r="HF38" s="153"/>
      <c r="HG38" s="153"/>
      <c r="HH38" s="153"/>
      <c r="HI38" s="153"/>
      <c r="HJ38" s="153"/>
      <c r="HK38" s="153"/>
      <c r="HL38" s="79"/>
      <c r="HM38" s="153"/>
      <c r="HN38" s="79"/>
      <c r="HO38" s="79"/>
      <c r="HP38" s="79">
        <v>-3275461.9699998335</v>
      </c>
      <c r="HQ38" s="208">
        <f>+'[21]Lead G'!$O$28</f>
        <v>411013.51312499976</v>
      </c>
      <c r="HR38" s="153"/>
      <c r="HS38" s="79"/>
      <c r="HT38" s="79"/>
      <c r="HU38" s="79"/>
      <c r="HV38" s="79"/>
      <c r="HW38" s="79"/>
      <c r="HX38" s="79"/>
      <c r="HY38" s="79"/>
      <c r="HZ38" s="153"/>
      <c r="IA38" s="208"/>
      <c r="IB38" s="208"/>
      <c r="IC38" s="79"/>
      <c r="ID38" s="78">
        <f t="shared" si="40"/>
        <v>-2864448.4568748339</v>
      </c>
      <c r="IE38" s="78">
        <f t="shared" si="41"/>
        <v>8489940.5525830854</v>
      </c>
      <c r="IF38" s="47" t="s">
        <v>34</v>
      </c>
    </row>
    <row r="39" spans="1:240" x14ac:dyDescent="0.3">
      <c r="A39" s="58">
        <f>ROW()</f>
        <v>39</v>
      </c>
      <c r="B39" s="74" t="s">
        <v>88</v>
      </c>
      <c r="C39" s="78">
        <v>104064825.77000001</v>
      </c>
      <c r="D39" s="79">
        <v>150145.99805119279</v>
      </c>
      <c r="E39" s="79">
        <v>-79631403.360531434</v>
      </c>
      <c r="F39" s="79">
        <v>1858.1421767932045</v>
      </c>
      <c r="G39" s="79"/>
      <c r="H39" s="79"/>
      <c r="I39" s="79"/>
      <c r="J39" s="79"/>
      <c r="K39" s="79">
        <v>-1203.5147619992495</v>
      </c>
      <c r="L39" s="79"/>
      <c r="M39" s="79"/>
      <c r="N39" s="79">
        <v>233897.63965384098</v>
      </c>
      <c r="O39" s="79"/>
      <c r="P39" s="79"/>
      <c r="Q39" s="79"/>
      <c r="R39" s="79"/>
      <c r="S39" s="79"/>
      <c r="T39" s="79"/>
      <c r="U39" s="79">
        <v>111366.06360937754</v>
      </c>
      <c r="V39" s="79"/>
      <c r="W39" s="79"/>
      <c r="X39" s="79"/>
      <c r="Y39" s="153"/>
      <c r="Z39" s="153"/>
      <c r="AA39" s="79"/>
      <c r="AB39" s="153"/>
      <c r="AC39" s="79"/>
      <c r="AD39" s="153"/>
      <c r="AE39" s="153"/>
      <c r="AF39" s="79"/>
      <c r="AG39" s="79"/>
      <c r="AH39" s="153"/>
      <c r="AI39" s="78">
        <f t="shared" si="30"/>
        <v>-79135339.031802222</v>
      </c>
      <c r="AJ39" s="78">
        <f t="shared" si="31"/>
        <v>24929486.738197789</v>
      </c>
      <c r="AK39" s="79">
        <v>-1507872.9288832434</v>
      </c>
      <c r="AL39" s="153"/>
      <c r="AM39" s="79">
        <v>498710.86215691041</v>
      </c>
      <c r="AN39" s="79"/>
      <c r="AO39" s="79"/>
      <c r="AP39" s="153"/>
      <c r="AQ39" s="153"/>
      <c r="AR39" s="153"/>
      <c r="AS39" s="79"/>
      <c r="AT39" s="153"/>
      <c r="AU39" s="153">
        <v>-96898.533767085464</v>
      </c>
      <c r="AV39" s="153"/>
      <c r="AW39" s="153"/>
      <c r="AX39" s="79"/>
      <c r="AY39" s="79"/>
      <c r="AZ39" s="153"/>
      <c r="BA39" s="79"/>
      <c r="BB39" s="153"/>
      <c r="BC39" s="153"/>
      <c r="BD39" s="153"/>
      <c r="BE39" s="153"/>
      <c r="BF39" s="153"/>
      <c r="BG39" s="153"/>
      <c r="BH39" s="79"/>
      <c r="BI39" s="79"/>
      <c r="BJ39" s="153"/>
      <c r="BK39" s="79"/>
      <c r="BL39" s="153"/>
      <c r="BM39" s="79"/>
      <c r="BN39" s="79"/>
      <c r="BO39" s="79"/>
      <c r="BP39" s="79"/>
      <c r="BQ39" s="79"/>
      <c r="BR39" s="79"/>
      <c r="BS39" s="153"/>
      <c r="BT39" s="79"/>
      <c r="BU39" s="79"/>
      <c r="BV39" s="153"/>
      <c r="BW39" s="78">
        <f>SUM(AK39:BV39)</f>
        <v>-1106060.6004934185</v>
      </c>
      <c r="BX39" s="78">
        <f t="shared" si="33"/>
        <v>23823426.137704369</v>
      </c>
      <c r="BY39" s="79">
        <v>575837.94038498309</v>
      </c>
      <c r="BZ39" s="153"/>
      <c r="CA39" s="153"/>
      <c r="CB39" s="79"/>
      <c r="CC39" s="79"/>
      <c r="CD39" s="153"/>
      <c r="CE39" s="153"/>
      <c r="CF39" s="153"/>
      <c r="CG39" s="153"/>
      <c r="CH39" s="153"/>
      <c r="CI39" s="79">
        <v>3582.4886726551986</v>
      </c>
      <c r="CJ39" s="153"/>
      <c r="CK39" s="153"/>
      <c r="CL39" s="153"/>
      <c r="CM39" s="153"/>
      <c r="CN39" s="153"/>
      <c r="CO39" s="153"/>
      <c r="CP39" s="153"/>
      <c r="CQ39" s="153"/>
      <c r="CR39" s="153"/>
      <c r="CS39" s="153"/>
      <c r="CT39" s="153"/>
      <c r="CU39" s="153"/>
      <c r="CV39" s="79"/>
      <c r="CW39" s="79"/>
      <c r="CX39" s="153"/>
      <c r="CY39" s="79"/>
      <c r="CZ39" s="153"/>
      <c r="DA39" s="79"/>
      <c r="DB39" s="79"/>
      <c r="DC39" s="79"/>
      <c r="DD39" s="79"/>
      <c r="DE39" s="79"/>
      <c r="DF39" s="79"/>
      <c r="DG39" s="153"/>
      <c r="DH39" s="79"/>
      <c r="DI39" s="208"/>
      <c r="DJ39" s="153"/>
      <c r="DK39" s="78">
        <f t="shared" si="34"/>
        <v>579420.42905763828</v>
      </c>
      <c r="DL39" s="78">
        <f t="shared" si="35"/>
        <v>24402846.566762008</v>
      </c>
      <c r="DM39" s="79">
        <v>122079.72841140658</v>
      </c>
      <c r="DN39" s="153"/>
      <c r="DO39" s="153"/>
      <c r="DP39" s="79"/>
      <c r="DQ39" s="79"/>
      <c r="DR39" s="153"/>
      <c r="DS39" s="153"/>
      <c r="DT39" s="153"/>
      <c r="DU39" s="153"/>
      <c r="DV39" s="153"/>
      <c r="DW39" s="79">
        <v>18017.185330354314</v>
      </c>
      <c r="DX39" s="153"/>
      <c r="DY39" s="153"/>
      <c r="DZ39" s="153"/>
      <c r="EA39" s="79"/>
      <c r="EB39" s="153"/>
      <c r="EC39" s="153"/>
      <c r="ED39" s="153"/>
      <c r="EE39" s="153"/>
      <c r="EF39" s="153"/>
      <c r="EG39" s="153"/>
      <c r="EH39" s="79">
        <v>717291.78090297058</v>
      </c>
      <c r="EI39" s="153"/>
      <c r="EJ39" s="79"/>
      <c r="EK39" s="79"/>
      <c r="EL39" s="79"/>
      <c r="EM39" s="208"/>
      <c r="EN39" s="153"/>
      <c r="EO39" s="79"/>
      <c r="EP39" s="79"/>
      <c r="EQ39" s="79"/>
      <c r="ER39" s="79"/>
      <c r="ES39" s="79"/>
      <c r="ET39" s="79"/>
      <c r="EU39" s="79"/>
      <c r="EV39" s="79"/>
      <c r="EW39" s="208"/>
      <c r="EX39" s="208"/>
      <c r="EY39" s="79"/>
      <c r="EZ39" s="78">
        <f t="shared" si="36"/>
        <v>857388.69464473147</v>
      </c>
      <c r="FA39" s="78">
        <f t="shared" si="37"/>
        <v>25260235.261406738</v>
      </c>
      <c r="FB39" s="79">
        <v>156826.8226190838</v>
      </c>
      <c r="FC39" s="153"/>
      <c r="FD39" s="153"/>
      <c r="FE39" s="79"/>
      <c r="FF39" s="79"/>
      <c r="FG39" s="153"/>
      <c r="FH39" s="153"/>
      <c r="FI39" s="153"/>
      <c r="FJ39" s="153"/>
      <c r="FK39" s="153"/>
      <c r="FL39" s="79">
        <v>55325.062206358234</v>
      </c>
      <c r="FM39" s="153"/>
      <c r="FN39" s="153"/>
      <c r="FO39" s="153"/>
      <c r="FP39" s="153"/>
      <c r="FQ39" s="153"/>
      <c r="FR39" s="153"/>
      <c r="FS39" s="153"/>
      <c r="FT39" s="153"/>
      <c r="FU39" s="153"/>
      <c r="FV39" s="153"/>
      <c r="FW39" s="79">
        <v>164934.15280500427</v>
      </c>
      <c r="FX39" s="153"/>
      <c r="FY39" s="79"/>
      <c r="FZ39" s="79"/>
      <c r="GA39" s="153"/>
      <c r="GB39" s="79"/>
      <c r="GC39" s="153"/>
      <c r="GD39" s="79"/>
      <c r="GE39" s="79"/>
      <c r="GF39" s="79"/>
      <c r="GG39" s="79"/>
      <c r="GH39" s="79"/>
      <c r="GI39" s="79"/>
      <c r="GJ39" s="79"/>
      <c r="GK39" s="79"/>
      <c r="GL39" s="208"/>
      <c r="GM39" s="208"/>
      <c r="GN39" s="79"/>
      <c r="GO39" s="78">
        <f t="shared" si="38"/>
        <v>377086.03763044631</v>
      </c>
      <c r="GP39" s="78">
        <f t="shared" si="39"/>
        <v>25637321.299037185</v>
      </c>
      <c r="GQ39" s="79">
        <v>32765.99737238844</v>
      </c>
      <c r="GR39" s="153"/>
      <c r="GS39" s="153"/>
      <c r="GT39" s="79"/>
      <c r="GU39" s="79"/>
      <c r="GV39" s="153"/>
      <c r="GW39" s="153"/>
      <c r="GX39" s="153"/>
      <c r="GY39" s="153"/>
      <c r="GZ39" s="153"/>
      <c r="HA39" s="79">
        <v>83556.682869798678</v>
      </c>
      <c r="HB39" s="153"/>
      <c r="HC39" s="153"/>
      <c r="HD39" s="153"/>
      <c r="HE39" s="153"/>
      <c r="HF39" s="153"/>
      <c r="HG39" s="153"/>
      <c r="HH39" s="153"/>
      <c r="HI39" s="153"/>
      <c r="HJ39" s="153"/>
      <c r="HK39" s="153"/>
      <c r="HL39" s="79">
        <v>170000.20881224982</v>
      </c>
      <c r="HM39" s="153"/>
      <c r="HN39" s="79"/>
      <c r="HO39" s="79"/>
      <c r="HP39" s="79"/>
      <c r="HQ39" s="216"/>
      <c r="HR39" s="153"/>
      <c r="HS39" s="88"/>
      <c r="HT39" s="79"/>
      <c r="HU39" s="79"/>
      <c r="HV39" s="79"/>
      <c r="HW39" s="79"/>
      <c r="HX39" s="79"/>
      <c r="HY39" s="79"/>
      <c r="HZ39" s="153"/>
      <c r="IA39" s="208"/>
      <c r="IB39" s="208"/>
      <c r="IC39" s="79"/>
      <c r="ID39" s="78">
        <f t="shared" si="40"/>
        <v>286322.88905443694</v>
      </c>
      <c r="IE39" s="78">
        <f t="shared" si="41"/>
        <v>25923644.188091621</v>
      </c>
      <c r="IF39" s="47" t="s">
        <v>34</v>
      </c>
    </row>
    <row r="40" spans="1:240" x14ac:dyDescent="0.3">
      <c r="A40" s="58">
        <f>ROW()</f>
        <v>40</v>
      </c>
      <c r="B40" s="74" t="s">
        <v>89</v>
      </c>
      <c r="C40" s="78">
        <v>30995873.329999998</v>
      </c>
      <c r="D40" s="79">
        <v>1134556.8756077795</v>
      </c>
      <c r="E40" s="79">
        <v>-162640.50449823082</v>
      </c>
      <c r="F40" s="79">
        <v>9719.5804456030364</v>
      </c>
      <c r="G40" s="79">
        <v>4130432.299621895</v>
      </c>
      <c r="H40" s="79">
        <v>-13470187.035978962</v>
      </c>
      <c r="I40" s="79">
        <v>88340.148593092177</v>
      </c>
      <c r="J40" s="79">
        <v>-8139.0423017399899</v>
      </c>
      <c r="K40" s="79">
        <v>252.73810001984236</v>
      </c>
      <c r="L40" s="79">
        <v>3659.63811562825</v>
      </c>
      <c r="M40" s="79">
        <v>176047.87895705621</v>
      </c>
      <c r="N40" s="79">
        <v>-589476.08768601506</v>
      </c>
      <c r="O40" s="79">
        <v>-13045.936427889616</v>
      </c>
      <c r="P40" s="79"/>
      <c r="Q40" s="79">
        <v>-63373.130481059474</v>
      </c>
      <c r="R40" s="79">
        <v>4799.0123999999987</v>
      </c>
      <c r="S40" s="79">
        <v>12639.852540325057</v>
      </c>
      <c r="T40" s="79">
        <v>167418.18748050198</v>
      </c>
      <c r="U40" s="79">
        <v>-249765.32365603335</v>
      </c>
      <c r="V40" s="79"/>
      <c r="W40" s="79">
        <v>55849.496886744077</v>
      </c>
      <c r="X40" s="79">
        <v>1724.1443477999721</v>
      </c>
      <c r="Y40" s="153"/>
      <c r="Z40" s="153"/>
      <c r="AA40" s="79">
        <v>0</v>
      </c>
      <c r="AB40" s="153"/>
      <c r="AC40" s="79">
        <v>185505.58751020461</v>
      </c>
      <c r="AD40" s="158"/>
      <c r="AE40" s="158"/>
      <c r="AF40" s="90"/>
      <c r="AG40" s="90">
        <v>0</v>
      </c>
      <c r="AH40" s="158"/>
      <c r="AI40" s="78">
        <f t="shared" si="30"/>
        <v>-8585681.6204232797</v>
      </c>
      <c r="AJ40" s="78">
        <f t="shared" si="31"/>
        <v>22410191.709576719</v>
      </c>
      <c r="AK40" s="79">
        <v>-7871803.4385295548</v>
      </c>
      <c r="AL40" s="153"/>
      <c r="AM40" s="79">
        <v>2608659.5548870084</v>
      </c>
      <c r="AN40" s="79">
        <v>0</v>
      </c>
      <c r="AO40" s="79">
        <f>-678363.061936411-'Exh. BGM-4 (1)'!Y51*1000</f>
        <v>-549694.16513885884</v>
      </c>
      <c r="AP40" s="153"/>
      <c r="AQ40" s="153"/>
      <c r="AR40" s="153"/>
      <c r="AS40" s="79">
        <v>-9395.2670938594256</v>
      </c>
      <c r="AT40" s="153"/>
      <c r="AU40" s="153">
        <v>244206.69089293556</v>
      </c>
      <c r="AV40" s="153"/>
      <c r="AW40" s="153"/>
      <c r="AX40" s="79">
        <v>-118486.35181752536</v>
      </c>
      <c r="AY40" s="79">
        <v>5113.0736999999945</v>
      </c>
      <c r="AZ40" s="153"/>
      <c r="BA40" s="79">
        <v>-130067.26272106906</v>
      </c>
      <c r="BB40" s="153"/>
      <c r="BC40" s="153"/>
      <c r="BD40" s="153"/>
      <c r="BE40" s="153"/>
      <c r="BF40" s="153"/>
      <c r="BG40" s="153"/>
      <c r="BH40" s="79">
        <v>-574862.022</v>
      </c>
      <c r="BI40" s="79">
        <v>-1228326.7984259999</v>
      </c>
      <c r="BJ40" s="153"/>
      <c r="BK40" s="79"/>
      <c r="BL40" s="153"/>
      <c r="BM40" s="79">
        <v>439713.09538860095</v>
      </c>
      <c r="BN40" s="79">
        <v>42406.991803260011</v>
      </c>
      <c r="BO40" s="79">
        <v>-78573.435613260022</v>
      </c>
      <c r="BP40" s="79">
        <v>-81897.944100000008</v>
      </c>
      <c r="BQ40" s="79">
        <v>-5.57327526</v>
      </c>
      <c r="BR40" s="79">
        <v>-104795.0227632</v>
      </c>
      <c r="BS40" s="153"/>
      <c r="BT40" s="79">
        <v>0</v>
      </c>
      <c r="BU40" s="79">
        <v>-89190.404063650887</v>
      </c>
      <c r="BV40" s="153"/>
      <c r="BW40" s="78">
        <f>SUM(AK40:BV40)</f>
        <v>-7496998.2788704354</v>
      </c>
      <c r="BX40" s="78">
        <f t="shared" si="33"/>
        <v>14913193.430706283</v>
      </c>
      <c r="BY40" s="79">
        <v>3012096.3051715377</v>
      </c>
      <c r="BZ40" s="153"/>
      <c r="CA40" s="153"/>
      <c r="CB40" s="79">
        <v>0</v>
      </c>
      <c r="CC40" s="79">
        <f>-1849639.05040735-'Exh. BGM-4 (1)'!Y95*1000</f>
        <v>-246128.65813437337</v>
      </c>
      <c r="CD40" s="153"/>
      <c r="CE40" s="153"/>
      <c r="CF40" s="153"/>
      <c r="CG40" s="153"/>
      <c r="CH40" s="153"/>
      <c r="CI40" s="79">
        <v>-9028.6990927382485</v>
      </c>
      <c r="CJ40" s="153"/>
      <c r="CK40" s="153"/>
      <c r="CL40" s="153"/>
      <c r="CM40" s="153"/>
      <c r="CN40" s="153"/>
      <c r="CO40" s="153"/>
      <c r="CP40" s="153"/>
      <c r="CQ40" s="153"/>
      <c r="CR40" s="153"/>
      <c r="CS40" s="153"/>
      <c r="CT40" s="153"/>
      <c r="CU40" s="153"/>
      <c r="CV40" s="79"/>
      <c r="CW40" s="79"/>
      <c r="CX40" s="153"/>
      <c r="CY40" s="79"/>
      <c r="CZ40" s="153"/>
      <c r="DA40" s="79">
        <v>2070403.2947539522</v>
      </c>
      <c r="DB40" s="79">
        <v>276885.47885165934</v>
      </c>
      <c r="DC40" s="234">
        <f>-SUM(DC35:DC36)*0.21</f>
        <v>-1071237.7313105999</v>
      </c>
      <c r="DD40" s="208">
        <f>-SUM(DD35:DD36)*0.21</f>
        <v>-69835.325233575422</v>
      </c>
      <c r="DE40" s="208">
        <f>-SUM(DE35:DE36)*0.21</f>
        <v>-3397.959304740029</v>
      </c>
      <c r="DF40" s="79">
        <v>-745528.43429022003</v>
      </c>
      <c r="DG40" s="153"/>
      <c r="DH40" s="79"/>
      <c r="DI40" s="208">
        <f>-DI35*0.21</f>
        <v>-11495.015513379973</v>
      </c>
      <c r="DJ40" s="153"/>
      <c r="DK40" s="78">
        <f t="shared" si="34"/>
        <v>3202733.2558975215</v>
      </c>
      <c r="DL40" s="78">
        <f t="shared" si="35"/>
        <v>18115926.686603803</v>
      </c>
      <c r="DM40" s="79">
        <v>638575.32318641921</v>
      </c>
      <c r="DN40" s="153"/>
      <c r="DO40" s="153"/>
      <c r="DP40" s="79">
        <v>0</v>
      </c>
      <c r="DQ40" s="208">
        <f>190003.801487943-'Exh. BGM-4 (1)'!Y140*1000</f>
        <v>788293.00387395511</v>
      </c>
      <c r="DR40" s="153"/>
      <c r="DS40" s="153"/>
      <c r="DT40" s="153"/>
      <c r="DU40" s="153"/>
      <c r="DV40" s="153"/>
      <c r="DW40" s="79">
        <v>-45407.469418542787</v>
      </c>
      <c r="DX40" s="153"/>
      <c r="DY40" s="153"/>
      <c r="DZ40" s="153"/>
      <c r="EA40" s="79">
        <v>-400718.05970000004</v>
      </c>
      <c r="EB40" s="153"/>
      <c r="EC40" s="153"/>
      <c r="ED40" s="153"/>
      <c r="EE40" s="153"/>
      <c r="EF40" s="153"/>
      <c r="EG40" s="153"/>
      <c r="EH40" s="79">
        <f>+SUM(EH28:EH39)*-0.21</f>
        <v>-1226741.3471831353</v>
      </c>
      <c r="EI40" s="153">
        <v>-32508.97933316524</v>
      </c>
      <c r="EJ40" s="79">
        <v>-734958.50631666929</v>
      </c>
      <c r="EK40" s="79">
        <v>-980154.58395709179</v>
      </c>
      <c r="EL40" s="79">
        <v>-137876.62446047808</v>
      </c>
      <c r="EM40" s="208">
        <f>+'[21]Lead G'!$K$33</f>
        <v>86312.837756249952</v>
      </c>
      <c r="EN40" s="153"/>
      <c r="EO40" s="79">
        <v>-1714328.4035950783</v>
      </c>
      <c r="EP40" s="79">
        <v>304105.80687354028</v>
      </c>
      <c r="EQ40" s="79">
        <v>-1485684.5024804999</v>
      </c>
      <c r="ER40" s="208">
        <f>+SUM(ER35:ER36)*-0.21</f>
        <v>-422489.91984180064</v>
      </c>
      <c r="ES40" s="208">
        <f>+SUM(ES35:ES36)*-0.21</f>
        <v>-3491.0904000000469</v>
      </c>
      <c r="ET40" s="79">
        <v>-998196.23836884007</v>
      </c>
      <c r="EU40" s="79">
        <v>0</v>
      </c>
      <c r="EV40" s="79">
        <v>306491.99328865088</v>
      </c>
      <c r="EW40" s="208">
        <f>-EW35*0.21</f>
        <v>339049.15322173224</v>
      </c>
      <c r="EX40" s="208" cm="1">
        <f t="array" ref="EX40">-SUM(EX27:EX39*0.21)</f>
        <v>54028.55394691485</v>
      </c>
      <c r="EY40" s="79">
        <v>0</v>
      </c>
      <c r="EZ40" s="78">
        <f t="shared" si="36"/>
        <v>-5665699.0529078385</v>
      </c>
      <c r="FA40" s="78">
        <f t="shared" si="37"/>
        <v>12450227.633695964</v>
      </c>
      <c r="FB40" s="79">
        <v>820330.61706028099</v>
      </c>
      <c r="FC40" s="153"/>
      <c r="FD40" s="153"/>
      <c r="FE40" s="79">
        <v>0</v>
      </c>
      <c r="FF40" s="79">
        <f>-904672.364440302-'Exh. BGM-4 (1)'!Y186*1000</f>
        <v>-424226.83839822165</v>
      </c>
      <c r="FG40" s="153"/>
      <c r="FH40" s="153"/>
      <c r="FI40" s="153"/>
      <c r="FJ40" s="153"/>
      <c r="FK40" s="153"/>
      <c r="FL40" s="79">
        <v>-139431.93812752917</v>
      </c>
      <c r="FM40" s="153"/>
      <c r="FN40" s="153"/>
      <c r="FO40" s="153"/>
      <c r="FP40" s="153"/>
      <c r="FQ40" s="153"/>
      <c r="FR40" s="153"/>
      <c r="FS40" s="153"/>
      <c r="FT40" s="153"/>
      <c r="FU40" s="153"/>
      <c r="FV40" s="153"/>
      <c r="FW40" s="208">
        <f>+SUM(FW28:FW39)*-0.21</f>
        <v>-894463.0755747105</v>
      </c>
      <c r="FX40" s="153">
        <v>-357598.77266481763</v>
      </c>
      <c r="FY40" s="79">
        <v>0</v>
      </c>
      <c r="FZ40" s="79"/>
      <c r="GA40" s="153"/>
      <c r="GB40" s="79">
        <v>0</v>
      </c>
      <c r="GC40" s="153"/>
      <c r="GD40" s="79">
        <v>1706423.1502890631</v>
      </c>
      <c r="GE40" s="79">
        <v>124959.71591544038</v>
      </c>
      <c r="GF40" s="79">
        <v>-2655440.0809847396</v>
      </c>
      <c r="GG40" s="79">
        <f>+SUM(GG35:GG36)*-0.21</f>
        <v>-251037.20420272287</v>
      </c>
      <c r="GH40" s="79">
        <v>-42649.930978199998</v>
      </c>
      <c r="GI40" s="79">
        <v>-1295780.9431135796</v>
      </c>
      <c r="GJ40" s="79"/>
      <c r="GK40" s="79">
        <v>919475.97986595251</v>
      </c>
      <c r="GL40" s="208">
        <f>-GL35*0.21</f>
        <v>417081.31479453889</v>
      </c>
      <c r="GM40" s="208" cm="1">
        <f t="array" ref="GM40">-SUM(GM27:GM39*0.21)</f>
        <v>52.08</v>
      </c>
      <c r="GN40" s="79"/>
      <c r="GO40" s="78">
        <f t="shared" si="38"/>
        <v>-2072305.9261192451</v>
      </c>
      <c r="GP40" s="78">
        <f t="shared" si="39"/>
        <v>10377921.707576718</v>
      </c>
      <c r="GQ40" s="79">
        <v>171392.56151591588</v>
      </c>
      <c r="GR40" s="153"/>
      <c r="GS40" s="153"/>
      <c r="GT40" s="79">
        <v>0</v>
      </c>
      <c r="GU40" s="79">
        <f>-500745.825738612-'Exh. BGM-4 (1)'!Y232*1000</f>
        <v>-262172.66740625678</v>
      </c>
      <c r="GV40" s="153"/>
      <c r="GW40" s="153"/>
      <c r="GX40" s="153"/>
      <c r="GY40" s="153"/>
      <c r="GZ40" s="153"/>
      <c r="HA40" s="79">
        <v>-210582.14435598804</v>
      </c>
      <c r="HB40" s="153"/>
      <c r="HC40" s="153"/>
      <c r="HD40" s="153"/>
      <c r="HE40" s="153">
        <v>0</v>
      </c>
      <c r="HF40" s="153"/>
      <c r="HG40" s="153"/>
      <c r="HH40" s="153"/>
      <c r="HI40" s="153"/>
      <c r="HJ40" s="153"/>
      <c r="HK40" s="153"/>
      <c r="HL40" s="208">
        <f>+SUM(HL28:HL39)*-0.21</f>
        <v>-917538.5160654654</v>
      </c>
      <c r="HM40" s="153">
        <v>0</v>
      </c>
      <c r="HN40" s="79">
        <v>0</v>
      </c>
      <c r="HO40" s="79"/>
      <c r="HP40" s="79">
        <v>687847.01369996497</v>
      </c>
      <c r="HQ40" s="216">
        <f>+'[21]Lead G'!$O$33</f>
        <v>-86312.837756249952</v>
      </c>
      <c r="HR40" s="153"/>
      <c r="HS40" s="88">
        <v>642831.69116543746</v>
      </c>
      <c r="HT40" s="79">
        <v>93889.852615439828</v>
      </c>
      <c r="HU40" s="79">
        <v>-1652861.5493199578</v>
      </c>
      <c r="HV40" s="79">
        <f>+HV35*-0.21</f>
        <v>-244587.31491504851</v>
      </c>
      <c r="HW40" s="79">
        <v>-279433.8614004</v>
      </c>
      <c r="HX40" s="79">
        <v>-716035.46620746097</v>
      </c>
      <c r="HY40" s="79"/>
      <c r="HZ40" s="153"/>
      <c r="IA40" s="208">
        <f>-IA35*0.21</f>
        <v>176999.90028130647</v>
      </c>
      <c r="IB40" s="208" cm="1">
        <f t="array" ref="IB40">-SUM(IB27:IB39*0.21)</f>
        <v>52.919999999999995</v>
      </c>
      <c r="IC40" s="79"/>
      <c r="ID40" s="78">
        <f t="shared" si="40"/>
        <v>-2596510.418148763</v>
      </c>
      <c r="IE40" s="78">
        <f t="shared" si="41"/>
        <v>7781411.2894279547</v>
      </c>
      <c r="IF40" s="47" t="s">
        <v>34</v>
      </c>
    </row>
    <row r="41" spans="1:240" x14ac:dyDescent="0.3">
      <c r="A41" s="58">
        <f>ROW()</f>
        <v>41</v>
      </c>
      <c r="B41" s="47" t="s">
        <v>90</v>
      </c>
      <c r="C41" s="78">
        <v>7730962.7199999988</v>
      </c>
      <c r="D41" s="79"/>
      <c r="E41" s="79"/>
      <c r="F41" s="79"/>
      <c r="G41" s="79">
        <v>-8213900.9186974997</v>
      </c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  <c r="Y41" s="153"/>
      <c r="Z41" s="153"/>
      <c r="AA41" s="79"/>
      <c r="AB41" s="153"/>
      <c r="AC41" s="79"/>
      <c r="AD41" s="153"/>
      <c r="AE41" s="153"/>
      <c r="AF41" s="79"/>
      <c r="AG41" s="79"/>
      <c r="AH41" s="153"/>
      <c r="AI41" s="78">
        <f t="shared" si="30"/>
        <v>-8213900.9186974997</v>
      </c>
      <c r="AJ41" s="78">
        <f t="shared" si="31"/>
        <v>-482938.19869750086</v>
      </c>
      <c r="AK41" s="79"/>
      <c r="AL41" s="153"/>
      <c r="AM41" s="79"/>
      <c r="AN41" s="79">
        <v>489534.39253912517</v>
      </c>
      <c r="AO41" s="79"/>
      <c r="AP41" s="153"/>
      <c r="AQ41" s="153"/>
      <c r="AR41" s="153"/>
      <c r="AS41" s="79"/>
      <c r="AT41" s="153"/>
      <c r="AU41" s="153"/>
      <c r="AV41" s="153"/>
      <c r="AW41" s="153"/>
      <c r="AX41" s="79"/>
      <c r="AY41" s="79"/>
      <c r="AZ41" s="153"/>
      <c r="BA41" s="79"/>
      <c r="BB41" s="153"/>
      <c r="BC41" s="153"/>
      <c r="BD41" s="153"/>
      <c r="BE41" s="153"/>
      <c r="BF41" s="153"/>
      <c r="BG41" s="153"/>
      <c r="BH41" s="79"/>
      <c r="BI41" s="79"/>
      <c r="BJ41" s="153"/>
      <c r="BK41" s="79"/>
      <c r="BL41" s="153"/>
      <c r="BM41" s="79"/>
      <c r="BN41" s="79"/>
      <c r="BO41" s="79"/>
      <c r="BP41" s="79"/>
      <c r="BQ41" s="79"/>
      <c r="BR41" s="79"/>
      <c r="BS41" s="153"/>
      <c r="BT41" s="79"/>
      <c r="BU41" s="79"/>
      <c r="BV41" s="153"/>
      <c r="BW41" s="78">
        <f>SUM(AK41:BV41)</f>
        <v>489534.39253912517</v>
      </c>
      <c r="BX41" s="78">
        <f t="shared" si="33"/>
        <v>6596.1938416243065</v>
      </c>
      <c r="BY41" s="79"/>
      <c r="BZ41" s="153"/>
      <c r="CA41" s="153"/>
      <c r="CB41" s="79">
        <v>-252779.03881400137</v>
      </c>
      <c r="CC41" s="79"/>
      <c r="CD41" s="153"/>
      <c r="CE41" s="153"/>
      <c r="CF41" s="153"/>
      <c r="CG41" s="153"/>
      <c r="CH41" s="153"/>
      <c r="CI41" s="79"/>
      <c r="CJ41" s="153"/>
      <c r="CK41" s="153"/>
      <c r="CL41" s="153"/>
      <c r="CM41" s="153"/>
      <c r="CN41" s="153"/>
      <c r="CO41" s="153"/>
      <c r="CP41" s="153"/>
      <c r="CQ41" s="153"/>
      <c r="CR41" s="153"/>
      <c r="CS41" s="153"/>
      <c r="CT41" s="153"/>
      <c r="CU41" s="153"/>
      <c r="CV41" s="79"/>
      <c r="CW41" s="79"/>
      <c r="CX41" s="153"/>
      <c r="CY41" s="79"/>
      <c r="CZ41" s="153"/>
      <c r="DA41" s="79"/>
      <c r="DB41" s="79"/>
      <c r="DG41" s="153"/>
      <c r="DH41" s="79"/>
      <c r="DI41" s="208"/>
      <c r="DJ41" s="153"/>
      <c r="DK41" s="78">
        <f t="shared" si="34"/>
        <v>-252779.03881400137</v>
      </c>
      <c r="DL41" s="78">
        <f t="shared" si="35"/>
        <v>-246182.84497237706</v>
      </c>
      <c r="DM41" s="79"/>
      <c r="DN41" s="153"/>
      <c r="DO41" s="153"/>
      <c r="DP41" s="79">
        <v>-1441248.0251239983</v>
      </c>
      <c r="DQ41" s="79"/>
      <c r="DR41" s="153"/>
      <c r="DS41" s="153"/>
      <c r="DT41" s="153"/>
      <c r="DU41" s="153"/>
      <c r="DV41" s="153"/>
      <c r="DW41" s="79"/>
      <c r="DX41" s="153"/>
      <c r="DY41" s="153"/>
      <c r="DZ41" s="153"/>
      <c r="EA41" s="79"/>
      <c r="EB41" s="153"/>
      <c r="EC41" s="153"/>
      <c r="ED41" s="153"/>
      <c r="EE41" s="153"/>
      <c r="EF41" s="153"/>
      <c r="EG41" s="153"/>
      <c r="EH41" s="79"/>
      <c r="EI41" s="153"/>
      <c r="EJ41" s="79"/>
      <c r="EK41" s="79"/>
      <c r="EL41" s="79"/>
      <c r="EM41" s="79"/>
      <c r="EN41" s="153"/>
      <c r="EO41" s="79"/>
      <c r="EP41" s="79"/>
      <c r="EU41" s="79"/>
      <c r="EV41" s="79"/>
      <c r="EW41" s="208"/>
      <c r="EX41" s="208"/>
      <c r="EY41" s="79"/>
      <c r="EZ41" s="78">
        <f t="shared" si="36"/>
        <v>-1441248.0251239983</v>
      </c>
      <c r="FA41" s="78">
        <f t="shared" si="37"/>
        <v>-1687430.8700963752</v>
      </c>
      <c r="FB41" s="79"/>
      <c r="FC41" s="153"/>
      <c r="FD41" s="153"/>
      <c r="FE41" s="79">
        <v>-527842.51771800278</v>
      </c>
      <c r="FF41" s="79"/>
      <c r="FG41" s="153"/>
      <c r="FH41" s="153"/>
      <c r="FI41" s="153"/>
      <c r="FJ41" s="153"/>
      <c r="FK41" s="153"/>
      <c r="FL41" s="79"/>
      <c r="FM41" s="153"/>
      <c r="FN41" s="153"/>
      <c r="FO41" s="153"/>
      <c r="FP41" s="153"/>
      <c r="FQ41" s="153"/>
      <c r="FR41" s="153"/>
      <c r="FS41" s="153"/>
      <c r="FT41" s="153"/>
      <c r="FU41" s="153"/>
      <c r="FV41" s="153"/>
      <c r="FW41" s="79"/>
      <c r="FX41" s="153"/>
      <c r="FY41" s="79"/>
      <c r="FZ41" s="79"/>
      <c r="GA41" s="153"/>
      <c r="GB41" s="79"/>
      <c r="GC41" s="153"/>
      <c r="GD41" s="79"/>
      <c r="GE41" s="79"/>
      <c r="GF41" s="79"/>
      <c r="GG41" s="79"/>
      <c r="GH41" s="79"/>
      <c r="GI41" s="79"/>
      <c r="GJ41" s="79"/>
      <c r="GK41" s="79"/>
      <c r="GL41" s="208"/>
      <c r="GM41" s="208"/>
      <c r="GN41" s="79"/>
      <c r="GO41" s="78">
        <f t="shared" si="38"/>
        <v>-527842.51771800278</v>
      </c>
      <c r="GP41" s="78">
        <f t="shared" si="39"/>
        <v>-2215273.3878143779</v>
      </c>
      <c r="GQ41" s="79"/>
      <c r="GR41" s="153"/>
      <c r="GS41" s="153"/>
      <c r="GT41" s="79">
        <v>-695730.51745199854</v>
      </c>
      <c r="GU41" s="79"/>
      <c r="GV41" s="153"/>
      <c r="GW41" s="153"/>
      <c r="GX41" s="153"/>
      <c r="GY41" s="153"/>
      <c r="GZ41" s="153"/>
      <c r="HA41" s="79"/>
      <c r="HB41" s="153"/>
      <c r="HC41" s="153"/>
      <c r="HD41" s="153"/>
      <c r="HE41" s="153"/>
      <c r="HF41" s="153"/>
      <c r="HG41" s="153"/>
      <c r="HH41" s="153"/>
      <c r="HI41" s="153"/>
      <c r="HJ41" s="153"/>
      <c r="HK41" s="153"/>
      <c r="HL41" s="79"/>
      <c r="HM41" s="153"/>
      <c r="HN41" s="79"/>
      <c r="HO41" s="79"/>
      <c r="HP41" s="79"/>
      <c r="HQ41" s="79"/>
      <c r="HR41" s="153"/>
      <c r="HS41" s="79"/>
      <c r="HT41" s="79"/>
      <c r="HU41" s="79"/>
      <c r="HV41" s="79"/>
      <c r="HW41" s="79"/>
      <c r="HX41" s="79"/>
      <c r="HY41" s="79"/>
      <c r="HZ41" s="153"/>
      <c r="IA41" s="208"/>
      <c r="IB41" s="208"/>
      <c r="IC41" s="79"/>
      <c r="ID41" s="78">
        <f t="shared" si="40"/>
        <v>-695730.51745199854</v>
      </c>
      <c r="IE41" s="78">
        <f t="shared" si="41"/>
        <v>-2911003.9052663762</v>
      </c>
      <c r="IF41" s="47" t="s">
        <v>34</v>
      </c>
    </row>
    <row r="42" spans="1:240" x14ac:dyDescent="0.3">
      <c r="A42" s="58">
        <f>ROW()</f>
        <v>42</v>
      </c>
      <c r="B42" s="74" t="s">
        <v>91</v>
      </c>
      <c r="C42" s="84">
        <f t="shared" ref="C42:AE42" si="42">SUM(C26:C41)</f>
        <v>871426685.80000007</v>
      </c>
      <c r="D42" s="85">
        <f t="shared" si="42"/>
        <v>-353761.57833275571</v>
      </c>
      <c r="E42" s="85">
        <f t="shared" si="42"/>
        <v>-469968765.55719286</v>
      </c>
      <c r="F42" s="85">
        <f t="shared" si="42"/>
        <v>11877.966775161356</v>
      </c>
      <c r="G42" s="85">
        <f t="shared" si="42"/>
        <v>-4083468.6190756047</v>
      </c>
      <c r="H42" s="85">
        <f t="shared" si="42"/>
        <v>-13470187.035978962</v>
      </c>
      <c r="I42" s="85">
        <f t="shared" si="42"/>
        <v>-332327.22565972776</v>
      </c>
      <c r="J42" s="85">
        <f t="shared" si="42"/>
        <v>30618.301992259963</v>
      </c>
      <c r="K42" s="85">
        <f t="shared" si="42"/>
        <v>-950.77666197940709</v>
      </c>
      <c r="L42" s="85">
        <f t="shared" si="42"/>
        <v>-13767.210054030083</v>
      </c>
      <c r="M42" s="85">
        <f t="shared" si="42"/>
        <v>-662275.35417178285</v>
      </c>
      <c r="N42" s="85">
        <f t="shared" si="42"/>
        <v>2217552.9012950091</v>
      </c>
      <c r="O42" s="85">
        <f t="shared" si="42"/>
        <v>49077.570371584741</v>
      </c>
      <c r="P42" s="85">
        <f t="shared" si="42"/>
        <v>3870.6276671299306</v>
      </c>
      <c r="Q42" s="85">
        <f t="shared" si="42"/>
        <v>238403.68133350945</v>
      </c>
      <c r="R42" s="85">
        <f t="shared" si="42"/>
        <v>-18053.427599999995</v>
      </c>
      <c r="S42" s="85">
        <f t="shared" si="42"/>
        <v>-47549.921461222839</v>
      </c>
      <c r="T42" s="85">
        <f t="shared" si="42"/>
        <v>-629811.27671236463</v>
      </c>
      <c r="U42" s="85">
        <f t="shared" si="42"/>
        <v>939593.36042031588</v>
      </c>
      <c r="V42" s="85">
        <f t="shared" si="42"/>
        <v>0</v>
      </c>
      <c r="W42" s="85">
        <f t="shared" si="42"/>
        <v>-210100.48828822756</v>
      </c>
      <c r="X42" s="85">
        <f>SUM(X26:X41)</f>
        <v>-6486.0668321998955</v>
      </c>
      <c r="Y42" s="157">
        <f t="shared" si="42"/>
        <v>0</v>
      </c>
      <c r="Z42" s="157">
        <f t="shared" si="42"/>
        <v>0</v>
      </c>
      <c r="AA42" s="85">
        <f t="shared" si="42"/>
        <v>0</v>
      </c>
      <c r="AB42" s="157">
        <f t="shared" si="42"/>
        <v>0</v>
      </c>
      <c r="AC42" s="85">
        <f t="shared" si="42"/>
        <v>-697854.35301457928</v>
      </c>
      <c r="AD42" s="157">
        <f t="shared" si="42"/>
        <v>0</v>
      </c>
      <c r="AE42" s="157">
        <f t="shared" si="42"/>
        <v>0</v>
      </c>
      <c r="AF42" s="85">
        <f>SUM(AF26:AF41)</f>
        <v>0</v>
      </c>
      <c r="AG42" s="85">
        <f t="shared" ref="AG42:CR42" si="43">SUM(AG26:AG41)</f>
        <v>0</v>
      </c>
      <c r="AH42" s="157">
        <f t="shared" si="43"/>
        <v>0</v>
      </c>
      <c r="AI42" s="84">
        <f t="shared" si="43"/>
        <v>-487004364.48118109</v>
      </c>
      <c r="AJ42" s="84">
        <f t="shared" si="43"/>
        <v>384422321.31881875</v>
      </c>
      <c r="AK42" s="85">
        <f t="shared" si="43"/>
        <v>-9697545.2308128271</v>
      </c>
      <c r="AL42" s="157">
        <f t="shared" si="43"/>
        <v>0</v>
      </c>
      <c r="AM42" s="85">
        <f t="shared" si="43"/>
        <v>3187953.6050007604</v>
      </c>
      <c r="AN42" s="85">
        <f t="shared" si="43"/>
        <v>489534.39253912517</v>
      </c>
      <c r="AO42" s="85">
        <f t="shared" si="43"/>
        <v>-549694.16513885884</v>
      </c>
      <c r="AP42" s="157">
        <f t="shared" si="43"/>
        <v>0</v>
      </c>
      <c r="AQ42" s="157">
        <f t="shared" si="43"/>
        <v>0</v>
      </c>
      <c r="AR42" s="157">
        <f t="shared" si="43"/>
        <v>0</v>
      </c>
      <c r="AS42" s="85">
        <f t="shared" si="43"/>
        <v>35344.100019756894</v>
      </c>
      <c r="AT42" s="157">
        <f t="shared" si="43"/>
        <v>0</v>
      </c>
      <c r="AU42" s="157">
        <f t="shared" si="43"/>
        <v>-918682.31335913856</v>
      </c>
      <c r="AV42" s="157">
        <f t="shared" si="43"/>
        <v>0</v>
      </c>
      <c r="AW42" s="157">
        <f t="shared" si="43"/>
        <v>0</v>
      </c>
      <c r="AX42" s="85">
        <f t="shared" si="43"/>
        <v>445734.37112307164</v>
      </c>
      <c r="AY42" s="85">
        <f t="shared" si="43"/>
        <v>-19234.896299999982</v>
      </c>
      <c r="AZ42" s="157">
        <f t="shared" si="43"/>
        <v>0</v>
      </c>
      <c r="BA42" s="85">
        <f t="shared" si="43"/>
        <v>489300.65499830747</v>
      </c>
      <c r="BB42" s="157">
        <f t="shared" si="43"/>
        <v>0</v>
      </c>
      <c r="BC42" s="157">
        <f t="shared" si="43"/>
        <v>0</v>
      </c>
      <c r="BD42" s="157">
        <f t="shared" si="43"/>
        <v>0</v>
      </c>
      <c r="BE42" s="157">
        <f t="shared" si="43"/>
        <v>0</v>
      </c>
      <c r="BF42" s="157">
        <f t="shared" si="43"/>
        <v>0</v>
      </c>
      <c r="BG42" s="157">
        <f t="shared" si="43"/>
        <v>0</v>
      </c>
      <c r="BH42" s="85">
        <f t="shared" si="43"/>
        <v>-574862.022</v>
      </c>
      <c r="BI42" s="85">
        <f t="shared" si="43"/>
        <v>4620848.4321740009</v>
      </c>
      <c r="BJ42" s="157">
        <f t="shared" si="43"/>
        <v>0</v>
      </c>
      <c r="BK42" s="85">
        <f t="shared" si="43"/>
        <v>0</v>
      </c>
      <c r="BL42" s="157">
        <f t="shared" si="43"/>
        <v>0</v>
      </c>
      <c r="BM42" s="85">
        <f t="shared" si="43"/>
        <v>-1654158.7874142607</v>
      </c>
      <c r="BN42" s="85">
        <f t="shared" si="43"/>
        <v>-159531.06440274004</v>
      </c>
      <c r="BO42" s="85">
        <f t="shared" si="43"/>
        <v>295585.7815927401</v>
      </c>
      <c r="BP42" s="85">
        <f t="shared" si="43"/>
        <v>308092.2659</v>
      </c>
      <c r="BQ42" s="85">
        <f t="shared" si="43"/>
        <v>20.966130740000001</v>
      </c>
      <c r="BR42" s="85">
        <f t="shared" si="43"/>
        <v>394228.89515679999</v>
      </c>
      <c r="BS42" s="157">
        <f t="shared" si="43"/>
        <v>0</v>
      </c>
      <c r="BT42" s="85">
        <f t="shared" si="43"/>
        <v>0</v>
      </c>
      <c r="BU42" s="85">
        <f>SUM(BU26:BU41)</f>
        <v>335525.80576325813</v>
      </c>
      <c r="BV42" s="157">
        <f>SUM(BV26:BV41)</f>
        <v>0</v>
      </c>
      <c r="BW42" s="84">
        <f t="shared" si="43"/>
        <v>-2971539.2090292675</v>
      </c>
      <c r="BX42" s="84">
        <f t="shared" si="43"/>
        <v>381450782.10978949</v>
      </c>
      <c r="BY42" s="85">
        <f t="shared" si="43"/>
        <v>3680979.8567590374</v>
      </c>
      <c r="BZ42" s="157">
        <f t="shared" si="43"/>
        <v>0</v>
      </c>
      <c r="CA42" s="157">
        <f t="shared" si="43"/>
        <v>0</v>
      </c>
      <c r="CB42" s="85">
        <f t="shared" si="43"/>
        <v>-252779.03881400137</v>
      </c>
      <c r="CC42" s="85">
        <f t="shared" si="43"/>
        <v>-246128.65813437337</v>
      </c>
      <c r="CD42" s="157">
        <f t="shared" si="43"/>
        <v>0</v>
      </c>
      <c r="CE42" s="157">
        <f t="shared" si="43"/>
        <v>0</v>
      </c>
      <c r="CF42" s="157">
        <f t="shared" si="43"/>
        <v>0</v>
      </c>
      <c r="CG42" s="157">
        <f t="shared" si="43"/>
        <v>0</v>
      </c>
      <c r="CH42" s="157">
        <f t="shared" si="43"/>
        <v>0</v>
      </c>
      <c r="CI42" s="85">
        <f t="shared" si="43"/>
        <v>33965.106110777218</v>
      </c>
      <c r="CJ42" s="157">
        <f t="shared" si="43"/>
        <v>0</v>
      </c>
      <c r="CK42" s="157">
        <f t="shared" si="43"/>
        <v>0</v>
      </c>
      <c r="CL42" s="157">
        <f t="shared" si="43"/>
        <v>0</v>
      </c>
      <c r="CM42" s="157">
        <f t="shared" si="43"/>
        <v>0</v>
      </c>
      <c r="CN42" s="157">
        <f t="shared" si="43"/>
        <v>0</v>
      </c>
      <c r="CO42" s="157">
        <f t="shared" si="43"/>
        <v>0</v>
      </c>
      <c r="CP42" s="157">
        <f t="shared" si="43"/>
        <v>0</v>
      </c>
      <c r="CQ42" s="157">
        <f t="shared" si="43"/>
        <v>0</v>
      </c>
      <c r="CR42" s="157">
        <f t="shared" si="43"/>
        <v>0</v>
      </c>
      <c r="CS42" s="157">
        <f t="shared" ref="CS42:DG42" si="44">SUM(CS26:CS41)</f>
        <v>0</v>
      </c>
      <c r="CT42" s="157">
        <f t="shared" si="44"/>
        <v>0</v>
      </c>
      <c r="CU42" s="157">
        <f t="shared" si="44"/>
        <v>0</v>
      </c>
      <c r="CV42" s="85">
        <f t="shared" si="44"/>
        <v>0</v>
      </c>
      <c r="CW42" s="85">
        <f t="shared" si="44"/>
        <v>0</v>
      </c>
      <c r="CX42" s="157">
        <f t="shared" si="44"/>
        <v>0</v>
      </c>
      <c r="CY42" s="85">
        <f t="shared" si="44"/>
        <v>0</v>
      </c>
      <c r="CZ42" s="157">
        <f t="shared" si="44"/>
        <v>0</v>
      </c>
      <c r="DA42" s="85">
        <f t="shared" si="44"/>
        <v>-7788660.0135981999</v>
      </c>
      <c r="DB42" s="85">
        <f t="shared" si="44"/>
        <v>-1041616.8013943374</v>
      </c>
      <c r="DC42" s="85">
        <f>SUM(DC26:DC40)</f>
        <v>4029894.3225494004</v>
      </c>
      <c r="DD42" s="85">
        <f>SUM(DD26:DD40)</f>
        <v>262713.8425453552</v>
      </c>
      <c r="DE42" s="85">
        <f>SUM(DE26:DE40)</f>
        <v>12782.799289260111</v>
      </c>
      <c r="DF42" s="85">
        <f>SUM(DF26:DF40)</f>
        <v>2804606.9670917802</v>
      </c>
      <c r="DG42" s="157">
        <f t="shared" si="44"/>
        <v>0</v>
      </c>
      <c r="DH42" s="85">
        <f>SUM(DH26:DH41)</f>
        <v>0</v>
      </c>
      <c r="DI42" s="210">
        <f>SUM(DI26:DI41)</f>
        <v>43243.153597953235</v>
      </c>
      <c r="DJ42" s="157">
        <f>SUM(DJ26:DJ41)</f>
        <v>0</v>
      </c>
      <c r="DK42" s="84">
        <f t="shared" ref="DK42:EU42" si="45">SUM(DK26:DK41)</f>
        <v>1539001.5360026518</v>
      </c>
      <c r="DL42" s="84">
        <f t="shared" si="45"/>
        <v>382989783.64579213</v>
      </c>
      <c r="DM42" s="85">
        <f t="shared" si="45"/>
        <v>780381.05808132072</v>
      </c>
      <c r="DN42" s="157">
        <f t="shared" si="45"/>
        <v>0</v>
      </c>
      <c r="DO42" s="157">
        <f t="shared" si="45"/>
        <v>0</v>
      </c>
      <c r="DP42" s="85">
        <f t="shared" si="45"/>
        <v>-1441248.0251239983</v>
      </c>
      <c r="DQ42" s="85">
        <f t="shared" si="45"/>
        <v>788293.00387395511</v>
      </c>
      <c r="DR42" s="157">
        <f t="shared" si="45"/>
        <v>0</v>
      </c>
      <c r="DS42" s="157">
        <f t="shared" si="45"/>
        <v>0</v>
      </c>
      <c r="DT42" s="157">
        <f t="shared" si="45"/>
        <v>0</v>
      </c>
      <c r="DU42" s="157">
        <f t="shared" si="45"/>
        <v>0</v>
      </c>
      <c r="DV42" s="157">
        <f t="shared" si="45"/>
        <v>0</v>
      </c>
      <c r="DW42" s="85">
        <f t="shared" si="45"/>
        <v>170818.57543166098</v>
      </c>
      <c r="DX42" s="157">
        <f t="shared" si="45"/>
        <v>0</v>
      </c>
      <c r="DY42" s="157">
        <f t="shared" si="45"/>
        <v>0</v>
      </c>
      <c r="DZ42" s="157">
        <f t="shared" si="45"/>
        <v>0</v>
      </c>
      <c r="EA42" s="85">
        <f t="shared" si="45"/>
        <v>1507463.1769666667</v>
      </c>
      <c r="EB42" s="157">
        <f t="shared" si="45"/>
        <v>0</v>
      </c>
      <c r="EC42" s="157">
        <f t="shared" si="45"/>
        <v>0</v>
      </c>
      <c r="ED42" s="157">
        <f t="shared" si="45"/>
        <v>0</v>
      </c>
      <c r="EE42" s="157">
        <f t="shared" si="45"/>
        <v>0</v>
      </c>
      <c r="EF42" s="157">
        <f t="shared" si="45"/>
        <v>0</v>
      </c>
      <c r="EG42" s="157">
        <f t="shared" si="45"/>
        <v>0</v>
      </c>
      <c r="EH42" s="85">
        <f t="shared" si="45"/>
        <v>4614884.1155936997</v>
      </c>
      <c r="EI42" s="157">
        <f t="shared" si="45"/>
        <v>122295.68415809781</v>
      </c>
      <c r="EJ42" s="85">
        <f t="shared" si="45"/>
        <v>-734958.50631666929</v>
      </c>
      <c r="EK42" s="85">
        <f t="shared" si="45"/>
        <v>3687248.1967909653</v>
      </c>
      <c r="EL42" s="85">
        <f t="shared" si="45"/>
        <v>518678.73011322715</v>
      </c>
      <c r="EM42" s="85">
        <f t="shared" si="45"/>
        <v>-324700.67536874983</v>
      </c>
      <c r="EN42" s="157">
        <f t="shared" si="45"/>
        <v>0</v>
      </c>
      <c r="EO42" s="85">
        <f t="shared" si="45"/>
        <v>6449140.1849529129</v>
      </c>
      <c r="EP42" s="85">
        <f t="shared" si="45"/>
        <v>-1144017.0830004611</v>
      </c>
      <c r="EQ42" s="85">
        <f>SUM(EQ26:EQ40)</f>
        <v>5589003.6045694984</v>
      </c>
      <c r="ER42" s="85">
        <f>SUM(ER26:ER40)</f>
        <v>1589366.8413096312</v>
      </c>
      <c r="ES42" s="85">
        <f>SUM(ES26:ES40)</f>
        <v>13133.149600000177</v>
      </c>
      <c r="ET42" s="85">
        <f>SUM(ET26:ET40)</f>
        <v>3755119.1824351605</v>
      </c>
      <c r="EU42" s="85">
        <f t="shared" si="45"/>
        <v>0</v>
      </c>
      <c r="EV42" s="85">
        <f>SUM(EV26:EV41)</f>
        <v>-1152993.689038258</v>
      </c>
      <c r="EW42" s="210">
        <f>SUM(EW26:EW41)</f>
        <v>-1275470.6240246119</v>
      </c>
      <c r="EX42" s="210">
        <f>SUM(EX26:EX41)</f>
        <v>-203250.27437172731</v>
      </c>
      <c r="EY42" s="85">
        <f>SUM(EY26:EY41)</f>
        <v>0</v>
      </c>
      <c r="EZ42" s="84">
        <f t="shared" ref="EZ42:IE42" si="46">SUM(EZ26:EZ41)</f>
        <v>23309186.626632322</v>
      </c>
      <c r="FA42" s="84">
        <f t="shared" si="46"/>
        <v>406298970.2724244</v>
      </c>
      <c r="FB42" s="85">
        <f t="shared" si="46"/>
        <v>1002497.9852394327</v>
      </c>
      <c r="FC42" s="157">
        <f t="shared" si="46"/>
        <v>0</v>
      </c>
      <c r="FD42" s="157">
        <f t="shared" si="46"/>
        <v>0</v>
      </c>
      <c r="FE42" s="85">
        <f t="shared" si="46"/>
        <v>-527842.51771800278</v>
      </c>
      <c r="FF42" s="85">
        <f t="shared" si="46"/>
        <v>-424226.83839822165</v>
      </c>
      <c r="FG42" s="157">
        <f t="shared" si="46"/>
        <v>0</v>
      </c>
      <c r="FH42" s="157">
        <f t="shared" si="46"/>
        <v>0</v>
      </c>
      <c r="FI42" s="157">
        <f t="shared" si="46"/>
        <v>0</v>
      </c>
      <c r="FJ42" s="157">
        <f t="shared" si="46"/>
        <v>0</v>
      </c>
      <c r="FK42" s="157">
        <f t="shared" si="46"/>
        <v>0</v>
      </c>
      <c r="FL42" s="85">
        <f t="shared" si="46"/>
        <v>524529.6720035621</v>
      </c>
      <c r="FM42" s="157">
        <f t="shared" si="46"/>
        <v>0</v>
      </c>
      <c r="FN42" s="157">
        <f t="shared" si="46"/>
        <v>0</v>
      </c>
      <c r="FO42" s="157">
        <f t="shared" si="46"/>
        <v>0</v>
      </c>
      <c r="FP42" s="157">
        <f t="shared" si="46"/>
        <v>0</v>
      </c>
      <c r="FQ42" s="157">
        <f t="shared" si="46"/>
        <v>0</v>
      </c>
      <c r="FR42" s="157">
        <f t="shared" si="46"/>
        <v>0</v>
      </c>
      <c r="FS42" s="157">
        <f t="shared" si="46"/>
        <v>0</v>
      </c>
      <c r="FT42" s="157">
        <f t="shared" si="46"/>
        <v>0</v>
      </c>
      <c r="FU42" s="157">
        <f t="shared" si="46"/>
        <v>0</v>
      </c>
      <c r="FV42" s="157">
        <f t="shared" si="46"/>
        <v>0</v>
      </c>
      <c r="FW42" s="85">
        <f t="shared" si="46"/>
        <v>3364884.9033524827</v>
      </c>
      <c r="FX42" s="157">
        <f t="shared" si="46"/>
        <v>1345252.5257390761</v>
      </c>
      <c r="FY42" s="85">
        <f t="shared" si="46"/>
        <v>0</v>
      </c>
      <c r="FZ42" s="85">
        <f t="shared" si="46"/>
        <v>0</v>
      </c>
      <c r="GA42" s="157">
        <f t="shared" si="46"/>
        <v>0</v>
      </c>
      <c r="GB42" s="85">
        <f t="shared" si="46"/>
        <v>0</v>
      </c>
      <c r="GC42" s="157">
        <f t="shared" si="46"/>
        <v>0</v>
      </c>
      <c r="GD42" s="85">
        <f t="shared" si="46"/>
        <v>-6419401.374896952</v>
      </c>
      <c r="GE42" s="85">
        <f t="shared" si="46"/>
        <v>-470086.55034856161</v>
      </c>
      <c r="GF42" s="85">
        <f t="shared" si="46"/>
        <v>9989512.6856092587</v>
      </c>
      <c r="GG42" s="85">
        <f t="shared" si="46"/>
        <v>944378.05390548136</v>
      </c>
      <c r="GH42" s="85">
        <f t="shared" si="46"/>
        <v>160444.97844180002</v>
      </c>
      <c r="GI42" s="85">
        <f t="shared" si="46"/>
        <v>4874604.5002844194</v>
      </c>
      <c r="GJ42" s="85">
        <f t="shared" si="46"/>
        <v>0</v>
      </c>
      <c r="GK42" s="85">
        <f>SUM(GK26:GK41)</f>
        <v>-3458981.0671147741</v>
      </c>
      <c r="GL42" s="210">
        <f>SUM(GL26:GL41)</f>
        <v>-1569020.184227075</v>
      </c>
      <c r="GM42" s="210">
        <f>SUM(GM26:GM41)</f>
        <v>-195.92000000000002</v>
      </c>
      <c r="GN42" s="85">
        <f>SUM(GN26:GN41)</f>
        <v>0</v>
      </c>
      <c r="GO42" s="84">
        <f t="shared" si="46"/>
        <v>9336350.8518719226</v>
      </c>
      <c r="GP42" s="84">
        <f t="shared" si="46"/>
        <v>415635321.12429637</v>
      </c>
      <c r="GQ42" s="85">
        <f t="shared" si="46"/>
        <v>209452.98643181712</v>
      </c>
      <c r="GR42" s="157">
        <f t="shared" si="46"/>
        <v>0</v>
      </c>
      <c r="GS42" s="157">
        <f t="shared" si="46"/>
        <v>0</v>
      </c>
      <c r="GT42" s="85">
        <f t="shared" si="46"/>
        <v>-695730.51745199854</v>
      </c>
      <c r="GU42" s="85">
        <f t="shared" si="46"/>
        <v>-262172.66740625678</v>
      </c>
      <c r="GV42" s="157">
        <f t="shared" si="46"/>
        <v>0</v>
      </c>
      <c r="GW42" s="157">
        <f t="shared" si="46"/>
        <v>0</v>
      </c>
      <c r="GX42" s="157">
        <f t="shared" si="46"/>
        <v>0</v>
      </c>
      <c r="GY42" s="157">
        <f t="shared" si="46"/>
        <v>0</v>
      </c>
      <c r="GZ42" s="157">
        <f t="shared" si="46"/>
        <v>0</v>
      </c>
      <c r="HA42" s="85">
        <f t="shared" si="46"/>
        <v>792189.97162490746</v>
      </c>
      <c r="HB42" s="157">
        <f t="shared" si="46"/>
        <v>0</v>
      </c>
      <c r="HC42" s="157">
        <f t="shared" si="46"/>
        <v>0</v>
      </c>
      <c r="HD42" s="157">
        <f t="shared" si="46"/>
        <v>0</v>
      </c>
      <c r="HE42" s="157">
        <f t="shared" si="46"/>
        <v>0</v>
      </c>
      <c r="HF42" s="157">
        <f t="shared" si="46"/>
        <v>0</v>
      </c>
      <c r="HG42" s="157">
        <f t="shared" si="46"/>
        <v>0</v>
      </c>
      <c r="HH42" s="157">
        <f t="shared" si="46"/>
        <v>0</v>
      </c>
      <c r="HI42" s="157">
        <f t="shared" si="46"/>
        <v>0</v>
      </c>
      <c r="HJ42" s="157">
        <f t="shared" si="46"/>
        <v>0</v>
      </c>
      <c r="HK42" s="157">
        <f t="shared" si="46"/>
        <v>0</v>
      </c>
      <c r="HL42" s="85">
        <f t="shared" si="46"/>
        <v>3451692.5128177032</v>
      </c>
      <c r="HM42" s="157">
        <f t="shared" si="46"/>
        <v>0</v>
      </c>
      <c r="HN42" s="85">
        <f t="shared" si="46"/>
        <v>0</v>
      </c>
      <c r="HO42" s="85">
        <f t="shared" si="46"/>
        <v>0</v>
      </c>
      <c r="HP42" s="85">
        <f t="shared" si="46"/>
        <v>-2587614.9562998684</v>
      </c>
      <c r="HQ42" s="85">
        <f t="shared" si="46"/>
        <v>324700.67536874983</v>
      </c>
      <c r="HR42" s="157">
        <f t="shared" si="46"/>
        <v>0</v>
      </c>
      <c r="HS42" s="85">
        <f t="shared" si="46"/>
        <v>-2418271.6000985508</v>
      </c>
      <c r="HT42" s="85">
        <f t="shared" si="46"/>
        <v>-353204.68364855938</v>
      </c>
      <c r="HU42" s="85">
        <f t="shared" si="46"/>
        <v>6217907.733156031</v>
      </c>
      <c r="HV42" s="85">
        <f t="shared" si="46"/>
        <v>920114.18468042056</v>
      </c>
      <c r="HW42" s="85">
        <f t="shared" si="46"/>
        <v>1051203.5738396</v>
      </c>
      <c r="HX42" s="85">
        <f t="shared" si="46"/>
        <v>2693657.2300185445</v>
      </c>
      <c r="HY42" s="85">
        <f t="shared" si="46"/>
        <v>0</v>
      </c>
      <c r="HZ42" s="157">
        <f t="shared" si="46"/>
        <v>0</v>
      </c>
      <c r="IA42" s="210">
        <f>SUM(IA26:IA41)</f>
        <v>-665856.76772491483</v>
      </c>
      <c r="IB42" s="210">
        <f>SUM(IB26:IB41)</f>
        <v>-199.08</v>
      </c>
      <c r="IC42" s="85">
        <f t="shared" si="46"/>
        <v>0</v>
      </c>
      <c r="ID42" s="84">
        <f t="shared" si="46"/>
        <v>8677868.595307624</v>
      </c>
      <c r="IE42" s="84">
        <f t="shared" si="46"/>
        <v>424313189.71960402</v>
      </c>
      <c r="IF42" s="47" t="s">
        <v>34</v>
      </c>
    </row>
    <row r="43" spans="1:240" x14ac:dyDescent="0.3">
      <c r="A43" s="58">
        <f>ROW()</f>
        <v>43</v>
      </c>
      <c r="C43" s="91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159"/>
      <c r="Z43" s="159"/>
      <c r="AA43" s="92"/>
      <c r="AB43" s="159"/>
      <c r="AC43" s="92"/>
      <c r="AD43" s="159"/>
      <c r="AE43" s="159"/>
      <c r="AF43" s="92"/>
      <c r="AG43" s="92"/>
      <c r="AH43" s="159"/>
      <c r="AI43" s="91"/>
      <c r="AJ43" s="91"/>
      <c r="AK43" s="92"/>
      <c r="AL43" s="159"/>
      <c r="AM43" s="92"/>
      <c r="AN43" s="92">
        <f>+L43</f>
        <v>0</v>
      </c>
      <c r="AO43" s="92">
        <f>+M43</f>
        <v>0</v>
      </c>
      <c r="AP43" s="159"/>
      <c r="AQ43" s="159"/>
      <c r="AR43" s="159"/>
      <c r="AS43" s="92"/>
      <c r="AT43" s="159"/>
      <c r="AU43" s="159"/>
      <c r="AV43" s="159"/>
      <c r="AW43" s="159"/>
      <c r="AX43" s="92"/>
      <c r="AY43" s="92"/>
      <c r="AZ43" s="159"/>
      <c r="BA43" s="92"/>
      <c r="BB43" s="159"/>
      <c r="BC43" s="159"/>
      <c r="BD43" s="159"/>
      <c r="BE43" s="159"/>
      <c r="BF43" s="159"/>
      <c r="BG43" s="159"/>
      <c r="BH43" s="92"/>
      <c r="BI43" s="92"/>
      <c r="BJ43" s="159"/>
      <c r="BK43" s="92"/>
      <c r="BL43" s="159"/>
      <c r="BM43" s="92"/>
      <c r="BN43" s="92"/>
      <c r="BO43" s="92"/>
      <c r="BP43" s="92"/>
      <c r="BQ43" s="92"/>
      <c r="BR43" s="92"/>
      <c r="BS43" s="159"/>
      <c r="BT43" s="92"/>
      <c r="BU43" s="92"/>
      <c r="BV43" s="159"/>
      <c r="BW43" s="91"/>
      <c r="BX43" s="91"/>
      <c r="BY43" s="92"/>
      <c r="BZ43" s="159"/>
      <c r="CA43" s="159"/>
      <c r="CB43" s="92"/>
      <c r="CC43" s="92"/>
      <c r="CD43" s="159"/>
      <c r="CE43" s="159"/>
      <c r="CF43" s="159"/>
      <c r="CG43" s="159"/>
      <c r="CH43" s="159"/>
      <c r="CI43" s="92"/>
      <c r="CJ43" s="159"/>
      <c r="CK43" s="159"/>
      <c r="CL43" s="159"/>
      <c r="CM43" s="159"/>
      <c r="CN43" s="159"/>
      <c r="CO43" s="159"/>
      <c r="CP43" s="159"/>
      <c r="CQ43" s="159"/>
      <c r="CR43" s="159"/>
      <c r="CS43" s="159"/>
      <c r="CT43" s="159"/>
      <c r="CU43" s="159"/>
      <c r="CV43" s="92"/>
      <c r="CW43" s="92"/>
      <c r="CX43" s="159"/>
      <c r="CY43" s="92"/>
      <c r="CZ43" s="159"/>
      <c r="DA43" s="92"/>
      <c r="DB43" s="92"/>
      <c r="DC43" s="92"/>
      <c r="DD43" s="92"/>
      <c r="DE43" s="92"/>
      <c r="DF43" s="92"/>
      <c r="DG43" s="159"/>
      <c r="DH43" s="92"/>
      <c r="DI43" s="211"/>
      <c r="DJ43" s="159"/>
      <c r="DK43" s="91"/>
      <c r="DL43" s="91"/>
      <c r="DM43" s="92"/>
      <c r="DN43" s="159"/>
      <c r="DO43" s="159"/>
      <c r="DP43" s="92"/>
      <c r="DQ43" s="92"/>
      <c r="DR43" s="159"/>
      <c r="DS43" s="159"/>
      <c r="DT43" s="159"/>
      <c r="DU43" s="159"/>
      <c r="DV43" s="159"/>
      <c r="DW43" s="92"/>
      <c r="DX43" s="159"/>
      <c r="DY43" s="159"/>
      <c r="DZ43" s="159"/>
      <c r="EA43" s="92"/>
      <c r="EB43" s="159"/>
      <c r="EC43" s="159"/>
      <c r="ED43" s="159"/>
      <c r="EE43" s="159"/>
      <c r="EF43" s="159"/>
      <c r="EG43" s="159"/>
      <c r="EH43" s="92"/>
      <c r="EI43" s="159"/>
      <c r="EJ43" s="92"/>
      <c r="EK43" s="92"/>
      <c r="EL43" s="92"/>
      <c r="EM43" s="92"/>
      <c r="EN43" s="159"/>
      <c r="EO43" s="92"/>
      <c r="EP43" s="92"/>
      <c r="EQ43" s="92"/>
      <c r="ER43" s="92"/>
      <c r="ES43" s="92"/>
      <c r="ET43" s="92"/>
      <c r="EU43" s="92"/>
      <c r="EV43" s="92"/>
      <c r="EW43" s="211"/>
      <c r="EX43" s="211"/>
      <c r="EY43" s="92"/>
      <c r="EZ43" s="91"/>
      <c r="FA43" s="91"/>
      <c r="FB43" s="92"/>
      <c r="FC43" s="159"/>
      <c r="FD43" s="159"/>
      <c r="FE43" s="92"/>
      <c r="FF43" s="92"/>
      <c r="FG43" s="159"/>
      <c r="FH43" s="159"/>
      <c r="FI43" s="159"/>
      <c r="FJ43" s="159"/>
      <c r="FK43" s="159"/>
      <c r="FL43" s="92"/>
      <c r="FM43" s="159"/>
      <c r="FN43" s="159"/>
      <c r="FO43" s="159"/>
      <c r="FP43" s="159"/>
      <c r="FQ43" s="159"/>
      <c r="FR43" s="159"/>
      <c r="FS43" s="159"/>
      <c r="FT43" s="159"/>
      <c r="FU43" s="159"/>
      <c r="FV43" s="159"/>
      <c r="FW43" s="92"/>
      <c r="FX43" s="159"/>
      <c r="FY43" s="92"/>
      <c r="FZ43" s="92"/>
      <c r="GA43" s="159"/>
      <c r="GB43" s="92"/>
      <c r="GC43" s="159"/>
      <c r="GD43" s="92"/>
      <c r="GE43" s="92"/>
      <c r="GF43" s="92"/>
      <c r="GG43" s="92"/>
      <c r="GH43" s="92"/>
      <c r="GI43" s="92"/>
      <c r="GJ43" s="92"/>
      <c r="GK43" s="92"/>
      <c r="GL43" s="211"/>
      <c r="GM43" s="211"/>
      <c r="GN43" s="92"/>
      <c r="GO43" s="91"/>
      <c r="GP43" s="91"/>
      <c r="GQ43" s="92"/>
      <c r="GR43" s="159"/>
      <c r="GS43" s="159"/>
      <c r="GT43" s="92"/>
      <c r="GU43" s="92"/>
      <c r="GV43" s="159"/>
      <c r="GW43" s="159"/>
      <c r="GX43" s="159"/>
      <c r="GY43" s="159"/>
      <c r="GZ43" s="159"/>
      <c r="HA43" s="92"/>
      <c r="HB43" s="159"/>
      <c r="HC43" s="159"/>
      <c r="HD43" s="159"/>
      <c r="HE43" s="159"/>
      <c r="HF43" s="159"/>
      <c r="HG43" s="159"/>
      <c r="HH43" s="159"/>
      <c r="HI43" s="159"/>
      <c r="HJ43" s="159"/>
      <c r="HK43" s="159"/>
      <c r="HL43" s="92"/>
      <c r="HM43" s="159"/>
      <c r="HN43" s="92"/>
      <c r="HO43" s="92"/>
      <c r="HP43" s="92"/>
      <c r="HQ43" s="92"/>
      <c r="HR43" s="159"/>
      <c r="HS43" s="92"/>
      <c r="HT43" s="92"/>
      <c r="HU43" s="92"/>
      <c r="HV43" s="92"/>
      <c r="HW43" s="92"/>
      <c r="HX43" s="92"/>
      <c r="HY43" s="92"/>
      <c r="HZ43" s="159"/>
      <c r="IA43" s="211"/>
      <c r="IB43" s="211"/>
      <c r="IC43" s="92"/>
      <c r="ID43" s="91"/>
      <c r="IE43" s="91"/>
      <c r="IF43" s="47" t="s">
        <v>34</v>
      </c>
    </row>
    <row r="44" spans="1:240" ht="13.5" thickBot="1" x14ac:dyDescent="0.35">
      <c r="A44" s="58">
        <f>ROW()</f>
        <v>44</v>
      </c>
      <c r="B44" s="47" t="s">
        <v>92</v>
      </c>
      <c r="C44" s="93">
        <f t="shared" ref="C44:AE44" si="47">+C17-C42</f>
        <v>148876035.75999987</v>
      </c>
      <c r="D44" s="94">
        <f t="shared" si="47"/>
        <v>4268094.9130006935</v>
      </c>
      <c r="E44" s="94">
        <f t="shared" si="47"/>
        <v>-611838.08835041523</v>
      </c>
      <c r="F44" s="94">
        <f t="shared" si="47"/>
        <v>36564.135962030472</v>
      </c>
      <c r="G44" s="94">
        <f t="shared" si="47"/>
        <v>4083468.6190756047</v>
      </c>
      <c r="H44" s="94">
        <f t="shared" si="47"/>
        <v>13470187.035978962</v>
      </c>
      <c r="I44" s="94">
        <f t="shared" si="47"/>
        <v>332327.22565972776</v>
      </c>
      <c r="J44" s="94">
        <f t="shared" si="47"/>
        <v>-30618.301992259963</v>
      </c>
      <c r="K44" s="94">
        <f t="shared" si="47"/>
        <v>950.77666197940709</v>
      </c>
      <c r="L44" s="94">
        <f t="shared" si="47"/>
        <v>13767.210054030083</v>
      </c>
      <c r="M44" s="94">
        <f t="shared" si="47"/>
        <v>662275.35417178285</v>
      </c>
      <c r="N44" s="94">
        <f t="shared" si="47"/>
        <v>-2217552.9012950091</v>
      </c>
      <c r="O44" s="94">
        <f t="shared" si="47"/>
        <v>-49077.570371584741</v>
      </c>
      <c r="P44" s="94">
        <f t="shared" si="47"/>
        <v>-3870.6276671299306</v>
      </c>
      <c r="Q44" s="94">
        <f t="shared" si="47"/>
        <v>-238403.68133350945</v>
      </c>
      <c r="R44" s="94">
        <f t="shared" si="47"/>
        <v>18053.427599999995</v>
      </c>
      <c r="S44" s="94">
        <f t="shared" si="47"/>
        <v>47549.921461222839</v>
      </c>
      <c r="T44" s="94">
        <f t="shared" si="47"/>
        <v>629811.27671236463</v>
      </c>
      <c r="U44" s="94">
        <f t="shared" si="47"/>
        <v>-939593.36042031588</v>
      </c>
      <c r="V44" s="94">
        <f t="shared" si="47"/>
        <v>0</v>
      </c>
      <c r="W44" s="94">
        <f t="shared" si="47"/>
        <v>210100.48828822756</v>
      </c>
      <c r="X44" s="94">
        <f>+X17-X42</f>
        <v>6486.0668321998955</v>
      </c>
      <c r="Y44" s="160">
        <f t="shared" si="47"/>
        <v>0</v>
      </c>
      <c r="Z44" s="160">
        <f t="shared" si="47"/>
        <v>0</v>
      </c>
      <c r="AA44" s="94">
        <f t="shared" si="47"/>
        <v>0</v>
      </c>
      <c r="AB44" s="160">
        <f t="shared" si="47"/>
        <v>0</v>
      </c>
      <c r="AC44" s="94">
        <f t="shared" si="47"/>
        <v>697854.35301457928</v>
      </c>
      <c r="AD44" s="160">
        <f t="shared" si="47"/>
        <v>0</v>
      </c>
      <c r="AE44" s="160">
        <f t="shared" si="47"/>
        <v>0</v>
      </c>
      <c r="AF44" s="94">
        <f>+AF17-AF42</f>
        <v>0</v>
      </c>
      <c r="AG44" s="94">
        <f t="shared" ref="AG44:CR44" si="48">+AG17-AG42</f>
        <v>0</v>
      </c>
      <c r="AH44" s="160">
        <f t="shared" si="48"/>
        <v>0</v>
      </c>
      <c r="AI44" s="93">
        <f t="shared" si="48"/>
        <v>20386536.273042977</v>
      </c>
      <c r="AJ44" s="93">
        <f t="shared" si="48"/>
        <v>169262572.03304309</v>
      </c>
      <c r="AK44" s="94">
        <f t="shared" si="48"/>
        <v>-29612974.840182617</v>
      </c>
      <c r="AL44" s="160">
        <f t="shared" si="48"/>
        <v>0</v>
      </c>
      <c r="AM44" s="94">
        <f t="shared" si="48"/>
        <v>9813528.8017177954</v>
      </c>
      <c r="AN44" s="94">
        <f t="shared" si="48"/>
        <v>-489534.39253912517</v>
      </c>
      <c r="AO44" s="94">
        <f t="shared" si="48"/>
        <v>549694.16513885884</v>
      </c>
      <c r="AP44" s="160">
        <f t="shared" si="48"/>
        <v>0</v>
      </c>
      <c r="AQ44" s="160">
        <f t="shared" si="48"/>
        <v>0</v>
      </c>
      <c r="AR44" s="160">
        <f t="shared" si="48"/>
        <v>0</v>
      </c>
      <c r="AS44" s="94">
        <f t="shared" si="48"/>
        <v>-35344.100019756894</v>
      </c>
      <c r="AT44" s="160">
        <f t="shared" si="48"/>
        <v>0</v>
      </c>
      <c r="AU44" s="160">
        <f t="shared" si="48"/>
        <v>918682.31335913856</v>
      </c>
      <c r="AV44" s="160">
        <f t="shared" si="48"/>
        <v>0</v>
      </c>
      <c r="AW44" s="160">
        <f t="shared" si="48"/>
        <v>0</v>
      </c>
      <c r="AX44" s="94">
        <f t="shared" si="48"/>
        <v>-445734.37112307164</v>
      </c>
      <c r="AY44" s="94">
        <f t="shared" si="48"/>
        <v>19234.896299999982</v>
      </c>
      <c r="AZ44" s="160">
        <f t="shared" si="48"/>
        <v>0</v>
      </c>
      <c r="BA44" s="94">
        <f t="shared" si="48"/>
        <v>-489300.65499830747</v>
      </c>
      <c r="BB44" s="160">
        <f t="shared" si="48"/>
        <v>0</v>
      </c>
      <c r="BC44" s="160">
        <f t="shared" si="48"/>
        <v>0</v>
      </c>
      <c r="BD44" s="160">
        <f t="shared" si="48"/>
        <v>0</v>
      </c>
      <c r="BE44" s="160">
        <f t="shared" si="48"/>
        <v>0</v>
      </c>
      <c r="BF44" s="160">
        <f t="shared" si="48"/>
        <v>0</v>
      </c>
      <c r="BG44" s="160">
        <f t="shared" si="48"/>
        <v>0</v>
      </c>
      <c r="BH44" s="94">
        <f t="shared" si="48"/>
        <v>-2162576.1780000003</v>
      </c>
      <c r="BI44" s="94">
        <f t="shared" si="48"/>
        <v>-4620848.4321740009</v>
      </c>
      <c r="BJ44" s="160">
        <f t="shared" si="48"/>
        <v>0</v>
      </c>
      <c r="BK44" s="94">
        <f t="shared" si="48"/>
        <v>0</v>
      </c>
      <c r="BL44" s="160">
        <f t="shared" si="48"/>
        <v>0</v>
      </c>
      <c r="BM44" s="94">
        <f t="shared" si="48"/>
        <v>1654158.7874142607</v>
      </c>
      <c r="BN44" s="94">
        <f t="shared" si="48"/>
        <v>159531.06440274004</v>
      </c>
      <c r="BO44" s="94">
        <f t="shared" si="48"/>
        <v>-295585.7815927401</v>
      </c>
      <c r="BP44" s="94">
        <f t="shared" si="48"/>
        <v>-308092.2659</v>
      </c>
      <c r="BQ44" s="94">
        <f t="shared" si="48"/>
        <v>-20.966130740000001</v>
      </c>
      <c r="BR44" s="94">
        <f t="shared" si="48"/>
        <v>-394228.89515679999</v>
      </c>
      <c r="BS44" s="160">
        <f t="shared" si="48"/>
        <v>0</v>
      </c>
      <c r="BT44" s="94">
        <f t="shared" si="48"/>
        <v>0</v>
      </c>
      <c r="BU44" s="94">
        <f>+BU17-BU42</f>
        <v>-335525.80576325813</v>
      </c>
      <c r="BV44" s="160">
        <f>+BV17-BV42</f>
        <v>0</v>
      </c>
      <c r="BW44" s="93">
        <f t="shared" si="48"/>
        <v>-26074936.655247618</v>
      </c>
      <c r="BX44" s="161">
        <f t="shared" si="48"/>
        <v>143187635.37779546</v>
      </c>
      <c r="BY44" s="94">
        <f t="shared" si="48"/>
        <v>11331219.433740547</v>
      </c>
      <c r="BZ44" s="160">
        <f t="shared" si="48"/>
        <v>0</v>
      </c>
      <c r="CA44" s="160">
        <f t="shared" si="48"/>
        <v>0</v>
      </c>
      <c r="CB44" s="94">
        <f t="shared" si="48"/>
        <v>252779.03881400137</v>
      </c>
      <c r="CC44" s="94">
        <f t="shared" si="48"/>
        <v>246128.65813437337</v>
      </c>
      <c r="CD44" s="160">
        <f t="shared" si="48"/>
        <v>0</v>
      </c>
      <c r="CE44" s="160">
        <f t="shared" si="48"/>
        <v>0</v>
      </c>
      <c r="CF44" s="160">
        <f t="shared" si="48"/>
        <v>0</v>
      </c>
      <c r="CG44" s="160">
        <f t="shared" si="48"/>
        <v>0</v>
      </c>
      <c r="CH44" s="160">
        <f t="shared" si="48"/>
        <v>0</v>
      </c>
      <c r="CI44" s="94">
        <f t="shared" si="48"/>
        <v>-33965.106110777218</v>
      </c>
      <c r="CJ44" s="160">
        <f t="shared" si="48"/>
        <v>0</v>
      </c>
      <c r="CK44" s="160">
        <f t="shared" si="48"/>
        <v>0</v>
      </c>
      <c r="CL44" s="160">
        <f t="shared" si="48"/>
        <v>0</v>
      </c>
      <c r="CM44" s="160">
        <f t="shared" si="48"/>
        <v>0</v>
      </c>
      <c r="CN44" s="160">
        <f t="shared" si="48"/>
        <v>0</v>
      </c>
      <c r="CO44" s="160">
        <f t="shared" si="48"/>
        <v>0</v>
      </c>
      <c r="CP44" s="160">
        <f t="shared" si="48"/>
        <v>0</v>
      </c>
      <c r="CQ44" s="160">
        <f t="shared" si="48"/>
        <v>0</v>
      </c>
      <c r="CR44" s="160">
        <f t="shared" si="48"/>
        <v>0</v>
      </c>
      <c r="CS44" s="160">
        <f t="shared" ref="CS44:DG44" si="49">+CS17-CS42</f>
        <v>0</v>
      </c>
      <c r="CT44" s="160">
        <f t="shared" si="49"/>
        <v>0</v>
      </c>
      <c r="CU44" s="160">
        <f t="shared" si="49"/>
        <v>0</v>
      </c>
      <c r="CV44" s="94">
        <f t="shared" si="49"/>
        <v>0</v>
      </c>
      <c r="CW44" s="94">
        <f t="shared" si="49"/>
        <v>0</v>
      </c>
      <c r="CX44" s="160">
        <f t="shared" si="49"/>
        <v>0</v>
      </c>
      <c r="CY44" s="94">
        <f t="shared" si="49"/>
        <v>0</v>
      </c>
      <c r="CZ44" s="160">
        <f t="shared" si="49"/>
        <v>0</v>
      </c>
      <c r="DA44" s="94">
        <f t="shared" si="49"/>
        <v>7788660.0135981999</v>
      </c>
      <c r="DB44" s="94">
        <f t="shared" si="49"/>
        <v>1041616.8013943374</v>
      </c>
      <c r="DC44" s="94">
        <f t="shared" si="49"/>
        <v>-4029894.3225494004</v>
      </c>
      <c r="DD44" s="94">
        <f t="shared" si="49"/>
        <v>-262713.8425453552</v>
      </c>
      <c r="DE44" s="94">
        <f t="shared" si="49"/>
        <v>-12782.799289260111</v>
      </c>
      <c r="DF44" s="94">
        <f t="shared" si="49"/>
        <v>-2804606.9670917802</v>
      </c>
      <c r="DG44" s="160">
        <f t="shared" si="49"/>
        <v>0</v>
      </c>
      <c r="DH44" s="94">
        <f>+DH17-DH42</f>
        <v>0</v>
      </c>
      <c r="DI44" s="212">
        <f>+DI17-DI42</f>
        <v>-43243.153597953235</v>
      </c>
      <c r="DJ44" s="160">
        <f>+DJ17-DJ42</f>
        <v>0</v>
      </c>
      <c r="DK44" s="93">
        <f t="shared" ref="DK44:EU44" si="50">+DK17-DK42</f>
        <v>13473197.754496932</v>
      </c>
      <c r="DL44" s="93">
        <f t="shared" si="50"/>
        <v>156660833.13229239</v>
      </c>
      <c r="DM44" s="94">
        <f t="shared" si="50"/>
        <v>2402259.5491298623</v>
      </c>
      <c r="DN44" s="160">
        <f t="shared" si="50"/>
        <v>0</v>
      </c>
      <c r="DO44" s="160">
        <f t="shared" si="50"/>
        <v>0</v>
      </c>
      <c r="DP44" s="94">
        <f t="shared" si="50"/>
        <v>1441248.0251239983</v>
      </c>
      <c r="DQ44" s="94">
        <f t="shared" si="50"/>
        <v>-788293.00387395511</v>
      </c>
      <c r="DR44" s="160">
        <f t="shared" si="50"/>
        <v>0</v>
      </c>
      <c r="DS44" s="160">
        <f t="shared" si="50"/>
        <v>0</v>
      </c>
      <c r="DT44" s="160">
        <f t="shared" si="50"/>
        <v>0</v>
      </c>
      <c r="DU44" s="160">
        <f t="shared" si="50"/>
        <v>0</v>
      </c>
      <c r="DV44" s="160">
        <f t="shared" si="50"/>
        <v>0</v>
      </c>
      <c r="DW44" s="94">
        <f t="shared" si="50"/>
        <v>-170818.57543166098</v>
      </c>
      <c r="DX44" s="160">
        <f t="shared" si="50"/>
        <v>0</v>
      </c>
      <c r="DY44" s="160">
        <f t="shared" si="50"/>
        <v>0</v>
      </c>
      <c r="DZ44" s="160">
        <f t="shared" si="50"/>
        <v>0</v>
      </c>
      <c r="EA44" s="94">
        <f t="shared" si="50"/>
        <v>-1507463.1769666667</v>
      </c>
      <c r="EB44" s="160">
        <f t="shared" si="50"/>
        <v>0</v>
      </c>
      <c r="EC44" s="160">
        <f t="shared" si="50"/>
        <v>0</v>
      </c>
      <c r="ED44" s="160">
        <f t="shared" si="50"/>
        <v>0</v>
      </c>
      <c r="EE44" s="160">
        <f t="shared" si="50"/>
        <v>0</v>
      </c>
      <c r="EF44" s="160">
        <f t="shared" si="50"/>
        <v>0</v>
      </c>
      <c r="EG44" s="160">
        <f t="shared" si="50"/>
        <v>0</v>
      </c>
      <c r="EH44" s="94">
        <f t="shared" si="50"/>
        <v>-4614884.1155936997</v>
      </c>
      <c r="EI44" s="160">
        <f t="shared" si="50"/>
        <v>-122295.68415809781</v>
      </c>
      <c r="EJ44" s="94">
        <f t="shared" si="50"/>
        <v>-2764843.9047150896</v>
      </c>
      <c r="EK44" s="94">
        <f t="shared" si="50"/>
        <v>-3687248.1967909653</v>
      </c>
      <c r="EL44" s="94">
        <f t="shared" si="50"/>
        <v>-518678.73011322715</v>
      </c>
      <c r="EM44" s="94">
        <f t="shared" si="50"/>
        <v>324700.67536874983</v>
      </c>
      <c r="EN44" s="160">
        <f t="shared" si="50"/>
        <v>0</v>
      </c>
      <c r="EO44" s="94">
        <f t="shared" si="50"/>
        <v>-6449140.1849529129</v>
      </c>
      <c r="EP44" s="94">
        <f t="shared" si="50"/>
        <v>1144017.0830004611</v>
      </c>
      <c r="EQ44" s="94">
        <f t="shared" si="50"/>
        <v>-5589003.6045694984</v>
      </c>
      <c r="ER44" s="94">
        <f t="shared" si="50"/>
        <v>-1589366.8413096312</v>
      </c>
      <c r="ES44" s="94">
        <f t="shared" si="50"/>
        <v>-13133.149600000177</v>
      </c>
      <c r="ET44" s="94">
        <f t="shared" si="50"/>
        <v>-3755119.1824351605</v>
      </c>
      <c r="EU44" s="94">
        <f t="shared" si="50"/>
        <v>0</v>
      </c>
      <c r="EV44" s="94">
        <f>+EV17-EV42</f>
        <v>1152993.689038258</v>
      </c>
      <c r="EW44" s="212">
        <f>+EW17-EW42</f>
        <v>1275470.6240246119</v>
      </c>
      <c r="EX44" s="212">
        <f>+EX17-EX42</f>
        <v>203250.27437172731</v>
      </c>
      <c r="EY44" s="94">
        <f>+EY17-EY42</f>
        <v>0</v>
      </c>
      <c r="EZ44" s="93">
        <f t="shared" ref="EZ44:IE44" si="51">+EZ17-EZ42</f>
        <v>-23626348.430452898</v>
      </c>
      <c r="FA44" s="93">
        <f t="shared" si="51"/>
        <v>133034484.70183963</v>
      </c>
      <c r="FB44" s="94">
        <f t="shared" si="51"/>
        <v>3086005.6546553429</v>
      </c>
      <c r="FC44" s="160">
        <f t="shared" si="51"/>
        <v>0</v>
      </c>
      <c r="FD44" s="160">
        <f t="shared" si="51"/>
        <v>0</v>
      </c>
      <c r="FE44" s="94">
        <f t="shared" si="51"/>
        <v>527842.51771800278</v>
      </c>
      <c r="FF44" s="94">
        <f t="shared" si="51"/>
        <v>424226.83839822165</v>
      </c>
      <c r="FG44" s="160">
        <f t="shared" si="51"/>
        <v>0</v>
      </c>
      <c r="FH44" s="160">
        <f t="shared" si="51"/>
        <v>0</v>
      </c>
      <c r="FI44" s="160">
        <f t="shared" si="51"/>
        <v>0</v>
      </c>
      <c r="FJ44" s="160">
        <f t="shared" si="51"/>
        <v>0</v>
      </c>
      <c r="FK44" s="160">
        <f t="shared" si="51"/>
        <v>0</v>
      </c>
      <c r="FL44" s="94">
        <f t="shared" si="51"/>
        <v>-524529.6720035621</v>
      </c>
      <c r="FM44" s="160">
        <f t="shared" si="51"/>
        <v>0</v>
      </c>
      <c r="FN44" s="160">
        <f t="shared" si="51"/>
        <v>0</v>
      </c>
      <c r="FO44" s="160">
        <f t="shared" si="51"/>
        <v>0</v>
      </c>
      <c r="FP44" s="160">
        <f t="shared" si="51"/>
        <v>0</v>
      </c>
      <c r="FQ44" s="160">
        <f t="shared" si="51"/>
        <v>0</v>
      </c>
      <c r="FR44" s="160">
        <f t="shared" si="51"/>
        <v>0</v>
      </c>
      <c r="FS44" s="160">
        <f t="shared" si="51"/>
        <v>0</v>
      </c>
      <c r="FT44" s="160">
        <f t="shared" si="51"/>
        <v>0</v>
      </c>
      <c r="FU44" s="160">
        <f t="shared" si="51"/>
        <v>0</v>
      </c>
      <c r="FV44" s="160">
        <f t="shared" si="51"/>
        <v>0</v>
      </c>
      <c r="FW44" s="94">
        <f t="shared" si="51"/>
        <v>-3364884.9033524827</v>
      </c>
      <c r="FX44" s="160">
        <f t="shared" si="51"/>
        <v>-1345252.5257390761</v>
      </c>
      <c r="FY44" s="94">
        <f t="shared" si="51"/>
        <v>0</v>
      </c>
      <c r="FZ44" s="94">
        <f t="shared" si="51"/>
        <v>0</v>
      </c>
      <c r="GA44" s="160">
        <f t="shared" si="51"/>
        <v>0</v>
      </c>
      <c r="GB44" s="94">
        <f t="shared" si="51"/>
        <v>0</v>
      </c>
      <c r="GC44" s="160">
        <f t="shared" si="51"/>
        <v>0</v>
      </c>
      <c r="GD44" s="94">
        <f t="shared" si="51"/>
        <v>6419401.374896952</v>
      </c>
      <c r="GE44" s="94">
        <f t="shared" si="51"/>
        <v>470086.55034856161</v>
      </c>
      <c r="GF44" s="94">
        <f t="shared" si="51"/>
        <v>-9989512.6856092587</v>
      </c>
      <c r="GG44" s="94">
        <f t="shared" si="51"/>
        <v>-944378.05390548136</v>
      </c>
      <c r="GH44" s="94">
        <f t="shared" si="51"/>
        <v>-160444.97844180002</v>
      </c>
      <c r="GI44" s="94">
        <f t="shared" si="51"/>
        <v>-4874604.5002844194</v>
      </c>
      <c r="GJ44" s="94">
        <f t="shared" si="51"/>
        <v>0</v>
      </c>
      <c r="GK44" s="94">
        <f>+GK17-GK42</f>
        <v>3458981.0671147741</v>
      </c>
      <c r="GL44" s="212">
        <f>+GL17-GL42</f>
        <v>1569020.184227075</v>
      </c>
      <c r="GM44" s="212">
        <f>+GM17-GM42</f>
        <v>195.92000000000002</v>
      </c>
      <c r="GN44" s="94">
        <f>+GN17-GN42</f>
        <v>0</v>
      </c>
      <c r="GO44" s="93">
        <f t="shared" si="51"/>
        <v>-5247847.2119771466</v>
      </c>
      <c r="GP44" s="93">
        <f t="shared" si="51"/>
        <v>127786637.48986238</v>
      </c>
      <c r="GQ44" s="94">
        <f t="shared" si="51"/>
        <v>644762.49332177895</v>
      </c>
      <c r="GR44" s="160">
        <f t="shared" si="51"/>
        <v>0</v>
      </c>
      <c r="GS44" s="160">
        <f t="shared" si="51"/>
        <v>0</v>
      </c>
      <c r="GT44" s="94">
        <f t="shared" si="51"/>
        <v>695730.51745199854</v>
      </c>
      <c r="GU44" s="94">
        <f t="shared" si="51"/>
        <v>262172.66740625678</v>
      </c>
      <c r="GV44" s="160">
        <f t="shared" si="51"/>
        <v>0</v>
      </c>
      <c r="GW44" s="160">
        <f t="shared" si="51"/>
        <v>0</v>
      </c>
      <c r="GX44" s="160">
        <f t="shared" si="51"/>
        <v>0</v>
      </c>
      <c r="GY44" s="160">
        <f t="shared" si="51"/>
        <v>0</v>
      </c>
      <c r="GZ44" s="160">
        <f t="shared" si="51"/>
        <v>0</v>
      </c>
      <c r="HA44" s="94">
        <f t="shared" si="51"/>
        <v>-792189.97162490746</v>
      </c>
      <c r="HB44" s="160">
        <f t="shared" si="51"/>
        <v>0</v>
      </c>
      <c r="HC44" s="160">
        <f t="shared" si="51"/>
        <v>0</v>
      </c>
      <c r="HD44" s="160">
        <f t="shared" si="51"/>
        <v>0</v>
      </c>
      <c r="HE44" s="160">
        <f t="shared" si="51"/>
        <v>0</v>
      </c>
      <c r="HF44" s="160">
        <f t="shared" si="51"/>
        <v>0</v>
      </c>
      <c r="HG44" s="160">
        <f t="shared" si="51"/>
        <v>0</v>
      </c>
      <c r="HH44" s="160">
        <f t="shared" si="51"/>
        <v>0</v>
      </c>
      <c r="HI44" s="160">
        <f t="shared" si="51"/>
        <v>0</v>
      </c>
      <c r="HJ44" s="160">
        <f t="shared" si="51"/>
        <v>0</v>
      </c>
      <c r="HK44" s="160">
        <f t="shared" si="51"/>
        <v>0</v>
      </c>
      <c r="HL44" s="94">
        <f t="shared" si="51"/>
        <v>-3451692.5128177032</v>
      </c>
      <c r="HM44" s="160">
        <f t="shared" si="51"/>
        <v>0</v>
      </c>
      <c r="HN44" s="94">
        <f t="shared" si="51"/>
        <v>0</v>
      </c>
      <c r="HO44" s="94">
        <f t="shared" si="51"/>
        <v>0</v>
      </c>
      <c r="HP44" s="94">
        <f t="shared" si="51"/>
        <v>2587614.9562998684</v>
      </c>
      <c r="HQ44" s="94">
        <f t="shared" si="51"/>
        <v>-324700.67536874983</v>
      </c>
      <c r="HR44" s="160">
        <f t="shared" si="51"/>
        <v>0</v>
      </c>
      <c r="HS44" s="94">
        <f t="shared" si="51"/>
        <v>2418271.6000985508</v>
      </c>
      <c r="HT44" s="94">
        <f t="shared" si="51"/>
        <v>353204.68364855938</v>
      </c>
      <c r="HU44" s="94">
        <f t="shared" si="51"/>
        <v>-6217907.733156031</v>
      </c>
      <c r="HV44" s="94">
        <f t="shared" si="51"/>
        <v>-920114.18468042056</v>
      </c>
      <c r="HW44" s="94">
        <f t="shared" si="51"/>
        <v>-1051203.5738396</v>
      </c>
      <c r="HX44" s="94">
        <f t="shared" si="51"/>
        <v>-2693657.2300185445</v>
      </c>
      <c r="HY44" s="94">
        <f t="shared" si="51"/>
        <v>0</v>
      </c>
      <c r="HZ44" s="160">
        <f t="shared" si="51"/>
        <v>0</v>
      </c>
      <c r="IA44" s="212">
        <f>+IA17-IA42</f>
        <v>665856.76772491483</v>
      </c>
      <c r="IB44" s="212">
        <f>+IB17-IB42</f>
        <v>199.08</v>
      </c>
      <c r="IC44" s="94">
        <f t="shared" si="51"/>
        <v>0</v>
      </c>
      <c r="ID44" s="93">
        <f t="shared" si="51"/>
        <v>-7823653.1155540282</v>
      </c>
      <c r="IE44" s="93">
        <f t="shared" si="51"/>
        <v>119962984.37430835</v>
      </c>
      <c r="IF44" s="47" t="s">
        <v>34</v>
      </c>
    </row>
    <row r="45" spans="1:240" ht="15" thickTop="1" x14ac:dyDescent="0.35">
      <c r="A45" s="58">
        <f>ROW()</f>
        <v>45</v>
      </c>
      <c r="B45"/>
      <c r="C45" s="95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162"/>
      <c r="Z45" s="162"/>
      <c r="AA45" s="96"/>
      <c r="AB45" s="162"/>
      <c r="AC45" s="96"/>
      <c r="AD45" s="162"/>
      <c r="AE45" s="162"/>
      <c r="AF45" s="96"/>
      <c r="AG45" s="96"/>
      <c r="AH45" s="162"/>
      <c r="AI45" s="95"/>
      <c r="AJ45" s="95"/>
      <c r="AK45" s="96"/>
      <c r="AL45" s="162"/>
      <c r="AM45" s="96"/>
      <c r="AN45" s="96"/>
      <c r="AO45" s="96"/>
      <c r="AP45" s="162"/>
      <c r="AQ45" s="162"/>
      <c r="AR45" s="162"/>
      <c r="AS45" s="96"/>
      <c r="AT45" s="162"/>
      <c r="AU45" s="162"/>
      <c r="AV45" s="162"/>
      <c r="AW45" s="162"/>
      <c r="AX45" s="96"/>
      <c r="AY45" s="96"/>
      <c r="AZ45" s="162"/>
      <c r="BA45" s="96"/>
      <c r="BB45" s="162"/>
      <c r="BC45" s="162"/>
      <c r="BD45" s="162"/>
      <c r="BE45" s="162"/>
      <c r="BF45" s="162"/>
      <c r="BG45" s="162"/>
      <c r="BH45" s="96"/>
      <c r="BI45" s="96"/>
      <c r="BJ45" s="162"/>
      <c r="BK45" s="96"/>
      <c r="BL45" s="162"/>
      <c r="BM45" s="96"/>
      <c r="BN45" s="96"/>
      <c r="BO45" s="96"/>
      <c r="BP45" s="96"/>
      <c r="BQ45" s="96"/>
      <c r="BR45" s="96"/>
      <c r="BS45" s="162"/>
      <c r="BT45" s="96"/>
      <c r="BU45" s="96"/>
      <c r="BV45" s="162"/>
      <c r="BW45" s="95"/>
      <c r="BX45" s="95"/>
      <c r="BY45" s="96"/>
      <c r="BZ45" s="162"/>
      <c r="CA45" s="162"/>
      <c r="CB45" s="96"/>
      <c r="CC45" s="96"/>
      <c r="CD45" s="162"/>
      <c r="CE45" s="162"/>
      <c r="CF45" s="162"/>
      <c r="CG45" s="162"/>
      <c r="CH45" s="162"/>
      <c r="CI45" s="96"/>
      <c r="CJ45" s="162"/>
      <c r="CK45" s="162"/>
      <c r="CL45" s="162"/>
      <c r="CM45" s="162"/>
      <c r="CN45" s="162"/>
      <c r="CO45" s="162"/>
      <c r="CP45" s="162"/>
      <c r="CQ45" s="162"/>
      <c r="CR45" s="162"/>
      <c r="CS45" s="162"/>
      <c r="CT45" s="162"/>
      <c r="CU45" s="162"/>
      <c r="CV45" s="96"/>
      <c r="CW45" s="96"/>
      <c r="CX45" s="162"/>
      <c r="CY45" s="96"/>
      <c r="CZ45" s="162"/>
      <c r="DA45" s="96"/>
      <c r="DB45" s="96"/>
      <c r="DC45" s="96"/>
      <c r="DD45" s="96"/>
      <c r="DE45" s="96"/>
      <c r="DF45" s="96"/>
      <c r="DG45" s="162"/>
      <c r="DH45" s="96"/>
      <c r="DI45" s="213"/>
      <c r="DJ45" s="162"/>
      <c r="DK45" s="95"/>
      <c r="DL45" s="95"/>
      <c r="DM45" s="96"/>
      <c r="DN45" s="162"/>
      <c r="DO45" s="162"/>
      <c r="DP45" s="96"/>
      <c r="DQ45" s="96"/>
      <c r="DR45" s="162"/>
      <c r="DS45" s="162"/>
      <c r="DT45" s="162"/>
      <c r="DU45" s="162"/>
      <c r="DV45" s="162"/>
      <c r="DW45" s="96"/>
      <c r="DX45" s="162"/>
      <c r="DY45" s="162"/>
      <c r="DZ45" s="162"/>
      <c r="EA45" s="96"/>
      <c r="EB45" s="162"/>
      <c r="EC45" s="162"/>
      <c r="ED45" s="162"/>
      <c r="EE45" s="162"/>
      <c r="EF45" s="162"/>
      <c r="EG45" s="162"/>
      <c r="EH45" s="96"/>
      <c r="EI45" s="162"/>
      <c r="EJ45" s="96"/>
      <c r="EK45" s="96"/>
      <c r="EL45" s="96"/>
      <c r="EM45" s="96"/>
      <c r="EN45" s="162"/>
      <c r="EO45" s="96"/>
      <c r="EP45" s="96"/>
      <c r="EQ45" s="96"/>
      <c r="ER45" s="96"/>
      <c r="ES45" s="96"/>
      <c r="ET45" s="96"/>
      <c r="EU45" s="96"/>
      <c r="EV45" s="96"/>
      <c r="EW45" s="213"/>
      <c r="EX45" s="213"/>
      <c r="EY45" s="96"/>
      <c r="EZ45" s="95"/>
      <c r="FA45" s="95"/>
      <c r="FB45" s="96"/>
      <c r="FC45" s="162"/>
      <c r="FD45" s="162"/>
      <c r="FE45" s="96"/>
      <c r="FF45" s="96"/>
      <c r="FG45" s="162"/>
      <c r="FH45" s="162"/>
      <c r="FI45" s="162"/>
      <c r="FJ45" s="162"/>
      <c r="FK45" s="162"/>
      <c r="FL45" s="96"/>
      <c r="FM45" s="162"/>
      <c r="FN45" s="162"/>
      <c r="FO45" s="162"/>
      <c r="FP45" s="162"/>
      <c r="FQ45" s="162"/>
      <c r="FR45" s="162"/>
      <c r="FS45" s="162"/>
      <c r="FT45" s="162"/>
      <c r="FU45" s="162"/>
      <c r="FV45" s="162"/>
      <c r="FW45" s="96"/>
      <c r="FX45" s="162"/>
      <c r="FY45" s="96"/>
      <c r="FZ45" s="96"/>
      <c r="GA45" s="162"/>
      <c r="GB45" s="96"/>
      <c r="GC45" s="162"/>
      <c r="GD45" s="96"/>
      <c r="GE45" s="96"/>
      <c r="GF45" s="96"/>
      <c r="GG45" s="96"/>
      <c r="GH45" s="96"/>
      <c r="GI45" s="96"/>
      <c r="GJ45" s="96"/>
      <c r="GK45" s="96"/>
      <c r="GL45" s="213"/>
      <c r="GM45" s="213"/>
      <c r="GN45" s="96"/>
      <c r="GO45" s="95"/>
      <c r="GP45" s="95"/>
      <c r="GQ45" s="96"/>
      <c r="GR45" s="162"/>
      <c r="GS45" s="162"/>
      <c r="GT45" s="96"/>
      <c r="GU45" s="96"/>
      <c r="GV45" s="162"/>
      <c r="GW45" s="162"/>
      <c r="GX45" s="162"/>
      <c r="GY45" s="162"/>
      <c r="GZ45" s="162"/>
      <c r="HA45" s="96"/>
      <c r="HB45" s="162"/>
      <c r="HC45" s="162"/>
      <c r="HD45" s="162"/>
      <c r="HE45" s="162"/>
      <c r="HF45" s="162"/>
      <c r="HG45" s="162"/>
      <c r="HH45" s="162"/>
      <c r="HI45" s="162"/>
      <c r="HJ45" s="162"/>
      <c r="HK45" s="162"/>
      <c r="HL45" s="96"/>
      <c r="HM45" s="162"/>
      <c r="HN45" s="96"/>
      <c r="HO45" s="96"/>
      <c r="HP45" s="96"/>
      <c r="HQ45" s="96"/>
      <c r="HR45" s="162"/>
      <c r="HS45" s="96"/>
      <c r="HT45" s="96"/>
      <c r="HU45" s="96"/>
      <c r="HV45" s="96"/>
      <c r="HW45" s="96"/>
      <c r="HX45" s="96"/>
      <c r="HY45" s="96"/>
      <c r="HZ45" s="162"/>
      <c r="IA45" s="213"/>
      <c r="IB45" s="213"/>
      <c r="IC45" s="96"/>
      <c r="ID45" s="95"/>
      <c r="IE45" s="95"/>
      <c r="IF45" s="47" t="s">
        <v>34</v>
      </c>
    </row>
    <row r="46" spans="1:240" s="88" customFormat="1" x14ac:dyDescent="0.3">
      <c r="A46" s="58">
        <f>ROW()</f>
        <v>46</v>
      </c>
      <c r="B46" s="74" t="s">
        <v>94</v>
      </c>
      <c r="C46" s="83">
        <f t="shared" ref="C46:BN46" si="52">C57</f>
        <v>2470296822.411552</v>
      </c>
      <c r="D46" s="51">
        <f t="shared" si="52"/>
        <v>0</v>
      </c>
      <c r="E46" s="51">
        <f t="shared" si="52"/>
        <v>0</v>
      </c>
      <c r="F46" s="51">
        <f t="shared" si="52"/>
        <v>0</v>
      </c>
      <c r="G46" s="51">
        <f t="shared" si="52"/>
        <v>0</v>
      </c>
      <c r="H46" s="51">
        <f t="shared" si="52"/>
        <v>0</v>
      </c>
      <c r="I46" s="51">
        <f t="shared" si="52"/>
        <v>0</v>
      </c>
      <c r="J46" s="51">
        <f t="shared" si="52"/>
        <v>0</v>
      </c>
      <c r="K46" s="51">
        <f t="shared" si="52"/>
        <v>0</v>
      </c>
      <c r="L46" s="51">
        <f t="shared" si="52"/>
        <v>0</v>
      </c>
      <c r="M46" s="51">
        <f t="shared" si="52"/>
        <v>0</v>
      </c>
      <c r="N46" s="51">
        <f t="shared" si="52"/>
        <v>0</v>
      </c>
      <c r="O46" s="51">
        <f t="shared" si="52"/>
        <v>0</v>
      </c>
      <c r="P46" s="51">
        <f t="shared" si="52"/>
        <v>0</v>
      </c>
      <c r="Q46" s="51">
        <f t="shared" si="52"/>
        <v>0</v>
      </c>
      <c r="R46" s="51">
        <f t="shared" si="52"/>
        <v>0</v>
      </c>
      <c r="S46" s="51">
        <f t="shared" si="52"/>
        <v>0</v>
      </c>
      <c r="T46" s="51">
        <f t="shared" si="52"/>
        <v>0</v>
      </c>
      <c r="U46" s="51">
        <f t="shared" si="52"/>
        <v>0</v>
      </c>
      <c r="V46" s="51">
        <f t="shared" si="52"/>
        <v>67075380.91394949</v>
      </c>
      <c r="W46" s="51">
        <f t="shared" si="52"/>
        <v>210100.48828822773</v>
      </c>
      <c r="X46" s="51">
        <f>X57</f>
        <v>0</v>
      </c>
      <c r="Y46" s="156">
        <f t="shared" si="52"/>
        <v>0</v>
      </c>
      <c r="Z46" s="156">
        <f t="shared" si="52"/>
        <v>0</v>
      </c>
      <c r="AA46" s="51">
        <f t="shared" si="52"/>
        <v>-65577643.509571999</v>
      </c>
      <c r="AB46" s="156">
        <f t="shared" si="52"/>
        <v>0</v>
      </c>
      <c r="AC46" s="51">
        <f t="shared" si="52"/>
        <v>0</v>
      </c>
      <c r="AD46" s="156">
        <f t="shared" si="52"/>
        <v>0</v>
      </c>
      <c r="AE46" s="156">
        <f t="shared" si="52"/>
        <v>0</v>
      </c>
      <c r="AF46" s="51">
        <f>AF57</f>
        <v>-23770011.81658344</v>
      </c>
      <c r="AG46" s="51">
        <f t="shared" si="52"/>
        <v>0</v>
      </c>
      <c r="AH46" s="156">
        <f t="shared" si="52"/>
        <v>0</v>
      </c>
      <c r="AI46" s="83">
        <f t="shared" si="52"/>
        <v>-22062173.923917718</v>
      </c>
      <c r="AJ46" s="83">
        <f t="shared" si="52"/>
        <v>2448234648.4876337</v>
      </c>
      <c r="AK46" s="51">
        <f t="shared" si="52"/>
        <v>0</v>
      </c>
      <c r="AL46" s="156">
        <f t="shared" si="52"/>
        <v>0</v>
      </c>
      <c r="AM46" s="51">
        <f t="shared" si="52"/>
        <v>0</v>
      </c>
      <c r="AN46" s="51">
        <f t="shared" si="52"/>
        <v>4356717.7706340253</v>
      </c>
      <c r="AO46" s="51">
        <f t="shared" si="52"/>
        <v>0</v>
      </c>
      <c r="AP46" s="156">
        <f t="shared" si="52"/>
        <v>0</v>
      </c>
      <c r="AQ46" s="156">
        <f t="shared" si="52"/>
        <v>0</v>
      </c>
      <c r="AR46" s="156">
        <f t="shared" si="52"/>
        <v>0</v>
      </c>
      <c r="AS46" s="51">
        <f t="shared" si="52"/>
        <v>0</v>
      </c>
      <c r="AT46" s="156">
        <f t="shared" si="52"/>
        <v>0</v>
      </c>
      <c r="AU46" s="156">
        <f t="shared" si="52"/>
        <v>0</v>
      </c>
      <c r="AV46" s="156">
        <f t="shared" si="52"/>
        <v>0</v>
      </c>
      <c r="AW46" s="156">
        <f t="shared" si="52"/>
        <v>0</v>
      </c>
      <c r="AX46" s="51">
        <f t="shared" si="52"/>
        <v>0</v>
      </c>
      <c r="AY46" s="51">
        <f t="shared" si="52"/>
        <v>0</v>
      </c>
      <c r="AZ46" s="156">
        <f t="shared" si="52"/>
        <v>0</v>
      </c>
      <c r="BA46" s="51">
        <f t="shared" si="52"/>
        <v>0</v>
      </c>
      <c r="BB46" s="156">
        <f t="shared" si="52"/>
        <v>0</v>
      </c>
      <c r="BC46" s="156">
        <f t="shared" si="52"/>
        <v>0</v>
      </c>
      <c r="BD46" s="156">
        <f t="shared" si="52"/>
        <v>0</v>
      </c>
      <c r="BE46" s="156">
        <f t="shared" si="52"/>
        <v>0</v>
      </c>
      <c r="BF46" s="156">
        <f t="shared" si="52"/>
        <v>0</v>
      </c>
      <c r="BG46" s="156">
        <f t="shared" si="52"/>
        <v>0</v>
      </c>
      <c r="BH46" s="51">
        <f t="shared" si="52"/>
        <v>65577643.509571999</v>
      </c>
      <c r="BI46" s="51">
        <f t="shared" si="52"/>
        <v>3230272.3808734193</v>
      </c>
      <c r="BJ46" s="156">
        <f t="shared" si="52"/>
        <v>0</v>
      </c>
      <c r="BK46" s="51">
        <f t="shared" si="52"/>
        <v>-336065.87616749993</v>
      </c>
      <c r="BL46" s="156">
        <f t="shared" si="52"/>
        <v>0</v>
      </c>
      <c r="BM46" s="51">
        <f t="shared" si="52"/>
        <v>-94088202.46430099</v>
      </c>
      <c r="BN46" s="51">
        <f t="shared" si="52"/>
        <v>201938.05620600007</v>
      </c>
      <c r="BO46" s="51">
        <f t="shared" ref="BO46:BS46" si="53">BO57</f>
        <v>44675564.118710004</v>
      </c>
      <c r="BP46" s="51">
        <f t="shared" si="53"/>
        <v>55278785.519999988</v>
      </c>
      <c r="BQ46" s="51">
        <f t="shared" si="53"/>
        <v>2597.4953720000003</v>
      </c>
      <c r="BR46" s="51">
        <f t="shared" si="53"/>
        <v>22124980.888264</v>
      </c>
      <c r="BS46" s="156">
        <f t="shared" si="53"/>
        <v>0</v>
      </c>
      <c r="BT46" s="51">
        <v>0</v>
      </c>
      <c r="BU46" s="51">
        <f>BU57</f>
        <v>-1852729.8615047848</v>
      </c>
      <c r="BV46" s="156">
        <f>BV57</f>
        <v>0</v>
      </c>
      <c r="BW46" s="83">
        <f t="shared" ref="BW46:DG46" si="54">BW57</f>
        <v>99171501.537658185</v>
      </c>
      <c r="BX46" s="83">
        <f t="shared" si="54"/>
        <v>2547406150.0252914</v>
      </c>
      <c r="BY46" s="51">
        <f t="shared" si="54"/>
        <v>0</v>
      </c>
      <c r="BZ46" s="156">
        <f t="shared" si="54"/>
        <v>0</v>
      </c>
      <c r="CA46" s="156">
        <f t="shared" si="54"/>
        <v>0</v>
      </c>
      <c r="CB46" s="51">
        <f t="shared" si="54"/>
        <v>5370042.7846080065</v>
      </c>
      <c r="CC46" s="51">
        <f t="shared" si="54"/>
        <v>0</v>
      </c>
      <c r="CD46" s="156">
        <f t="shared" si="54"/>
        <v>0</v>
      </c>
      <c r="CE46" s="156">
        <f t="shared" si="54"/>
        <v>0</v>
      </c>
      <c r="CF46" s="156">
        <f t="shared" si="54"/>
        <v>0</v>
      </c>
      <c r="CG46" s="156">
        <f t="shared" si="54"/>
        <v>0</v>
      </c>
      <c r="CH46" s="156">
        <f t="shared" si="54"/>
        <v>0</v>
      </c>
      <c r="CI46" s="51">
        <f t="shared" si="54"/>
        <v>0</v>
      </c>
      <c r="CJ46" s="156">
        <f t="shared" si="54"/>
        <v>0</v>
      </c>
      <c r="CK46" s="156">
        <f t="shared" si="54"/>
        <v>0</v>
      </c>
      <c r="CL46" s="156">
        <f t="shared" si="54"/>
        <v>0</v>
      </c>
      <c r="CM46" s="156">
        <f t="shared" si="54"/>
        <v>0</v>
      </c>
      <c r="CN46" s="156">
        <f t="shared" si="54"/>
        <v>0</v>
      </c>
      <c r="CO46" s="156">
        <f t="shared" si="54"/>
        <v>0</v>
      </c>
      <c r="CP46" s="156">
        <f t="shared" si="54"/>
        <v>0</v>
      </c>
      <c r="CQ46" s="156">
        <f t="shared" si="54"/>
        <v>0</v>
      </c>
      <c r="CR46" s="156">
        <f t="shared" si="54"/>
        <v>0</v>
      </c>
      <c r="CS46" s="156">
        <f t="shared" si="54"/>
        <v>0</v>
      </c>
      <c r="CT46" s="156">
        <f t="shared" si="54"/>
        <v>0</v>
      </c>
      <c r="CU46" s="156">
        <f t="shared" si="54"/>
        <v>0</v>
      </c>
      <c r="CV46" s="51">
        <f t="shared" si="54"/>
        <v>0</v>
      </c>
      <c r="CW46" s="51">
        <f t="shared" si="54"/>
        <v>3492135.9671265553</v>
      </c>
      <c r="CX46" s="156">
        <f t="shared" si="54"/>
        <v>0</v>
      </c>
      <c r="CY46" s="51">
        <f t="shared" si="54"/>
        <v>-168032.93808374999</v>
      </c>
      <c r="CZ46" s="156">
        <f t="shared" si="54"/>
        <v>0</v>
      </c>
      <c r="DA46" s="51">
        <f t="shared" si="54"/>
        <v>-165330440.38527286</v>
      </c>
      <c r="DB46" s="51">
        <f t="shared" si="54"/>
        <v>1520440.3364520001</v>
      </c>
      <c r="DC46" s="51">
        <f t="shared" si="54"/>
        <v>116745699.78504001</v>
      </c>
      <c r="DD46" s="51">
        <f t="shared" si="54"/>
        <v>36771502.726904862</v>
      </c>
      <c r="DE46" s="51">
        <f t="shared" si="54"/>
        <v>12650902.559701743</v>
      </c>
      <c r="DF46" s="51">
        <f t="shared" si="54"/>
        <v>26473745.684250008</v>
      </c>
      <c r="DG46" s="156">
        <f t="shared" si="54"/>
        <v>0</v>
      </c>
      <c r="DH46" s="51">
        <f>DH57</f>
        <v>-3607094.8691412816</v>
      </c>
      <c r="DI46" s="203">
        <f>DI57</f>
        <v>1636240.8076686685</v>
      </c>
      <c r="DJ46" s="156">
        <f>DJ57</f>
        <v>0</v>
      </c>
      <c r="DK46" s="83">
        <f t="shared" ref="DK46:EU46" si="55">DK57</f>
        <v>35555142.459253967</v>
      </c>
      <c r="DL46" s="83">
        <f t="shared" si="55"/>
        <v>2582961292.4845452</v>
      </c>
      <c r="DM46" s="51">
        <f t="shared" si="55"/>
        <v>0</v>
      </c>
      <c r="DN46" s="156">
        <f t="shared" si="55"/>
        <v>0</v>
      </c>
      <c r="DO46" s="156">
        <f t="shared" si="55"/>
        <v>0</v>
      </c>
      <c r="DP46" s="51">
        <f t="shared" si="55"/>
        <v>3098447.5482264757</v>
      </c>
      <c r="DQ46" s="51">
        <f t="shared" si="55"/>
        <v>0</v>
      </c>
      <c r="DR46" s="156">
        <f t="shared" si="55"/>
        <v>0</v>
      </c>
      <c r="DS46" s="156">
        <f t="shared" si="55"/>
        <v>0</v>
      </c>
      <c r="DT46" s="156">
        <f t="shared" si="55"/>
        <v>0</v>
      </c>
      <c r="DU46" s="156">
        <f t="shared" si="55"/>
        <v>0</v>
      </c>
      <c r="DV46" s="156">
        <f t="shared" si="55"/>
        <v>0</v>
      </c>
      <c r="DW46" s="51">
        <f t="shared" si="55"/>
        <v>0</v>
      </c>
      <c r="DX46" s="156">
        <f t="shared" si="55"/>
        <v>0</v>
      </c>
      <c r="DY46" s="156">
        <f t="shared" si="55"/>
        <v>0</v>
      </c>
      <c r="DZ46" s="156">
        <f t="shared" si="55"/>
        <v>0</v>
      </c>
      <c r="EA46" s="51">
        <f t="shared" si="55"/>
        <v>0</v>
      </c>
      <c r="EB46" s="156">
        <f t="shared" si="55"/>
        <v>0</v>
      </c>
      <c r="EC46" s="156">
        <f t="shared" si="55"/>
        <v>0</v>
      </c>
      <c r="ED46" s="156">
        <f t="shared" si="55"/>
        <v>0</v>
      </c>
      <c r="EE46" s="156">
        <f t="shared" si="55"/>
        <v>0</v>
      </c>
      <c r="EF46" s="156">
        <f t="shared" si="55"/>
        <v>0</v>
      </c>
      <c r="EG46" s="156">
        <f t="shared" si="55"/>
        <v>0</v>
      </c>
      <c r="EH46" s="51">
        <f t="shared" si="55"/>
        <v>0</v>
      </c>
      <c r="EI46" s="156">
        <f t="shared" si="55"/>
        <v>1101188.86890066</v>
      </c>
      <c r="EJ46" s="51">
        <f t="shared" si="55"/>
        <v>0</v>
      </c>
      <c r="EK46" s="51">
        <f t="shared" si="55"/>
        <v>-15203.916388063459</v>
      </c>
      <c r="EL46" s="51">
        <f t="shared" si="55"/>
        <v>0</v>
      </c>
      <c r="EM46" s="51">
        <f t="shared" si="55"/>
        <v>162350.33768437497</v>
      </c>
      <c r="EN46" s="156">
        <f t="shared" si="55"/>
        <v>0</v>
      </c>
      <c r="EO46" s="51">
        <f t="shared" si="55"/>
        <v>-84598856.734545469</v>
      </c>
      <c r="EP46" s="51">
        <f t="shared" si="55"/>
        <v>1405861.9709619989</v>
      </c>
      <c r="EQ46" s="51">
        <f t="shared" si="55"/>
        <v>69476611.107350022</v>
      </c>
      <c r="ER46" s="51">
        <f t="shared" si="55"/>
        <v>-6324778.1027579708</v>
      </c>
      <c r="ES46" s="51">
        <f t="shared" si="55"/>
        <v>-4990356.3668026561</v>
      </c>
      <c r="ET46" s="51">
        <f t="shared" si="55"/>
        <v>14495451.993672004</v>
      </c>
      <c r="EU46" s="51">
        <f t="shared" si="55"/>
        <v>0</v>
      </c>
      <c r="EV46" s="51">
        <f>EV57</f>
        <v>-1675068.8795508225</v>
      </c>
      <c r="EW46" s="203">
        <f>EW57</f>
        <v>-48340874.436111309</v>
      </c>
      <c r="EX46" s="203">
        <f>EX57</f>
        <v>0</v>
      </c>
      <c r="EY46" s="51">
        <f>EY57</f>
        <v>0</v>
      </c>
      <c r="EZ46" s="83">
        <f t="shared" ref="EZ46:GJ46" si="56">EZ57</f>
        <v>-56205226.609360754</v>
      </c>
      <c r="FA46" s="83">
        <f t="shared" si="56"/>
        <v>2526756065.8751845</v>
      </c>
      <c r="FB46" s="51">
        <f t="shared" si="56"/>
        <v>0</v>
      </c>
      <c r="FC46" s="156">
        <f t="shared" si="56"/>
        <v>0</v>
      </c>
      <c r="FD46" s="156">
        <f t="shared" si="56"/>
        <v>0</v>
      </c>
      <c r="FE46" s="51">
        <f t="shared" si="56"/>
        <v>6797605.0150674582</v>
      </c>
      <c r="FF46" s="51">
        <f t="shared" si="56"/>
        <v>0</v>
      </c>
      <c r="FG46" s="156">
        <f t="shared" si="56"/>
        <v>0</v>
      </c>
      <c r="FH46" s="156">
        <f t="shared" si="56"/>
        <v>0</v>
      </c>
      <c r="FI46" s="156">
        <f t="shared" si="56"/>
        <v>0</v>
      </c>
      <c r="FJ46" s="156">
        <f t="shared" si="56"/>
        <v>0</v>
      </c>
      <c r="FK46" s="156">
        <f t="shared" si="56"/>
        <v>0</v>
      </c>
      <c r="FL46" s="51">
        <f t="shared" si="56"/>
        <v>0</v>
      </c>
      <c r="FM46" s="156">
        <f t="shared" si="56"/>
        <v>0</v>
      </c>
      <c r="FN46" s="156">
        <f t="shared" si="56"/>
        <v>0</v>
      </c>
      <c r="FO46" s="156">
        <f t="shared" si="56"/>
        <v>0</v>
      </c>
      <c r="FP46" s="156">
        <f t="shared" si="56"/>
        <v>0</v>
      </c>
      <c r="FQ46" s="156">
        <f t="shared" si="56"/>
        <v>0</v>
      </c>
      <c r="FR46" s="156">
        <f t="shared" si="56"/>
        <v>0</v>
      </c>
      <c r="FS46" s="156">
        <f t="shared" si="56"/>
        <v>0</v>
      </c>
      <c r="FT46" s="156">
        <f t="shared" si="56"/>
        <v>0</v>
      </c>
      <c r="FU46" s="156">
        <f t="shared" si="56"/>
        <v>0</v>
      </c>
      <c r="FV46" s="156">
        <f t="shared" si="56"/>
        <v>0</v>
      </c>
      <c r="FW46" s="51">
        <f t="shared" si="56"/>
        <v>0</v>
      </c>
      <c r="FX46" s="156">
        <f t="shared" si="56"/>
        <v>-10011818.034171246</v>
      </c>
      <c r="FY46" s="51">
        <f t="shared" si="56"/>
        <v>0</v>
      </c>
      <c r="FZ46" s="51">
        <f t="shared" si="56"/>
        <v>-3527374.5424600434</v>
      </c>
      <c r="GA46" s="156">
        <f t="shared" si="56"/>
        <v>0</v>
      </c>
      <c r="GB46" s="51">
        <f t="shared" si="56"/>
        <v>324700.67536874977</v>
      </c>
      <c r="GC46" s="156">
        <f t="shared" si="56"/>
        <v>0</v>
      </c>
      <c r="GD46" s="51">
        <f t="shared" si="56"/>
        <v>-159209516.20228195</v>
      </c>
      <c r="GE46" s="51">
        <f t="shared" si="56"/>
        <v>3310956.6510520019</v>
      </c>
      <c r="GF46" s="51">
        <f t="shared" si="56"/>
        <v>217591260.62328604</v>
      </c>
      <c r="GG46" s="51">
        <f t="shared" si="56"/>
        <v>41302511.146607377</v>
      </c>
      <c r="GH46" s="51">
        <f t="shared" si="56"/>
        <v>3953203.0510036857</v>
      </c>
      <c r="GI46" s="51">
        <f t="shared" si="56"/>
        <v>37191156.254355997</v>
      </c>
      <c r="GJ46" s="51">
        <f t="shared" si="56"/>
        <v>0</v>
      </c>
      <c r="GK46" s="51">
        <f>GK57</f>
        <v>-1109560.2062269687</v>
      </c>
      <c r="GL46" s="203">
        <f>GL57</f>
        <v>-57080533.80576282</v>
      </c>
      <c r="GM46" s="203">
        <f>GM57</f>
        <v>0</v>
      </c>
      <c r="GN46" s="51">
        <f>GN57</f>
        <v>0</v>
      </c>
      <c r="GO46" s="83">
        <f t="shared" ref="GO46:IE46" si="57">GO57</f>
        <v>79532590.62583831</v>
      </c>
      <c r="GP46" s="83">
        <f t="shared" si="57"/>
        <v>2606288656.5010228</v>
      </c>
      <c r="GQ46" s="51">
        <f t="shared" si="57"/>
        <v>0</v>
      </c>
      <c r="GR46" s="156">
        <f t="shared" si="57"/>
        <v>0</v>
      </c>
      <c r="GS46" s="156">
        <f t="shared" si="57"/>
        <v>0</v>
      </c>
      <c r="GT46" s="51">
        <f t="shared" si="57"/>
        <v>7261899.4397121966</v>
      </c>
      <c r="GU46" s="51">
        <f t="shared" si="57"/>
        <v>0</v>
      </c>
      <c r="GV46" s="156">
        <f t="shared" si="57"/>
        <v>0</v>
      </c>
      <c r="GW46" s="156">
        <f t="shared" si="57"/>
        <v>0</v>
      </c>
      <c r="GX46" s="156">
        <f t="shared" si="57"/>
        <v>0</v>
      </c>
      <c r="GY46" s="156">
        <f t="shared" si="57"/>
        <v>0</v>
      </c>
      <c r="GZ46" s="156">
        <f t="shared" si="57"/>
        <v>0</v>
      </c>
      <c r="HA46" s="51">
        <f t="shared" si="57"/>
        <v>0</v>
      </c>
      <c r="HB46" s="156">
        <f t="shared" si="57"/>
        <v>0</v>
      </c>
      <c r="HC46" s="156">
        <f t="shared" si="57"/>
        <v>0</v>
      </c>
      <c r="HD46" s="156">
        <f t="shared" si="57"/>
        <v>0</v>
      </c>
      <c r="HE46" s="156">
        <f t="shared" si="57"/>
        <v>0</v>
      </c>
      <c r="HF46" s="156">
        <f t="shared" si="57"/>
        <v>0</v>
      </c>
      <c r="HG46" s="156">
        <f t="shared" si="57"/>
        <v>0</v>
      </c>
      <c r="HH46" s="156">
        <f t="shared" si="57"/>
        <v>0</v>
      </c>
      <c r="HI46" s="156">
        <f t="shared" si="57"/>
        <v>0</v>
      </c>
      <c r="HJ46" s="156">
        <f t="shared" si="57"/>
        <v>0</v>
      </c>
      <c r="HK46" s="156">
        <f t="shared" si="57"/>
        <v>0</v>
      </c>
      <c r="HL46" s="51">
        <f t="shared" si="57"/>
        <v>0</v>
      </c>
      <c r="HM46" s="156">
        <f t="shared" si="57"/>
        <v>-1467548.2098971759</v>
      </c>
      <c r="HN46" s="51">
        <f t="shared" si="57"/>
        <v>0</v>
      </c>
      <c r="HO46" s="51">
        <f t="shared" si="57"/>
        <v>-3527374.5424600434</v>
      </c>
      <c r="HP46" s="51">
        <f t="shared" si="57"/>
        <v>0</v>
      </c>
      <c r="HQ46" s="51">
        <f t="shared" si="57"/>
        <v>162350.33768437497</v>
      </c>
      <c r="HR46" s="156">
        <f t="shared" si="57"/>
        <v>0</v>
      </c>
      <c r="HS46" s="51">
        <f t="shared" si="57"/>
        <v>-151371216.49016714</v>
      </c>
      <c r="HT46" s="51">
        <f t="shared" si="57"/>
        <v>3787156.7907220004</v>
      </c>
      <c r="HU46" s="51">
        <f t="shared" si="57"/>
        <v>135474933.4399679</v>
      </c>
      <c r="HV46" s="51">
        <f t="shared" si="57"/>
        <v>38419192.508776158</v>
      </c>
      <c r="HW46" s="51">
        <f t="shared" si="57"/>
        <v>18254060.45606672</v>
      </c>
      <c r="HX46" s="51">
        <f t="shared" si="57"/>
        <v>22938716.735553999</v>
      </c>
      <c r="HY46" s="51">
        <f t="shared" si="57"/>
        <v>0</v>
      </c>
      <c r="HZ46" s="156">
        <f t="shared" si="57"/>
        <v>0</v>
      </c>
      <c r="IA46" s="203">
        <f>IA57</f>
        <v>-20780939.231190097</v>
      </c>
      <c r="IB46" s="203">
        <f>IB57</f>
        <v>0</v>
      </c>
      <c r="IC46" s="51">
        <v>0</v>
      </c>
      <c r="ID46" s="83">
        <f t="shared" si="57"/>
        <v>49151231.234768897</v>
      </c>
      <c r="IE46" s="83">
        <f t="shared" si="57"/>
        <v>2655439887.7357922</v>
      </c>
      <c r="IF46" s="47" t="s">
        <v>34</v>
      </c>
    </row>
    <row r="47" spans="1:240" ht="14.5" x14ac:dyDescent="0.35">
      <c r="A47" s="58">
        <f>ROW()</f>
        <v>47</v>
      </c>
      <c r="C47" s="75"/>
      <c r="F47"/>
      <c r="G47"/>
      <c r="H47"/>
      <c r="Y47" s="138"/>
      <c r="Z47" s="138"/>
      <c r="AB47" s="138"/>
      <c r="AD47" s="138"/>
      <c r="AE47" s="138"/>
      <c r="AH47" s="138"/>
      <c r="AI47" s="75"/>
      <c r="AJ47" s="75"/>
      <c r="AL47" s="138"/>
      <c r="AP47" s="138"/>
      <c r="AQ47" s="138"/>
      <c r="AR47" s="138"/>
      <c r="AT47" s="138"/>
      <c r="AU47" s="138"/>
      <c r="AV47" s="138"/>
      <c r="AW47" s="138"/>
      <c r="AZ47" s="138"/>
      <c r="BB47" s="138"/>
      <c r="BC47" s="138"/>
      <c r="BD47" s="138"/>
      <c r="BE47" s="138"/>
      <c r="BF47" s="138"/>
      <c r="BG47" s="138"/>
      <c r="BJ47" s="138"/>
      <c r="BL47" s="138"/>
      <c r="BS47" s="138"/>
      <c r="BV47" s="138"/>
      <c r="BW47" s="75"/>
      <c r="BX47" s="75"/>
      <c r="BZ47" s="138"/>
      <c r="CA47" s="138"/>
      <c r="CD47" s="138"/>
      <c r="CE47" s="138"/>
      <c r="CF47" s="138"/>
      <c r="CG47" s="138"/>
      <c r="CH47" s="138"/>
      <c r="CJ47" s="138"/>
      <c r="CK47" s="138"/>
      <c r="CL47" s="138"/>
      <c r="CM47" s="138"/>
      <c r="CN47" s="138"/>
      <c r="CO47" s="138"/>
      <c r="CP47" s="138"/>
      <c r="CQ47" s="138"/>
      <c r="CR47" s="138"/>
      <c r="CS47" s="138"/>
      <c r="CT47" s="138"/>
      <c r="CU47" s="138"/>
      <c r="CX47" s="138"/>
      <c r="CZ47" s="138"/>
      <c r="DG47" s="138"/>
      <c r="DI47" s="205"/>
      <c r="DJ47" s="138"/>
      <c r="DK47" s="75"/>
      <c r="DL47" s="75"/>
      <c r="DN47" s="138"/>
      <c r="DO47" s="138"/>
      <c r="DR47" s="138"/>
      <c r="DS47" s="138"/>
      <c r="DT47" s="138"/>
      <c r="DU47" s="138"/>
      <c r="DV47" s="138"/>
      <c r="DX47" s="138"/>
      <c r="DY47" s="138"/>
      <c r="DZ47" s="138"/>
      <c r="EB47" s="138"/>
      <c r="EC47" s="138"/>
      <c r="ED47" s="138"/>
      <c r="EE47" s="138"/>
      <c r="EF47" s="138"/>
      <c r="EG47" s="138"/>
      <c r="EI47" s="138"/>
      <c r="EN47" s="138"/>
      <c r="EW47" s="205"/>
      <c r="EX47" s="205"/>
      <c r="EZ47" s="75"/>
      <c r="FA47" s="75"/>
      <c r="FC47" s="138"/>
      <c r="FD47" s="138"/>
      <c r="FG47" s="138"/>
      <c r="FH47" s="138"/>
      <c r="FI47" s="138"/>
      <c r="FJ47" s="138"/>
      <c r="FK47" s="138"/>
      <c r="FM47" s="138"/>
      <c r="FN47" s="138"/>
      <c r="FO47" s="138"/>
      <c r="FP47" s="138"/>
      <c r="FQ47" s="138"/>
      <c r="FR47" s="138"/>
      <c r="FS47" s="138"/>
      <c r="FT47" s="138"/>
      <c r="FU47" s="138"/>
      <c r="FV47" s="138"/>
      <c r="FX47" s="138"/>
      <c r="GA47" s="138"/>
      <c r="GC47" s="138"/>
      <c r="GL47" s="205"/>
      <c r="GM47" s="205"/>
      <c r="GO47" s="75"/>
      <c r="GP47" s="75"/>
      <c r="GR47" s="138"/>
      <c r="GS47" s="138"/>
      <c r="GV47" s="138"/>
      <c r="GW47" s="138"/>
      <c r="GX47" s="138"/>
      <c r="GY47" s="138"/>
      <c r="GZ47" s="138"/>
      <c r="HB47" s="138"/>
      <c r="HC47" s="138"/>
      <c r="HD47" s="138"/>
      <c r="HE47" s="138"/>
      <c r="HF47" s="138"/>
      <c r="HG47" s="138"/>
      <c r="HH47" s="138"/>
      <c r="HI47" s="138"/>
      <c r="HJ47" s="138"/>
      <c r="HK47" s="138"/>
      <c r="HM47" s="138"/>
      <c r="HR47" s="138"/>
      <c r="HZ47" s="138"/>
      <c r="IA47" s="205"/>
      <c r="IB47" s="205"/>
      <c r="ID47" s="75"/>
      <c r="IE47" s="75"/>
      <c r="IF47" s="47" t="s">
        <v>34</v>
      </c>
    </row>
    <row r="48" spans="1:240" ht="14.5" x14ac:dyDescent="0.35">
      <c r="A48" s="58">
        <f>ROW()</f>
        <v>48</v>
      </c>
      <c r="B48" s="74" t="s">
        <v>95</v>
      </c>
      <c r="C48" s="98">
        <f>+C44/C46</f>
        <v>6.026645640691234E-2</v>
      </c>
      <c r="D48" s="79"/>
      <c r="E48" s="79"/>
      <c r="F48"/>
      <c r="G48"/>
      <c r="H48"/>
      <c r="I48" s="7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153"/>
      <c r="Z48" s="153"/>
      <c r="AA48" s="79"/>
      <c r="AB48" s="153"/>
      <c r="AC48" s="79"/>
      <c r="AD48" s="153"/>
      <c r="AE48" s="153"/>
      <c r="AF48" s="79"/>
      <c r="AG48" s="79"/>
      <c r="AH48" s="153"/>
      <c r="AI48" s="78"/>
      <c r="AJ48" s="98">
        <f>+AJ44/AJ46</f>
        <v>6.9136580571475412E-2</v>
      </c>
      <c r="AK48" s="79"/>
      <c r="AL48" s="153"/>
      <c r="AM48" s="79"/>
      <c r="AN48" s="79"/>
      <c r="AO48" s="79"/>
      <c r="AP48" s="153"/>
      <c r="AQ48" s="153"/>
      <c r="AR48" s="153"/>
      <c r="AS48" s="79"/>
      <c r="AT48" s="153"/>
      <c r="AU48" s="153"/>
      <c r="AV48" s="153"/>
      <c r="AW48" s="153"/>
      <c r="AX48" s="79"/>
      <c r="AY48" s="79"/>
      <c r="AZ48" s="153"/>
      <c r="BA48" s="79"/>
      <c r="BB48" s="153"/>
      <c r="BC48" s="153"/>
      <c r="BD48" s="153"/>
      <c r="BE48" s="153"/>
      <c r="BF48" s="153"/>
      <c r="BG48" s="153"/>
      <c r="BH48" s="79"/>
      <c r="BI48" s="79"/>
      <c r="BJ48" s="153"/>
      <c r="BK48" s="79"/>
      <c r="BL48" s="153"/>
      <c r="BM48" s="79"/>
      <c r="BN48" s="79"/>
      <c r="BO48" s="79"/>
      <c r="BP48" s="79"/>
      <c r="BQ48" s="79"/>
      <c r="BR48" s="79"/>
      <c r="BS48" s="153"/>
      <c r="BT48" s="79"/>
      <c r="BU48" s="79"/>
      <c r="BV48" s="153"/>
      <c r="BW48" s="78"/>
      <c r="BX48" s="98">
        <f>+BX44/BX46</f>
        <v>5.6209189640361763E-2</v>
      </c>
      <c r="BY48" s="79"/>
      <c r="BZ48" s="153"/>
      <c r="CA48" s="153"/>
      <c r="CB48" s="79"/>
      <c r="CC48" s="79"/>
      <c r="CD48" s="153"/>
      <c r="CE48" s="153"/>
      <c r="CF48" s="153"/>
      <c r="CG48" s="153"/>
      <c r="CH48" s="153"/>
      <c r="CI48" s="79"/>
      <c r="CJ48" s="153"/>
      <c r="CK48" s="153"/>
      <c r="CL48" s="153"/>
      <c r="CM48" s="153"/>
      <c r="CN48" s="153"/>
      <c r="CO48" s="153"/>
      <c r="CP48" s="153"/>
      <c r="CQ48" s="153"/>
      <c r="CR48" s="153"/>
      <c r="CS48" s="153"/>
      <c r="CT48" s="153"/>
      <c r="CU48" s="153"/>
      <c r="CV48" s="79"/>
      <c r="CW48" s="79"/>
      <c r="CX48" s="153"/>
      <c r="CY48" s="79"/>
      <c r="CZ48" s="153"/>
      <c r="DA48" s="79"/>
      <c r="DB48" s="79"/>
      <c r="DC48" s="79"/>
      <c r="DD48" s="79"/>
      <c r="DE48" s="79"/>
      <c r="DF48" s="79"/>
      <c r="DG48" s="153"/>
      <c r="DH48" s="79"/>
      <c r="DI48" s="208"/>
      <c r="DJ48" s="153"/>
      <c r="DK48" s="78"/>
      <c r="DL48" s="98">
        <f>+DL44/DL46</f>
        <v>6.0651637942897955E-2</v>
      </c>
      <c r="DM48" s="79"/>
      <c r="DN48" s="153"/>
      <c r="DO48" s="153"/>
      <c r="DP48" s="79"/>
      <c r="DQ48" s="79"/>
      <c r="DR48" s="153"/>
      <c r="DS48" s="153"/>
      <c r="DT48" s="153"/>
      <c r="DU48" s="153"/>
      <c r="DV48" s="153"/>
      <c r="DW48" s="79"/>
      <c r="DX48" s="153"/>
      <c r="DY48" s="153"/>
      <c r="DZ48" s="153"/>
      <c r="EA48" s="79"/>
      <c r="EB48" s="153"/>
      <c r="EC48" s="153"/>
      <c r="ED48" s="153"/>
      <c r="EE48" s="153"/>
      <c r="EF48" s="153"/>
      <c r="EG48" s="153"/>
      <c r="EH48" s="79"/>
      <c r="EI48" s="153"/>
      <c r="EJ48" s="79"/>
      <c r="EK48" s="79"/>
      <c r="EL48" s="79"/>
      <c r="EM48" s="79"/>
      <c r="EN48" s="153"/>
      <c r="EO48" s="79"/>
      <c r="EP48" s="79"/>
      <c r="EQ48" s="79"/>
      <c r="ER48" s="79"/>
      <c r="ES48" s="79"/>
      <c r="ET48" s="79"/>
      <c r="EU48" s="79"/>
      <c r="EV48" s="79"/>
      <c r="EW48" s="208"/>
      <c r="EX48" s="208"/>
      <c r="EY48" s="79"/>
      <c r="EZ48" s="78"/>
      <c r="FA48" s="98">
        <f>+FA44/FA46</f>
        <v>5.2650307838782565E-2</v>
      </c>
      <c r="FB48" s="79"/>
      <c r="FC48" s="153"/>
      <c r="FD48" s="153"/>
      <c r="FE48" s="79"/>
      <c r="FF48" s="79"/>
      <c r="FG48" s="153"/>
      <c r="FH48" s="153"/>
      <c r="FI48" s="153"/>
      <c r="FJ48" s="153"/>
      <c r="FK48" s="153"/>
      <c r="FL48" s="79"/>
      <c r="FM48" s="153"/>
      <c r="FN48" s="153"/>
      <c r="FO48" s="153"/>
      <c r="FP48" s="153"/>
      <c r="FQ48" s="153"/>
      <c r="FR48" s="153"/>
      <c r="FS48" s="153"/>
      <c r="FT48" s="153"/>
      <c r="FU48" s="153"/>
      <c r="FV48" s="153"/>
      <c r="FW48" s="79"/>
      <c r="FX48" s="153"/>
      <c r="FY48" s="79"/>
      <c r="FZ48" s="79"/>
      <c r="GA48" s="153"/>
      <c r="GB48" s="79"/>
      <c r="GC48" s="153"/>
      <c r="GD48" s="79"/>
      <c r="GE48" s="79"/>
      <c r="GF48" s="79"/>
      <c r="GG48" s="79"/>
      <c r="GH48" s="79"/>
      <c r="GI48" s="79"/>
      <c r="GJ48" s="79"/>
      <c r="GK48" s="79"/>
      <c r="GL48" s="208"/>
      <c r="GM48" s="208"/>
      <c r="GN48" s="79"/>
      <c r="GO48" s="78"/>
      <c r="GP48" s="98">
        <f>+GP44/GP46</f>
        <v>4.9030116894809975E-2</v>
      </c>
      <c r="GQ48" s="79"/>
      <c r="GR48" s="153"/>
      <c r="GS48" s="153"/>
      <c r="GT48" s="79"/>
      <c r="GU48" s="79"/>
      <c r="GV48" s="153"/>
      <c r="GW48" s="153"/>
      <c r="GX48" s="153"/>
      <c r="GY48" s="153"/>
      <c r="GZ48" s="153"/>
      <c r="HA48" s="79"/>
      <c r="HB48" s="153"/>
      <c r="HC48" s="153"/>
      <c r="HD48" s="153"/>
      <c r="HE48" s="153"/>
      <c r="HF48" s="153"/>
      <c r="HG48" s="153"/>
      <c r="HH48" s="153"/>
      <c r="HI48" s="153"/>
      <c r="HJ48" s="153"/>
      <c r="HK48" s="153"/>
      <c r="HL48" s="79"/>
      <c r="HM48" s="153"/>
      <c r="HN48" s="79"/>
      <c r="HO48" s="79"/>
      <c r="HP48" s="79"/>
      <c r="HQ48" s="79"/>
      <c r="HR48" s="153"/>
      <c r="HS48" s="79"/>
      <c r="HT48" s="79"/>
      <c r="HU48" s="79"/>
      <c r="HV48" s="79"/>
      <c r="HW48" s="79"/>
      <c r="HX48" s="79"/>
      <c r="HY48" s="79"/>
      <c r="HZ48" s="153"/>
      <c r="IA48" s="208"/>
      <c r="IB48" s="208"/>
      <c r="IC48" s="79"/>
      <c r="ID48" s="78"/>
      <c r="IE48" s="98">
        <f>+IE44/IE46</f>
        <v>4.5176313321329563E-2</v>
      </c>
      <c r="IF48" s="47" t="s">
        <v>34</v>
      </c>
    </row>
    <row r="49" spans="1:240" ht="14.5" x14ac:dyDescent="0.35">
      <c r="A49" s="58">
        <f>ROW()</f>
        <v>49</v>
      </c>
      <c r="C49" s="78"/>
      <c r="D49" s="79"/>
      <c r="E49" s="79"/>
      <c r="F49"/>
      <c r="G49"/>
      <c r="H4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153"/>
      <c r="Z49" s="153"/>
      <c r="AA49" s="79"/>
      <c r="AB49" s="153"/>
      <c r="AC49" s="79"/>
      <c r="AD49" s="153"/>
      <c r="AE49" s="153"/>
      <c r="AF49" s="79"/>
      <c r="AG49" s="79"/>
      <c r="AH49" s="153"/>
      <c r="AI49" s="78"/>
      <c r="AJ49" s="78"/>
      <c r="AK49" s="79"/>
      <c r="AL49" s="153"/>
      <c r="AM49" s="79"/>
      <c r="AN49" s="79"/>
      <c r="AO49" s="79"/>
      <c r="AP49" s="153"/>
      <c r="AQ49" s="153"/>
      <c r="AR49" s="153"/>
      <c r="AS49" s="79"/>
      <c r="AT49" s="153"/>
      <c r="AU49" s="153"/>
      <c r="AV49" s="153"/>
      <c r="AW49" s="153"/>
      <c r="AX49" s="79"/>
      <c r="AY49" s="79"/>
      <c r="AZ49" s="153"/>
      <c r="BA49" s="79"/>
      <c r="BB49" s="153"/>
      <c r="BC49" s="153"/>
      <c r="BD49" s="153"/>
      <c r="BE49" s="153"/>
      <c r="BF49" s="153"/>
      <c r="BG49" s="153"/>
      <c r="BH49" s="79"/>
      <c r="BI49" s="79"/>
      <c r="BJ49" s="153"/>
      <c r="BK49" s="79"/>
      <c r="BL49" s="153"/>
      <c r="BM49" s="79"/>
      <c r="BN49" s="79"/>
      <c r="BO49" s="79"/>
      <c r="BP49" s="79"/>
      <c r="BQ49" s="79"/>
      <c r="BR49" s="79"/>
      <c r="BS49" s="153"/>
      <c r="BT49" s="79"/>
      <c r="BU49" s="79"/>
      <c r="BV49" s="153"/>
      <c r="BW49" s="78"/>
      <c r="BX49" s="78"/>
      <c r="BY49" s="79"/>
      <c r="BZ49" s="153"/>
      <c r="CA49" s="153"/>
      <c r="CB49" s="79"/>
      <c r="CC49" s="79"/>
      <c r="CD49" s="153"/>
      <c r="CE49" s="153"/>
      <c r="CF49" s="153"/>
      <c r="CG49" s="153"/>
      <c r="CH49" s="153"/>
      <c r="CI49" s="79"/>
      <c r="CJ49" s="153"/>
      <c r="CK49" s="153"/>
      <c r="CL49" s="153"/>
      <c r="CM49" s="153"/>
      <c r="CN49" s="153"/>
      <c r="CO49" s="153"/>
      <c r="CP49" s="153"/>
      <c r="CQ49" s="153"/>
      <c r="CR49" s="153"/>
      <c r="CS49" s="153"/>
      <c r="CT49" s="153"/>
      <c r="CU49" s="153"/>
      <c r="CV49" s="79"/>
      <c r="CW49" s="79"/>
      <c r="CX49" s="153"/>
      <c r="CY49" s="79"/>
      <c r="CZ49" s="153"/>
      <c r="DA49" s="79"/>
      <c r="DB49" s="79"/>
      <c r="DC49" s="79"/>
      <c r="DD49" s="79"/>
      <c r="DE49" s="79"/>
      <c r="DF49" s="79"/>
      <c r="DG49" s="153"/>
      <c r="DH49" s="79"/>
      <c r="DI49" s="208"/>
      <c r="DJ49" s="153"/>
      <c r="DK49" s="78"/>
      <c r="DL49" s="78"/>
      <c r="DM49" s="79"/>
      <c r="DN49" s="153"/>
      <c r="DO49" s="153"/>
      <c r="DP49" s="79"/>
      <c r="DQ49" s="79"/>
      <c r="DR49" s="153"/>
      <c r="DS49" s="153"/>
      <c r="DT49" s="153"/>
      <c r="DU49" s="153"/>
      <c r="DV49" s="153"/>
      <c r="DW49" s="79"/>
      <c r="DX49" s="153"/>
      <c r="DY49" s="153"/>
      <c r="DZ49" s="153"/>
      <c r="EA49" s="79"/>
      <c r="EB49" s="153"/>
      <c r="EC49" s="153"/>
      <c r="ED49" s="153"/>
      <c r="EE49" s="153"/>
      <c r="EF49" s="153"/>
      <c r="EG49" s="153"/>
      <c r="EH49" s="79"/>
      <c r="EI49" s="153"/>
      <c r="EJ49" s="79"/>
      <c r="EK49" s="79"/>
      <c r="EL49" s="79"/>
      <c r="EM49" s="79"/>
      <c r="EN49" s="153"/>
      <c r="EO49" s="79"/>
      <c r="EP49" s="79"/>
      <c r="EQ49" s="79"/>
      <c r="ER49" s="79"/>
      <c r="ES49" s="79"/>
      <c r="ET49" s="79"/>
      <c r="EU49" s="79"/>
      <c r="EV49" s="79"/>
      <c r="EW49" s="208"/>
      <c r="EX49" s="208"/>
      <c r="EY49" s="79"/>
      <c r="EZ49" s="78"/>
      <c r="FA49" s="78"/>
      <c r="FB49" s="79"/>
      <c r="FC49" s="153"/>
      <c r="FD49" s="153"/>
      <c r="FE49" s="79"/>
      <c r="FF49" s="79"/>
      <c r="FG49" s="153"/>
      <c r="FH49" s="153"/>
      <c r="FI49" s="153"/>
      <c r="FJ49" s="153"/>
      <c r="FK49" s="153"/>
      <c r="FL49" s="79"/>
      <c r="FM49" s="153"/>
      <c r="FN49" s="153"/>
      <c r="FO49" s="153"/>
      <c r="FP49" s="153"/>
      <c r="FQ49" s="153"/>
      <c r="FR49" s="153"/>
      <c r="FS49" s="153"/>
      <c r="FT49" s="153"/>
      <c r="FU49" s="153"/>
      <c r="FV49" s="153"/>
      <c r="FW49" s="79"/>
      <c r="FX49" s="153"/>
      <c r="FY49" s="79"/>
      <c r="FZ49" s="79"/>
      <c r="GA49" s="153"/>
      <c r="GB49" s="79"/>
      <c r="GC49" s="153"/>
      <c r="GD49" s="79"/>
      <c r="GE49" s="79"/>
      <c r="GF49" s="79"/>
      <c r="GG49" s="79"/>
      <c r="GH49" s="79"/>
      <c r="GI49" s="79"/>
      <c r="GJ49" s="79"/>
      <c r="GK49" s="79"/>
      <c r="GL49" s="208"/>
      <c r="GM49" s="208"/>
      <c r="GN49" s="79"/>
      <c r="GO49" s="78"/>
      <c r="GP49" s="78"/>
      <c r="GQ49" s="79"/>
      <c r="GR49" s="153"/>
      <c r="GS49" s="153"/>
      <c r="GT49" s="79"/>
      <c r="GU49" s="79"/>
      <c r="GV49" s="153"/>
      <c r="GW49" s="153"/>
      <c r="GX49" s="153"/>
      <c r="GY49" s="153"/>
      <c r="GZ49" s="153"/>
      <c r="HA49" s="79"/>
      <c r="HB49" s="153"/>
      <c r="HC49" s="153"/>
      <c r="HD49" s="153"/>
      <c r="HE49" s="153"/>
      <c r="HF49" s="153"/>
      <c r="HG49" s="153"/>
      <c r="HH49" s="153"/>
      <c r="HI49" s="153"/>
      <c r="HJ49" s="153"/>
      <c r="HK49" s="153"/>
      <c r="HL49" s="79"/>
      <c r="HM49" s="153"/>
      <c r="HN49" s="79"/>
      <c r="HO49" s="79"/>
      <c r="HP49" s="79"/>
      <c r="HQ49" s="79"/>
      <c r="HR49" s="153"/>
      <c r="HS49" s="79"/>
      <c r="HT49" s="79"/>
      <c r="HU49" s="79"/>
      <c r="HV49" s="79"/>
      <c r="HW49" s="79"/>
      <c r="HX49" s="79"/>
      <c r="HY49" s="79"/>
      <c r="HZ49" s="153"/>
      <c r="IA49" s="208"/>
      <c r="IB49" s="208"/>
      <c r="IC49" s="79"/>
      <c r="ID49" s="78"/>
      <c r="IE49" s="78"/>
      <c r="IF49" s="47" t="s">
        <v>34</v>
      </c>
    </row>
    <row r="50" spans="1:240" ht="14.5" x14ac:dyDescent="0.35">
      <c r="A50" s="58">
        <f>ROW()</f>
        <v>50</v>
      </c>
      <c r="B50" s="47" t="s">
        <v>96</v>
      </c>
      <c r="C50" s="78"/>
      <c r="D50" s="79"/>
      <c r="E50" s="79"/>
      <c r="F50"/>
      <c r="G50"/>
      <c r="H50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153"/>
      <c r="Z50" s="153"/>
      <c r="AA50" s="79"/>
      <c r="AB50" s="153"/>
      <c r="AC50" s="79"/>
      <c r="AD50" s="153"/>
      <c r="AE50" s="153"/>
      <c r="AF50" s="79"/>
      <c r="AG50" s="79"/>
      <c r="AH50" s="153"/>
      <c r="AI50" s="78"/>
      <c r="AJ50" s="78"/>
      <c r="AK50" s="79"/>
      <c r="AL50" s="153"/>
      <c r="AM50" s="79"/>
      <c r="AN50" s="79"/>
      <c r="AO50" s="79"/>
      <c r="AP50" s="153"/>
      <c r="AQ50" s="153"/>
      <c r="AR50" s="153"/>
      <c r="AS50" s="79"/>
      <c r="AT50" s="153"/>
      <c r="AU50" s="153"/>
      <c r="AV50" s="153"/>
      <c r="AW50" s="153"/>
      <c r="AX50" s="79"/>
      <c r="AY50" s="79"/>
      <c r="AZ50" s="153"/>
      <c r="BA50" s="79"/>
      <c r="BB50" s="153"/>
      <c r="BC50" s="153"/>
      <c r="BD50" s="153"/>
      <c r="BE50" s="153"/>
      <c r="BF50" s="153"/>
      <c r="BG50" s="153"/>
      <c r="BH50" s="79"/>
      <c r="BI50" s="79"/>
      <c r="BJ50" s="153"/>
      <c r="BK50" s="79"/>
      <c r="BL50" s="153"/>
      <c r="BM50" s="79"/>
      <c r="BN50" s="79"/>
      <c r="BO50" s="79"/>
      <c r="BP50" s="79"/>
      <c r="BQ50" s="79"/>
      <c r="BR50" s="79"/>
      <c r="BS50" s="153"/>
      <c r="BT50" s="79"/>
      <c r="BU50" s="79"/>
      <c r="BV50" s="153"/>
      <c r="BW50" s="78"/>
      <c r="BX50" s="78"/>
      <c r="BY50" s="79"/>
      <c r="BZ50" s="153"/>
      <c r="CA50" s="153"/>
      <c r="CB50" s="79"/>
      <c r="CC50" s="79"/>
      <c r="CD50" s="153"/>
      <c r="CE50" s="153"/>
      <c r="CF50" s="153"/>
      <c r="CG50" s="153"/>
      <c r="CH50" s="153"/>
      <c r="CI50" s="79"/>
      <c r="CJ50" s="153"/>
      <c r="CK50" s="153"/>
      <c r="CL50" s="153"/>
      <c r="CM50" s="153"/>
      <c r="CN50" s="153"/>
      <c r="CO50" s="153"/>
      <c r="CP50" s="153"/>
      <c r="CQ50" s="153"/>
      <c r="CR50" s="153"/>
      <c r="CS50" s="153"/>
      <c r="CT50" s="153"/>
      <c r="CU50" s="153"/>
      <c r="CV50" s="79"/>
      <c r="CW50" s="79"/>
      <c r="CX50" s="153"/>
      <c r="CY50" s="79"/>
      <c r="CZ50" s="153"/>
      <c r="DA50" s="79"/>
      <c r="DB50" s="79"/>
      <c r="DC50" s="79"/>
      <c r="DD50" s="79"/>
      <c r="DE50" s="79"/>
      <c r="DF50" s="79"/>
      <c r="DG50" s="153"/>
      <c r="DH50" s="79"/>
      <c r="DI50" s="208"/>
      <c r="DJ50" s="153"/>
      <c r="DK50" s="78"/>
      <c r="DL50" s="78"/>
      <c r="DM50" s="79"/>
      <c r="DN50" s="153"/>
      <c r="DO50" s="153"/>
      <c r="DP50" s="79"/>
      <c r="DQ50" s="79"/>
      <c r="DR50" s="153"/>
      <c r="DS50" s="153"/>
      <c r="DT50" s="153"/>
      <c r="DU50" s="153"/>
      <c r="DV50" s="153"/>
      <c r="DW50" s="79"/>
      <c r="DX50" s="153"/>
      <c r="DY50" s="153"/>
      <c r="DZ50" s="153"/>
      <c r="EA50" s="79"/>
      <c r="EB50" s="153"/>
      <c r="EC50" s="153"/>
      <c r="ED50" s="153"/>
      <c r="EE50" s="153"/>
      <c r="EF50" s="153"/>
      <c r="EG50" s="153"/>
      <c r="EH50" s="79"/>
      <c r="EI50" s="153"/>
      <c r="EJ50" s="79"/>
      <c r="EK50" s="79"/>
      <c r="EL50" s="79"/>
      <c r="EM50" s="79"/>
      <c r="EN50" s="153"/>
      <c r="EO50" s="79"/>
      <c r="EP50" s="79"/>
      <c r="EQ50" s="79"/>
      <c r="ER50" s="79"/>
      <c r="ES50" s="79"/>
      <c r="ET50" s="79"/>
      <c r="EU50" s="79"/>
      <c r="EV50" s="79"/>
      <c r="EW50" s="208"/>
      <c r="EX50" s="208"/>
      <c r="EY50" s="79"/>
      <c r="EZ50" s="78"/>
      <c r="FA50" s="78"/>
      <c r="FB50" s="79"/>
      <c r="FC50" s="153"/>
      <c r="FD50" s="153"/>
      <c r="FE50" s="79"/>
      <c r="FF50" s="79"/>
      <c r="FG50" s="153"/>
      <c r="FH50" s="153"/>
      <c r="FI50" s="153"/>
      <c r="FJ50" s="153"/>
      <c r="FK50" s="153"/>
      <c r="FL50" s="79"/>
      <c r="FM50" s="153"/>
      <c r="FN50" s="153"/>
      <c r="FO50" s="153"/>
      <c r="FP50" s="153"/>
      <c r="FQ50" s="153"/>
      <c r="FR50" s="153"/>
      <c r="FS50" s="153"/>
      <c r="FT50" s="153"/>
      <c r="FU50" s="153"/>
      <c r="FV50" s="153"/>
      <c r="FW50" s="79"/>
      <c r="FX50" s="153"/>
      <c r="FY50" s="79"/>
      <c r="FZ50" s="79"/>
      <c r="GA50" s="153"/>
      <c r="GB50" s="79"/>
      <c r="GC50" s="153"/>
      <c r="GD50" s="79"/>
      <c r="GE50" s="79"/>
      <c r="GF50" s="79"/>
      <c r="GG50" s="79"/>
      <c r="GH50" s="79"/>
      <c r="GI50" s="79"/>
      <c r="GJ50" s="79"/>
      <c r="GK50" s="79"/>
      <c r="GL50" s="208"/>
      <c r="GM50" s="208"/>
      <c r="GN50" s="79"/>
      <c r="GO50" s="78"/>
      <c r="GP50" s="78"/>
      <c r="GQ50" s="79"/>
      <c r="GR50" s="153"/>
      <c r="GS50" s="153"/>
      <c r="GT50" s="79"/>
      <c r="GU50" s="79"/>
      <c r="GV50" s="153"/>
      <c r="GW50" s="153"/>
      <c r="GX50" s="153"/>
      <c r="GY50" s="153"/>
      <c r="GZ50" s="153"/>
      <c r="HA50" s="79"/>
      <c r="HB50" s="153"/>
      <c r="HC50" s="153"/>
      <c r="HD50" s="153"/>
      <c r="HE50" s="153"/>
      <c r="HF50" s="153"/>
      <c r="HG50" s="153"/>
      <c r="HH50" s="153"/>
      <c r="HI50" s="153"/>
      <c r="HJ50" s="153"/>
      <c r="HK50" s="153"/>
      <c r="HL50" s="79"/>
      <c r="HM50" s="153"/>
      <c r="HN50" s="79"/>
      <c r="HO50" s="79"/>
      <c r="HP50" s="79"/>
      <c r="HQ50" s="79"/>
      <c r="HR50" s="153"/>
      <c r="HS50" s="79"/>
      <c r="HT50" s="79"/>
      <c r="HU50" s="79"/>
      <c r="HV50" s="79"/>
      <c r="HW50" s="79"/>
      <c r="HX50" s="79"/>
      <c r="HY50" s="79"/>
      <c r="HZ50" s="153"/>
      <c r="IA50" s="208"/>
      <c r="IB50" s="208"/>
      <c r="IC50" s="79"/>
      <c r="ID50" s="78"/>
      <c r="IE50" s="78"/>
      <c r="IF50" s="47" t="s">
        <v>34</v>
      </c>
    </row>
    <row r="51" spans="1:240" x14ac:dyDescent="0.3">
      <c r="A51" s="58">
        <f>ROW()</f>
        <v>51</v>
      </c>
      <c r="B51" s="163" t="s">
        <v>97</v>
      </c>
      <c r="C51" s="83">
        <v>4861847833.2406073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>
        <v>111904956.75545597</v>
      </c>
      <c r="X51" s="51"/>
      <c r="Y51" s="156"/>
      <c r="Z51" s="156"/>
      <c r="AA51" s="51">
        <v>-86720157.344781995</v>
      </c>
      <c r="AB51" s="156"/>
      <c r="AC51" s="51"/>
      <c r="AD51" s="158"/>
      <c r="AE51" s="156"/>
      <c r="AF51" s="51">
        <v>-34154268.573750004</v>
      </c>
      <c r="AG51" s="51"/>
      <c r="AH51" s="156"/>
      <c r="AI51" s="83">
        <f t="shared" ref="AI51:AI56" si="58">SUM(D51:AH51)</f>
        <v>-8969469.1630760282</v>
      </c>
      <c r="AJ51" s="83">
        <f t="shared" ref="AJ51:AJ56" si="59">+AI51+C51</f>
        <v>4852878364.0775309</v>
      </c>
      <c r="AK51" s="51"/>
      <c r="AL51" s="156"/>
      <c r="AM51" s="51"/>
      <c r="AN51" s="51"/>
      <c r="AO51" s="51"/>
      <c r="AP51" s="156"/>
      <c r="AQ51" s="156"/>
      <c r="AR51" s="156"/>
      <c r="AS51" s="51"/>
      <c r="AT51" s="156"/>
      <c r="AU51" s="156"/>
      <c r="AV51" s="156"/>
      <c r="AW51" s="156"/>
      <c r="AX51" s="51"/>
      <c r="AY51" s="51"/>
      <c r="AZ51" s="156"/>
      <c r="BA51" s="51"/>
      <c r="BB51" s="156"/>
      <c r="BC51" s="156"/>
      <c r="BD51" s="156"/>
      <c r="BE51" s="153"/>
      <c r="BF51" s="156"/>
      <c r="BG51" s="156"/>
      <c r="BH51" s="51">
        <v>86720157.344781995</v>
      </c>
      <c r="BI51" s="51"/>
      <c r="BJ51" s="156"/>
      <c r="BK51" s="51"/>
      <c r="BL51" s="156">
        <v>-25910756.326629344</v>
      </c>
      <c r="BM51" s="79"/>
      <c r="BN51" s="79">
        <v>201938.05620600007</v>
      </c>
      <c r="BO51" s="79">
        <v>45362554.885974005</v>
      </c>
      <c r="BP51" s="79">
        <v>56057559.789999992</v>
      </c>
      <c r="BQ51" s="79">
        <v>2640.030092</v>
      </c>
      <c r="BR51" s="79">
        <v>22843985.211254001</v>
      </c>
      <c r="BS51" s="156"/>
      <c r="BT51" s="51">
        <v>0</v>
      </c>
      <c r="BU51" s="51"/>
      <c r="BV51" s="156"/>
      <c r="BW51" s="83">
        <f t="shared" ref="BW51:BW56" si="60">SUM(AK51:BV51)</f>
        <v>185278078.99167866</v>
      </c>
      <c r="BX51" s="83">
        <f t="shared" ref="BX51:BX56" si="61">+BW51+AJ51</f>
        <v>5038156443.0692091</v>
      </c>
      <c r="BY51" s="51"/>
      <c r="BZ51" s="156"/>
      <c r="CA51" s="156"/>
      <c r="CB51" s="51"/>
      <c r="CC51" s="51"/>
      <c r="CD51" s="156"/>
      <c r="CE51" s="156"/>
      <c r="CF51" s="156"/>
      <c r="CG51" s="156"/>
      <c r="CH51" s="156"/>
      <c r="CI51" s="51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51">
        <v>0</v>
      </c>
      <c r="CW51" s="51"/>
      <c r="CX51" s="156"/>
      <c r="CY51" s="51"/>
      <c r="CZ51" s="156">
        <v>-60515170.991022646</v>
      </c>
      <c r="DA51" s="79"/>
      <c r="DB51" s="79">
        <v>1520440.3364520001</v>
      </c>
      <c r="DC51" s="51">
        <f>123742113.269394</f>
        <v>123742113.269394</v>
      </c>
      <c r="DD51" s="203">
        <f>120233571.84+'11.32 (Gas Line Ext. Adj.)'!E23*1000</f>
        <v>38540222.301333219</v>
      </c>
      <c r="DE51" s="203">
        <f>240669516.37+'11.33 (Tacoma LNG)'!E31*1000</f>
        <v>11231914.127407044</v>
      </c>
      <c r="DF51" s="51">
        <v>31180285.78245201</v>
      </c>
      <c r="DG51" s="156"/>
      <c r="DH51" s="51"/>
      <c r="DI51" s="203">
        <f>+'A1 (Gas Adj.)'!E24*1000</f>
        <v>1694680.1582456101</v>
      </c>
      <c r="DJ51" s="156"/>
      <c r="DK51" s="83">
        <f t="shared" ref="DK51:DK56" si="62">SUM(BY51:DJ51)</f>
        <v>147394484.98426124</v>
      </c>
      <c r="DL51" s="83">
        <f t="shared" ref="DL51:DL56" si="63">+DK51+BX51</f>
        <v>5185550928.0534706</v>
      </c>
      <c r="DM51" s="51"/>
      <c r="DN51" s="156"/>
      <c r="DO51" s="156"/>
      <c r="DP51" s="51"/>
      <c r="DQ51" s="51"/>
      <c r="DR51" s="156"/>
      <c r="DS51" s="156"/>
      <c r="DT51" s="156"/>
      <c r="DU51" s="156"/>
      <c r="DV51" s="156"/>
      <c r="DW51" s="51"/>
      <c r="DX51" s="156"/>
      <c r="DY51" s="156"/>
      <c r="DZ51" s="156"/>
      <c r="EA51" s="51"/>
      <c r="EB51" s="156"/>
      <c r="EC51" s="156"/>
      <c r="ED51" s="156"/>
      <c r="EE51" s="156"/>
      <c r="EF51" s="156"/>
      <c r="EG51" s="156"/>
      <c r="EH51" s="51"/>
      <c r="EI51" s="156">
        <v>0</v>
      </c>
      <c r="EJ51" s="51"/>
      <c r="EK51" s="51"/>
      <c r="EL51" s="51"/>
      <c r="EM51" s="51">
        <v>0</v>
      </c>
      <c r="EN51" s="156">
        <v>-35231708.692713663</v>
      </c>
      <c r="EO51" s="79"/>
      <c r="EP51" s="79">
        <v>1405861.9709619989</v>
      </c>
      <c r="EQ51" s="51">
        <v>78211647.283400029</v>
      </c>
      <c r="ER51" s="203">
        <f>51143716.61+'11.32 (Gas Line Ext. Adj.)'!F23*1000</f>
        <v>-7011297.7888652831</v>
      </c>
      <c r="ES51" s="203">
        <f>+'11.33 (Tacoma LNG)'!F31*1000</f>
        <v>-9975547.9235909879</v>
      </c>
      <c r="ET51" s="51">
        <v>19159081.155610003</v>
      </c>
      <c r="EU51" s="51"/>
      <c r="EV51" s="51"/>
      <c r="EW51" s="203">
        <f>+'A1 (Gas Adj.)'!F24*1000</f>
        <v>-49985132.422487423</v>
      </c>
      <c r="EX51" s="203">
        <v>0</v>
      </c>
      <c r="EY51" s="51"/>
      <c r="EZ51" s="83">
        <f t="shared" ref="EZ51:EZ56" si="64">SUM(DM51:EY51)</f>
        <v>-3427096.4176853299</v>
      </c>
      <c r="FA51" s="83">
        <f t="shared" ref="FA51:FA56" si="65">+EZ51+DL51</f>
        <v>5182123831.6357851</v>
      </c>
      <c r="FB51" s="51"/>
      <c r="FC51" s="156"/>
      <c r="FD51" s="156"/>
      <c r="FE51" s="51"/>
      <c r="FF51" s="51"/>
      <c r="FG51" s="156"/>
      <c r="FH51" s="156"/>
      <c r="FI51" s="156"/>
      <c r="FJ51" s="156"/>
      <c r="FK51" s="156"/>
      <c r="FL51" s="51"/>
      <c r="FM51" s="156"/>
      <c r="FN51" s="156"/>
      <c r="FO51" s="156"/>
      <c r="FP51" s="156"/>
      <c r="FQ51" s="156"/>
      <c r="FR51" s="156"/>
      <c r="FS51" s="156"/>
      <c r="FT51" s="156"/>
      <c r="FU51" s="156"/>
      <c r="FV51" s="156"/>
      <c r="FW51" s="51"/>
      <c r="FX51" s="156">
        <v>0</v>
      </c>
      <c r="FY51" s="51"/>
      <c r="FZ51" s="51"/>
      <c r="GA51" s="156"/>
      <c r="GB51" s="51"/>
      <c r="GC51" s="156">
        <v>-35435775.585037157</v>
      </c>
      <c r="GD51" s="79"/>
      <c r="GE51" s="79">
        <v>3310956.6510520019</v>
      </c>
      <c r="GF51" s="79">
        <v>244231584.66724005</v>
      </c>
      <c r="GG51" s="208">
        <f>95040814+'11.32 (Gas Line Ext. Adj.)'!G23*1000</f>
        <v>44999160.502100497</v>
      </c>
      <c r="GH51" s="208">
        <v>2055930.3501099944</v>
      </c>
      <c r="GI51" s="79">
        <v>50813220.376381993</v>
      </c>
      <c r="GJ51" s="51"/>
      <c r="GK51" s="51"/>
      <c r="GL51" s="203">
        <f>+'A1 (Gas Adj.)'!G24*1000</f>
        <v>-61489210.49602519</v>
      </c>
      <c r="GM51" s="203">
        <v>0</v>
      </c>
      <c r="GN51" s="51"/>
      <c r="GO51" s="83">
        <f t="shared" ref="GO51:GO56" si="66">SUM(FB51:GN51)</f>
        <v>248485866.46582222</v>
      </c>
      <c r="GP51" s="83">
        <f t="shared" ref="GP51:GP56" si="67">+GO51+FA51</f>
        <v>5430609698.1016073</v>
      </c>
      <c r="GQ51" s="51"/>
      <c r="GR51" s="156"/>
      <c r="GS51" s="156"/>
      <c r="GT51" s="51"/>
      <c r="GU51" s="51"/>
      <c r="GV51" s="156"/>
      <c r="GW51" s="156"/>
      <c r="GX51" s="156"/>
      <c r="GY51" s="156"/>
      <c r="GZ51" s="156"/>
      <c r="HA51" s="51"/>
      <c r="HB51" s="156"/>
      <c r="HC51" s="156"/>
      <c r="HD51" s="156"/>
      <c r="HE51" s="156"/>
      <c r="HF51" s="156"/>
      <c r="HG51" s="156"/>
      <c r="HH51" s="156"/>
      <c r="HI51" s="156"/>
      <c r="HJ51" s="156"/>
      <c r="HK51" s="156"/>
      <c r="HL51" s="51"/>
      <c r="HM51" s="156">
        <v>0</v>
      </c>
      <c r="HN51" s="51">
        <v>0</v>
      </c>
      <c r="HO51" s="51"/>
      <c r="HP51" s="51"/>
      <c r="HQ51" s="51"/>
      <c r="HR51" s="156">
        <v>-30805082.584200084</v>
      </c>
      <c r="HS51" s="79"/>
      <c r="HT51" s="79">
        <v>3787156.7907220004</v>
      </c>
      <c r="HU51" s="79">
        <v>173511166.51301789</v>
      </c>
      <c r="HV51" s="208">
        <f>85647742.72+'11.32 (Gas Line Ext. Adj.)'!H23*1000</f>
        <v>43724934.40214619</v>
      </c>
      <c r="HW51" s="234">
        <v>17586544.043998033</v>
      </c>
      <c r="HX51" s="79">
        <v>41843355.537180007</v>
      </c>
      <c r="HY51" s="51"/>
      <c r="HZ51" s="156"/>
      <c r="IA51" s="203">
        <f>+'A1 (Gas Adj.)'!H24*1000</f>
        <v>-26094633.684403148</v>
      </c>
      <c r="IB51" s="203"/>
      <c r="IC51" s="51"/>
      <c r="ID51" s="83">
        <f t="shared" ref="ID51:ID56" si="68">SUM(GQ51:IC51)</f>
        <v>223553441.0184609</v>
      </c>
      <c r="IE51" s="83">
        <f t="shared" ref="IE51:IE56" si="69">+ID51+GP51</f>
        <v>5654163139.1200686</v>
      </c>
      <c r="IF51" s="47" t="s">
        <v>34</v>
      </c>
    </row>
    <row r="52" spans="1:240" x14ac:dyDescent="0.3">
      <c r="A52" s="58">
        <f>ROW()</f>
        <v>52</v>
      </c>
      <c r="B52" s="163" t="s">
        <v>399</v>
      </c>
      <c r="C52" s="78">
        <v>-1869688452.7552438</v>
      </c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>
        <v>-57613582.55076623</v>
      </c>
      <c r="W52" s="90">
        <v>265949.98517497181</v>
      </c>
      <c r="X52" s="90"/>
      <c r="Y52" s="158"/>
      <c r="Z52" s="158"/>
      <c r="AA52" s="51">
        <v>15342127.552680001</v>
      </c>
      <c r="AB52" s="158"/>
      <c r="AC52" s="90"/>
      <c r="AD52" s="158"/>
      <c r="AE52" s="158"/>
      <c r="AF52" s="51">
        <v>3153362.7571665612</v>
      </c>
      <c r="AG52" s="90"/>
      <c r="AH52" s="158"/>
      <c r="AI52" s="78">
        <f t="shared" si="58"/>
        <v>-38852142.255744696</v>
      </c>
      <c r="AJ52" s="78">
        <f t="shared" si="59"/>
        <v>-1908540595.0109885</v>
      </c>
      <c r="AK52" s="79"/>
      <c r="AL52" s="153"/>
      <c r="AM52" s="79"/>
      <c r="AN52" s="79"/>
      <c r="AO52" s="79"/>
      <c r="AP52" s="153"/>
      <c r="AQ52" s="153"/>
      <c r="AR52" s="153"/>
      <c r="AS52" s="79"/>
      <c r="AT52" s="153"/>
      <c r="AU52" s="153"/>
      <c r="AV52" s="153"/>
      <c r="AW52" s="153"/>
      <c r="AX52" s="79"/>
      <c r="AY52" s="79"/>
      <c r="AZ52" s="153"/>
      <c r="BA52" s="51"/>
      <c r="BB52" s="153"/>
      <c r="BC52" s="153"/>
      <c r="BD52" s="153"/>
      <c r="BE52" s="153"/>
      <c r="BF52" s="153"/>
      <c r="BG52" s="153"/>
      <c r="BH52" s="79">
        <v>-15342127.552680001</v>
      </c>
      <c r="BI52" s="79"/>
      <c r="BJ52" s="153"/>
      <c r="BK52" s="79">
        <v>0</v>
      </c>
      <c r="BL52" s="153">
        <v>25910756.326629344</v>
      </c>
      <c r="BM52" s="79">
        <v>-89435458.207071066</v>
      </c>
      <c r="BN52" s="79"/>
      <c r="BO52" s="79">
        <v>-374159.217206</v>
      </c>
      <c r="BP52" s="79">
        <v>-389990.21</v>
      </c>
      <c r="BQ52" s="79">
        <v>-26.539406</v>
      </c>
      <c r="BR52" s="79">
        <v>-499023.91792000004</v>
      </c>
      <c r="BS52" s="153"/>
      <c r="BT52" s="51">
        <v>0</v>
      </c>
      <c r="BU52" s="79"/>
      <c r="BV52" s="153"/>
      <c r="BW52" s="78">
        <f t="shared" si="60"/>
        <v>-80130029.317653716</v>
      </c>
      <c r="BX52" s="78">
        <f t="shared" si="61"/>
        <v>-1988670624.3286421</v>
      </c>
      <c r="BY52" s="79"/>
      <c r="BZ52" s="153"/>
      <c r="CA52" s="153"/>
      <c r="CB52" s="79"/>
      <c r="CC52" s="79"/>
      <c r="CD52" s="153"/>
      <c r="CE52" s="153"/>
      <c r="CF52" s="153"/>
      <c r="CG52" s="153"/>
      <c r="CH52" s="153"/>
      <c r="CI52" s="79"/>
      <c r="CJ52" s="153"/>
      <c r="CK52" s="153"/>
      <c r="CL52" s="153"/>
      <c r="CM52" s="153"/>
      <c r="CN52" s="153"/>
      <c r="CO52" s="153"/>
      <c r="CP52" s="153"/>
      <c r="CQ52" s="153"/>
      <c r="CR52" s="153"/>
      <c r="CS52" s="153"/>
      <c r="CT52" s="153"/>
      <c r="CU52" s="153"/>
      <c r="CV52" s="79">
        <v>0</v>
      </c>
      <c r="CW52" s="79"/>
      <c r="CX52" s="153"/>
      <c r="CY52" s="79">
        <v>0</v>
      </c>
      <c r="CZ52" s="153">
        <v>60515170.991022646</v>
      </c>
      <c r="DA52" s="79">
        <v>-166952720.7201705</v>
      </c>
      <c r="DB52" s="79"/>
      <c r="DC52" s="79">
        <f>+-5475291.271066</f>
        <v>-5475291.2710659998</v>
      </c>
      <c r="DD52" s="208">
        <f>-2985445.16+'11.32 (Gas Line Ext. Adj.)'!E38*1000</f>
        <v>-722539.37777893059</v>
      </c>
      <c r="DE52" s="208">
        <f>-5820978.578+'11.33 (Tacoma LNG)'!E46*1000</f>
        <v>-16207.297999999486</v>
      </c>
      <c r="DF52" s="79">
        <v>-4049159.319302001</v>
      </c>
      <c r="DG52" s="153"/>
      <c r="DH52" s="79"/>
      <c r="DI52" s="208"/>
      <c r="DJ52" s="153"/>
      <c r="DK52" s="78">
        <f t="shared" si="62"/>
        <v>-116700746.99529478</v>
      </c>
      <c r="DL52" s="78">
        <f t="shared" si="63"/>
        <v>-2105371371.3239369</v>
      </c>
      <c r="DM52" s="79"/>
      <c r="DN52" s="153"/>
      <c r="DO52" s="153"/>
      <c r="DP52" s="79"/>
      <c r="DQ52" s="79"/>
      <c r="DR52" s="153"/>
      <c r="DS52" s="153"/>
      <c r="DT52" s="153"/>
      <c r="DU52" s="153"/>
      <c r="DV52" s="153"/>
      <c r="DW52" s="79"/>
      <c r="DX52" s="153"/>
      <c r="DY52" s="153"/>
      <c r="DZ52" s="153"/>
      <c r="EA52" s="79"/>
      <c r="EB52" s="153"/>
      <c r="EC52" s="153"/>
      <c r="ED52" s="153"/>
      <c r="EE52" s="153"/>
      <c r="EF52" s="153"/>
      <c r="EG52" s="153"/>
      <c r="EH52" s="79"/>
      <c r="EI52" s="153">
        <v>-116672.31917373091</v>
      </c>
      <c r="EJ52" s="79"/>
      <c r="EK52" s="79"/>
      <c r="EL52" s="79"/>
      <c r="EN52" s="153">
        <v>35231708.692713663</v>
      </c>
      <c r="EO52" s="79">
        <v>-88688573.84867382</v>
      </c>
      <c r="EP52" s="79"/>
      <c r="EQ52" s="79">
        <v>-5589344.8634800008</v>
      </c>
      <c r="ER52" s="208">
        <f>+-3079689.24+'11.32 (Gas Line Ext. Adj.)'!F38*1000</f>
        <v>794110.44106963743</v>
      </c>
      <c r="ES52" s="208">
        <f>-2566165.809+'11.33 (Tacoma LNG)'!F46*1000</f>
        <v>2533334.2709999993</v>
      </c>
      <c r="ET52" s="79">
        <v>-4006189.000285998</v>
      </c>
      <c r="EU52" s="51"/>
      <c r="EV52" s="79"/>
      <c r="EW52" s="208">
        <f>+'A1 (Gas Adj.)'!F39*1000</f>
        <v>1559781.6081350108</v>
      </c>
      <c r="EX52" s="208">
        <v>0</v>
      </c>
      <c r="EY52" s="79"/>
      <c r="EZ52" s="78">
        <f t="shared" si="64"/>
        <v>-58281845.018695243</v>
      </c>
      <c r="FA52" s="78">
        <f t="shared" si="65"/>
        <v>-2163653216.3426323</v>
      </c>
      <c r="FB52" s="79"/>
      <c r="FC52" s="153"/>
      <c r="FD52" s="153"/>
      <c r="FE52" s="79"/>
      <c r="FF52" s="79"/>
      <c r="FG52" s="153"/>
      <c r="FH52" s="153"/>
      <c r="FI52" s="153"/>
      <c r="FJ52" s="153"/>
      <c r="FK52" s="153"/>
      <c r="FL52" s="79"/>
      <c r="FM52" s="153"/>
      <c r="FN52" s="153"/>
      <c r="FO52" s="153"/>
      <c r="FP52" s="153"/>
      <c r="FQ52" s="153"/>
      <c r="FR52" s="153"/>
      <c r="FS52" s="153"/>
      <c r="FT52" s="153"/>
      <c r="FU52" s="153"/>
      <c r="FV52" s="153"/>
      <c r="FW52" s="79"/>
      <c r="FX52" s="153">
        <v>-37288851.254933633</v>
      </c>
      <c r="FY52" s="79"/>
      <c r="FZ52" s="79"/>
      <c r="GA52" s="153"/>
      <c r="GC52" s="153">
        <v>35435775.585037157</v>
      </c>
      <c r="GD52" s="79">
        <v>-170073353.20089722</v>
      </c>
      <c r="GE52" s="79"/>
      <c r="GF52" s="79">
        <v>-18911726.154888004</v>
      </c>
      <c r="GG52" s="208">
        <f>+-7920830.72+'11.32 (Gas Line Ext. Adj.)'!G38*1000</f>
        <v>-2660877.2370385444</v>
      </c>
      <c r="GH52" s="208">
        <f>-5190815.036042+'11.33 (Tacoma LNG)'!G46*1000</f>
        <v>-91314.956042000093</v>
      </c>
      <c r="GI52" s="79">
        <v>-12016622.493291996</v>
      </c>
      <c r="GJ52" s="79"/>
      <c r="GK52" s="79"/>
      <c r="GL52" s="208">
        <f>+'A1 (Gas Adj.)'!G39*1000</f>
        <v>3545883.1071566246</v>
      </c>
      <c r="GM52" s="208">
        <v>0</v>
      </c>
      <c r="GN52" s="79"/>
      <c r="GO52" s="78">
        <f t="shared" si="66"/>
        <v>-202061086.60489762</v>
      </c>
      <c r="GP52" s="78">
        <f t="shared" si="67"/>
        <v>-2365714302.9475298</v>
      </c>
      <c r="GQ52" s="79"/>
      <c r="GR52" s="153"/>
      <c r="GS52" s="153"/>
      <c r="GT52" s="79"/>
      <c r="GU52" s="79"/>
      <c r="GV52" s="153"/>
      <c r="GW52" s="153"/>
      <c r="GX52" s="153"/>
      <c r="GY52" s="153"/>
      <c r="GZ52" s="153"/>
      <c r="HA52" s="79"/>
      <c r="HB52" s="153"/>
      <c r="HC52" s="153"/>
      <c r="HD52" s="153"/>
      <c r="HE52" s="153"/>
      <c r="HF52" s="153"/>
      <c r="HG52" s="153"/>
      <c r="HH52" s="153"/>
      <c r="HI52" s="153"/>
      <c r="HJ52" s="153"/>
      <c r="HK52" s="153"/>
      <c r="HL52" s="79"/>
      <c r="HM52" s="153">
        <v>0</v>
      </c>
      <c r="HN52" s="79"/>
      <c r="HO52" s="79"/>
      <c r="HP52" s="79"/>
      <c r="HQ52" s="79"/>
      <c r="HR52" s="153">
        <v>30805082.584200084</v>
      </c>
      <c r="HS52" s="79">
        <v>-165713814.86806536</v>
      </c>
      <c r="HT52" s="79"/>
      <c r="HU52" s="79">
        <v>-29109479.608439997</v>
      </c>
      <c r="HV52" s="208">
        <f>-10374414.87+'11.32 (Gas Line Ext. Adj.)'!H38*1000</f>
        <v>-3953199.596633995</v>
      </c>
      <c r="HW52" s="208">
        <f>-5940519.944164+'11.33 (Tacoma LNG)'!H46*1000</f>
        <v>-841019.86416400038</v>
      </c>
      <c r="HX52" s="79">
        <v>-16696738.413552009</v>
      </c>
      <c r="HY52" s="79"/>
      <c r="HZ52" s="153"/>
      <c r="IA52" s="208">
        <f>+'A1 (Gas Adj.)'!H39*1000</f>
        <v>4388739.7751628468</v>
      </c>
      <c r="IB52" s="208"/>
      <c r="IC52" s="79"/>
      <c r="ID52" s="78">
        <f t="shared" si="68"/>
        <v>-181120429.99149242</v>
      </c>
      <c r="IE52" s="78">
        <f t="shared" si="69"/>
        <v>-2546834732.9390221</v>
      </c>
      <c r="IF52" s="47" t="s">
        <v>34</v>
      </c>
    </row>
    <row r="53" spans="1:240" x14ac:dyDescent="0.3">
      <c r="A53" s="58">
        <f>ROW()</f>
        <v>53</v>
      </c>
      <c r="B53" s="164" t="s">
        <v>400</v>
      </c>
      <c r="C53" s="78">
        <v>15021855.649541667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>
        <v>-771864.64954166673</v>
      </c>
      <c r="W53" s="90"/>
      <c r="X53" s="90"/>
      <c r="Y53" s="158"/>
      <c r="Z53" s="158"/>
      <c r="AA53" s="51"/>
      <c r="AB53" s="158"/>
      <c r="AC53" s="90"/>
      <c r="AD53" s="158"/>
      <c r="AE53" s="158"/>
      <c r="AF53" s="51"/>
      <c r="AG53" s="90">
        <v>0</v>
      </c>
      <c r="AH53" s="158"/>
      <c r="AI53" s="78">
        <f t="shared" si="58"/>
        <v>-771864.64954166673</v>
      </c>
      <c r="AJ53" s="78">
        <f t="shared" si="59"/>
        <v>14249991</v>
      </c>
      <c r="AK53" s="79"/>
      <c r="AL53" s="153"/>
      <c r="AM53" s="79"/>
      <c r="AN53" s="79"/>
      <c r="AO53" s="79"/>
      <c r="AP53" s="153"/>
      <c r="AQ53" s="153"/>
      <c r="AR53" s="153"/>
      <c r="AS53" s="79"/>
      <c r="AT53" s="153"/>
      <c r="AU53" s="153"/>
      <c r="AV53" s="153"/>
      <c r="AW53" s="153"/>
      <c r="AX53" s="79"/>
      <c r="AY53" s="79"/>
      <c r="AZ53" s="153"/>
      <c r="BA53" s="51"/>
      <c r="BB53" s="153"/>
      <c r="BC53" s="153"/>
      <c r="BD53" s="153"/>
      <c r="BE53" s="138"/>
      <c r="BF53" s="153"/>
      <c r="BG53" s="153"/>
      <c r="BH53" s="79"/>
      <c r="BI53" s="79">
        <v>3883663.7685463578</v>
      </c>
      <c r="BJ53" s="153"/>
      <c r="BK53" s="208">
        <f>+'[21]Lead G'!$G$12+'[21]Lead G'!$G$15</f>
        <v>-425399.84324999992</v>
      </c>
      <c r="BL53" s="153"/>
      <c r="BM53" s="79"/>
      <c r="BN53" s="79"/>
      <c r="BO53" s="79"/>
      <c r="BP53" s="79"/>
      <c r="BQ53" s="79"/>
      <c r="BR53" s="79"/>
      <c r="BS53" s="153"/>
      <c r="BT53" s="51"/>
      <c r="BU53" s="79">
        <v>-2345227.6745630186</v>
      </c>
      <c r="BV53" s="153"/>
      <c r="BW53" s="78">
        <f t="shared" si="60"/>
        <v>1113036.2507333392</v>
      </c>
      <c r="BX53" s="78">
        <f t="shared" si="61"/>
        <v>15363027.250733338</v>
      </c>
      <c r="BY53" s="79"/>
      <c r="BZ53" s="153"/>
      <c r="CA53" s="153"/>
      <c r="CB53" s="79"/>
      <c r="CC53" s="79"/>
      <c r="CD53" s="153"/>
      <c r="CE53" s="153"/>
      <c r="CF53" s="153"/>
      <c r="CG53" s="153"/>
      <c r="CH53" s="153"/>
      <c r="CI53" s="79"/>
      <c r="CJ53" s="153"/>
      <c r="CK53" s="153"/>
      <c r="CL53" s="153"/>
      <c r="CM53" s="153"/>
      <c r="CN53" s="153"/>
      <c r="CO53" s="153"/>
      <c r="CP53" s="153"/>
      <c r="CQ53" s="153"/>
      <c r="CR53" s="153"/>
      <c r="CS53" s="153"/>
      <c r="CT53" s="153"/>
      <c r="CU53" s="153"/>
      <c r="CV53" s="79"/>
      <c r="CW53" s="79">
        <v>4420425.2748437403</v>
      </c>
      <c r="CX53" s="153"/>
      <c r="CY53" s="208">
        <f>+'[21]Lead G'!$I$12+'[21]Lead G'!$I$15</f>
        <v>-212699.92162500002</v>
      </c>
      <c r="CZ53" s="153"/>
      <c r="DA53" s="79"/>
      <c r="DB53" s="79"/>
      <c r="DC53" s="79"/>
      <c r="DD53" s="208"/>
      <c r="DE53" s="208"/>
      <c r="DF53" s="79"/>
      <c r="DG53" s="153"/>
      <c r="DH53" s="79">
        <v>-4565942.8723307364</v>
      </c>
      <c r="DI53" s="208">
        <f>+'A1 (Gas Adj.)'!E39*1000</f>
        <v>-54738.169111333205</v>
      </c>
      <c r="DJ53" s="153"/>
      <c r="DK53" s="78">
        <f t="shared" si="62"/>
        <v>-412955.68822332972</v>
      </c>
      <c r="DL53" s="78">
        <f t="shared" si="63"/>
        <v>14950071.562510008</v>
      </c>
      <c r="DM53" s="79"/>
      <c r="DN53" s="153"/>
      <c r="DO53" s="153"/>
      <c r="DP53" s="79"/>
      <c r="DQ53" s="79"/>
      <c r="DR53" s="153"/>
      <c r="DS53" s="153"/>
      <c r="DT53" s="153"/>
      <c r="DU53" s="153"/>
      <c r="DV53" s="153"/>
      <c r="DW53" s="79"/>
      <c r="DX53" s="153"/>
      <c r="DY53" s="153"/>
      <c r="DZ53" s="153"/>
      <c r="EA53" s="79"/>
      <c r="EB53" s="153"/>
      <c r="EC53" s="153"/>
      <c r="ED53" s="153"/>
      <c r="EE53" s="153"/>
      <c r="EF53" s="153"/>
      <c r="EG53" s="153"/>
      <c r="EH53" s="79"/>
      <c r="EI53" s="153">
        <v>1541596.4406004946</v>
      </c>
      <c r="EJ53" s="79">
        <v>0</v>
      </c>
      <c r="EK53" s="79">
        <v>-19245.463782359613</v>
      </c>
      <c r="EL53" s="79"/>
      <c r="EM53" s="208">
        <f>+'[21]Lead G'!$K$13+'[21]Lead G'!$K$16</f>
        <v>205506.75656249997</v>
      </c>
      <c r="EN53" s="153"/>
      <c r="EO53" s="79"/>
      <c r="EP53" s="79"/>
      <c r="EQ53" s="79"/>
      <c r="ER53" s="79"/>
      <c r="ES53" s="79"/>
      <c r="ET53" s="79"/>
      <c r="EU53" s="51">
        <v>0</v>
      </c>
      <c r="EV53" s="79">
        <v>-2120340.3538618009</v>
      </c>
      <c r="EW53" s="208">
        <v>0</v>
      </c>
      <c r="EX53" s="208">
        <v>0</v>
      </c>
      <c r="EY53" s="79">
        <v>0</v>
      </c>
      <c r="EZ53" s="78">
        <f t="shared" si="64"/>
        <v>-392482.62048116582</v>
      </c>
      <c r="FA53" s="78">
        <f t="shared" si="65"/>
        <v>14557588.942028843</v>
      </c>
      <c r="FB53" s="79"/>
      <c r="FC53" s="153"/>
      <c r="FD53" s="153"/>
      <c r="FE53" s="79"/>
      <c r="FF53" s="79"/>
      <c r="FG53" s="153"/>
      <c r="FH53" s="153"/>
      <c r="FI53" s="153"/>
      <c r="FJ53" s="153"/>
      <c r="FK53" s="153"/>
      <c r="FL53" s="79"/>
      <c r="FM53" s="153"/>
      <c r="FN53" s="153"/>
      <c r="FO53" s="153"/>
      <c r="FP53" s="153"/>
      <c r="FQ53" s="153"/>
      <c r="FR53" s="153"/>
      <c r="FS53" s="153"/>
      <c r="FT53" s="153"/>
      <c r="FU53" s="153"/>
      <c r="FV53" s="153"/>
      <c r="FW53" s="79"/>
      <c r="FX53" s="153">
        <v>34527890.152863786</v>
      </c>
      <c r="FY53" s="79">
        <v>0</v>
      </c>
      <c r="FZ53" s="79">
        <v>-4465031.0664051175</v>
      </c>
      <c r="GA53" s="153"/>
      <c r="GB53" s="208">
        <f>+'[21]Lead G'!$M$13+'[21]Lead G'!$M$16</f>
        <v>411013.51312499976</v>
      </c>
      <c r="GC53" s="153"/>
      <c r="GD53" s="79"/>
      <c r="GE53" s="79"/>
      <c r="GF53" s="79"/>
      <c r="GG53" s="208"/>
      <c r="GH53" s="208"/>
      <c r="GI53" s="79"/>
      <c r="GJ53" s="79">
        <v>0</v>
      </c>
      <c r="GK53" s="79">
        <v>-1404506.5901607187</v>
      </c>
      <c r="GL53" s="208">
        <v>0</v>
      </c>
      <c r="GM53" s="208">
        <v>0</v>
      </c>
      <c r="GN53" s="79">
        <v>0</v>
      </c>
      <c r="GO53" s="78">
        <f t="shared" si="66"/>
        <v>29069366.009422947</v>
      </c>
      <c r="GP53" s="78">
        <f t="shared" si="67"/>
        <v>43626954.951451793</v>
      </c>
      <c r="GQ53" s="79"/>
      <c r="GR53" s="153"/>
      <c r="GS53" s="153"/>
      <c r="GT53" s="79"/>
      <c r="GU53" s="79"/>
      <c r="GV53" s="153"/>
      <c r="GW53" s="153"/>
      <c r="GX53" s="153"/>
      <c r="GY53" s="153"/>
      <c r="GZ53" s="153"/>
      <c r="HA53" s="79"/>
      <c r="HB53" s="153"/>
      <c r="HC53" s="153"/>
      <c r="HD53" s="153"/>
      <c r="HE53" s="153"/>
      <c r="HF53" s="153"/>
      <c r="HG53" s="153"/>
      <c r="HH53" s="153"/>
      <c r="HI53" s="153"/>
      <c r="HJ53" s="153"/>
      <c r="HK53" s="153"/>
      <c r="HL53" s="79"/>
      <c r="HM53" s="153">
        <v>-1857655.9618951571</v>
      </c>
      <c r="HN53" s="79">
        <v>0</v>
      </c>
      <c r="HO53" s="79">
        <v>-4465031.0664051175</v>
      </c>
      <c r="HP53" s="79"/>
      <c r="HQ53" s="208">
        <f>+'[21]Lead G'!$O$13+'[21]Lead G'!$O$16</f>
        <v>205506.75656249994</v>
      </c>
      <c r="HR53" s="153"/>
      <c r="HS53" s="79"/>
      <c r="HT53" s="79"/>
      <c r="HU53" s="79"/>
      <c r="HV53" s="208"/>
      <c r="HW53" s="79"/>
      <c r="HX53" s="79"/>
      <c r="HY53" s="79">
        <v>0</v>
      </c>
      <c r="HZ53" s="153"/>
      <c r="IA53" s="208">
        <v>0</v>
      </c>
      <c r="IB53" s="208"/>
      <c r="IC53" s="79">
        <v>0</v>
      </c>
      <c r="ID53" s="78">
        <f t="shared" si="68"/>
        <v>-6117180.2717377739</v>
      </c>
      <c r="IE53" s="78">
        <f t="shared" si="69"/>
        <v>37509774.679714017</v>
      </c>
      <c r="IF53" s="47" t="s">
        <v>34</v>
      </c>
    </row>
    <row r="54" spans="1:240" x14ac:dyDescent="0.3">
      <c r="A54" s="58">
        <f>ROW()</f>
        <v>54</v>
      </c>
      <c r="B54" s="164" t="s">
        <v>401</v>
      </c>
      <c r="C54" s="78">
        <v>-608829404.79057872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>
        <v>4852976.0289326906</v>
      </c>
      <c r="W54" s="90">
        <v>-55849.496886744077</v>
      </c>
      <c r="X54" s="87"/>
      <c r="Y54" s="158"/>
      <c r="Z54" s="158"/>
      <c r="AA54" s="51">
        <v>5800386.2825299948</v>
      </c>
      <c r="AB54" s="158"/>
      <c r="AC54" s="90"/>
      <c r="AD54" s="165"/>
      <c r="AE54" s="166"/>
      <c r="AF54" s="51">
        <v>7230894.0000000037</v>
      </c>
      <c r="AG54" s="90">
        <v>0</v>
      </c>
      <c r="AH54" s="166"/>
      <c r="AI54" s="78">
        <f t="shared" si="58"/>
        <v>17828406.814575944</v>
      </c>
      <c r="AJ54" s="78">
        <f t="shared" si="59"/>
        <v>-591000997.97600281</v>
      </c>
      <c r="AK54" s="79"/>
      <c r="AL54" s="153"/>
      <c r="AM54" s="79"/>
      <c r="AN54" s="79">
        <v>4356717.7706340253</v>
      </c>
      <c r="AO54" s="79"/>
      <c r="AP54" s="153"/>
      <c r="AQ54" s="153"/>
      <c r="AR54" s="153"/>
      <c r="AS54" s="79"/>
      <c r="AT54" s="153"/>
      <c r="AU54" s="153"/>
      <c r="AV54" s="153"/>
      <c r="AW54" s="153"/>
      <c r="AX54" s="79"/>
      <c r="AY54" s="79"/>
      <c r="AZ54" s="153"/>
      <c r="BA54" s="51"/>
      <c r="BB54" s="153"/>
      <c r="BC54" s="153"/>
      <c r="BD54" s="153"/>
      <c r="BE54" s="153"/>
      <c r="BF54" s="153"/>
      <c r="BG54" s="153"/>
      <c r="BH54" s="79">
        <v>-5800386.2825299948</v>
      </c>
      <c r="BI54" s="79">
        <v>-653391.38767293852</v>
      </c>
      <c r="BJ54" s="153"/>
      <c r="BK54" s="208">
        <f>+'[21]Lead G'!$G$14+'[21]Lead G'!$G$17</f>
        <v>89333.967082499992</v>
      </c>
      <c r="BL54" s="153"/>
      <c r="BM54" s="79">
        <v>-4652744.2572299242</v>
      </c>
      <c r="BN54" s="79">
        <v>0</v>
      </c>
      <c r="BO54" s="79">
        <v>-312831.55005800002</v>
      </c>
      <c r="BP54" s="79">
        <v>-388784.05999999994</v>
      </c>
      <c r="BQ54" s="79">
        <v>-15.995314</v>
      </c>
      <c r="BR54" s="79">
        <v>-219980.40507000001</v>
      </c>
      <c r="BS54" s="153"/>
      <c r="BT54" s="79">
        <v>0</v>
      </c>
      <c r="BU54" s="79">
        <v>492497.81305823382</v>
      </c>
      <c r="BV54" s="153"/>
      <c r="BW54" s="78">
        <f t="shared" si="60"/>
        <v>-7089584.3871000977</v>
      </c>
      <c r="BX54" s="78">
        <f t="shared" si="61"/>
        <v>-598090582.36310291</v>
      </c>
      <c r="BY54" s="79"/>
      <c r="BZ54" s="153"/>
      <c r="CA54" s="153"/>
      <c r="CB54" s="79">
        <v>5370042.7846080065</v>
      </c>
      <c r="CC54" s="79"/>
      <c r="CD54" s="153"/>
      <c r="CE54" s="153"/>
      <c r="CF54" s="153"/>
      <c r="CG54" s="153"/>
      <c r="CH54" s="153"/>
      <c r="CI54" s="79"/>
      <c r="CJ54" s="153"/>
      <c r="CK54" s="153"/>
      <c r="CL54" s="153"/>
      <c r="CM54" s="153"/>
      <c r="CN54" s="153"/>
      <c r="CO54" s="153"/>
      <c r="CP54" s="153"/>
      <c r="CQ54" s="153"/>
      <c r="CR54" s="153"/>
      <c r="CS54" s="153"/>
      <c r="CT54" s="153"/>
      <c r="CU54" s="153"/>
      <c r="CV54" s="79">
        <v>0</v>
      </c>
      <c r="CW54" s="79">
        <v>-928289.30771718512</v>
      </c>
      <c r="CX54" s="153"/>
      <c r="CY54" s="208">
        <f>+'[21]Lead G'!$I$14+'[21]Lead G'!$I$17</f>
        <v>44666.983541250032</v>
      </c>
      <c r="CZ54" s="153"/>
      <c r="DA54" s="79">
        <v>1622280.3348976374</v>
      </c>
      <c r="DB54" s="79">
        <v>0</v>
      </c>
      <c r="DC54" s="79">
        <f>+-1521122.213288</f>
        <v>-1521122.2132880001</v>
      </c>
      <c r="DD54" s="208">
        <f>-1214305.11+'11.32 (Gas Line Ext. Adj.)'!E59*1000</f>
        <v>-1046180.1966494239</v>
      </c>
      <c r="DE54" s="208">
        <f>620712.189536+'11.33 (Tacoma LNG)'!E67*1000</f>
        <v>1435195.7302946984</v>
      </c>
      <c r="DF54" s="79">
        <v>-657380.77889999992</v>
      </c>
      <c r="DG54" s="153"/>
      <c r="DH54" s="79">
        <v>958848.00318945479</v>
      </c>
      <c r="DI54" s="208">
        <v>0</v>
      </c>
      <c r="DJ54" s="153"/>
      <c r="DK54" s="78">
        <f t="shared" si="62"/>
        <v>5278061.3399764374</v>
      </c>
      <c r="DL54" s="78">
        <f t="shared" si="63"/>
        <v>-592812521.02312648</v>
      </c>
      <c r="DM54" s="79"/>
      <c r="DN54" s="153"/>
      <c r="DO54" s="153"/>
      <c r="DP54" s="79">
        <v>3098447.5482264757</v>
      </c>
      <c r="DQ54" s="79"/>
      <c r="DR54" s="153"/>
      <c r="DS54" s="153"/>
      <c r="DT54" s="153"/>
      <c r="DU54" s="153"/>
      <c r="DV54" s="153"/>
      <c r="DW54" s="79"/>
      <c r="DX54" s="153"/>
      <c r="DY54" s="153"/>
      <c r="DZ54" s="153"/>
      <c r="EA54" s="79"/>
      <c r="EB54" s="153"/>
      <c r="EC54" s="153"/>
      <c r="ED54" s="153"/>
      <c r="EE54" s="153"/>
      <c r="EF54" s="153"/>
      <c r="EG54" s="153"/>
      <c r="EH54" s="79"/>
      <c r="EI54" s="153">
        <v>-323735.25252610387</v>
      </c>
      <c r="EJ54" s="79">
        <v>0</v>
      </c>
      <c r="EK54" s="79">
        <v>4041.5473942961544</v>
      </c>
      <c r="EL54" s="79"/>
      <c r="EM54" s="208">
        <f>+'[21]Lead G'!$K$14+'[21]Lead G'!$K$17</f>
        <v>-43156.418878124998</v>
      </c>
      <c r="EN54" s="153"/>
      <c r="EO54" s="79">
        <v>4089717.1141283512</v>
      </c>
      <c r="EP54" s="79">
        <v>0</v>
      </c>
      <c r="EQ54" s="79">
        <v>-3145691.3125700005</v>
      </c>
      <c r="ER54" s="208">
        <f>+-990526.57+'11.32 (Gas Line Ext. Adj.)'!F59*1000</f>
        <v>-107590.75496232521</v>
      </c>
      <c r="ES54" s="208">
        <f>-106727.112616+'11.33 (Tacoma LNG)'!F67*1000</f>
        <v>2451857.2857883321</v>
      </c>
      <c r="ET54" s="79">
        <v>-657440.16165199992</v>
      </c>
      <c r="EU54" s="79">
        <v>0</v>
      </c>
      <c r="EV54" s="79">
        <v>445271.47431097832</v>
      </c>
      <c r="EW54" s="208">
        <f>+'A1 (Gas Adj.)'!F60*1000</f>
        <v>84476.378241105573</v>
      </c>
      <c r="EX54" s="208">
        <v>0</v>
      </c>
      <c r="EY54" s="79">
        <v>0</v>
      </c>
      <c r="EZ54" s="78">
        <f t="shared" si="64"/>
        <v>5896197.4475009842</v>
      </c>
      <c r="FA54" s="78">
        <f t="shared" si="65"/>
        <v>-586916323.57562554</v>
      </c>
      <c r="FB54" s="79"/>
      <c r="FC54" s="153"/>
      <c r="FD54" s="153"/>
      <c r="FE54" s="79">
        <v>6797605.0150674582</v>
      </c>
      <c r="FF54" s="79"/>
      <c r="FG54" s="153"/>
      <c r="FH54" s="153"/>
      <c r="FI54" s="153"/>
      <c r="FJ54" s="153"/>
      <c r="FK54" s="153"/>
      <c r="FL54" s="79"/>
      <c r="FM54" s="153"/>
      <c r="FN54" s="153"/>
      <c r="FO54" s="153"/>
      <c r="FP54" s="153"/>
      <c r="FQ54" s="153"/>
      <c r="FR54" s="153"/>
      <c r="FS54" s="153"/>
      <c r="FT54" s="153"/>
      <c r="FU54" s="153"/>
      <c r="FV54" s="153"/>
      <c r="FW54" s="79"/>
      <c r="FX54" s="153">
        <v>-7250856.9321013987</v>
      </c>
      <c r="FY54" s="79">
        <v>0</v>
      </c>
      <c r="FZ54" s="79">
        <v>937656.52394507395</v>
      </c>
      <c r="GA54" s="153"/>
      <c r="GB54" s="208">
        <f>+'[21]Lead G'!$M$14+'[21]Lead G'!$M$17</f>
        <v>-86312.837756249995</v>
      </c>
      <c r="GC54" s="153"/>
      <c r="GD54" s="79">
        <v>10863836.998615265</v>
      </c>
      <c r="GE54" s="79">
        <v>0</v>
      </c>
      <c r="GF54" s="79">
        <v>-7728597.8890659986</v>
      </c>
      <c r="GG54" s="208">
        <f>+-2350648.19+'11.32 (Gas Line Ext. Adj.)'!G59*1000</f>
        <v>-1035772.1184545772</v>
      </c>
      <c r="GH54" s="208">
        <f>-292469.017796+'11.33 (Tacoma LNG)'!G67*1000</f>
        <v>1988587.6569356914</v>
      </c>
      <c r="GI54" s="79">
        <v>-1605441.628734</v>
      </c>
      <c r="GJ54" s="79">
        <v>0</v>
      </c>
      <c r="GK54" s="79">
        <v>294946.38393374992</v>
      </c>
      <c r="GL54" s="208">
        <f>+'A1 (Gas Adj.)'!G60*1000</f>
        <v>862793.58310574444</v>
      </c>
      <c r="GM54" s="208">
        <v>0</v>
      </c>
      <c r="GN54" s="79">
        <v>0</v>
      </c>
      <c r="GO54" s="78">
        <f t="shared" si="66"/>
        <v>4038444.755490758</v>
      </c>
      <c r="GP54" s="78">
        <f t="shared" si="67"/>
        <v>-582877878.82013476</v>
      </c>
      <c r="GQ54" s="79"/>
      <c r="GR54" s="153"/>
      <c r="GS54" s="153"/>
      <c r="GT54" s="79">
        <v>7261899.4397121966</v>
      </c>
      <c r="GU54" s="79"/>
      <c r="GV54" s="153"/>
      <c r="GW54" s="153"/>
      <c r="GX54" s="153"/>
      <c r="GY54" s="153"/>
      <c r="GZ54" s="153"/>
      <c r="HA54" s="79"/>
      <c r="HB54" s="153"/>
      <c r="HC54" s="153"/>
      <c r="HD54" s="153"/>
      <c r="HE54" s="153"/>
      <c r="HF54" s="153"/>
      <c r="HG54" s="153"/>
      <c r="HH54" s="153"/>
      <c r="HI54" s="153"/>
      <c r="HJ54" s="153"/>
      <c r="HK54" s="153"/>
      <c r="HL54" s="79"/>
      <c r="HM54" s="153">
        <v>390107.75199798122</v>
      </c>
      <c r="HN54" s="79">
        <v>0</v>
      </c>
      <c r="HO54" s="79">
        <v>937656.52394507406</v>
      </c>
      <c r="HP54" s="79"/>
      <c r="HQ54" s="208">
        <f>+'[21]Lead G'!$O$14+'[21]Lead G'!$O$17</f>
        <v>-43156.418878124976</v>
      </c>
      <c r="HR54" s="153"/>
      <c r="HS54" s="79">
        <v>14342598.377898216</v>
      </c>
      <c r="HT54" s="79">
        <v>0</v>
      </c>
      <c r="HU54" s="79">
        <v>-8926753.4646099992</v>
      </c>
      <c r="HV54" s="208">
        <f>-2966768.2+'11.32 (Gas Line Ext. Adj.)'!H59*1000</f>
        <v>-1352542.296736039</v>
      </c>
      <c r="HW54" s="208">
        <f>-526164.266978+'11.33 (Tacoma LNG)'!H67*1000</f>
        <v>1508536.276232688</v>
      </c>
      <c r="HX54" s="79">
        <v>-2207900.3880740008</v>
      </c>
      <c r="HY54" s="79">
        <v>0</v>
      </c>
      <c r="HZ54" s="153"/>
      <c r="IA54" s="208">
        <f>+'A1 (Gas Adj.)'!H60*1000</f>
        <v>924954.67805020441</v>
      </c>
      <c r="IB54" s="208"/>
      <c r="IC54" s="79">
        <v>0</v>
      </c>
      <c r="ID54" s="78">
        <f t="shared" si="68"/>
        <v>12835400.479538199</v>
      </c>
      <c r="IE54" s="78">
        <f t="shared" si="69"/>
        <v>-570042478.34059656</v>
      </c>
      <c r="IF54" s="47" t="s">
        <v>34</v>
      </c>
    </row>
    <row r="55" spans="1:240" x14ac:dyDescent="0.3">
      <c r="A55" s="58">
        <f>ROW()</f>
        <v>55</v>
      </c>
      <c r="B55" s="164" t="s">
        <v>101</v>
      </c>
      <c r="C55" s="78">
        <v>85966020.126853734</v>
      </c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>
        <v>5087708.5119560659</v>
      </c>
      <c r="W55" s="90"/>
      <c r="X55" s="90"/>
      <c r="Y55" s="158"/>
      <c r="Z55" s="158"/>
      <c r="AA55" s="90"/>
      <c r="AB55" s="158"/>
      <c r="AC55" s="90"/>
      <c r="AD55" s="158"/>
      <c r="AE55" s="158"/>
      <c r="AF55" s="90"/>
      <c r="AG55" s="90"/>
      <c r="AH55" s="158"/>
      <c r="AI55" s="102">
        <f t="shared" si="58"/>
        <v>5087708.5119560659</v>
      </c>
      <c r="AJ55" s="78">
        <f t="shared" si="59"/>
        <v>91053728.6388098</v>
      </c>
      <c r="AK55" s="79"/>
      <c r="AL55" s="153"/>
      <c r="AM55" s="79"/>
      <c r="AN55" s="79"/>
      <c r="AO55" s="79"/>
      <c r="AP55" s="153"/>
      <c r="AQ55" s="153"/>
      <c r="AR55" s="153"/>
      <c r="AS55" s="79"/>
      <c r="AT55" s="153"/>
      <c r="AU55" s="153"/>
      <c r="AV55" s="153"/>
      <c r="AW55" s="153"/>
      <c r="AX55" s="79"/>
      <c r="AY55" s="79"/>
      <c r="AZ55" s="153"/>
      <c r="BA55" s="79"/>
      <c r="BB55" s="153"/>
      <c r="BC55" s="153"/>
      <c r="BD55" s="153"/>
      <c r="BE55" s="153"/>
      <c r="BF55" s="153"/>
      <c r="BG55" s="153"/>
      <c r="BH55" s="79"/>
      <c r="BI55" s="79"/>
      <c r="BJ55" s="153"/>
      <c r="BK55" s="208"/>
      <c r="BL55" s="153"/>
      <c r="BM55" s="79"/>
      <c r="BN55" s="79"/>
      <c r="BO55" s="79"/>
      <c r="BP55" s="79"/>
      <c r="BQ55" s="79"/>
      <c r="BR55" s="79"/>
      <c r="BS55" s="153"/>
      <c r="BT55" s="79"/>
      <c r="BU55" s="79"/>
      <c r="BV55" s="153"/>
      <c r="BW55" s="78">
        <f t="shared" si="60"/>
        <v>0</v>
      </c>
      <c r="BX55" s="78">
        <f t="shared" si="61"/>
        <v>91053728.6388098</v>
      </c>
      <c r="BY55" s="79"/>
      <c r="BZ55" s="153"/>
      <c r="CA55" s="153"/>
      <c r="CB55" s="79"/>
      <c r="CC55" s="79"/>
      <c r="CD55" s="153"/>
      <c r="CE55" s="153"/>
      <c r="CF55" s="153"/>
      <c r="CG55" s="153"/>
      <c r="CH55" s="153"/>
      <c r="CI55" s="79"/>
      <c r="CJ55" s="153"/>
      <c r="CK55" s="153"/>
      <c r="CL55" s="153"/>
      <c r="CM55" s="153"/>
      <c r="CN55" s="153"/>
      <c r="CO55" s="153"/>
      <c r="CP55" s="153"/>
      <c r="CQ55" s="153"/>
      <c r="CR55" s="153"/>
      <c r="CS55" s="153"/>
      <c r="CT55" s="153"/>
      <c r="CU55" s="153"/>
      <c r="CV55" s="79"/>
      <c r="CW55" s="79"/>
      <c r="CX55" s="153"/>
      <c r="CY55" s="79"/>
      <c r="CZ55" s="153"/>
      <c r="DA55" s="79"/>
      <c r="DB55" s="79"/>
      <c r="DC55" s="79"/>
      <c r="DD55" s="79"/>
      <c r="DE55" s="79"/>
      <c r="DF55" s="79"/>
      <c r="DG55" s="153"/>
      <c r="DH55" s="79"/>
      <c r="DI55" s="208">
        <f>+'A1 (Gas Adj.)'!E60*1000</f>
        <v>-3701.1814656084098</v>
      </c>
      <c r="DJ55" s="153"/>
      <c r="DK55" s="78">
        <f t="shared" si="62"/>
        <v>-3701.1814656084098</v>
      </c>
      <c r="DL55" s="78">
        <f t="shared" si="63"/>
        <v>91050027.457344189</v>
      </c>
      <c r="DM55" s="79"/>
      <c r="DN55" s="153"/>
      <c r="DO55" s="153"/>
      <c r="DP55" s="79"/>
      <c r="DQ55" s="79"/>
      <c r="DR55" s="153"/>
      <c r="DS55" s="153"/>
      <c r="DT55" s="153"/>
      <c r="DU55" s="153"/>
      <c r="DV55" s="153"/>
      <c r="DW55" s="79"/>
      <c r="DX55" s="153"/>
      <c r="DY55" s="153"/>
      <c r="DZ55" s="153"/>
      <c r="EA55" s="79"/>
      <c r="EB55" s="153"/>
      <c r="EC55" s="153"/>
      <c r="ED55" s="153"/>
      <c r="EE55" s="153"/>
      <c r="EF55" s="153"/>
      <c r="EG55" s="153"/>
      <c r="EH55" s="79"/>
      <c r="EI55" s="153"/>
      <c r="EJ55" s="79"/>
      <c r="EK55" s="79"/>
      <c r="EL55" s="79"/>
      <c r="EM55" s="79"/>
      <c r="EN55" s="153"/>
      <c r="EO55" s="79"/>
      <c r="EP55" s="79"/>
      <c r="EQ55" s="79"/>
      <c r="ER55" s="79"/>
      <c r="ES55" s="79"/>
      <c r="ET55" s="79"/>
      <c r="EU55" s="79"/>
      <c r="EV55" s="79"/>
      <c r="EW55" s="208"/>
      <c r="EX55" s="208"/>
      <c r="EY55" s="79"/>
      <c r="EZ55" s="78">
        <f t="shared" si="64"/>
        <v>0</v>
      </c>
      <c r="FA55" s="78">
        <f t="shared" si="65"/>
        <v>91050027.457344189</v>
      </c>
      <c r="FB55" s="79"/>
      <c r="FC55" s="153"/>
      <c r="FD55" s="153"/>
      <c r="FE55" s="79"/>
      <c r="FF55" s="79"/>
      <c r="FG55" s="153"/>
      <c r="FH55" s="153"/>
      <c r="FI55" s="153"/>
      <c r="FJ55" s="153"/>
      <c r="FK55" s="153"/>
      <c r="FL55" s="79"/>
      <c r="FM55" s="153"/>
      <c r="FN55" s="153"/>
      <c r="FO55" s="153"/>
      <c r="FP55" s="153"/>
      <c r="FQ55" s="153"/>
      <c r="FR55" s="153"/>
      <c r="FS55" s="153"/>
      <c r="FT55" s="153"/>
      <c r="FU55" s="153"/>
      <c r="FV55" s="153"/>
      <c r="FW55" s="79"/>
      <c r="FX55" s="153"/>
      <c r="FY55" s="79"/>
      <c r="FZ55" s="79"/>
      <c r="GA55" s="153"/>
      <c r="GB55" s="79"/>
      <c r="GC55" s="153"/>
      <c r="GD55" s="79"/>
      <c r="GE55" s="79"/>
      <c r="GF55" s="79"/>
      <c r="GG55" s="79"/>
      <c r="GH55" s="79"/>
      <c r="GI55" s="79"/>
      <c r="GJ55" s="79"/>
      <c r="GK55" s="79"/>
      <c r="GL55" s="208"/>
      <c r="GM55" s="208"/>
      <c r="GN55" s="79"/>
      <c r="GO55" s="78">
        <f t="shared" si="66"/>
        <v>0</v>
      </c>
      <c r="GP55" s="78">
        <f t="shared" si="67"/>
        <v>91050027.457344189</v>
      </c>
      <c r="GQ55" s="79"/>
      <c r="GR55" s="153"/>
      <c r="GS55" s="153"/>
      <c r="GT55" s="79"/>
      <c r="GU55" s="79"/>
      <c r="GV55" s="153"/>
      <c r="GW55" s="153"/>
      <c r="GX55" s="153"/>
      <c r="GY55" s="153"/>
      <c r="GZ55" s="153"/>
      <c r="HA55" s="79"/>
      <c r="HB55" s="153"/>
      <c r="HC55" s="153"/>
      <c r="HD55" s="153"/>
      <c r="HE55" s="153"/>
      <c r="HF55" s="153"/>
      <c r="HG55" s="153"/>
      <c r="HH55" s="153"/>
      <c r="HI55" s="153"/>
      <c r="HJ55" s="153"/>
      <c r="HK55" s="153"/>
      <c r="HL55" s="79"/>
      <c r="HM55" s="153"/>
      <c r="HN55" s="79"/>
      <c r="HO55" s="79"/>
      <c r="HP55" s="79"/>
      <c r="HQ55" s="79"/>
      <c r="HR55" s="153"/>
      <c r="HS55" s="79"/>
      <c r="HT55" s="79"/>
      <c r="HU55" s="79"/>
      <c r="HV55" s="79"/>
      <c r="HW55" s="79"/>
      <c r="HX55" s="79"/>
      <c r="HY55" s="79"/>
      <c r="HZ55" s="153"/>
      <c r="IA55" s="208"/>
      <c r="IB55" s="208"/>
      <c r="IC55" s="79"/>
      <c r="ID55" s="78">
        <f t="shared" si="68"/>
        <v>0</v>
      </c>
      <c r="IE55" s="78">
        <f t="shared" si="69"/>
        <v>91050027.457344189</v>
      </c>
      <c r="IF55" s="47" t="s">
        <v>34</v>
      </c>
    </row>
    <row r="56" spans="1:240" x14ac:dyDescent="0.3">
      <c r="A56" s="58">
        <f>ROW()</f>
        <v>56</v>
      </c>
      <c r="B56" s="47" t="s">
        <v>402</v>
      </c>
      <c r="C56" s="78">
        <v>-14021029.059628665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>
        <v>3615186.8179126643</v>
      </c>
      <c r="W56" s="90"/>
      <c r="X56" s="90"/>
      <c r="Y56" s="158"/>
      <c r="Z56" s="158"/>
      <c r="AA56" s="90"/>
      <c r="AB56" s="158"/>
      <c r="AC56" s="90"/>
      <c r="AD56" s="158"/>
      <c r="AE56" s="158"/>
      <c r="AF56" s="90"/>
      <c r="AG56" s="90"/>
      <c r="AH56" s="158"/>
      <c r="AI56" s="78">
        <f t="shared" si="58"/>
        <v>3615186.8179126643</v>
      </c>
      <c r="AJ56" s="78">
        <f t="shared" si="59"/>
        <v>-10405842.241716001</v>
      </c>
      <c r="AK56" s="79"/>
      <c r="AL56" s="153"/>
      <c r="AM56" s="79"/>
      <c r="AN56" s="79"/>
      <c r="AO56" s="79"/>
      <c r="AP56" s="153"/>
      <c r="AQ56" s="153"/>
      <c r="AR56" s="153"/>
      <c r="AS56" s="79"/>
      <c r="AT56" s="153"/>
      <c r="AU56" s="153"/>
      <c r="AV56" s="153"/>
      <c r="AW56" s="153"/>
      <c r="AX56" s="79"/>
      <c r="AY56" s="79"/>
      <c r="AZ56" s="153"/>
      <c r="BA56" s="79"/>
      <c r="BB56" s="153"/>
      <c r="BC56" s="153"/>
      <c r="BD56" s="153"/>
      <c r="BE56" s="153"/>
      <c r="BF56" s="153"/>
      <c r="BG56" s="153"/>
      <c r="BH56" s="79"/>
      <c r="BI56" s="79"/>
      <c r="BJ56" s="153"/>
      <c r="BK56" s="79"/>
      <c r="BL56" s="153"/>
      <c r="BM56" s="79"/>
      <c r="BN56" s="79"/>
      <c r="BO56" s="79"/>
      <c r="BP56" s="79"/>
      <c r="BQ56" s="79"/>
      <c r="BR56" s="79"/>
      <c r="BS56" s="153"/>
      <c r="BT56" s="79"/>
      <c r="BU56" s="79"/>
      <c r="BV56" s="153"/>
      <c r="BW56" s="78">
        <f t="shared" si="60"/>
        <v>0</v>
      </c>
      <c r="BX56" s="78">
        <f t="shared" si="61"/>
        <v>-10405842.241716001</v>
      </c>
      <c r="BY56" s="79"/>
      <c r="BZ56" s="153"/>
      <c r="CA56" s="153"/>
      <c r="CB56" s="79"/>
      <c r="CC56" s="79"/>
      <c r="CD56" s="153"/>
      <c r="CE56" s="153"/>
      <c r="CF56" s="153"/>
      <c r="CG56" s="153"/>
      <c r="CH56" s="153"/>
      <c r="CI56" s="79"/>
      <c r="CJ56" s="153"/>
      <c r="CK56" s="153"/>
      <c r="CL56" s="153"/>
      <c r="CM56" s="153"/>
      <c r="CN56" s="153"/>
      <c r="CO56" s="153"/>
      <c r="CP56" s="153"/>
      <c r="CQ56" s="153"/>
      <c r="CR56" s="153"/>
      <c r="CS56" s="153"/>
      <c r="CT56" s="153"/>
      <c r="CU56" s="153"/>
      <c r="CV56" s="79"/>
      <c r="CW56" s="79"/>
      <c r="CX56" s="153"/>
      <c r="CY56" s="79"/>
      <c r="CZ56" s="153"/>
      <c r="DA56" s="79"/>
      <c r="DB56" s="79"/>
      <c r="DC56" s="79"/>
      <c r="DD56" s="79"/>
      <c r="DE56" s="79"/>
      <c r="DF56" s="79"/>
      <c r="DG56" s="153"/>
      <c r="DH56" s="79"/>
      <c r="DI56" s="208"/>
      <c r="DJ56" s="153"/>
      <c r="DK56" s="78">
        <f t="shared" si="62"/>
        <v>0</v>
      </c>
      <c r="DL56" s="78">
        <f t="shared" si="63"/>
        <v>-10405842.241716001</v>
      </c>
      <c r="DM56" s="79"/>
      <c r="DN56" s="153"/>
      <c r="DO56" s="153"/>
      <c r="DP56" s="79"/>
      <c r="DQ56" s="79"/>
      <c r="DR56" s="153"/>
      <c r="DS56" s="153"/>
      <c r="DT56" s="153"/>
      <c r="DU56" s="153"/>
      <c r="DV56" s="153"/>
      <c r="DW56" s="79"/>
      <c r="DX56" s="153"/>
      <c r="DY56" s="153"/>
      <c r="DZ56" s="153"/>
      <c r="EA56" s="79"/>
      <c r="EB56" s="153"/>
      <c r="EC56" s="153"/>
      <c r="ED56" s="153"/>
      <c r="EE56" s="153"/>
      <c r="EF56" s="153"/>
      <c r="EG56" s="153"/>
      <c r="EH56" s="79"/>
      <c r="EI56" s="153"/>
      <c r="EJ56" s="79"/>
      <c r="EK56" s="79"/>
      <c r="EL56" s="79"/>
      <c r="EM56" s="79"/>
      <c r="EN56" s="153"/>
      <c r="EO56" s="79"/>
      <c r="EP56" s="79"/>
      <c r="EQ56" s="79"/>
      <c r="ER56" s="79"/>
      <c r="ES56" s="79"/>
      <c r="ET56" s="79"/>
      <c r="EU56" s="79"/>
      <c r="EV56" s="79"/>
      <c r="EW56" s="208"/>
      <c r="EX56" s="208"/>
      <c r="EY56" s="79"/>
      <c r="EZ56" s="78">
        <f t="shared" si="64"/>
        <v>0</v>
      </c>
      <c r="FA56" s="78">
        <f t="shared" si="65"/>
        <v>-10405842.241716001</v>
      </c>
      <c r="FB56" s="79"/>
      <c r="FC56" s="153"/>
      <c r="FD56" s="153"/>
      <c r="FE56" s="79"/>
      <c r="FF56" s="79"/>
      <c r="FG56" s="153"/>
      <c r="FH56" s="153"/>
      <c r="FI56" s="153"/>
      <c r="FJ56" s="153"/>
      <c r="FK56" s="153"/>
      <c r="FL56" s="79"/>
      <c r="FM56" s="153"/>
      <c r="FN56" s="153"/>
      <c r="FO56" s="153"/>
      <c r="FP56" s="153"/>
      <c r="FQ56" s="153"/>
      <c r="FR56" s="153"/>
      <c r="FS56" s="153"/>
      <c r="FT56" s="153"/>
      <c r="FU56" s="153"/>
      <c r="FV56" s="153"/>
      <c r="FW56" s="79"/>
      <c r="FX56" s="153"/>
      <c r="FY56" s="79"/>
      <c r="FZ56" s="79"/>
      <c r="GA56" s="153"/>
      <c r="GB56" s="79"/>
      <c r="GC56" s="153"/>
      <c r="GD56" s="79"/>
      <c r="GE56" s="79"/>
      <c r="GF56" s="79"/>
      <c r="GG56" s="79"/>
      <c r="GH56" s="79"/>
      <c r="GI56" s="79"/>
      <c r="GJ56" s="79"/>
      <c r="GK56" s="79"/>
      <c r="GL56" s="208"/>
      <c r="GM56" s="208"/>
      <c r="GN56" s="79"/>
      <c r="GO56" s="78">
        <f t="shared" si="66"/>
        <v>0</v>
      </c>
      <c r="GP56" s="78">
        <f t="shared" si="67"/>
        <v>-10405842.241716001</v>
      </c>
      <c r="GQ56" s="79"/>
      <c r="GR56" s="153"/>
      <c r="GS56" s="153"/>
      <c r="GT56" s="79"/>
      <c r="GU56" s="79"/>
      <c r="GV56" s="153"/>
      <c r="GW56" s="153"/>
      <c r="GX56" s="153"/>
      <c r="GY56" s="153"/>
      <c r="GZ56" s="153"/>
      <c r="HA56" s="79"/>
      <c r="HB56" s="153"/>
      <c r="HC56" s="153"/>
      <c r="HD56" s="153"/>
      <c r="HE56" s="153"/>
      <c r="HF56" s="153"/>
      <c r="HG56" s="153"/>
      <c r="HH56" s="153"/>
      <c r="HI56" s="153"/>
      <c r="HJ56" s="153"/>
      <c r="HK56" s="153"/>
      <c r="HL56" s="79"/>
      <c r="HM56" s="153"/>
      <c r="HN56" s="79"/>
      <c r="HO56" s="79"/>
      <c r="HP56" s="79"/>
      <c r="HQ56" s="79"/>
      <c r="HR56" s="153"/>
      <c r="HS56" s="79"/>
      <c r="HT56" s="79"/>
      <c r="HU56" s="79"/>
      <c r="HV56" s="79"/>
      <c r="HW56" s="79"/>
      <c r="HX56" s="79"/>
      <c r="HY56" s="79"/>
      <c r="HZ56" s="153"/>
      <c r="IA56" s="208"/>
      <c r="IB56" s="208"/>
      <c r="IC56" s="79"/>
      <c r="ID56" s="78">
        <f t="shared" si="68"/>
        <v>0</v>
      </c>
      <c r="IE56" s="78">
        <f t="shared" si="69"/>
        <v>-10405842.241716001</v>
      </c>
      <c r="IF56" s="47" t="s">
        <v>34</v>
      </c>
    </row>
    <row r="57" spans="1:240" ht="13.5" thickBot="1" x14ac:dyDescent="0.35">
      <c r="A57" s="58">
        <f>ROW()</f>
        <v>57</v>
      </c>
      <c r="B57" s="47" t="s">
        <v>103</v>
      </c>
      <c r="C57" s="103">
        <f t="shared" ref="C57:BI57" si="70">SUM(C51:C56)</f>
        <v>2470296822.411552</v>
      </c>
      <c r="D57" s="104">
        <f t="shared" si="70"/>
        <v>0</v>
      </c>
      <c r="E57" s="104">
        <f t="shared" si="70"/>
        <v>0</v>
      </c>
      <c r="F57" s="104">
        <f t="shared" si="70"/>
        <v>0</v>
      </c>
      <c r="G57" s="104">
        <f t="shared" si="70"/>
        <v>0</v>
      </c>
      <c r="H57" s="104">
        <f t="shared" si="70"/>
        <v>0</v>
      </c>
      <c r="I57" s="104">
        <f t="shared" si="70"/>
        <v>0</v>
      </c>
      <c r="J57" s="104">
        <f t="shared" si="70"/>
        <v>0</v>
      </c>
      <c r="K57" s="104">
        <f t="shared" si="70"/>
        <v>0</v>
      </c>
      <c r="L57" s="104">
        <f t="shared" si="70"/>
        <v>0</v>
      </c>
      <c r="M57" s="104">
        <f t="shared" si="70"/>
        <v>0</v>
      </c>
      <c r="N57" s="104">
        <f t="shared" si="70"/>
        <v>0</v>
      </c>
      <c r="O57" s="104">
        <f t="shared" si="70"/>
        <v>0</v>
      </c>
      <c r="P57" s="104">
        <f t="shared" si="70"/>
        <v>0</v>
      </c>
      <c r="Q57" s="104">
        <f t="shared" si="70"/>
        <v>0</v>
      </c>
      <c r="R57" s="104">
        <f t="shared" si="70"/>
        <v>0</v>
      </c>
      <c r="S57" s="104">
        <f t="shared" si="70"/>
        <v>0</v>
      </c>
      <c r="T57" s="104">
        <f t="shared" si="70"/>
        <v>0</v>
      </c>
      <c r="U57" s="104">
        <f t="shared" si="70"/>
        <v>0</v>
      </c>
      <c r="V57" s="104">
        <f t="shared" si="70"/>
        <v>67075380.91394949</v>
      </c>
      <c r="W57" s="104">
        <f t="shared" si="70"/>
        <v>210100.48828822773</v>
      </c>
      <c r="X57" s="104">
        <f>SUM(X51:X56)</f>
        <v>0</v>
      </c>
      <c r="Y57" s="167">
        <f t="shared" si="70"/>
        <v>0</v>
      </c>
      <c r="Z57" s="167">
        <f t="shared" si="70"/>
        <v>0</v>
      </c>
      <c r="AA57" s="104">
        <f t="shared" si="70"/>
        <v>-65577643.509571999</v>
      </c>
      <c r="AB57" s="167">
        <f t="shared" si="70"/>
        <v>0</v>
      </c>
      <c r="AC57" s="104">
        <f t="shared" si="70"/>
        <v>0</v>
      </c>
      <c r="AD57" s="167">
        <f t="shared" si="70"/>
        <v>0</v>
      </c>
      <c r="AE57" s="167">
        <f t="shared" si="70"/>
        <v>0</v>
      </c>
      <c r="AF57" s="104">
        <f>SUM(AF51:AF56)</f>
        <v>-23770011.81658344</v>
      </c>
      <c r="AG57" s="104">
        <f t="shared" si="70"/>
        <v>0</v>
      </c>
      <c r="AH57" s="167">
        <f t="shared" si="70"/>
        <v>0</v>
      </c>
      <c r="AI57" s="103">
        <f t="shared" si="70"/>
        <v>-22062173.923917718</v>
      </c>
      <c r="AJ57" s="103">
        <f t="shared" si="70"/>
        <v>2448234648.4876337</v>
      </c>
      <c r="AK57" s="104">
        <f t="shared" si="70"/>
        <v>0</v>
      </c>
      <c r="AL57" s="167">
        <f t="shared" si="70"/>
        <v>0</v>
      </c>
      <c r="AM57" s="104">
        <f t="shared" si="70"/>
        <v>0</v>
      </c>
      <c r="AN57" s="104">
        <f t="shared" si="70"/>
        <v>4356717.7706340253</v>
      </c>
      <c r="AO57" s="104">
        <f t="shared" si="70"/>
        <v>0</v>
      </c>
      <c r="AP57" s="167">
        <f t="shared" si="70"/>
        <v>0</v>
      </c>
      <c r="AQ57" s="167">
        <f t="shared" si="70"/>
        <v>0</v>
      </c>
      <c r="AR57" s="167">
        <f t="shared" si="70"/>
        <v>0</v>
      </c>
      <c r="AS57" s="104">
        <f t="shared" si="70"/>
        <v>0</v>
      </c>
      <c r="AT57" s="167">
        <f t="shared" si="70"/>
        <v>0</v>
      </c>
      <c r="AU57" s="167">
        <f t="shared" si="70"/>
        <v>0</v>
      </c>
      <c r="AV57" s="167">
        <f t="shared" si="70"/>
        <v>0</v>
      </c>
      <c r="AW57" s="167">
        <f t="shared" si="70"/>
        <v>0</v>
      </c>
      <c r="AX57" s="104">
        <f t="shared" si="70"/>
        <v>0</v>
      </c>
      <c r="AY57" s="104">
        <f t="shared" si="70"/>
        <v>0</v>
      </c>
      <c r="AZ57" s="167">
        <f t="shared" si="70"/>
        <v>0</v>
      </c>
      <c r="BA57" s="104">
        <f t="shared" si="70"/>
        <v>0</v>
      </c>
      <c r="BB57" s="167">
        <f t="shared" si="70"/>
        <v>0</v>
      </c>
      <c r="BC57" s="167">
        <f t="shared" si="70"/>
        <v>0</v>
      </c>
      <c r="BD57" s="167">
        <f t="shared" si="70"/>
        <v>0</v>
      </c>
      <c r="BE57" s="167">
        <f t="shared" si="70"/>
        <v>0</v>
      </c>
      <c r="BF57" s="167">
        <f t="shared" si="70"/>
        <v>0</v>
      </c>
      <c r="BG57" s="167">
        <f t="shared" si="70"/>
        <v>0</v>
      </c>
      <c r="BH57" s="104">
        <f t="shared" si="70"/>
        <v>65577643.509571999</v>
      </c>
      <c r="BI57" s="104">
        <f t="shared" si="70"/>
        <v>3230272.3808734193</v>
      </c>
      <c r="BJ57" s="167">
        <f t="shared" ref="BJ57:DY57" si="71">SUM(BJ51:BJ56)</f>
        <v>0</v>
      </c>
      <c r="BK57" s="104">
        <f t="shared" si="71"/>
        <v>-336065.87616749993</v>
      </c>
      <c r="BL57" s="167">
        <f t="shared" si="71"/>
        <v>0</v>
      </c>
      <c r="BM57" s="104">
        <f t="shared" si="71"/>
        <v>-94088202.46430099</v>
      </c>
      <c r="BN57" s="104">
        <f t="shared" si="71"/>
        <v>201938.05620600007</v>
      </c>
      <c r="BO57" s="104">
        <f t="shared" si="71"/>
        <v>44675564.118710004</v>
      </c>
      <c r="BP57" s="104">
        <f t="shared" si="71"/>
        <v>55278785.519999988</v>
      </c>
      <c r="BQ57" s="104">
        <f t="shared" si="71"/>
        <v>2597.4953720000003</v>
      </c>
      <c r="BR57" s="104">
        <f t="shared" si="71"/>
        <v>22124980.888264</v>
      </c>
      <c r="BS57" s="167">
        <f t="shared" si="71"/>
        <v>0</v>
      </c>
      <c r="BT57" s="104">
        <f t="shared" si="71"/>
        <v>0</v>
      </c>
      <c r="BU57" s="104">
        <f t="shared" si="71"/>
        <v>-1852729.8615047848</v>
      </c>
      <c r="BV57" s="167">
        <f t="shared" si="71"/>
        <v>0</v>
      </c>
      <c r="BW57" s="103">
        <f t="shared" si="71"/>
        <v>99171501.537658185</v>
      </c>
      <c r="BX57" s="168">
        <f t="shared" si="71"/>
        <v>2547406150.0252914</v>
      </c>
      <c r="BY57" s="104">
        <f t="shared" si="71"/>
        <v>0</v>
      </c>
      <c r="BZ57" s="167">
        <f t="shared" si="71"/>
        <v>0</v>
      </c>
      <c r="CA57" s="167">
        <f t="shared" si="71"/>
        <v>0</v>
      </c>
      <c r="CB57" s="104">
        <f t="shared" si="71"/>
        <v>5370042.7846080065</v>
      </c>
      <c r="CC57" s="104">
        <f t="shared" si="71"/>
        <v>0</v>
      </c>
      <c r="CD57" s="167">
        <f t="shared" si="71"/>
        <v>0</v>
      </c>
      <c r="CE57" s="167">
        <f t="shared" si="71"/>
        <v>0</v>
      </c>
      <c r="CF57" s="167">
        <f t="shared" si="71"/>
        <v>0</v>
      </c>
      <c r="CG57" s="167">
        <f t="shared" si="71"/>
        <v>0</v>
      </c>
      <c r="CH57" s="167">
        <f t="shared" si="71"/>
        <v>0</v>
      </c>
      <c r="CI57" s="104">
        <f t="shared" si="71"/>
        <v>0</v>
      </c>
      <c r="CJ57" s="167">
        <f t="shared" si="71"/>
        <v>0</v>
      </c>
      <c r="CK57" s="167">
        <f t="shared" si="71"/>
        <v>0</v>
      </c>
      <c r="CL57" s="167">
        <f t="shared" si="71"/>
        <v>0</v>
      </c>
      <c r="CM57" s="167">
        <f t="shared" si="71"/>
        <v>0</v>
      </c>
      <c r="CN57" s="167">
        <f t="shared" si="71"/>
        <v>0</v>
      </c>
      <c r="CO57" s="167">
        <f t="shared" si="71"/>
        <v>0</v>
      </c>
      <c r="CP57" s="167">
        <f t="shared" si="71"/>
        <v>0</v>
      </c>
      <c r="CQ57" s="167">
        <f t="shared" si="71"/>
        <v>0</v>
      </c>
      <c r="CR57" s="167">
        <f t="shared" si="71"/>
        <v>0</v>
      </c>
      <c r="CS57" s="167">
        <f t="shared" si="71"/>
        <v>0</v>
      </c>
      <c r="CT57" s="167">
        <f t="shared" si="71"/>
        <v>0</v>
      </c>
      <c r="CU57" s="167">
        <f t="shared" si="71"/>
        <v>0</v>
      </c>
      <c r="CV57" s="104">
        <f t="shared" si="71"/>
        <v>0</v>
      </c>
      <c r="CW57" s="104">
        <f t="shared" si="71"/>
        <v>3492135.9671265553</v>
      </c>
      <c r="CX57" s="167">
        <f t="shared" si="71"/>
        <v>0</v>
      </c>
      <c r="CY57" s="104">
        <f t="shared" si="71"/>
        <v>-168032.93808374999</v>
      </c>
      <c r="CZ57" s="167">
        <f t="shared" si="71"/>
        <v>0</v>
      </c>
      <c r="DA57" s="104">
        <f t="shared" si="71"/>
        <v>-165330440.38527286</v>
      </c>
      <c r="DB57" s="104">
        <f t="shared" si="71"/>
        <v>1520440.3364520001</v>
      </c>
      <c r="DC57" s="104">
        <f t="shared" si="71"/>
        <v>116745699.78504001</v>
      </c>
      <c r="DD57" s="104">
        <f t="shared" si="71"/>
        <v>36771502.726904862</v>
      </c>
      <c r="DE57" s="104">
        <f t="shared" si="71"/>
        <v>12650902.559701743</v>
      </c>
      <c r="DF57" s="104">
        <f t="shared" si="71"/>
        <v>26473745.684250008</v>
      </c>
      <c r="DG57" s="167">
        <f t="shared" si="71"/>
        <v>0</v>
      </c>
      <c r="DH57" s="104">
        <f t="shared" si="71"/>
        <v>-3607094.8691412816</v>
      </c>
      <c r="DI57" s="214">
        <f t="shared" ref="DI57" si="72">SUM(DI51:DI56)</f>
        <v>1636240.8076686685</v>
      </c>
      <c r="DJ57" s="167">
        <f t="shared" si="71"/>
        <v>0</v>
      </c>
      <c r="DK57" s="103">
        <f t="shared" si="71"/>
        <v>35555142.459253967</v>
      </c>
      <c r="DL57" s="103">
        <f t="shared" si="71"/>
        <v>2582961292.4845452</v>
      </c>
      <c r="DM57" s="104">
        <f t="shared" si="71"/>
        <v>0</v>
      </c>
      <c r="DN57" s="167">
        <f t="shared" si="71"/>
        <v>0</v>
      </c>
      <c r="DO57" s="167">
        <f t="shared" si="71"/>
        <v>0</v>
      </c>
      <c r="DP57" s="104">
        <f t="shared" si="71"/>
        <v>3098447.5482264757</v>
      </c>
      <c r="DQ57" s="104">
        <f t="shared" si="71"/>
        <v>0</v>
      </c>
      <c r="DR57" s="167">
        <f t="shared" si="71"/>
        <v>0</v>
      </c>
      <c r="DS57" s="167">
        <f t="shared" si="71"/>
        <v>0</v>
      </c>
      <c r="DT57" s="167">
        <f t="shared" si="71"/>
        <v>0</v>
      </c>
      <c r="DU57" s="167">
        <f t="shared" si="71"/>
        <v>0</v>
      </c>
      <c r="DV57" s="167">
        <f t="shared" si="71"/>
        <v>0</v>
      </c>
      <c r="DW57" s="104">
        <f t="shared" si="71"/>
        <v>0</v>
      </c>
      <c r="DX57" s="167">
        <f t="shared" si="71"/>
        <v>0</v>
      </c>
      <c r="DY57" s="167">
        <f t="shared" si="71"/>
        <v>0</v>
      </c>
      <c r="DZ57" s="167">
        <f t="shared" ref="DZ57:GQ57" si="73">SUM(DZ51:DZ56)</f>
        <v>0</v>
      </c>
      <c r="EA57" s="104">
        <f t="shared" si="73"/>
        <v>0</v>
      </c>
      <c r="EB57" s="167">
        <f t="shared" si="73"/>
        <v>0</v>
      </c>
      <c r="EC57" s="167">
        <f t="shared" si="73"/>
        <v>0</v>
      </c>
      <c r="ED57" s="167">
        <f t="shared" si="73"/>
        <v>0</v>
      </c>
      <c r="EE57" s="167">
        <f t="shared" si="73"/>
        <v>0</v>
      </c>
      <c r="EF57" s="167">
        <f t="shared" si="73"/>
        <v>0</v>
      </c>
      <c r="EG57" s="167">
        <f t="shared" si="73"/>
        <v>0</v>
      </c>
      <c r="EH57" s="104">
        <f t="shared" si="73"/>
        <v>0</v>
      </c>
      <c r="EI57" s="167">
        <f t="shared" si="73"/>
        <v>1101188.86890066</v>
      </c>
      <c r="EJ57" s="104">
        <f t="shared" si="73"/>
        <v>0</v>
      </c>
      <c r="EK57" s="104">
        <f t="shared" si="73"/>
        <v>-15203.916388063459</v>
      </c>
      <c r="EL57" s="104">
        <f t="shared" si="73"/>
        <v>0</v>
      </c>
      <c r="EM57" s="104">
        <f t="shared" si="73"/>
        <v>162350.33768437497</v>
      </c>
      <c r="EN57" s="167">
        <f t="shared" si="73"/>
        <v>0</v>
      </c>
      <c r="EO57" s="104">
        <f t="shared" si="73"/>
        <v>-84598856.734545469</v>
      </c>
      <c r="EP57" s="104">
        <f t="shared" si="73"/>
        <v>1405861.9709619989</v>
      </c>
      <c r="EQ57" s="104">
        <f t="shared" si="73"/>
        <v>69476611.107350022</v>
      </c>
      <c r="ER57" s="104">
        <f t="shared" si="73"/>
        <v>-6324778.1027579708</v>
      </c>
      <c r="ES57" s="104">
        <f t="shared" si="73"/>
        <v>-4990356.3668026561</v>
      </c>
      <c r="ET57" s="104">
        <f t="shared" si="73"/>
        <v>14495451.993672004</v>
      </c>
      <c r="EU57" s="104">
        <f t="shared" si="73"/>
        <v>0</v>
      </c>
      <c r="EV57" s="104">
        <f t="shared" si="73"/>
        <v>-1675068.8795508225</v>
      </c>
      <c r="EW57" s="214">
        <f t="shared" si="73"/>
        <v>-48340874.436111309</v>
      </c>
      <c r="EX57" s="214">
        <f t="shared" ref="EX57" si="74">SUM(EX51:EX56)</f>
        <v>0</v>
      </c>
      <c r="EY57" s="104">
        <f t="shared" si="73"/>
        <v>0</v>
      </c>
      <c r="EZ57" s="103">
        <f t="shared" si="73"/>
        <v>-56205226.609360754</v>
      </c>
      <c r="FA57" s="103">
        <f t="shared" si="73"/>
        <v>2526756065.8751845</v>
      </c>
      <c r="FB57" s="104">
        <f t="shared" si="73"/>
        <v>0</v>
      </c>
      <c r="FC57" s="167">
        <f t="shared" si="73"/>
        <v>0</v>
      </c>
      <c r="FD57" s="167">
        <f t="shared" si="73"/>
        <v>0</v>
      </c>
      <c r="FE57" s="104">
        <f t="shared" si="73"/>
        <v>6797605.0150674582</v>
      </c>
      <c r="FF57" s="104">
        <f t="shared" si="73"/>
        <v>0</v>
      </c>
      <c r="FG57" s="167">
        <f t="shared" si="73"/>
        <v>0</v>
      </c>
      <c r="FH57" s="167">
        <f t="shared" si="73"/>
        <v>0</v>
      </c>
      <c r="FI57" s="167">
        <f t="shared" si="73"/>
        <v>0</v>
      </c>
      <c r="FJ57" s="167">
        <f t="shared" si="73"/>
        <v>0</v>
      </c>
      <c r="FK57" s="167">
        <f t="shared" si="73"/>
        <v>0</v>
      </c>
      <c r="FL57" s="104">
        <f t="shared" si="73"/>
        <v>0</v>
      </c>
      <c r="FM57" s="167">
        <f t="shared" si="73"/>
        <v>0</v>
      </c>
      <c r="FN57" s="167">
        <f t="shared" si="73"/>
        <v>0</v>
      </c>
      <c r="FO57" s="167">
        <f t="shared" si="73"/>
        <v>0</v>
      </c>
      <c r="FP57" s="167">
        <f t="shared" si="73"/>
        <v>0</v>
      </c>
      <c r="FQ57" s="167">
        <f t="shared" si="73"/>
        <v>0</v>
      </c>
      <c r="FR57" s="167">
        <f t="shared" si="73"/>
        <v>0</v>
      </c>
      <c r="FS57" s="167">
        <f t="shared" si="73"/>
        <v>0</v>
      </c>
      <c r="FT57" s="167">
        <f t="shared" si="73"/>
        <v>0</v>
      </c>
      <c r="FU57" s="167">
        <f t="shared" si="73"/>
        <v>0</v>
      </c>
      <c r="FV57" s="167">
        <f t="shared" si="73"/>
        <v>0</v>
      </c>
      <c r="FW57" s="104">
        <f t="shared" si="73"/>
        <v>0</v>
      </c>
      <c r="FX57" s="167">
        <f t="shared" si="73"/>
        <v>-10011818.034171246</v>
      </c>
      <c r="FY57" s="104">
        <f t="shared" si="73"/>
        <v>0</v>
      </c>
      <c r="FZ57" s="104">
        <f t="shared" si="73"/>
        <v>-3527374.5424600434</v>
      </c>
      <c r="GA57" s="167">
        <f t="shared" si="73"/>
        <v>0</v>
      </c>
      <c r="GB57" s="104">
        <f t="shared" si="73"/>
        <v>324700.67536874977</v>
      </c>
      <c r="GC57" s="167">
        <f t="shared" si="73"/>
        <v>0</v>
      </c>
      <c r="GD57" s="104">
        <f t="shared" si="73"/>
        <v>-159209516.20228195</v>
      </c>
      <c r="GE57" s="104">
        <f t="shared" si="73"/>
        <v>3310956.6510520019</v>
      </c>
      <c r="GF57" s="104">
        <f t="shared" si="73"/>
        <v>217591260.62328604</v>
      </c>
      <c r="GG57" s="104">
        <f t="shared" si="73"/>
        <v>41302511.146607377</v>
      </c>
      <c r="GH57" s="104">
        <f t="shared" si="73"/>
        <v>3953203.0510036857</v>
      </c>
      <c r="GI57" s="104">
        <f t="shared" si="73"/>
        <v>37191156.254355997</v>
      </c>
      <c r="GJ57" s="104">
        <f t="shared" si="73"/>
        <v>0</v>
      </c>
      <c r="GK57" s="104">
        <f t="shared" si="73"/>
        <v>-1109560.2062269687</v>
      </c>
      <c r="GL57" s="214">
        <f t="shared" si="73"/>
        <v>-57080533.80576282</v>
      </c>
      <c r="GM57" s="214">
        <f t="shared" si="73"/>
        <v>0</v>
      </c>
      <c r="GN57" s="104">
        <f t="shared" si="73"/>
        <v>0</v>
      </c>
      <c r="GO57" s="103">
        <f t="shared" si="73"/>
        <v>79532590.62583831</v>
      </c>
      <c r="GP57" s="103">
        <f t="shared" si="73"/>
        <v>2606288656.5010228</v>
      </c>
      <c r="GQ57" s="104">
        <f t="shared" si="73"/>
        <v>0</v>
      </c>
      <c r="GR57" s="167">
        <f t="shared" ref="GR57:IE57" si="75">SUM(GR51:GR56)</f>
        <v>0</v>
      </c>
      <c r="GS57" s="167">
        <f t="shared" si="75"/>
        <v>0</v>
      </c>
      <c r="GT57" s="104">
        <f t="shared" si="75"/>
        <v>7261899.4397121966</v>
      </c>
      <c r="GU57" s="104">
        <f t="shared" si="75"/>
        <v>0</v>
      </c>
      <c r="GV57" s="167">
        <f t="shared" si="75"/>
        <v>0</v>
      </c>
      <c r="GW57" s="167">
        <f t="shared" si="75"/>
        <v>0</v>
      </c>
      <c r="GX57" s="167">
        <f t="shared" si="75"/>
        <v>0</v>
      </c>
      <c r="GY57" s="167">
        <f t="shared" si="75"/>
        <v>0</v>
      </c>
      <c r="GZ57" s="167">
        <f t="shared" si="75"/>
        <v>0</v>
      </c>
      <c r="HA57" s="104">
        <f t="shared" si="75"/>
        <v>0</v>
      </c>
      <c r="HB57" s="167">
        <f t="shared" si="75"/>
        <v>0</v>
      </c>
      <c r="HC57" s="167">
        <f t="shared" si="75"/>
        <v>0</v>
      </c>
      <c r="HD57" s="167">
        <f t="shared" si="75"/>
        <v>0</v>
      </c>
      <c r="HE57" s="167">
        <f t="shared" si="75"/>
        <v>0</v>
      </c>
      <c r="HF57" s="167">
        <f t="shared" si="75"/>
        <v>0</v>
      </c>
      <c r="HG57" s="167">
        <f t="shared" si="75"/>
        <v>0</v>
      </c>
      <c r="HH57" s="167">
        <f t="shared" si="75"/>
        <v>0</v>
      </c>
      <c r="HI57" s="167">
        <f t="shared" si="75"/>
        <v>0</v>
      </c>
      <c r="HJ57" s="167">
        <f t="shared" si="75"/>
        <v>0</v>
      </c>
      <c r="HK57" s="167">
        <f t="shared" si="75"/>
        <v>0</v>
      </c>
      <c r="HL57" s="104">
        <f t="shared" si="75"/>
        <v>0</v>
      </c>
      <c r="HM57" s="167">
        <f t="shared" si="75"/>
        <v>-1467548.2098971759</v>
      </c>
      <c r="HN57" s="104">
        <f t="shared" si="75"/>
        <v>0</v>
      </c>
      <c r="HO57" s="104">
        <f t="shared" si="75"/>
        <v>-3527374.5424600434</v>
      </c>
      <c r="HP57" s="104">
        <f t="shared" si="75"/>
        <v>0</v>
      </c>
      <c r="HQ57" s="104">
        <f t="shared" si="75"/>
        <v>162350.33768437497</v>
      </c>
      <c r="HR57" s="167">
        <f t="shared" si="75"/>
        <v>0</v>
      </c>
      <c r="HS57" s="104">
        <f t="shared" si="75"/>
        <v>-151371216.49016714</v>
      </c>
      <c r="HT57" s="104">
        <f t="shared" si="75"/>
        <v>3787156.7907220004</v>
      </c>
      <c r="HU57" s="104">
        <f t="shared" si="75"/>
        <v>135474933.4399679</v>
      </c>
      <c r="HV57" s="104">
        <f t="shared" si="75"/>
        <v>38419192.508776158</v>
      </c>
      <c r="HW57" s="104">
        <f t="shared" si="75"/>
        <v>18254060.45606672</v>
      </c>
      <c r="HX57" s="104">
        <f t="shared" si="75"/>
        <v>22938716.735553999</v>
      </c>
      <c r="HY57" s="104">
        <f t="shared" si="75"/>
        <v>0</v>
      </c>
      <c r="HZ57" s="167">
        <f t="shared" si="75"/>
        <v>0</v>
      </c>
      <c r="IA57" s="214">
        <f t="shared" si="75"/>
        <v>-20780939.231190097</v>
      </c>
      <c r="IB57" s="214">
        <f t="shared" ref="IB57" si="76">SUM(IB51:IB56)</f>
        <v>0</v>
      </c>
      <c r="IC57" s="104">
        <f t="shared" si="75"/>
        <v>0</v>
      </c>
      <c r="ID57" s="103">
        <f t="shared" si="75"/>
        <v>49151231.234768897</v>
      </c>
      <c r="IE57" s="103">
        <f t="shared" si="75"/>
        <v>2655439887.7357922</v>
      </c>
      <c r="IF57" s="47" t="s">
        <v>34</v>
      </c>
    </row>
    <row r="58" spans="1:240" ht="14" thickTop="1" thickBot="1" x14ac:dyDescent="0.35">
      <c r="A58" s="58">
        <f>ROW()</f>
        <v>58</v>
      </c>
      <c r="C58" s="75"/>
      <c r="G58" s="58"/>
      <c r="AI58" s="75"/>
      <c r="AJ58" s="75"/>
      <c r="BW58" s="75"/>
      <c r="BX58" s="75"/>
      <c r="DI58" s="205"/>
      <c r="DK58" s="75"/>
      <c r="DL58" s="75"/>
      <c r="EW58" s="205"/>
      <c r="EX58" s="205"/>
      <c r="EZ58" s="75"/>
      <c r="FA58" s="75"/>
      <c r="GL58" s="205"/>
      <c r="GM58" s="205"/>
      <c r="GO58" s="75"/>
      <c r="GP58" s="75"/>
      <c r="IA58" s="205"/>
      <c r="IB58" s="205"/>
      <c r="ID58" s="75"/>
      <c r="IE58" s="75"/>
      <c r="IF58" s="47" t="s">
        <v>34</v>
      </c>
    </row>
    <row r="59" spans="1:240" ht="13.5" thickBot="1" x14ac:dyDescent="0.35">
      <c r="A59" s="58">
        <f>ROW()</f>
        <v>59</v>
      </c>
      <c r="B59" s="47" t="s">
        <v>104</v>
      </c>
      <c r="C59" s="105">
        <f>+C67</f>
        <v>7.2000000000000008E-2</v>
      </c>
      <c r="D59" s="106">
        <f t="shared" ref="D59:BO59" si="77">+D67</f>
        <v>7.2000000000000008E-2</v>
      </c>
      <c r="E59" s="106">
        <f t="shared" si="77"/>
        <v>7.2000000000000008E-2</v>
      </c>
      <c r="F59" s="106">
        <f t="shared" si="77"/>
        <v>7.2000000000000008E-2</v>
      </c>
      <c r="G59" s="107">
        <f t="shared" si="77"/>
        <v>7.2000000000000008E-2</v>
      </c>
      <c r="H59" s="106">
        <f t="shared" si="77"/>
        <v>7.2000000000000008E-2</v>
      </c>
      <c r="I59" s="106">
        <f t="shared" si="77"/>
        <v>7.2000000000000008E-2</v>
      </c>
      <c r="J59" s="106">
        <f t="shared" si="77"/>
        <v>7.2000000000000008E-2</v>
      </c>
      <c r="K59" s="106">
        <f t="shared" si="77"/>
        <v>7.2000000000000008E-2</v>
      </c>
      <c r="L59" s="106">
        <f t="shared" si="77"/>
        <v>7.2000000000000008E-2</v>
      </c>
      <c r="M59" s="106">
        <f t="shared" si="77"/>
        <v>7.2000000000000008E-2</v>
      </c>
      <c r="N59" s="106">
        <f t="shared" si="77"/>
        <v>7.2000000000000008E-2</v>
      </c>
      <c r="O59" s="106">
        <f t="shared" si="77"/>
        <v>7.2000000000000008E-2</v>
      </c>
      <c r="P59" s="106">
        <f t="shared" si="77"/>
        <v>7.2000000000000008E-2</v>
      </c>
      <c r="Q59" s="106">
        <f t="shared" si="77"/>
        <v>7.2000000000000008E-2</v>
      </c>
      <c r="R59" s="106">
        <f t="shared" si="77"/>
        <v>7.2000000000000008E-2</v>
      </c>
      <c r="S59" s="106">
        <f t="shared" si="77"/>
        <v>7.2000000000000008E-2</v>
      </c>
      <c r="T59" s="106">
        <f t="shared" si="77"/>
        <v>7.2000000000000008E-2</v>
      </c>
      <c r="U59" s="106">
        <f t="shared" si="77"/>
        <v>7.2000000000000008E-2</v>
      </c>
      <c r="V59" s="106">
        <f t="shared" si="77"/>
        <v>7.2000000000000008E-2</v>
      </c>
      <c r="W59" s="106">
        <f t="shared" si="77"/>
        <v>7.2000000000000008E-2</v>
      </c>
      <c r="X59" s="106">
        <f t="shared" si="77"/>
        <v>7.2000000000000008E-2</v>
      </c>
      <c r="Y59" s="106">
        <f t="shared" si="77"/>
        <v>7.2000000000000008E-2</v>
      </c>
      <c r="Z59" s="106">
        <f t="shared" si="77"/>
        <v>7.2000000000000008E-2</v>
      </c>
      <c r="AA59" s="106">
        <f t="shared" si="77"/>
        <v>7.2000000000000008E-2</v>
      </c>
      <c r="AB59" s="106">
        <f t="shared" si="77"/>
        <v>7.2000000000000008E-2</v>
      </c>
      <c r="AC59" s="106">
        <f t="shared" si="77"/>
        <v>7.2000000000000008E-2</v>
      </c>
      <c r="AD59" s="106">
        <f t="shared" si="77"/>
        <v>7.2000000000000008E-2</v>
      </c>
      <c r="AE59" s="106">
        <f t="shared" si="77"/>
        <v>7.2000000000000008E-2</v>
      </c>
      <c r="AF59" s="106">
        <f t="shared" si="77"/>
        <v>7.2000000000000008E-2</v>
      </c>
      <c r="AG59" s="106">
        <f t="shared" si="77"/>
        <v>7.2000000000000008E-2</v>
      </c>
      <c r="AH59" s="106">
        <f t="shared" si="77"/>
        <v>7.2000000000000008E-2</v>
      </c>
      <c r="AI59" s="105">
        <f t="shared" si="77"/>
        <v>7.2000000000000008E-2</v>
      </c>
      <c r="AJ59" s="105">
        <f t="shared" si="77"/>
        <v>7.2000000000000008E-2</v>
      </c>
      <c r="AK59" s="106">
        <f t="shared" si="77"/>
        <v>7.2000000000000008E-2</v>
      </c>
      <c r="AL59" s="106">
        <f t="shared" si="77"/>
        <v>7.2000000000000008E-2</v>
      </c>
      <c r="AM59" s="106">
        <f t="shared" si="77"/>
        <v>7.2000000000000008E-2</v>
      </c>
      <c r="AN59" s="106">
        <f t="shared" si="77"/>
        <v>7.2000000000000008E-2</v>
      </c>
      <c r="AO59" s="106">
        <f t="shared" si="77"/>
        <v>7.2000000000000008E-2</v>
      </c>
      <c r="AP59" s="106">
        <f t="shared" si="77"/>
        <v>7.2000000000000008E-2</v>
      </c>
      <c r="AQ59" s="106">
        <f t="shared" si="77"/>
        <v>7.2000000000000008E-2</v>
      </c>
      <c r="AR59" s="106">
        <f t="shared" si="77"/>
        <v>7.2000000000000008E-2</v>
      </c>
      <c r="AS59" s="106">
        <f t="shared" si="77"/>
        <v>7.2000000000000008E-2</v>
      </c>
      <c r="AT59" s="106">
        <f t="shared" si="77"/>
        <v>7.2000000000000008E-2</v>
      </c>
      <c r="AU59" s="106">
        <f t="shared" si="77"/>
        <v>7.2000000000000008E-2</v>
      </c>
      <c r="AV59" s="106">
        <f t="shared" si="77"/>
        <v>7.2000000000000008E-2</v>
      </c>
      <c r="AW59" s="106">
        <f t="shared" si="77"/>
        <v>7.2000000000000008E-2</v>
      </c>
      <c r="AX59" s="106">
        <f t="shared" si="77"/>
        <v>7.2000000000000008E-2</v>
      </c>
      <c r="AY59" s="106">
        <f t="shared" si="77"/>
        <v>7.2000000000000008E-2</v>
      </c>
      <c r="AZ59" s="106">
        <f t="shared" si="77"/>
        <v>7.2000000000000008E-2</v>
      </c>
      <c r="BA59" s="106">
        <f t="shared" si="77"/>
        <v>7.2000000000000008E-2</v>
      </c>
      <c r="BB59" s="106">
        <f t="shared" si="77"/>
        <v>7.2000000000000008E-2</v>
      </c>
      <c r="BC59" s="106">
        <f t="shared" si="77"/>
        <v>7.2000000000000008E-2</v>
      </c>
      <c r="BD59" s="106">
        <f t="shared" si="77"/>
        <v>7.2000000000000008E-2</v>
      </c>
      <c r="BE59" s="106">
        <f t="shared" si="77"/>
        <v>7.2000000000000008E-2</v>
      </c>
      <c r="BF59" s="106">
        <f t="shared" si="77"/>
        <v>7.2000000000000008E-2</v>
      </c>
      <c r="BG59" s="106">
        <f t="shared" si="77"/>
        <v>7.2000000000000008E-2</v>
      </c>
      <c r="BH59" s="106">
        <f t="shared" si="77"/>
        <v>7.2000000000000008E-2</v>
      </c>
      <c r="BI59" s="106">
        <f t="shared" si="77"/>
        <v>7.2000000000000008E-2</v>
      </c>
      <c r="BJ59" s="106">
        <f t="shared" si="77"/>
        <v>7.2000000000000008E-2</v>
      </c>
      <c r="BK59" s="106">
        <f t="shared" si="77"/>
        <v>7.2000000000000008E-2</v>
      </c>
      <c r="BL59" s="106">
        <f t="shared" si="77"/>
        <v>7.2000000000000008E-2</v>
      </c>
      <c r="BM59" s="106">
        <f t="shared" si="77"/>
        <v>7.2000000000000008E-2</v>
      </c>
      <c r="BN59" s="106">
        <f t="shared" si="77"/>
        <v>7.2000000000000008E-2</v>
      </c>
      <c r="BO59" s="106">
        <f t="shared" si="77"/>
        <v>7.2000000000000008E-2</v>
      </c>
      <c r="BP59" s="106">
        <f t="shared" ref="BP59:EA59" si="78">+BP67</f>
        <v>7.2000000000000008E-2</v>
      </c>
      <c r="BQ59" s="106">
        <f t="shared" si="78"/>
        <v>7.2000000000000008E-2</v>
      </c>
      <c r="BR59" s="106">
        <f t="shared" si="78"/>
        <v>7.2000000000000008E-2</v>
      </c>
      <c r="BS59" s="106">
        <f t="shared" si="78"/>
        <v>7.2000000000000008E-2</v>
      </c>
      <c r="BT59" s="106">
        <f t="shared" si="78"/>
        <v>7.2000000000000008E-2</v>
      </c>
      <c r="BU59" s="106">
        <f t="shared" si="78"/>
        <v>7.2000000000000008E-2</v>
      </c>
      <c r="BV59" s="106">
        <f t="shared" si="78"/>
        <v>7.2000000000000008E-2</v>
      </c>
      <c r="BW59" s="105">
        <f t="shared" si="78"/>
        <v>7.2000000000000008E-2</v>
      </c>
      <c r="BX59" s="105">
        <f t="shared" si="78"/>
        <v>7.2000000000000008E-2</v>
      </c>
      <c r="BY59" s="106">
        <f t="shared" si="78"/>
        <v>7.2000000000000008E-2</v>
      </c>
      <c r="BZ59" s="106">
        <f t="shared" si="78"/>
        <v>7.2000000000000008E-2</v>
      </c>
      <c r="CA59" s="106">
        <f t="shared" si="78"/>
        <v>7.2000000000000008E-2</v>
      </c>
      <c r="CB59" s="106">
        <f t="shared" si="78"/>
        <v>7.2000000000000008E-2</v>
      </c>
      <c r="CC59" s="106">
        <f t="shared" si="78"/>
        <v>7.2000000000000008E-2</v>
      </c>
      <c r="CD59" s="106">
        <f t="shared" si="78"/>
        <v>7.2000000000000008E-2</v>
      </c>
      <c r="CE59" s="106">
        <f t="shared" si="78"/>
        <v>7.2000000000000008E-2</v>
      </c>
      <c r="CF59" s="106">
        <f t="shared" si="78"/>
        <v>7.2000000000000008E-2</v>
      </c>
      <c r="CG59" s="106">
        <f t="shared" si="78"/>
        <v>7.2000000000000008E-2</v>
      </c>
      <c r="CH59" s="106">
        <f t="shared" si="78"/>
        <v>7.2000000000000008E-2</v>
      </c>
      <c r="CI59" s="106">
        <f t="shared" si="78"/>
        <v>7.2000000000000008E-2</v>
      </c>
      <c r="CJ59" s="106">
        <f t="shared" si="78"/>
        <v>7.2000000000000008E-2</v>
      </c>
      <c r="CK59" s="106">
        <f t="shared" si="78"/>
        <v>7.2000000000000008E-2</v>
      </c>
      <c r="CL59" s="106">
        <f t="shared" si="78"/>
        <v>7.2000000000000008E-2</v>
      </c>
      <c r="CM59" s="106">
        <f t="shared" si="78"/>
        <v>7.2000000000000008E-2</v>
      </c>
      <c r="CN59" s="106">
        <f t="shared" si="78"/>
        <v>7.2000000000000008E-2</v>
      </c>
      <c r="CO59" s="106">
        <f t="shared" si="78"/>
        <v>7.2000000000000008E-2</v>
      </c>
      <c r="CP59" s="106">
        <f t="shared" si="78"/>
        <v>7.2000000000000008E-2</v>
      </c>
      <c r="CQ59" s="106">
        <f t="shared" si="78"/>
        <v>7.2000000000000008E-2</v>
      </c>
      <c r="CR59" s="106">
        <f t="shared" si="78"/>
        <v>7.2000000000000008E-2</v>
      </c>
      <c r="CS59" s="106">
        <f t="shared" si="78"/>
        <v>7.2000000000000008E-2</v>
      </c>
      <c r="CT59" s="106">
        <f t="shared" si="78"/>
        <v>7.2000000000000008E-2</v>
      </c>
      <c r="CU59" s="106">
        <f t="shared" si="78"/>
        <v>7.2000000000000008E-2</v>
      </c>
      <c r="CV59" s="106">
        <f t="shared" si="78"/>
        <v>7.2000000000000008E-2</v>
      </c>
      <c r="CW59" s="106">
        <f t="shared" si="78"/>
        <v>7.2000000000000008E-2</v>
      </c>
      <c r="CX59" s="106">
        <f t="shared" si="78"/>
        <v>7.2000000000000008E-2</v>
      </c>
      <c r="CY59" s="106">
        <f t="shared" si="78"/>
        <v>7.2000000000000008E-2</v>
      </c>
      <c r="CZ59" s="106">
        <f t="shared" si="78"/>
        <v>7.2000000000000008E-2</v>
      </c>
      <c r="DA59" s="106">
        <f t="shared" si="78"/>
        <v>7.2000000000000008E-2</v>
      </c>
      <c r="DB59" s="106">
        <f t="shared" si="78"/>
        <v>7.2000000000000008E-2</v>
      </c>
      <c r="DC59" s="106">
        <f t="shared" si="78"/>
        <v>7.2000000000000008E-2</v>
      </c>
      <c r="DD59" s="106">
        <f t="shared" si="78"/>
        <v>7.2000000000000008E-2</v>
      </c>
      <c r="DE59" s="106">
        <f t="shared" si="78"/>
        <v>7.2000000000000008E-2</v>
      </c>
      <c r="DF59" s="106">
        <f t="shared" si="78"/>
        <v>7.2000000000000008E-2</v>
      </c>
      <c r="DG59" s="106">
        <f t="shared" si="78"/>
        <v>7.2000000000000008E-2</v>
      </c>
      <c r="DH59" s="106">
        <f t="shared" si="78"/>
        <v>7.2000000000000008E-2</v>
      </c>
      <c r="DI59" s="200">
        <f t="shared" si="78"/>
        <v>7.2000000000000008E-2</v>
      </c>
      <c r="DJ59" s="106">
        <f t="shared" si="78"/>
        <v>7.2000000000000008E-2</v>
      </c>
      <c r="DK59" s="105">
        <f t="shared" si="78"/>
        <v>7.2000000000000008E-2</v>
      </c>
      <c r="DL59" s="105">
        <f t="shared" si="78"/>
        <v>7.2000000000000008E-2</v>
      </c>
      <c r="DM59" s="106">
        <f t="shared" si="78"/>
        <v>7.2000000000000008E-2</v>
      </c>
      <c r="DN59" s="106">
        <f t="shared" si="78"/>
        <v>7.2000000000000008E-2</v>
      </c>
      <c r="DO59" s="106">
        <f t="shared" si="78"/>
        <v>7.2000000000000008E-2</v>
      </c>
      <c r="DP59" s="106">
        <f t="shared" si="78"/>
        <v>7.2000000000000008E-2</v>
      </c>
      <c r="DQ59" s="106">
        <f t="shared" si="78"/>
        <v>7.2000000000000008E-2</v>
      </c>
      <c r="DR59" s="106">
        <f t="shared" si="78"/>
        <v>7.2000000000000008E-2</v>
      </c>
      <c r="DS59" s="106">
        <f t="shared" si="78"/>
        <v>7.2000000000000008E-2</v>
      </c>
      <c r="DT59" s="106">
        <f t="shared" si="78"/>
        <v>7.2000000000000008E-2</v>
      </c>
      <c r="DU59" s="106">
        <f t="shared" si="78"/>
        <v>7.2000000000000008E-2</v>
      </c>
      <c r="DV59" s="106">
        <f t="shared" si="78"/>
        <v>7.2000000000000008E-2</v>
      </c>
      <c r="DW59" s="106">
        <f t="shared" si="78"/>
        <v>7.2000000000000008E-2</v>
      </c>
      <c r="DX59" s="106">
        <f t="shared" si="78"/>
        <v>7.2000000000000008E-2</v>
      </c>
      <c r="DY59" s="106">
        <f t="shared" si="78"/>
        <v>7.2000000000000008E-2</v>
      </c>
      <c r="DZ59" s="106">
        <f t="shared" si="78"/>
        <v>7.2000000000000008E-2</v>
      </c>
      <c r="EA59" s="106">
        <f t="shared" si="78"/>
        <v>7.2000000000000008E-2</v>
      </c>
      <c r="EB59" s="106">
        <f t="shared" ref="EB59:GO59" si="79">+EB67</f>
        <v>7.2000000000000008E-2</v>
      </c>
      <c r="EC59" s="106">
        <f t="shared" si="79"/>
        <v>7.2000000000000008E-2</v>
      </c>
      <c r="ED59" s="106">
        <f t="shared" si="79"/>
        <v>7.2000000000000008E-2</v>
      </c>
      <c r="EE59" s="106">
        <f t="shared" si="79"/>
        <v>7.2000000000000008E-2</v>
      </c>
      <c r="EF59" s="106">
        <f t="shared" si="79"/>
        <v>7.2000000000000008E-2</v>
      </c>
      <c r="EG59" s="106">
        <f t="shared" si="79"/>
        <v>7.2000000000000008E-2</v>
      </c>
      <c r="EH59" s="106">
        <f t="shared" si="79"/>
        <v>7.2000000000000008E-2</v>
      </c>
      <c r="EI59" s="106">
        <f t="shared" si="79"/>
        <v>7.2000000000000008E-2</v>
      </c>
      <c r="EJ59" s="106">
        <f t="shared" si="79"/>
        <v>7.2000000000000008E-2</v>
      </c>
      <c r="EK59" s="106">
        <f t="shared" si="79"/>
        <v>7.2000000000000008E-2</v>
      </c>
      <c r="EL59" s="106">
        <f t="shared" si="79"/>
        <v>7.2000000000000008E-2</v>
      </c>
      <c r="EM59" s="106">
        <f t="shared" si="79"/>
        <v>7.2000000000000008E-2</v>
      </c>
      <c r="EN59" s="106">
        <f t="shared" si="79"/>
        <v>7.2000000000000008E-2</v>
      </c>
      <c r="EO59" s="106">
        <f t="shared" si="79"/>
        <v>7.2000000000000008E-2</v>
      </c>
      <c r="EP59" s="106">
        <f t="shared" si="79"/>
        <v>7.2000000000000008E-2</v>
      </c>
      <c r="EQ59" s="106">
        <f t="shared" si="79"/>
        <v>7.2000000000000008E-2</v>
      </c>
      <c r="ER59" s="106">
        <f t="shared" si="79"/>
        <v>7.2000000000000008E-2</v>
      </c>
      <c r="ES59" s="106">
        <f t="shared" si="79"/>
        <v>7.2000000000000008E-2</v>
      </c>
      <c r="ET59" s="106">
        <f t="shared" si="79"/>
        <v>7.2000000000000008E-2</v>
      </c>
      <c r="EU59" s="106">
        <f t="shared" si="79"/>
        <v>7.2000000000000008E-2</v>
      </c>
      <c r="EV59" s="106">
        <f t="shared" si="79"/>
        <v>7.2000000000000008E-2</v>
      </c>
      <c r="EW59" s="200">
        <f t="shared" si="79"/>
        <v>7.2000000000000008E-2</v>
      </c>
      <c r="EX59" s="200">
        <f t="shared" ref="EX59" si="80">+EX67</f>
        <v>7.2000000000000008E-2</v>
      </c>
      <c r="EY59" s="106">
        <f t="shared" si="79"/>
        <v>7.2000000000000008E-2</v>
      </c>
      <c r="EZ59" s="105">
        <f t="shared" si="79"/>
        <v>7.2000000000000008E-2</v>
      </c>
      <c r="FA59" s="105">
        <f t="shared" si="79"/>
        <v>7.2000000000000008E-2</v>
      </c>
      <c r="FB59" s="106">
        <f t="shared" si="79"/>
        <v>7.2000000000000008E-2</v>
      </c>
      <c r="FC59" s="106">
        <f t="shared" si="79"/>
        <v>7.2000000000000008E-2</v>
      </c>
      <c r="FD59" s="106">
        <f t="shared" si="79"/>
        <v>7.2000000000000008E-2</v>
      </c>
      <c r="FE59" s="106">
        <f t="shared" si="79"/>
        <v>7.2000000000000008E-2</v>
      </c>
      <c r="FF59" s="106">
        <f t="shared" si="79"/>
        <v>7.2000000000000008E-2</v>
      </c>
      <c r="FG59" s="106">
        <f t="shared" si="79"/>
        <v>7.2000000000000008E-2</v>
      </c>
      <c r="FH59" s="106">
        <f t="shared" si="79"/>
        <v>7.2000000000000008E-2</v>
      </c>
      <c r="FI59" s="106">
        <f t="shared" si="79"/>
        <v>7.2000000000000008E-2</v>
      </c>
      <c r="FJ59" s="106">
        <f t="shared" si="79"/>
        <v>7.2000000000000008E-2</v>
      </c>
      <c r="FK59" s="106">
        <f t="shared" si="79"/>
        <v>7.2000000000000008E-2</v>
      </c>
      <c r="FL59" s="106">
        <f t="shared" si="79"/>
        <v>7.2000000000000008E-2</v>
      </c>
      <c r="FM59" s="106">
        <f t="shared" si="79"/>
        <v>7.2000000000000008E-2</v>
      </c>
      <c r="FN59" s="106">
        <f t="shared" si="79"/>
        <v>7.2000000000000008E-2</v>
      </c>
      <c r="FO59" s="106">
        <f t="shared" si="79"/>
        <v>7.2000000000000008E-2</v>
      </c>
      <c r="FP59" s="106">
        <f t="shared" si="79"/>
        <v>7.2000000000000008E-2</v>
      </c>
      <c r="FQ59" s="106">
        <f t="shared" si="79"/>
        <v>7.2000000000000008E-2</v>
      </c>
      <c r="FR59" s="106">
        <f t="shared" si="79"/>
        <v>7.2000000000000008E-2</v>
      </c>
      <c r="FS59" s="106">
        <f t="shared" si="79"/>
        <v>7.2000000000000008E-2</v>
      </c>
      <c r="FT59" s="106">
        <f t="shared" si="79"/>
        <v>7.2000000000000008E-2</v>
      </c>
      <c r="FU59" s="106">
        <f t="shared" si="79"/>
        <v>7.2000000000000008E-2</v>
      </c>
      <c r="FV59" s="106">
        <f t="shared" si="79"/>
        <v>7.2000000000000008E-2</v>
      </c>
      <c r="FW59" s="106">
        <f t="shared" si="79"/>
        <v>7.2000000000000008E-2</v>
      </c>
      <c r="FX59" s="106">
        <f t="shared" si="79"/>
        <v>7.2000000000000008E-2</v>
      </c>
      <c r="FY59" s="106">
        <f t="shared" si="79"/>
        <v>7.2000000000000008E-2</v>
      </c>
      <c r="FZ59" s="106">
        <f t="shared" si="79"/>
        <v>7.2000000000000008E-2</v>
      </c>
      <c r="GA59" s="106">
        <f t="shared" si="79"/>
        <v>7.2000000000000008E-2</v>
      </c>
      <c r="GB59" s="106">
        <f t="shared" si="79"/>
        <v>7.2000000000000008E-2</v>
      </c>
      <c r="GC59" s="106">
        <f t="shared" si="79"/>
        <v>7.2000000000000008E-2</v>
      </c>
      <c r="GD59" s="106">
        <f t="shared" si="79"/>
        <v>7.2000000000000008E-2</v>
      </c>
      <c r="GE59" s="106">
        <f t="shared" si="79"/>
        <v>7.2000000000000008E-2</v>
      </c>
      <c r="GF59" s="106">
        <f t="shared" si="79"/>
        <v>7.2000000000000008E-2</v>
      </c>
      <c r="GG59" s="106">
        <f t="shared" si="79"/>
        <v>7.2000000000000008E-2</v>
      </c>
      <c r="GH59" s="106">
        <f t="shared" si="79"/>
        <v>7.2000000000000008E-2</v>
      </c>
      <c r="GI59" s="106">
        <f t="shared" si="79"/>
        <v>7.2000000000000008E-2</v>
      </c>
      <c r="GJ59" s="106">
        <f t="shared" si="79"/>
        <v>7.2000000000000008E-2</v>
      </c>
      <c r="GK59" s="106">
        <f t="shared" si="79"/>
        <v>7.2000000000000008E-2</v>
      </c>
      <c r="GL59" s="200">
        <f t="shared" si="79"/>
        <v>7.2000000000000008E-2</v>
      </c>
      <c r="GM59" s="200">
        <f t="shared" si="79"/>
        <v>7.2000000000000008E-2</v>
      </c>
      <c r="GN59" s="106">
        <f t="shared" si="79"/>
        <v>7.2000000000000008E-2</v>
      </c>
      <c r="GO59" s="105">
        <f t="shared" si="79"/>
        <v>7.2000000000000008E-2</v>
      </c>
      <c r="GP59" s="105">
        <f t="shared" ref="GP59:IE59" si="81">+GP67</f>
        <v>7.2000000000000008E-2</v>
      </c>
      <c r="GQ59" s="106">
        <f t="shared" si="81"/>
        <v>7.2000000000000008E-2</v>
      </c>
      <c r="GR59" s="106">
        <f t="shared" si="81"/>
        <v>7.2000000000000008E-2</v>
      </c>
      <c r="GS59" s="106">
        <f t="shared" si="81"/>
        <v>7.2000000000000008E-2</v>
      </c>
      <c r="GT59" s="106">
        <f t="shared" si="81"/>
        <v>7.2000000000000008E-2</v>
      </c>
      <c r="GU59" s="106">
        <f t="shared" si="81"/>
        <v>7.2000000000000008E-2</v>
      </c>
      <c r="GV59" s="106">
        <f t="shared" si="81"/>
        <v>7.2000000000000008E-2</v>
      </c>
      <c r="GW59" s="106">
        <f t="shared" si="81"/>
        <v>7.2000000000000008E-2</v>
      </c>
      <c r="GX59" s="106">
        <f t="shared" si="81"/>
        <v>7.2000000000000008E-2</v>
      </c>
      <c r="GY59" s="106">
        <f t="shared" si="81"/>
        <v>7.2000000000000008E-2</v>
      </c>
      <c r="GZ59" s="106">
        <f t="shared" si="81"/>
        <v>7.2000000000000008E-2</v>
      </c>
      <c r="HA59" s="106">
        <f t="shared" si="81"/>
        <v>7.2000000000000008E-2</v>
      </c>
      <c r="HB59" s="106">
        <f t="shared" si="81"/>
        <v>7.2000000000000008E-2</v>
      </c>
      <c r="HC59" s="106">
        <f t="shared" si="81"/>
        <v>7.2000000000000008E-2</v>
      </c>
      <c r="HD59" s="106">
        <f t="shared" si="81"/>
        <v>7.2000000000000008E-2</v>
      </c>
      <c r="HE59" s="106">
        <f t="shared" si="81"/>
        <v>7.2000000000000008E-2</v>
      </c>
      <c r="HF59" s="106">
        <f t="shared" si="81"/>
        <v>7.2000000000000008E-2</v>
      </c>
      <c r="HG59" s="106">
        <f t="shared" si="81"/>
        <v>7.2000000000000008E-2</v>
      </c>
      <c r="HH59" s="106">
        <f t="shared" si="81"/>
        <v>7.2000000000000008E-2</v>
      </c>
      <c r="HI59" s="106">
        <f t="shared" si="81"/>
        <v>7.2000000000000008E-2</v>
      </c>
      <c r="HJ59" s="106">
        <f t="shared" si="81"/>
        <v>7.2000000000000008E-2</v>
      </c>
      <c r="HK59" s="106">
        <f t="shared" si="81"/>
        <v>7.2000000000000008E-2</v>
      </c>
      <c r="HL59" s="106">
        <f t="shared" si="81"/>
        <v>7.2000000000000008E-2</v>
      </c>
      <c r="HM59" s="106">
        <f t="shared" si="81"/>
        <v>7.2000000000000008E-2</v>
      </c>
      <c r="HN59" s="106">
        <f t="shared" si="81"/>
        <v>7.2000000000000008E-2</v>
      </c>
      <c r="HO59" s="106">
        <f t="shared" si="81"/>
        <v>7.2000000000000008E-2</v>
      </c>
      <c r="HP59" s="106">
        <f t="shared" si="81"/>
        <v>7.2000000000000008E-2</v>
      </c>
      <c r="HQ59" s="106">
        <f t="shared" si="81"/>
        <v>7.2000000000000008E-2</v>
      </c>
      <c r="HR59" s="106">
        <f t="shared" si="81"/>
        <v>7.2000000000000008E-2</v>
      </c>
      <c r="HS59" s="106">
        <f t="shared" si="81"/>
        <v>7.2000000000000008E-2</v>
      </c>
      <c r="HT59" s="106">
        <f t="shared" si="81"/>
        <v>7.2000000000000008E-2</v>
      </c>
      <c r="HU59" s="106">
        <f t="shared" si="81"/>
        <v>7.2000000000000008E-2</v>
      </c>
      <c r="HV59" s="106">
        <f t="shared" si="81"/>
        <v>7.2000000000000008E-2</v>
      </c>
      <c r="HW59" s="106">
        <f t="shared" si="81"/>
        <v>7.2000000000000008E-2</v>
      </c>
      <c r="HX59" s="106">
        <f t="shared" si="81"/>
        <v>7.2000000000000008E-2</v>
      </c>
      <c r="HY59" s="106">
        <f t="shared" si="81"/>
        <v>7.2000000000000008E-2</v>
      </c>
      <c r="HZ59" s="106">
        <f t="shared" si="81"/>
        <v>7.2000000000000008E-2</v>
      </c>
      <c r="IA59" s="200">
        <f t="shared" si="81"/>
        <v>7.2000000000000008E-2</v>
      </c>
      <c r="IB59" s="200">
        <f t="shared" ref="IB59" si="82">+IB67</f>
        <v>7.2000000000000008E-2</v>
      </c>
      <c r="IC59" s="106">
        <f t="shared" si="81"/>
        <v>7.2000000000000008E-2</v>
      </c>
      <c r="ID59" s="105">
        <f t="shared" si="81"/>
        <v>7.2000000000000008E-2</v>
      </c>
      <c r="IE59" s="105">
        <f t="shared" si="81"/>
        <v>7.2000000000000008E-2</v>
      </c>
      <c r="IF59" s="47" t="s">
        <v>34</v>
      </c>
    </row>
    <row r="60" spans="1:240" x14ac:dyDescent="0.3">
      <c r="A60" s="58">
        <f>ROW()</f>
        <v>60</v>
      </c>
      <c r="B60" s="47" t="s">
        <v>105</v>
      </c>
      <c r="C60" s="108">
        <v>0.75480100000000006</v>
      </c>
      <c r="D60" s="109">
        <v>0.75480100000000006</v>
      </c>
      <c r="E60" s="109">
        <v>0.75480100000000006</v>
      </c>
      <c r="F60" s="109">
        <v>0.75480100000000006</v>
      </c>
      <c r="G60" s="109">
        <v>0.75480100000000006</v>
      </c>
      <c r="H60" s="109">
        <v>0.75480100000000006</v>
      </c>
      <c r="I60" s="109">
        <v>0.75480100000000006</v>
      </c>
      <c r="J60" s="109">
        <v>0.75480100000000006</v>
      </c>
      <c r="K60" s="109">
        <v>0.75480100000000006</v>
      </c>
      <c r="L60" s="109">
        <v>0.75480100000000006</v>
      </c>
      <c r="M60" s="109">
        <v>0.75480100000000006</v>
      </c>
      <c r="N60" s="109">
        <v>0.75480100000000006</v>
      </c>
      <c r="O60" s="109">
        <v>0.75480100000000006</v>
      </c>
      <c r="P60" s="109">
        <v>0.75480100000000006</v>
      </c>
      <c r="Q60" s="109">
        <v>0.75480100000000006</v>
      </c>
      <c r="R60" s="109">
        <v>0.75480100000000006</v>
      </c>
      <c r="S60" s="109">
        <v>0.75480100000000006</v>
      </c>
      <c r="T60" s="109">
        <v>0.75480100000000006</v>
      </c>
      <c r="U60" s="109">
        <v>0.75480100000000006</v>
      </c>
      <c r="V60" s="109">
        <v>0.75480100000000006</v>
      </c>
      <c r="W60" s="109">
        <v>0.75480100000000006</v>
      </c>
      <c r="X60" s="109">
        <v>0.75480100000000006</v>
      </c>
      <c r="Y60" s="109">
        <v>0.75480100000000006</v>
      </c>
      <c r="Z60" s="109">
        <v>0.75480100000000006</v>
      </c>
      <c r="AA60" s="109">
        <v>0.75480100000000006</v>
      </c>
      <c r="AB60" s="109">
        <v>0.75480100000000006</v>
      </c>
      <c r="AC60" s="109">
        <v>0.75480100000000006</v>
      </c>
      <c r="AD60" s="109">
        <v>0.75480100000000006</v>
      </c>
      <c r="AE60" s="109">
        <v>0.75480100000000006</v>
      </c>
      <c r="AF60" s="109">
        <v>0.75480100000000006</v>
      </c>
      <c r="AG60" s="109">
        <v>0.75480100000000006</v>
      </c>
      <c r="AH60" s="109">
        <v>0.75480100000000006</v>
      </c>
      <c r="AI60" s="108">
        <v>0.75480100000000006</v>
      </c>
      <c r="AJ60" s="108">
        <v>0.75480100000000006</v>
      </c>
      <c r="AK60" s="109">
        <v>0.75480100000000006</v>
      </c>
      <c r="AL60" s="109">
        <v>0.75480100000000006</v>
      </c>
      <c r="AM60" s="109">
        <v>0.75480100000000006</v>
      </c>
      <c r="AN60" s="109">
        <v>0.75480100000000006</v>
      </c>
      <c r="AO60" s="109">
        <v>0.75480100000000006</v>
      </c>
      <c r="AP60" s="109">
        <v>0.75480100000000006</v>
      </c>
      <c r="AQ60" s="109">
        <v>0.75480100000000006</v>
      </c>
      <c r="AR60" s="109">
        <v>0.75480100000000006</v>
      </c>
      <c r="AS60" s="109">
        <v>0.75480100000000006</v>
      </c>
      <c r="AT60" s="109">
        <v>0.75480100000000006</v>
      </c>
      <c r="AU60" s="109">
        <v>0.75480100000000006</v>
      </c>
      <c r="AV60" s="109">
        <v>0.75480100000000006</v>
      </c>
      <c r="AW60" s="109">
        <v>0.75480100000000006</v>
      </c>
      <c r="AX60" s="109">
        <v>0.75480100000000006</v>
      </c>
      <c r="AY60" s="109">
        <v>0.75480100000000006</v>
      </c>
      <c r="AZ60" s="109">
        <v>0.75480100000000006</v>
      </c>
      <c r="BA60" s="109">
        <v>0.75480100000000006</v>
      </c>
      <c r="BB60" s="109">
        <v>0.75480100000000006</v>
      </c>
      <c r="BC60" s="109">
        <v>0.75480100000000006</v>
      </c>
      <c r="BD60" s="109">
        <v>0.75480100000000006</v>
      </c>
      <c r="BE60" s="109">
        <v>0.75480100000000006</v>
      </c>
      <c r="BF60" s="109">
        <v>0.75480100000000006</v>
      </c>
      <c r="BG60" s="109">
        <v>0.75480100000000006</v>
      </c>
      <c r="BH60" s="109">
        <v>0.75480100000000006</v>
      </c>
      <c r="BI60" s="109">
        <v>0.75480100000000006</v>
      </c>
      <c r="BJ60" s="109">
        <v>0.75480100000000006</v>
      </c>
      <c r="BK60" s="109">
        <v>0.75480100000000006</v>
      </c>
      <c r="BL60" s="109">
        <v>0.75480100000000006</v>
      </c>
      <c r="BM60" s="109">
        <v>0.75480100000000006</v>
      </c>
      <c r="BN60" s="109">
        <v>0.75480100000000006</v>
      </c>
      <c r="BO60" s="109">
        <v>0.75480100000000006</v>
      </c>
      <c r="BP60" s="109">
        <v>0.75480100000000006</v>
      </c>
      <c r="BQ60" s="109">
        <v>0.75480100000000006</v>
      </c>
      <c r="BR60" s="109">
        <v>0.75480100000000006</v>
      </c>
      <c r="BS60" s="109">
        <v>0.75480100000000006</v>
      </c>
      <c r="BT60" s="109">
        <v>0.75480100000000006</v>
      </c>
      <c r="BU60" s="109">
        <v>0.75480100000000006</v>
      </c>
      <c r="BV60" s="109">
        <v>0.75480100000000006</v>
      </c>
      <c r="BW60" s="108">
        <v>0.75480100000000006</v>
      </c>
      <c r="BX60" s="108">
        <v>0.75480100000000006</v>
      </c>
      <c r="BY60" s="109">
        <v>0.75480100000000006</v>
      </c>
      <c r="BZ60" s="109">
        <v>0.75480100000000006</v>
      </c>
      <c r="CA60" s="109">
        <v>0.75480100000000006</v>
      </c>
      <c r="CB60" s="109">
        <v>0.75480100000000006</v>
      </c>
      <c r="CC60" s="109">
        <v>0.75480100000000006</v>
      </c>
      <c r="CD60" s="109">
        <v>0.75480100000000006</v>
      </c>
      <c r="CE60" s="109">
        <v>0.75480100000000006</v>
      </c>
      <c r="CF60" s="109">
        <v>0.75480100000000006</v>
      </c>
      <c r="CG60" s="109">
        <v>0.75480100000000006</v>
      </c>
      <c r="CH60" s="109">
        <v>0.75480100000000006</v>
      </c>
      <c r="CI60" s="109">
        <v>0.75480100000000006</v>
      </c>
      <c r="CJ60" s="109">
        <v>0.75480100000000006</v>
      </c>
      <c r="CK60" s="109">
        <v>0.75480100000000006</v>
      </c>
      <c r="CL60" s="109">
        <v>0.75480100000000006</v>
      </c>
      <c r="CM60" s="109">
        <v>0.75480100000000006</v>
      </c>
      <c r="CN60" s="109">
        <v>0.75480100000000006</v>
      </c>
      <c r="CO60" s="109">
        <v>0.75480100000000006</v>
      </c>
      <c r="CP60" s="109">
        <v>0.75480100000000006</v>
      </c>
      <c r="CQ60" s="109">
        <v>0.75480100000000006</v>
      </c>
      <c r="CR60" s="109">
        <v>0.75480100000000006</v>
      </c>
      <c r="CS60" s="109">
        <v>0.75480100000000006</v>
      </c>
      <c r="CT60" s="109">
        <v>0.75480100000000006</v>
      </c>
      <c r="CU60" s="109">
        <v>0.75480100000000006</v>
      </c>
      <c r="CV60" s="109">
        <v>0.75480100000000006</v>
      </c>
      <c r="CW60" s="109">
        <v>0.75480100000000006</v>
      </c>
      <c r="CX60" s="109">
        <v>0.75480100000000006</v>
      </c>
      <c r="CY60" s="109">
        <v>0.75480100000000006</v>
      </c>
      <c r="CZ60" s="109">
        <v>0.75480100000000006</v>
      </c>
      <c r="DA60" s="109">
        <v>0.75480100000000006</v>
      </c>
      <c r="DB60" s="109">
        <v>0.75480100000000006</v>
      </c>
      <c r="DC60" s="109">
        <v>0.75480100000000006</v>
      </c>
      <c r="DD60" s="109">
        <v>0.75480100000000006</v>
      </c>
      <c r="DE60" s="109">
        <v>0.75480100000000006</v>
      </c>
      <c r="DF60" s="109">
        <v>0.75480100000000006</v>
      </c>
      <c r="DG60" s="109">
        <v>0.75480100000000006</v>
      </c>
      <c r="DH60" s="109">
        <v>0.75480100000000006</v>
      </c>
      <c r="DI60" s="215">
        <v>0.75480100000000006</v>
      </c>
      <c r="DJ60" s="109">
        <v>0.75480100000000006</v>
      </c>
      <c r="DK60" s="108">
        <v>0.75480100000000006</v>
      </c>
      <c r="DL60" s="108">
        <v>0.75480100000000006</v>
      </c>
      <c r="DM60" s="109">
        <v>0.75480100000000006</v>
      </c>
      <c r="DN60" s="109">
        <v>0.75480100000000006</v>
      </c>
      <c r="DO60" s="109">
        <v>0.75480100000000006</v>
      </c>
      <c r="DP60" s="109">
        <v>0.75480100000000006</v>
      </c>
      <c r="DQ60" s="109">
        <v>0.75480100000000006</v>
      </c>
      <c r="DR60" s="109">
        <v>0.75480100000000006</v>
      </c>
      <c r="DS60" s="109">
        <v>0.75480100000000006</v>
      </c>
      <c r="DT60" s="109">
        <v>0.75480100000000006</v>
      </c>
      <c r="DU60" s="109">
        <v>0.75480100000000006</v>
      </c>
      <c r="DV60" s="109">
        <v>0.75480100000000006</v>
      </c>
      <c r="DW60" s="109">
        <v>0.75480100000000006</v>
      </c>
      <c r="DX60" s="109">
        <v>0.75480100000000006</v>
      </c>
      <c r="DY60" s="109">
        <v>0.75480100000000006</v>
      </c>
      <c r="DZ60" s="109">
        <v>0.75480100000000006</v>
      </c>
      <c r="EA60" s="109">
        <v>0.75480100000000006</v>
      </c>
      <c r="EB60" s="109">
        <v>0.75480100000000006</v>
      </c>
      <c r="EC60" s="109">
        <v>0.75480100000000006</v>
      </c>
      <c r="ED60" s="109">
        <v>0.75480100000000006</v>
      </c>
      <c r="EE60" s="109">
        <v>0.75480100000000006</v>
      </c>
      <c r="EF60" s="109">
        <v>0.75480100000000006</v>
      </c>
      <c r="EG60" s="109">
        <v>0.75480100000000006</v>
      </c>
      <c r="EH60" s="109">
        <v>0.75480100000000006</v>
      </c>
      <c r="EI60" s="109">
        <v>0.75480100000000006</v>
      </c>
      <c r="EJ60" s="109">
        <v>0.75480100000000006</v>
      </c>
      <c r="EK60" s="109">
        <v>0.75480100000000006</v>
      </c>
      <c r="EL60" s="109">
        <v>0.75480100000000006</v>
      </c>
      <c r="EM60" s="109">
        <v>0.75480100000000006</v>
      </c>
      <c r="EN60" s="109">
        <v>0.75480100000000006</v>
      </c>
      <c r="EO60" s="109">
        <v>0.75480100000000006</v>
      </c>
      <c r="EP60" s="109">
        <v>0.75480100000000006</v>
      </c>
      <c r="EQ60" s="109">
        <v>0.75480100000000006</v>
      </c>
      <c r="ER60" s="109">
        <v>0.75480100000000006</v>
      </c>
      <c r="ES60" s="109">
        <v>0.75480100000000006</v>
      </c>
      <c r="ET60" s="109">
        <v>0.75480100000000006</v>
      </c>
      <c r="EU60" s="109">
        <v>0.75480100000000006</v>
      </c>
      <c r="EV60" s="109">
        <v>0.75480100000000006</v>
      </c>
      <c r="EW60" s="215">
        <v>0.75480100000000006</v>
      </c>
      <c r="EX60" s="215">
        <v>0.75480100000000006</v>
      </c>
      <c r="EY60" s="109">
        <v>0.75480100000000006</v>
      </c>
      <c r="EZ60" s="108">
        <v>0.75480100000000006</v>
      </c>
      <c r="FA60" s="108">
        <v>0.75480100000000006</v>
      </c>
      <c r="FB60" s="109">
        <v>0.75480100000000006</v>
      </c>
      <c r="FC60" s="109">
        <v>0.75480100000000006</v>
      </c>
      <c r="FD60" s="109">
        <v>0.75480100000000006</v>
      </c>
      <c r="FE60" s="109">
        <v>0.75480100000000006</v>
      </c>
      <c r="FF60" s="109">
        <v>0.75480100000000006</v>
      </c>
      <c r="FG60" s="109">
        <v>0.75480100000000006</v>
      </c>
      <c r="FH60" s="109">
        <v>0.75480100000000006</v>
      </c>
      <c r="FI60" s="109">
        <v>0.75480100000000006</v>
      </c>
      <c r="FJ60" s="109">
        <v>0.75480100000000006</v>
      </c>
      <c r="FK60" s="109">
        <v>0.75480100000000006</v>
      </c>
      <c r="FL60" s="109">
        <v>0.75480100000000006</v>
      </c>
      <c r="FM60" s="109">
        <v>0.75480100000000006</v>
      </c>
      <c r="FN60" s="109">
        <v>0.75480100000000006</v>
      </c>
      <c r="FO60" s="109">
        <v>0.75480100000000006</v>
      </c>
      <c r="FP60" s="109">
        <v>0.75480100000000006</v>
      </c>
      <c r="FQ60" s="109">
        <v>0.75480100000000006</v>
      </c>
      <c r="FR60" s="109">
        <v>0.75480100000000006</v>
      </c>
      <c r="FS60" s="109">
        <v>0.75480100000000006</v>
      </c>
      <c r="FT60" s="109">
        <v>0.75480100000000006</v>
      </c>
      <c r="FU60" s="109">
        <v>0.75480100000000006</v>
      </c>
      <c r="FV60" s="109">
        <v>0.75480100000000006</v>
      </c>
      <c r="FW60" s="109">
        <v>0.75480100000000006</v>
      </c>
      <c r="FX60" s="109">
        <v>0.75480100000000006</v>
      </c>
      <c r="FY60" s="109">
        <v>0.75480100000000006</v>
      </c>
      <c r="FZ60" s="109">
        <v>0.75480100000000006</v>
      </c>
      <c r="GA60" s="109">
        <v>0.75480100000000006</v>
      </c>
      <c r="GB60" s="109">
        <v>0.75480100000000006</v>
      </c>
      <c r="GC60" s="109">
        <v>0.75480100000000006</v>
      </c>
      <c r="GD60" s="109">
        <v>0.75480100000000006</v>
      </c>
      <c r="GE60" s="109">
        <v>0.75480100000000006</v>
      </c>
      <c r="GF60" s="109">
        <v>0.75480100000000006</v>
      </c>
      <c r="GG60" s="109">
        <v>0.75480100000000006</v>
      </c>
      <c r="GH60" s="109">
        <v>0.75480100000000006</v>
      </c>
      <c r="GI60" s="109">
        <v>0.75480100000000006</v>
      </c>
      <c r="GJ60" s="109">
        <v>0.75480100000000006</v>
      </c>
      <c r="GK60" s="109">
        <v>0.75480100000000006</v>
      </c>
      <c r="GL60" s="215">
        <v>0.75480100000000006</v>
      </c>
      <c r="GM60" s="215">
        <v>0.75480100000000006</v>
      </c>
      <c r="GN60" s="109">
        <v>0.75480100000000006</v>
      </c>
      <c r="GO60" s="108">
        <v>0.75480100000000006</v>
      </c>
      <c r="GP60" s="108">
        <v>0.75480100000000006</v>
      </c>
      <c r="GQ60" s="109">
        <v>0.75480100000000006</v>
      </c>
      <c r="GR60" s="109">
        <v>0.75480100000000006</v>
      </c>
      <c r="GS60" s="109">
        <v>0.75480100000000006</v>
      </c>
      <c r="GT60" s="109">
        <v>0.75480100000000006</v>
      </c>
      <c r="GU60" s="109">
        <v>0.75480100000000006</v>
      </c>
      <c r="GV60" s="109">
        <v>0.75480100000000006</v>
      </c>
      <c r="GW60" s="109">
        <v>0.75480100000000006</v>
      </c>
      <c r="GX60" s="109">
        <v>0.75480100000000006</v>
      </c>
      <c r="GY60" s="109">
        <v>0.75480100000000006</v>
      </c>
      <c r="GZ60" s="109">
        <v>0.75480100000000006</v>
      </c>
      <c r="HA60" s="109">
        <v>0.75480100000000006</v>
      </c>
      <c r="HB60" s="109">
        <v>0.75480100000000006</v>
      </c>
      <c r="HC60" s="109">
        <v>0.75480100000000006</v>
      </c>
      <c r="HD60" s="109">
        <v>0.75480100000000006</v>
      </c>
      <c r="HE60" s="109">
        <v>0.75480100000000006</v>
      </c>
      <c r="HF60" s="109">
        <v>0.75480100000000006</v>
      </c>
      <c r="HG60" s="109">
        <v>0.75480100000000006</v>
      </c>
      <c r="HH60" s="109">
        <v>0.75480100000000006</v>
      </c>
      <c r="HI60" s="109">
        <v>0.75480100000000006</v>
      </c>
      <c r="HJ60" s="109">
        <v>0.75480100000000006</v>
      </c>
      <c r="HK60" s="109">
        <v>0.75480100000000006</v>
      </c>
      <c r="HL60" s="109">
        <v>0.75480100000000006</v>
      </c>
      <c r="HM60" s="109">
        <v>0.75480100000000006</v>
      </c>
      <c r="HN60" s="109">
        <v>0.75480100000000006</v>
      </c>
      <c r="HO60" s="109">
        <v>0.75480100000000006</v>
      </c>
      <c r="HP60" s="109">
        <v>0.75480100000000006</v>
      </c>
      <c r="HQ60" s="109">
        <v>0.75480100000000006</v>
      </c>
      <c r="HR60" s="109">
        <v>0.75480100000000006</v>
      </c>
      <c r="HS60" s="109">
        <v>0.75480100000000006</v>
      </c>
      <c r="HT60" s="109">
        <v>0.75480100000000006</v>
      </c>
      <c r="HU60" s="109">
        <v>0.75480100000000006</v>
      </c>
      <c r="HV60" s="109">
        <v>0.75480100000000006</v>
      </c>
      <c r="HW60" s="109">
        <v>0.75480100000000006</v>
      </c>
      <c r="HX60" s="109">
        <v>0.75480100000000006</v>
      </c>
      <c r="HY60" s="109">
        <v>0.75480100000000006</v>
      </c>
      <c r="HZ60" s="109">
        <v>0.75480100000000006</v>
      </c>
      <c r="IA60" s="215">
        <v>0.75480100000000006</v>
      </c>
      <c r="IB60" s="215">
        <v>0.75480100000000006</v>
      </c>
      <c r="IC60" s="109">
        <v>0.75480100000000006</v>
      </c>
      <c r="ID60" s="108">
        <v>0.75480100000000006</v>
      </c>
      <c r="IE60" s="108">
        <v>0.75480100000000006</v>
      </c>
      <c r="IF60" s="47" t="s">
        <v>34</v>
      </c>
    </row>
    <row r="61" spans="1:240" x14ac:dyDescent="0.3">
      <c r="A61" s="58">
        <f>ROW()</f>
        <v>61</v>
      </c>
      <c r="B61" s="47" t="s">
        <v>106</v>
      </c>
      <c r="C61" s="78">
        <f>+C44-(C57*C59)</f>
        <v>-28985335.453631878</v>
      </c>
      <c r="D61" s="88">
        <f t="shared" ref="D61:AH61" si="83">+D44-(D57*D59)</f>
        <v>4268094.9130006935</v>
      </c>
      <c r="E61" s="88">
        <f t="shared" si="83"/>
        <v>-611838.08835041523</v>
      </c>
      <c r="F61" s="88">
        <f t="shared" si="83"/>
        <v>36564.135962030472</v>
      </c>
      <c r="G61" s="88">
        <f t="shared" si="83"/>
        <v>4083468.6190756047</v>
      </c>
      <c r="H61" s="88">
        <f>+H44-(H57*H59)</f>
        <v>13470187.035978962</v>
      </c>
      <c r="I61" s="88">
        <f t="shared" si="83"/>
        <v>332327.22565972776</v>
      </c>
      <c r="J61" s="88">
        <f t="shared" si="83"/>
        <v>-30618.301992259963</v>
      </c>
      <c r="K61" s="88">
        <f t="shared" si="83"/>
        <v>950.77666197940709</v>
      </c>
      <c r="L61" s="88">
        <f t="shared" si="83"/>
        <v>13767.210054030083</v>
      </c>
      <c r="M61" s="88">
        <f t="shared" si="83"/>
        <v>662275.35417178285</v>
      </c>
      <c r="N61" s="88">
        <f t="shared" si="83"/>
        <v>-2217552.9012950091</v>
      </c>
      <c r="O61" s="88">
        <f t="shared" si="83"/>
        <v>-49077.570371584741</v>
      </c>
      <c r="P61" s="88">
        <f t="shared" si="83"/>
        <v>-3870.6276671299306</v>
      </c>
      <c r="Q61" s="88">
        <f t="shared" si="83"/>
        <v>-238403.68133350945</v>
      </c>
      <c r="R61" s="88">
        <f t="shared" si="83"/>
        <v>18053.427599999995</v>
      </c>
      <c r="S61" s="88">
        <f t="shared" si="83"/>
        <v>47549.921461222839</v>
      </c>
      <c r="T61" s="88">
        <f t="shared" si="83"/>
        <v>629811.27671236463</v>
      </c>
      <c r="U61" s="88">
        <f t="shared" si="83"/>
        <v>-939593.36042031588</v>
      </c>
      <c r="V61" s="88">
        <f t="shared" si="83"/>
        <v>-4829427.4258043636</v>
      </c>
      <c r="W61" s="88">
        <f t="shared" si="83"/>
        <v>194973.25313147515</v>
      </c>
      <c r="X61" s="88">
        <f>+X44-(X57*X59)</f>
        <v>6486.0668321998955</v>
      </c>
      <c r="Y61" s="88">
        <f t="shared" si="83"/>
        <v>0</v>
      </c>
      <c r="Z61" s="88">
        <f t="shared" si="83"/>
        <v>0</v>
      </c>
      <c r="AA61" s="88">
        <f t="shared" si="83"/>
        <v>4721590.3326891847</v>
      </c>
      <c r="AB61" s="88">
        <f t="shared" si="83"/>
        <v>0</v>
      </c>
      <c r="AC61" s="88">
        <f t="shared" si="83"/>
        <v>697854.35301457928</v>
      </c>
      <c r="AD61" s="88">
        <f t="shared" si="83"/>
        <v>0</v>
      </c>
      <c r="AE61" s="88">
        <f t="shared" si="83"/>
        <v>0</v>
      </c>
      <c r="AF61" s="88">
        <f>+AF44-(AF57*AF59)</f>
        <v>1711440.8507940078</v>
      </c>
      <c r="AG61" s="88">
        <f t="shared" si="83"/>
        <v>0</v>
      </c>
      <c r="AH61" s="88">
        <f t="shared" si="83"/>
        <v>0</v>
      </c>
      <c r="AI61" s="78">
        <f>SUM(D61:AH61)</f>
        <v>21975012.795565259</v>
      </c>
      <c r="AJ61" s="78">
        <f>+AJ44-(AJ57*AJ59)</f>
        <v>-7010322.6580665708</v>
      </c>
      <c r="AK61" s="88">
        <f t="shared" ref="AK61:BV61" si="84">+AK44-(AK57*AK59)</f>
        <v>-29612974.840182617</v>
      </c>
      <c r="AL61" s="88">
        <f t="shared" si="84"/>
        <v>0</v>
      </c>
      <c r="AM61" s="88">
        <f t="shared" si="84"/>
        <v>9813528.8017177954</v>
      </c>
      <c r="AN61" s="88">
        <f t="shared" si="84"/>
        <v>-803218.07202477497</v>
      </c>
      <c r="AO61" s="88">
        <f t="shared" si="84"/>
        <v>549694.16513885884</v>
      </c>
      <c r="AP61" s="88">
        <f t="shared" si="84"/>
        <v>0</v>
      </c>
      <c r="AQ61" s="88">
        <f t="shared" si="84"/>
        <v>0</v>
      </c>
      <c r="AR61" s="88">
        <f t="shared" si="84"/>
        <v>0</v>
      </c>
      <c r="AS61" s="88">
        <f t="shared" si="84"/>
        <v>-35344.100019756894</v>
      </c>
      <c r="AT61" s="88">
        <f t="shared" si="84"/>
        <v>0</v>
      </c>
      <c r="AU61" s="88">
        <f t="shared" si="84"/>
        <v>918682.31335913856</v>
      </c>
      <c r="AV61" s="88">
        <f t="shared" si="84"/>
        <v>0</v>
      </c>
      <c r="AW61" s="88">
        <f t="shared" si="84"/>
        <v>0</v>
      </c>
      <c r="AX61" s="88">
        <f t="shared" si="84"/>
        <v>-445734.37112307164</v>
      </c>
      <c r="AY61" s="88">
        <f t="shared" si="84"/>
        <v>19234.896299999982</v>
      </c>
      <c r="AZ61" s="88">
        <f t="shared" si="84"/>
        <v>0</v>
      </c>
      <c r="BA61" s="88">
        <f t="shared" si="84"/>
        <v>-489300.65499830747</v>
      </c>
      <c r="BB61" s="88">
        <f t="shared" si="84"/>
        <v>0</v>
      </c>
      <c r="BC61" s="88">
        <f t="shared" si="84"/>
        <v>0</v>
      </c>
      <c r="BD61" s="88">
        <f t="shared" si="84"/>
        <v>0</v>
      </c>
      <c r="BE61" s="88">
        <f t="shared" si="84"/>
        <v>0</v>
      </c>
      <c r="BF61" s="88">
        <f t="shared" si="84"/>
        <v>0</v>
      </c>
      <c r="BG61" s="88">
        <f t="shared" si="84"/>
        <v>0</v>
      </c>
      <c r="BH61" s="88">
        <f t="shared" si="84"/>
        <v>-6884166.510689185</v>
      </c>
      <c r="BI61" s="88">
        <f t="shared" si="84"/>
        <v>-4853428.043596887</v>
      </c>
      <c r="BJ61" s="88">
        <f t="shared" si="84"/>
        <v>0</v>
      </c>
      <c r="BK61" s="88">
        <f t="shared" si="84"/>
        <v>24196.743084059999</v>
      </c>
      <c r="BL61" s="88">
        <f t="shared" si="84"/>
        <v>0</v>
      </c>
      <c r="BM61" s="88">
        <f t="shared" si="84"/>
        <v>8428509.3648439329</v>
      </c>
      <c r="BN61" s="88">
        <f t="shared" si="84"/>
        <v>144991.52435590804</v>
      </c>
      <c r="BO61" s="88">
        <f t="shared" si="84"/>
        <v>-3512226.3981398609</v>
      </c>
      <c r="BP61" s="88">
        <f t="shared" si="84"/>
        <v>-4288164.8233399997</v>
      </c>
      <c r="BQ61" s="88">
        <f t="shared" si="84"/>
        <v>-207.98579752400005</v>
      </c>
      <c r="BR61" s="88">
        <f t="shared" si="84"/>
        <v>-1987227.5191118082</v>
      </c>
      <c r="BS61" s="88">
        <f t="shared" si="84"/>
        <v>0</v>
      </c>
      <c r="BT61" s="88">
        <f t="shared" si="84"/>
        <v>0</v>
      </c>
      <c r="BU61" s="88">
        <f t="shared" si="84"/>
        <v>-202129.2557349136</v>
      </c>
      <c r="BV61" s="88">
        <f t="shared" si="84"/>
        <v>0</v>
      </c>
      <c r="BW61" s="78">
        <f>SUM(AK61:BV61)</f>
        <v>-33215284.765959013</v>
      </c>
      <c r="BX61" s="78">
        <f>+BX44-(BX57*BX59)</f>
        <v>-40225607.424025536</v>
      </c>
      <c r="BY61" s="88">
        <f t="shared" ref="BY61:DJ61" si="85">+BY44-(BY57*BY59)</f>
        <v>11331219.433740547</v>
      </c>
      <c r="BZ61" s="88">
        <f t="shared" si="85"/>
        <v>0</v>
      </c>
      <c r="CA61" s="88">
        <f t="shared" si="85"/>
        <v>0</v>
      </c>
      <c r="CB61" s="88">
        <f t="shared" si="85"/>
        <v>-133864.04167777515</v>
      </c>
      <c r="CC61" s="88">
        <f t="shared" si="85"/>
        <v>246128.65813437337</v>
      </c>
      <c r="CD61" s="88">
        <f t="shared" si="85"/>
        <v>0</v>
      </c>
      <c r="CE61" s="88">
        <f t="shared" si="85"/>
        <v>0</v>
      </c>
      <c r="CF61" s="88">
        <f t="shared" si="85"/>
        <v>0</v>
      </c>
      <c r="CG61" s="88">
        <f t="shared" si="85"/>
        <v>0</v>
      </c>
      <c r="CH61" s="88">
        <f t="shared" si="85"/>
        <v>0</v>
      </c>
      <c r="CI61" s="88">
        <f t="shared" si="85"/>
        <v>-33965.106110777218</v>
      </c>
      <c r="CJ61" s="88">
        <f t="shared" si="85"/>
        <v>0</v>
      </c>
      <c r="CK61" s="88">
        <f t="shared" si="85"/>
        <v>0</v>
      </c>
      <c r="CL61" s="88">
        <f t="shared" si="85"/>
        <v>0</v>
      </c>
      <c r="CM61" s="88">
        <f t="shared" si="85"/>
        <v>0</v>
      </c>
      <c r="CN61" s="88">
        <f t="shared" si="85"/>
        <v>0</v>
      </c>
      <c r="CO61" s="88">
        <f t="shared" si="85"/>
        <v>0</v>
      </c>
      <c r="CP61" s="88">
        <f t="shared" si="85"/>
        <v>0</v>
      </c>
      <c r="CQ61" s="88">
        <f t="shared" si="85"/>
        <v>0</v>
      </c>
      <c r="CR61" s="88">
        <f t="shared" si="85"/>
        <v>0</v>
      </c>
      <c r="CS61" s="88">
        <f t="shared" si="85"/>
        <v>0</v>
      </c>
      <c r="CT61" s="88">
        <f t="shared" si="85"/>
        <v>0</v>
      </c>
      <c r="CU61" s="88">
        <f t="shared" si="85"/>
        <v>0</v>
      </c>
      <c r="CV61" s="88">
        <f t="shared" si="85"/>
        <v>0</v>
      </c>
      <c r="CW61" s="88">
        <f t="shared" si="85"/>
        <v>-251433.789633112</v>
      </c>
      <c r="CX61" s="88">
        <f t="shared" si="85"/>
        <v>0</v>
      </c>
      <c r="CY61" s="88">
        <f t="shared" si="85"/>
        <v>12098.371542030001</v>
      </c>
      <c r="CZ61" s="88">
        <f t="shared" si="85"/>
        <v>0</v>
      </c>
      <c r="DA61" s="88">
        <f t="shared" si="85"/>
        <v>19692451.721337847</v>
      </c>
      <c r="DB61" s="88">
        <f t="shared" si="85"/>
        <v>932145.09716979344</v>
      </c>
      <c r="DC61" s="88">
        <f t="shared" si="85"/>
        <v>-12435584.707072282</v>
      </c>
      <c r="DD61" s="88">
        <f t="shared" si="85"/>
        <v>-2910262.0388825056</v>
      </c>
      <c r="DE61" s="88">
        <f t="shared" si="85"/>
        <v>-923647.78358778567</v>
      </c>
      <c r="DF61" s="88">
        <f t="shared" si="85"/>
        <v>-4710716.656357781</v>
      </c>
      <c r="DG61" s="88">
        <f t="shared" si="85"/>
        <v>0</v>
      </c>
      <c r="DH61" s="88">
        <f t="shared" si="85"/>
        <v>259710.83057817232</v>
      </c>
      <c r="DI61" s="216">
        <f t="shared" ref="DI61" si="86">+DI44-(DI57*DI59)</f>
        <v>-161052.49175009737</v>
      </c>
      <c r="DJ61" s="88">
        <f t="shared" si="85"/>
        <v>0</v>
      </c>
      <c r="DK61" s="78">
        <f>SUM(BY61:DJ61)</f>
        <v>10913227.497430649</v>
      </c>
      <c r="DL61" s="78">
        <f>+DL44-(DL57*DL59)</f>
        <v>-29312379.926594883</v>
      </c>
      <c r="DM61" s="88">
        <f t="shared" ref="DM61:EY61" si="87">+DM44-(DM57*DM59)</f>
        <v>2402259.5491298623</v>
      </c>
      <c r="DN61" s="88">
        <f t="shared" si="87"/>
        <v>0</v>
      </c>
      <c r="DO61" s="88">
        <f t="shared" si="87"/>
        <v>0</v>
      </c>
      <c r="DP61" s="88">
        <f t="shared" si="87"/>
        <v>1218159.801651692</v>
      </c>
      <c r="DQ61" s="88">
        <f t="shared" si="87"/>
        <v>-788293.00387395511</v>
      </c>
      <c r="DR61" s="88">
        <f t="shared" si="87"/>
        <v>0</v>
      </c>
      <c r="DS61" s="88">
        <f t="shared" si="87"/>
        <v>0</v>
      </c>
      <c r="DT61" s="88">
        <f t="shared" si="87"/>
        <v>0</v>
      </c>
      <c r="DU61" s="88">
        <f t="shared" si="87"/>
        <v>0</v>
      </c>
      <c r="DV61" s="88">
        <f t="shared" si="87"/>
        <v>0</v>
      </c>
      <c r="DW61" s="88">
        <f t="shared" si="87"/>
        <v>-170818.57543166098</v>
      </c>
      <c r="DX61" s="88">
        <f t="shared" si="87"/>
        <v>0</v>
      </c>
      <c r="DY61" s="88">
        <f t="shared" si="87"/>
        <v>0</v>
      </c>
      <c r="DZ61" s="88">
        <f t="shared" si="87"/>
        <v>0</v>
      </c>
      <c r="EA61" s="88">
        <f t="shared" si="87"/>
        <v>-1507463.1769666667</v>
      </c>
      <c r="EB61" s="88">
        <f t="shared" si="87"/>
        <v>0</v>
      </c>
      <c r="EC61" s="88">
        <f t="shared" si="87"/>
        <v>0</v>
      </c>
      <c r="ED61" s="88">
        <f t="shared" si="87"/>
        <v>0</v>
      </c>
      <c r="EE61" s="88">
        <f t="shared" si="87"/>
        <v>0</v>
      </c>
      <c r="EF61" s="88">
        <f t="shared" si="87"/>
        <v>0</v>
      </c>
      <c r="EG61" s="88">
        <f t="shared" si="87"/>
        <v>0</v>
      </c>
      <c r="EH61" s="88">
        <f t="shared" si="87"/>
        <v>-4614884.1155936997</v>
      </c>
      <c r="EI61" s="88">
        <f t="shared" si="87"/>
        <v>-201581.28271894535</v>
      </c>
      <c r="EJ61" s="88">
        <f t="shared" si="87"/>
        <v>-2764843.9047150896</v>
      </c>
      <c r="EK61" s="88">
        <f t="shared" si="87"/>
        <v>-3686153.5148110245</v>
      </c>
      <c r="EL61" s="88">
        <f t="shared" si="87"/>
        <v>-518678.73011322715</v>
      </c>
      <c r="EM61" s="88">
        <f t="shared" si="87"/>
        <v>313011.45105547481</v>
      </c>
      <c r="EN61" s="88">
        <f t="shared" si="87"/>
        <v>0</v>
      </c>
      <c r="EO61" s="88">
        <f t="shared" si="87"/>
        <v>-358022.50006563868</v>
      </c>
      <c r="EP61" s="88">
        <f t="shared" si="87"/>
        <v>1042795.0210911972</v>
      </c>
      <c r="EQ61" s="88">
        <f t="shared" si="87"/>
        <v>-10591319.6042987</v>
      </c>
      <c r="ER61" s="88">
        <f t="shared" si="87"/>
        <v>-1133982.8179110573</v>
      </c>
      <c r="ES61" s="88">
        <f t="shared" si="87"/>
        <v>346172.50880979112</v>
      </c>
      <c r="ET61" s="88">
        <f t="shared" si="87"/>
        <v>-4798791.7259795452</v>
      </c>
      <c r="EU61" s="88">
        <f t="shared" si="87"/>
        <v>0</v>
      </c>
      <c r="EV61" s="88">
        <f t="shared" si="87"/>
        <v>1273598.6483659174</v>
      </c>
      <c r="EW61" s="216">
        <f t="shared" si="87"/>
        <v>4756013.5834246259</v>
      </c>
      <c r="EX61" s="216">
        <f t="shared" si="87"/>
        <v>203250.27437172731</v>
      </c>
      <c r="EY61" s="88">
        <f t="shared" si="87"/>
        <v>0</v>
      </c>
      <c r="EZ61" s="78">
        <f>SUM(DM61:EY61)</f>
        <v>-19579572.114578925</v>
      </c>
      <c r="FA61" s="78">
        <f>+FA44-(FA57*FA59)</f>
        <v>-48891952.041173697</v>
      </c>
      <c r="FB61" s="88">
        <f t="shared" ref="FB61:GN61" si="88">+FB44-(FB57*FB59)</f>
        <v>3086005.6546553429</v>
      </c>
      <c r="FC61" s="88">
        <f t="shared" si="88"/>
        <v>0</v>
      </c>
      <c r="FD61" s="88">
        <f t="shared" si="88"/>
        <v>0</v>
      </c>
      <c r="FE61" s="88">
        <f t="shared" si="88"/>
        <v>38414.956633145746</v>
      </c>
      <c r="FF61" s="88">
        <f t="shared" si="88"/>
        <v>424226.83839822165</v>
      </c>
      <c r="FG61" s="88">
        <f t="shared" si="88"/>
        <v>0</v>
      </c>
      <c r="FH61" s="88">
        <f t="shared" si="88"/>
        <v>0</v>
      </c>
      <c r="FI61" s="88">
        <f t="shared" si="88"/>
        <v>0</v>
      </c>
      <c r="FJ61" s="88">
        <f t="shared" si="88"/>
        <v>0</v>
      </c>
      <c r="FK61" s="88">
        <f t="shared" si="88"/>
        <v>0</v>
      </c>
      <c r="FL61" s="88">
        <f t="shared" si="88"/>
        <v>-524529.6720035621</v>
      </c>
      <c r="FM61" s="88">
        <f t="shared" si="88"/>
        <v>0</v>
      </c>
      <c r="FN61" s="88">
        <f t="shared" si="88"/>
        <v>0</v>
      </c>
      <c r="FO61" s="88">
        <f t="shared" si="88"/>
        <v>0</v>
      </c>
      <c r="FP61" s="88">
        <f t="shared" si="88"/>
        <v>0</v>
      </c>
      <c r="FQ61" s="88">
        <f t="shared" si="88"/>
        <v>0</v>
      </c>
      <c r="FR61" s="88">
        <f t="shared" si="88"/>
        <v>0</v>
      </c>
      <c r="FS61" s="88">
        <f t="shared" si="88"/>
        <v>0</v>
      </c>
      <c r="FT61" s="88">
        <f t="shared" si="88"/>
        <v>0</v>
      </c>
      <c r="FU61" s="88">
        <f t="shared" si="88"/>
        <v>0</v>
      </c>
      <c r="FV61" s="88">
        <f t="shared" si="88"/>
        <v>0</v>
      </c>
      <c r="FW61" s="88">
        <f t="shared" si="88"/>
        <v>-3364884.9033524827</v>
      </c>
      <c r="FX61" s="88">
        <f t="shared" si="88"/>
        <v>-624401.62727874634</v>
      </c>
      <c r="FY61" s="88">
        <f t="shared" si="88"/>
        <v>0</v>
      </c>
      <c r="FZ61" s="88">
        <f t="shared" si="88"/>
        <v>253970.96705712317</v>
      </c>
      <c r="GA61" s="88">
        <f t="shared" si="88"/>
        <v>0</v>
      </c>
      <c r="GB61" s="88">
        <f t="shared" si="88"/>
        <v>-23378.448626549987</v>
      </c>
      <c r="GC61" s="88">
        <f t="shared" si="88"/>
        <v>0</v>
      </c>
      <c r="GD61" s="88">
        <f t="shared" si="88"/>
        <v>17882486.541461255</v>
      </c>
      <c r="GE61" s="88">
        <f t="shared" si="88"/>
        <v>231697.67147281746</v>
      </c>
      <c r="GF61" s="88">
        <f t="shared" si="88"/>
        <v>-25656083.450485855</v>
      </c>
      <c r="GG61" s="88">
        <f t="shared" si="88"/>
        <v>-3918158.856461213</v>
      </c>
      <c r="GH61" s="88">
        <f t="shared" si="88"/>
        <v>-445075.59811406548</v>
      </c>
      <c r="GI61" s="88">
        <f t="shared" si="88"/>
        <v>-7552367.7505980516</v>
      </c>
      <c r="GJ61" s="88">
        <f t="shared" si="88"/>
        <v>0</v>
      </c>
      <c r="GK61" s="88">
        <f t="shared" si="88"/>
        <v>3538869.4019631157</v>
      </c>
      <c r="GL61" s="216">
        <f t="shared" si="88"/>
        <v>5678818.6182419984</v>
      </c>
      <c r="GM61" s="216">
        <f t="shared" si="88"/>
        <v>195.92000000000002</v>
      </c>
      <c r="GN61" s="88">
        <f t="shared" si="88"/>
        <v>0</v>
      </c>
      <c r="GO61" s="78">
        <f>SUM(FB61:GN61)</f>
        <v>-10974193.737037504</v>
      </c>
      <c r="GP61" s="78">
        <f>+GP44-(GP57*GP59)</f>
        <v>-59866145.778211296</v>
      </c>
      <c r="GQ61" s="88">
        <f t="shared" ref="GQ61:IC61" si="89">+GQ44-(GQ57*GQ59)</f>
        <v>644762.49332177895</v>
      </c>
      <c r="GR61" s="88">
        <f t="shared" si="89"/>
        <v>0</v>
      </c>
      <c r="GS61" s="88">
        <f t="shared" si="89"/>
        <v>0</v>
      </c>
      <c r="GT61" s="88">
        <f t="shared" si="89"/>
        <v>172873.75779272034</v>
      </c>
      <c r="GU61" s="88">
        <f t="shared" si="89"/>
        <v>262172.66740625678</v>
      </c>
      <c r="GV61" s="88">
        <f t="shared" si="89"/>
        <v>0</v>
      </c>
      <c r="GW61" s="88">
        <f t="shared" si="89"/>
        <v>0</v>
      </c>
      <c r="GX61" s="88">
        <f t="shared" si="89"/>
        <v>0</v>
      </c>
      <c r="GY61" s="88">
        <f t="shared" si="89"/>
        <v>0</v>
      </c>
      <c r="GZ61" s="88">
        <f t="shared" si="89"/>
        <v>0</v>
      </c>
      <c r="HA61" s="88">
        <f t="shared" si="89"/>
        <v>-792189.97162490746</v>
      </c>
      <c r="HB61" s="88">
        <f t="shared" si="89"/>
        <v>0</v>
      </c>
      <c r="HC61" s="88">
        <f t="shared" si="89"/>
        <v>0</v>
      </c>
      <c r="HD61" s="88">
        <f t="shared" si="89"/>
        <v>0</v>
      </c>
      <c r="HE61" s="88">
        <f t="shared" si="89"/>
        <v>0</v>
      </c>
      <c r="HF61" s="88">
        <f t="shared" si="89"/>
        <v>0</v>
      </c>
      <c r="HG61" s="88">
        <f t="shared" si="89"/>
        <v>0</v>
      </c>
      <c r="HH61" s="88">
        <f t="shared" si="89"/>
        <v>0</v>
      </c>
      <c r="HI61" s="88">
        <f t="shared" si="89"/>
        <v>0</v>
      </c>
      <c r="HJ61" s="88">
        <f t="shared" si="89"/>
        <v>0</v>
      </c>
      <c r="HK61" s="88">
        <f t="shared" si="89"/>
        <v>0</v>
      </c>
      <c r="HL61" s="88">
        <f t="shared" si="89"/>
        <v>-3451692.5128177032</v>
      </c>
      <c r="HM61" s="88">
        <f t="shared" si="89"/>
        <v>105663.47111259667</v>
      </c>
      <c r="HN61" s="88">
        <f t="shared" si="89"/>
        <v>0</v>
      </c>
      <c r="HO61" s="88">
        <f t="shared" si="89"/>
        <v>253970.96705712317</v>
      </c>
      <c r="HP61" s="88">
        <f t="shared" si="89"/>
        <v>2587614.9562998684</v>
      </c>
      <c r="HQ61" s="88">
        <f t="shared" si="89"/>
        <v>-336389.89968202484</v>
      </c>
      <c r="HR61" s="88">
        <f t="shared" si="89"/>
        <v>0</v>
      </c>
      <c r="HS61" s="88">
        <f t="shared" si="89"/>
        <v>13316999.187390586</v>
      </c>
      <c r="HT61" s="88">
        <f t="shared" si="89"/>
        <v>80529.394716575334</v>
      </c>
      <c r="HU61" s="88">
        <f t="shared" si="89"/>
        <v>-15972102.940833721</v>
      </c>
      <c r="HV61" s="88">
        <f t="shared" si="89"/>
        <v>-3686296.045312304</v>
      </c>
      <c r="HW61" s="88">
        <f t="shared" si="89"/>
        <v>-2365495.9266764037</v>
      </c>
      <c r="HX61" s="88">
        <f t="shared" si="89"/>
        <v>-4345244.8349784324</v>
      </c>
      <c r="HY61" s="88">
        <f t="shared" si="89"/>
        <v>0</v>
      </c>
      <c r="HZ61" s="88">
        <f t="shared" si="89"/>
        <v>0</v>
      </c>
      <c r="IA61" s="216">
        <f t="shared" si="89"/>
        <v>2162084.3923706021</v>
      </c>
      <c r="IB61" s="216">
        <f t="shared" ref="IB61" si="90">+IB44-(IB57*IB59)</f>
        <v>199.08</v>
      </c>
      <c r="IC61" s="88">
        <f t="shared" si="89"/>
        <v>0</v>
      </c>
      <c r="ID61" s="78">
        <f>SUM(GQ61:IC61)</f>
        <v>-11362541.76445739</v>
      </c>
      <c r="IE61" s="78">
        <f>+IE44-(IE57*IE59)</f>
        <v>-71228687.5426687</v>
      </c>
      <c r="IF61" s="47" t="s">
        <v>34</v>
      </c>
    </row>
    <row r="62" spans="1:240" x14ac:dyDescent="0.3">
      <c r="A62" s="58">
        <f>ROW()</f>
        <v>62</v>
      </c>
      <c r="B62" s="47" t="s">
        <v>107</v>
      </c>
      <c r="C62" s="169">
        <f t="shared" ref="C62:BN62" si="91">-C61/C60</f>
        <v>38401294.451957375</v>
      </c>
      <c r="D62" s="88">
        <f t="shared" si="91"/>
        <v>-5654596.2617970742</v>
      </c>
      <c r="E62" s="88">
        <f t="shared" si="91"/>
        <v>810595.22755059309</v>
      </c>
      <c r="F62" s="88">
        <f t="shared" si="91"/>
        <v>-48442.087334317876</v>
      </c>
      <c r="G62" s="88">
        <f t="shared" si="91"/>
        <v>-5409993.6527317856</v>
      </c>
      <c r="H62" s="88">
        <f t="shared" si="91"/>
        <v>-17846011.115484692</v>
      </c>
      <c r="I62" s="88">
        <f t="shared" si="91"/>
        <v>-440284.55932057288</v>
      </c>
      <c r="J62" s="88">
        <f t="shared" si="91"/>
        <v>40564.73427070176</v>
      </c>
      <c r="K62" s="88">
        <f t="shared" si="91"/>
        <v>-1259.6388478279798</v>
      </c>
      <c r="L62" s="88">
        <f t="shared" si="91"/>
        <v>-18239.522806713401</v>
      </c>
      <c r="M62" s="88">
        <f t="shared" si="91"/>
        <v>-877417.16581162822</v>
      </c>
      <c r="N62" s="88">
        <f t="shared" si="91"/>
        <v>2937930.529099735</v>
      </c>
      <c r="O62" s="88">
        <f t="shared" si="91"/>
        <v>65020.54233047484</v>
      </c>
      <c r="P62" s="88">
        <f t="shared" si="91"/>
        <v>5128.010783146724</v>
      </c>
      <c r="Q62" s="88">
        <f t="shared" si="91"/>
        <v>315849.71579728887</v>
      </c>
      <c r="R62" s="88">
        <f t="shared" si="91"/>
        <v>-23918.128884301947</v>
      </c>
      <c r="S62" s="88">
        <f t="shared" si="91"/>
        <v>-62996.632835969795</v>
      </c>
      <c r="T62" s="88">
        <f t="shared" si="91"/>
        <v>-834407.05127889942</v>
      </c>
      <c r="U62" s="88">
        <f t="shared" si="91"/>
        <v>1244822.6226784487</v>
      </c>
      <c r="V62" s="88">
        <f t="shared" si="91"/>
        <v>6398279.0507754534</v>
      </c>
      <c r="W62" s="88">
        <f t="shared" si="91"/>
        <v>-258310.80394895494</v>
      </c>
      <c r="X62" s="88">
        <f>-X61/X60</f>
        <v>-8593.0819278192466</v>
      </c>
      <c r="Y62" s="88">
        <f t="shared" si="91"/>
        <v>0</v>
      </c>
      <c r="Z62" s="88">
        <f t="shared" si="91"/>
        <v>0</v>
      </c>
      <c r="AA62" s="88">
        <f t="shared" si="91"/>
        <v>-6255410.8072050568</v>
      </c>
      <c r="AB62" s="88">
        <f t="shared" si="91"/>
        <v>0</v>
      </c>
      <c r="AC62" s="88">
        <f t="shared" si="91"/>
        <v>-924554.09176005225</v>
      </c>
      <c r="AD62" s="88">
        <f t="shared" si="91"/>
        <v>0</v>
      </c>
      <c r="AE62" s="88">
        <f t="shared" si="91"/>
        <v>0</v>
      </c>
      <c r="AF62" s="88">
        <f>-AF61/AF60</f>
        <v>-2267406.7082502642</v>
      </c>
      <c r="AG62" s="88">
        <f t="shared" si="91"/>
        <v>0</v>
      </c>
      <c r="AH62" s="88">
        <f t="shared" si="91"/>
        <v>0</v>
      </c>
      <c r="AI62" s="78">
        <f t="shared" si="91"/>
        <v>-29113650.87694009</v>
      </c>
      <c r="AJ62" s="170">
        <f t="shared" si="91"/>
        <v>9287643.5750172175</v>
      </c>
      <c r="AK62" s="88">
        <f t="shared" si="91"/>
        <v>39232824.069102474</v>
      </c>
      <c r="AL62" s="88">
        <f t="shared" si="91"/>
        <v>0</v>
      </c>
      <c r="AM62" s="88">
        <f t="shared" si="91"/>
        <v>-13001478.272707369</v>
      </c>
      <c r="AN62" s="88">
        <f t="shared" si="91"/>
        <v>1064145.4794373284</v>
      </c>
      <c r="AO62" s="88">
        <f t="shared" si="91"/>
        <v>-728263.69485315843</v>
      </c>
      <c r="AP62" s="88">
        <f t="shared" si="91"/>
        <v>0</v>
      </c>
      <c r="AQ62" s="88">
        <f t="shared" si="91"/>
        <v>0</v>
      </c>
      <c r="AR62" s="88">
        <f t="shared" si="91"/>
        <v>0</v>
      </c>
      <c r="AS62" s="88">
        <f t="shared" si="91"/>
        <v>46825.719652937514</v>
      </c>
      <c r="AT62" s="88">
        <f t="shared" si="91"/>
        <v>0</v>
      </c>
      <c r="AU62" s="88">
        <f t="shared" si="91"/>
        <v>-1217118.5694761116</v>
      </c>
      <c r="AV62" s="88">
        <f t="shared" si="91"/>
        <v>0</v>
      </c>
      <c r="AW62" s="88">
        <f t="shared" si="91"/>
        <v>0</v>
      </c>
      <c r="AX62" s="88">
        <f t="shared" si="91"/>
        <v>590532.30072969117</v>
      </c>
      <c r="AY62" s="88">
        <f t="shared" si="91"/>
        <v>-25483.400657921731</v>
      </c>
      <c r="AZ62" s="88">
        <f t="shared" si="91"/>
        <v>0</v>
      </c>
      <c r="BA62" s="88">
        <f t="shared" si="91"/>
        <v>648251.20130777173</v>
      </c>
      <c r="BB62" s="88">
        <f t="shared" si="91"/>
        <v>0</v>
      </c>
      <c r="BC62" s="88">
        <f t="shared" si="91"/>
        <v>0</v>
      </c>
      <c r="BD62" s="88">
        <f t="shared" si="91"/>
        <v>0</v>
      </c>
      <c r="BE62" s="88">
        <f t="shared" si="91"/>
        <v>0</v>
      </c>
      <c r="BF62" s="88">
        <f t="shared" si="91"/>
        <v>0</v>
      </c>
      <c r="BG62" s="88">
        <f t="shared" si="91"/>
        <v>0</v>
      </c>
      <c r="BH62" s="88">
        <f t="shared" si="91"/>
        <v>9120505.286412159</v>
      </c>
      <c r="BI62" s="88">
        <f t="shared" si="91"/>
        <v>6430076.3295184914</v>
      </c>
      <c r="BJ62" s="88">
        <f t="shared" si="91"/>
        <v>0</v>
      </c>
      <c r="BK62" s="88">
        <f t="shared" si="91"/>
        <v>-32057.115827959948</v>
      </c>
      <c r="BL62" s="88">
        <f t="shared" si="91"/>
        <v>0</v>
      </c>
      <c r="BM62" s="88">
        <f t="shared" si="91"/>
        <v>-11166531.794266213</v>
      </c>
      <c r="BN62" s="88">
        <f t="shared" si="91"/>
        <v>-192092.38508680835</v>
      </c>
      <c r="BO62" s="88">
        <f t="shared" ref="BO62:BT62" si="92">-BO61/BO60</f>
        <v>4653181.9620533902</v>
      </c>
      <c r="BP62" s="88">
        <f t="shared" si="92"/>
        <v>5681185.9329015184</v>
      </c>
      <c r="BQ62" s="88">
        <f t="shared" si="92"/>
        <v>275.55050605921298</v>
      </c>
      <c r="BR62" s="88">
        <f t="shared" si="92"/>
        <v>2632783.368214679</v>
      </c>
      <c r="BS62" s="88">
        <f t="shared" si="92"/>
        <v>0</v>
      </c>
      <c r="BT62" s="88">
        <f t="shared" si="92"/>
        <v>0</v>
      </c>
      <c r="BU62" s="88">
        <f>-BU61/BU60</f>
        <v>267791.45196537045</v>
      </c>
      <c r="BV62" s="88">
        <f>-BV61/BV60</f>
        <v>0</v>
      </c>
      <c r="BW62" s="78">
        <f>SUM(AK62:BV62)</f>
        <v>44005353.418926321</v>
      </c>
      <c r="BX62" s="170">
        <f t="shared" ref="BX62:DG62" si="93">-BX61/BX60</f>
        <v>53292996.993943483</v>
      </c>
      <c r="BY62" s="88">
        <f t="shared" si="93"/>
        <v>-15012194.517151602</v>
      </c>
      <c r="BZ62" s="88">
        <f t="shared" si="93"/>
        <v>0</v>
      </c>
      <c r="CA62" s="88">
        <f t="shared" si="93"/>
        <v>0</v>
      </c>
      <c r="CB62" s="88">
        <f t="shared" si="93"/>
        <v>177350.11172186464</v>
      </c>
      <c r="CC62" s="88">
        <f t="shared" si="93"/>
        <v>-326084.17070774065</v>
      </c>
      <c r="CD62" s="88">
        <f t="shared" si="93"/>
        <v>0</v>
      </c>
      <c r="CE62" s="88">
        <f t="shared" si="93"/>
        <v>0</v>
      </c>
      <c r="CF62" s="88">
        <f t="shared" si="93"/>
        <v>0</v>
      </c>
      <c r="CG62" s="88">
        <f t="shared" si="93"/>
        <v>0</v>
      </c>
      <c r="CH62" s="88">
        <f t="shared" si="93"/>
        <v>0</v>
      </c>
      <c r="CI62" s="88">
        <f t="shared" si="93"/>
        <v>44998.756110255839</v>
      </c>
      <c r="CJ62" s="88">
        <f t="shared" si="93"/>
        <v>0</v>
      </c>
      <c r="CK62" s="88">
        <f t="shared" si="93"/>
        <v>0</v>
      </c>
      <c r="CL62" s="88">
        <f t="shared" si="93"/>
        <v>0</v>
      </c>
      <c r="CM62" s="88">
        <f t="shared" si="93"/>
        <v>0</v>
      </c>
      <c r="CN62" s="88">
        <f t="shared" si="93"/>
        <v>0</v>
      </c>
      <c r="CO62" s="88">
        <f t="shared" si="93"/>
        <v>0</v>
      </c>
      <c r="CP62" s="88">
        <f t="shared" si="93"/>
        <v>0</v>
      </c>
      <c r="CQ62" s="88">
        <f t="shared" si="93"/>
        <v>0</v>
      </c>
      <c r="CR62" s="88">
        <f t="shared" si="93"/>
        <v>0</v>
      </c>
      <c r="CS62" s="88">
        <f t="shared" si="93"/>
        <v>0</v>
      </c>
      <c r="CT62" s="88">
        <f t="shared" si="93"/>
        <v>0</v>
      </c>
      <c r="CU62" s="88">
        <f t="shared" si="93"/>
        <v>0</v>
      </c>
      <c r="CV62" s="88">
        <f t="shared" si="93"/>
        <v>0</v>
      </c>
      <c r="CW62" s="88">
        <f t="shared" si="93"/>
        <v>333112.68749393814</v>
      </c>
      <c r="CX62" s="88">
        <f t="shared" si="93"/>
        <v>0</v>
      </c>
      <c r="CY62" s="88">
        <f t="shared" si="93"/>
        <v>-16028.557913979977</v>
      </c>
      <c r="CZ62" s="88">
        <f t="shared" si="93"/>
        <v>0</v>
      </c>
      <c r="DA62" s="88">
        <f t="shared" si="93"/>
        <v>-26089594.106708717</v>
      </c>
      <c r="DB62" s="88">
        <f t="shared" si="93"/>
        <v>-1234954.7724099376</v>
      </c>
      <c r="DC62" s="88">
        <f t="shared" si="93"/>
        <v>16475315.622359114</v>
      </c>
      <c r="DD62" s="88">
        <f t="shared" si="93"/>
        <v>3855667.9692826392</v>
      </c>
      <c r="DE62" s="88">
        <f t="shared" si="93"/>
        <v>1223697.0851758088</v>
      </c>
      <c r="DF62" s="88">
        <f t="shared" si="93"/>
        <v>6241004.7898158329</v>
      </c>
      <c r="DG62" s="88">
        <f t="shared" si="93"/>
        <v>0</v>
      </c>
      <c r="DH62" s="88">
        <f>-DH61/DH60</f>
        <v>-344078.54597194795</v>
      </c>
      <c r="DI62" s="216">
        <f>-DI61/DI60</f>
        <v>213370.79806478444</v>
      </c>
      <c r="DJ62" s="88">
        <f>-DJ61/DJ60</f>
        <v>0</v>
      </c>
      <c r="DK62" s="78">
        <f>SUM(BY62:DJ62)</f>
        <v>-14458416.850839688</v>
      </c>
      <c r="DL62" s="170">
        <f t="shared" ref="DL62:EU62" si="94">-DL61/DL60</f>
        <v>38834580.143103786</v>
      </c>
      <c r="DM62" s="88">
        <f t="shared" si="94"/>
        <v>-3182639.5952441269</v>
      </c>
      <c r="DN62" s="88">
        <f t="shared" si="94"/>
        <v>0</v>
      </c>
      <c r="DO62" s="88">
        <f t="shared" si="94"/>
        <v>0</v>
      </c>
      <c r="DP62" s="88">
        <f t="shared" si="94"/>
        <v>-1613882.0717668524</v>
      </c>
      <c r="DQ62" s="88">
        <f t="shared" si="94"/>
        <v>1044371.9654239396</v>
      </c>
      <c r="DR62" s="88">
        <f t="shared" si="94"/>
        <v>0</v>
      </c>
      <c r="DS62" s="88">
        <f t="shared" si="94"/>
        <v>0</v>
      </c>
      <c r="DT62" s="88">
        <f t="shared" si="94"/>
        <v>0</v>
      </c>
      <c r="DU62" s="88">
        <f t="shared" si="94"/>
        <v>0</v>
      </c>
      <c r="DV62" s="88">
        <f t="shared" si="94"/>
        <v>0</v>
      </c>
      <c r="DW62" s="88">
        <f t="shared" si="94"/>
        <v>226309.4185509306</v>
      </c>
      <c r="DX62" s="88">
        <f t="shared" si="94"/>
        <v>0</v>
      </c>
      <c r="DY62" s="88">
        <f t="shared" si="94"/>
        <v>0</v>
      </c>
      <c r="DZ62" s="88">
        <f t="shared" si="94"/>
        <v>0</v>
      </c>
      <c r="EA62" s="88">
        <f t="shared" si="94"/>
        <v>1997166.3749341436</v>
      </c>
      <c r="EB62" s="88">
        <f t="shared" si="94"/>
        <v>0</v>
      </c>
      <c r="EC62" s="88">
        <f t="shared" si="94"/>
        <v>0</v>
      </c>
      <c r="ED62" s="88">
        <f t="shared" si="94"/>
        <v>0</v>
      </c>
      <c r="EE62" s="88">
        <f t="shared" si="94"/>
        <v>0</v>
      </c>
      <c r="EF62" s="88">
        <f t="shared" si="94"/>
        <v>0</v>
      </c>
      <c r="EG62" s="88">
        <f t="shared" si="94"/>
        <v>0</v>
      </c>
      <c r="EH62" s="88">
        <f t="shared" si="94"/>
        <v>6114040.8075687494</v>
      </c>
      <c r="EI62" s="88">
        <f t="shared" si="94"/>
        <v>267065.46853931743</v>
      </c>
      <c r="EJ62" s="88">
        <f t="shared" si="94"/>
        <v>3663010.3891159249</v>
      </c>
      <c r="EK62" s="88">
        <f t="shared" si="94"/>
        <v>4883609.7392703826</v>
      </c>
      <c r="EL62" s="88">
        <f t="shared" si="94"/>
        <v>687172.81788607477</v>
      </c>
      <c r="EM62" s="88">
        <f t="shared" si="94"/>
        <v>-414694.00683819281</v>
      </c>
      <c r="EN62" s="88">
        <f t="shared" si="94"/>
        <v>0</v>
      </c>
      <c r="EO62" s="88">
        <f t="shared" si="94"/>
        <v>474327.00813279086</v>
      </c>
      <c r="EP62" s="88">
        <f t="shared" si="94"/>
        <v>-1381549.6019364006</v>
      </c>
      <c r="EQ62" s="88">
        <f t="shared" si="94"/>
        <v>14031936.370379344</v>
      </c>
      <c r="ER62" s="88">
        <f t="shared" si="94"/>
        <v>1502359.9835069869</v>
      </c>
      <c r="ES62" s="88">
        <f t="shared" si="94"/>
        <v>-458627.51746459148</v>
      </c>
      <c r="ET62" s="88">
        <f t="shared" si="94"/>
        <v>6357691.2669426044</v>
      </c>
      <c r="EU62" s="88">
        <f t="shared" si="94"/>
        <v>0</v>
      </c>
      <c r="EV62" s="88">
        <f>-EV61/EV60</f>
        <v>-1687330.3670317307</v>
      </c>
      <c r="EW62" s="216">
        <f>-EW61/EW60</f>
        <v>-6301016.5373716056</v>
      </c>
      <c r="EX62" s="216">
        <f>-EX61/EX60</f>
        <v>-269276.63632100023</v>
      </c>
      <c r="EY62" s="88">
        <f>-EY61/EY60</f>
        <v>0</v>
      </c>
      <c r="EZ62" s="78">
        <f>SUM(DM62:EY62)</f>
        <v>25940045.276276685</v>
      </c>
      <c r="FA62" s="170">
        <f t="shared" ref="FA62:GN62" si="95">-FA61/FA60</f>
        <v>64774625.41938033</v>
      </c>
      <c r="FB62" s="88">
        <f t="shared" si="95"/>
        <v>-4088502.3398953401</v>
      </c>
      <c r="FC62" s="88">
        <f t="shared" si="95"/>
        <v>0</v>
      </c>
      <c r="FD62" s="88">
        <f t="shared" si="95"/>
        <v>0</v>
      </c>
      <c r="FE62" s="88">
        <f t="shared" si="95"/>
        <v>-50894.151747474825</v>
      </c>
      <c r="FF62" s="88">
        <f t="shared" si="95"/>
        <v>-562037.99199818447</v>
      </c>
      <c r="FG62" s="88">
        <f t="shared" si="95"/>
        <v>0</v>
      </c>
      <c r="FH62" s="88">
        <f t="shared" si="95"/>
        <v>0</v>
      </c>
      <c r="FI62" s="88">
        <f t="shared" si="95"/>
        <v>0</v>
      </c>
      <c r="FJ62" s="88">
        <f t="shared" si="95"/>
        <v>0</v>
      </c>
      <c r="FK62" s="88">
        <f t="shared" si="95"/>
        <v>0</v>
      </c>
      <c r="FL62" s="88">
        <f t="shared" si="95"/>
        <v>694924.45293999615</v>
      </c>
      <c r="FM62" s="88">
        <f t="shared" si="95"/>
        <v>0</v>
      </c>
      <c r="FN62" s="88">
        <f t="shared" si="95"/>
        <v>0</v>
      </c>
      <c r="FO62" s="88">
        <f t="shared" si="95"/>
        <v>0</v>
      </c>
      <c r="FP62" s="88">
        <f t="shared" si="95"/>
        <v>0</v>
      </c>
      <c r="FQ62" s="88">
        <f t="shared" si="95"/>
        <v>0</v>
      </c>
      <c r="FR62" s="88">
        <f t="shared" si="95"/>
        <v>0</v>
      </c>
      <c r="FS62" s="88">
        <f t="shared" si="95"/>
        <v>0</v>
      </c>
      <c r="FT62" s="88">
        <f t="shared" si="95"/>
        <v>0</v>
      </c>
      <c r="FU62" s="88">
        <f t="shared" si="95"/>
        <v>0</v>
      </c>
      <c r="FV62" s="88">
        <f t="shared" si="95"/>
        <v>0</v>
      </c>
      <c r="FW62" s="88">
        <f t="shared" si="95"/>
        <v>4457976.2127401559</v>
      </c>
      <c r="FX62" s="88">
        <f t="shared" si="95"/>
        <v>827240.06364425365</v>
      </c>
      <c r="FY62" s="88">
        <f t="shared" si="95"/>
        <v>0</v>
      </c>
      <c r="FZ62" s="88">
        <f t="shared" si="95"/>
        <v>-336474.07337446976</v>
      </c>
      <c r="GA62" s="88">
        <f t="shared" si="95"/>
        <v>0</v>
      </c>
      <c r="GB62" s="88">
        <f t="shared" si="95"/>
        <v>30972.996361358804</v>
      </c>
      <c r="GC62" s="88">
        <f t="shared" si="95"/>
        <v>0</v>
      </c>
      <c r="GD62" s="88">
        <f t="shared" si="95"/>
        <v>-23691657.193699073</v>
      </c>
      <c r="GE62" s="88">
        <f t="shared" si="95"/>
        <v>-306965.24179594015</v>
      </c>
      <c r="GF62" s="88">
        <f t="shared" si="95"/>
        <v>33990526.576522626</v>
      </c>
      <c r="GG62" s="88">
        <f t="shared" si="95"/>
        <v>5190982.5986733092</v>
      </c>
      <c r="GH62" s="88">
        <f t="shared" si="95"/>
        <v>589659.52365466591</v>
      </c>
      <c r="GI62" s="88">
        <f t="shared" si="95"/>
        <v>10005773.376821242</v>
      </c>
      <c r="GJ62" s="88">
        <f t="shared" si="95"/>
        <v>0</v>
      </c>
      <c r="GK62" s="88">
        <f t="shared" si="95"/>
        <v>-4688480.0125637297</v>
      </c>
      <c r="GL62" s="216">
        <f>-GL61/GL60</f>
        <v>-7523597.1047229636</v>
      </c>
      <c r="GM62" s="216">
        <f>-GM61/GM60</f>
        <v>-259.56510391480668</v>
      </c>
      <c r="GN62" s="88">
        <f t="shared" si="95"/>
        <v>0</v>
      </c>
      <c r="GO62" s="78">
        <f>SUM(FB62:GN62)</f>
        <v>14539188.126456523</v>
      </c>
      <c r="GP62" s="170">
        <f t="shared" ref="GP62:IC62" si="96">-GP61/GP60</f>
        <v>79313813.54583697</v>
      </c>
      <c r="GQ62" s="88">
        <f t="shared" si="96"/>
        <v>-854215.2081433105</v>
      </c>
      <c r="GR62" s="88">
        <f t="shared" si="96"/>
        <v>0</v>
      </c>
      <c r="GS62" s="88">
        <f t="shared" si="96"/>
        <v>0</v>
      </c>
      <c r="GT62" s="88">
        <f t="shared" si="96"/>
        <v>-229032.23206212011</v>
      </c>
      <c r="GU62" s="88">
        <f t="shared" si="96"/>
        <v>-347340.11667480139</v>
      </c>
      <c r="GV62" s="88">
        <f t="shared" si="96"/>
        <v>0</v>
      </c>
      <c r="GW62" s="88">
        <f t="shared" si="96"/>
        <v>0</v>
      </c>
      <c r="GX62" s="88">
        <f t="shared" si="96"/>
        <v>0</v>
      </c>
      <c r="GY62" s="88">
        <f t="shared" si="96"/>
        <v>0</v>
      </c>
      <c r="GZ62" s="88">
        <f t="shared" si="96"/>
        <v>0</v>
      </c>
      <c r="HA62" s="88">
        <f t="shared" si="96"/>
        <v>1049534.872933273</v>
      </c>
      <c r="HB62" s="88">
        <f t="shared" si="96"/>
        <v>0</v>
      </c>
      <c r="HC62" s="88">
        <f t="shared" si="96"/>
        <v>0</v>
      </c>
      <c r="HD62" s="88">
        <f t="shared" si="96"/>
        <v>0</v>
      </c>
      <c r="HE62" s="88">
        <f t="shared" si="96"/>
        <v>0</v>
      </c>
      <c r="HF62" s="88">
        <f t="shared" si="96"/>
        <v>0</v>
      </c>
      <c r="HG62" s="88">
        <f t="shared" si="96"/>
        <v>0</v>
      </c>
      <c r="HH62" s="88">
        <f t="shared" si="96"/>
        <v>0</v>
      </c>
      <c r="HI62" s="88">
        <f t="shared" si="96"/>
        <v>0</v>
      </c>
      <c r="HJ62" s="88">
        <f t="shared" si="96"/>
        <v>0</v>
      </c>
      <c r="HK62" s="88">
        <f t="shared" si="96"/>
        <v>0</v>
      </c>
      <c r="HL62" s="88">
        <f t="shared" si="96"/>
        <v>4572983.4920961987</v>
      </c>
      <c r="HM62" s="88">
        <f t="shared" si="96"/>
        <v>-139988.51500275789</v>
      </c>
      <c r="HN62" s="88">
        <f t="shared" si="96"/>
        <v>0</v>
      </c>
      <c r="HO62" s="88">
        <f t="shared" si="96"/>
        <v>-336474.07337446976</v>
      </c>
      <c r="HP62" s="88">
        <f t="shared" si="96"/>
        <v>-3428208.1718225973</v>
      </c>
      <c r="HQ62" s="88">
        <f t="shared" si="96"/>
        <v>445667.00319955172</v>
      </c>
      <c r="HR62" s="88">
        <f t="shared" si="96"/>
        <v>0</v>
      </c>
      <c r="HS62" s="88">
        <f t="shared" si="96"/>
        <v>-17643059.809659217</v>
      </c>
      <c r="HT62" s="88">
        <f t="shared" si="96"/>
        <v>-106689.5707829949</v>
      </c>
      <c r="HU62" s="88">
        <f t="shared" si="96"/>
        <v>21160680.683827553</v>
      </c>
      <c r="HV62" s="88">
        <f t="shared" si="96"/>
        <v>4883798.5711628674</v>
      </c>
      <c r="HW62" s="88">
        <f t="shared" si="96"/>
        <v>3133933.2177307708</v>
      </c>
      <c r="HX62" s="88">
        <f t="shared" si="96"/>
        <v>5756808.5296368608</v>
      </c>
      <c r="HY62" s="88">
        <f t="shared" si="96"/>
        <v>0</v>
      </c>
      <c r="HZ62" s="88">
        <f t="shared" si="96"/>
        <v>0</v>
      </c>
      <c r="IA62" s="216">
        <f>-IA61/IA60</f>
        <v>-2864442.9357812218</v>
      </c>
      <c r="IB62" s="216">
        <f>-IB61/IB60</f>
        <v>-263.75163784891646</v>
      </c>
      <c r="IC62" s="88">
        <f t="shared" si="96"/>
        <v>0</v>
      </c>
      <c r="ID62" s="78">
        <f>SUM(GQ62:IC62)</f>
        <v>15053691.985645736</v>
      </c>
      <c r="IE62" s="170">
        <f t="shared" ref="IE62" si="97">-IE61/IE60</f>
        <v>94367505.531482726</v>
      </c>
      <c r="IF62" s="47" t="s">
        <v>34</v>
      </c>
    </row>
    <row r="63" spans="1:240" x14ac:dyDescent="0.3">
      <c r="A63" s="58">
        <f>ROW()</f>
        <v>63</v>
      </c>
      <c r="B63" s="47" t="s">
        <v>108</v>
      </c>
      <c r="C63" s="7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  <c r="AC63" s="88"/>
      <c r="AD63" s="88"/>
      <c r="AE63" s="88"/>
      <c r="AF63" s="88"/>
      <c r="AG63" s="88"/>
      <c r="AH63" s="88"/>
      <c r="AI63" s="78"/>
      <c r="AJ63" s="78"/>
      <c r="AK63" s="88"/>
      <c r="AL63" s="88"/>
      <c r="AM63" s="88"/>
      <c r="AN63" s="88"/>
      <c r="AO63" s="88"/>
      <c r="AP63" s="88"/>
      <c r="AQ63" s="88"/>
      <c r="AR63" s="88"/>
      <c r="AS63" s="88"/>
      <c r="AT63" s="88"/>
      <c r="AU63" s="88"/>
      <c r="AV63" s="88"/>
      <c r="AW63" s="88"/>
      <c r="AX63" s="88"/>
      <c r="AY63" s="88"/>
      <c r="AZ63" s="88"/>
      <c r="BA63" s="88"/>
      <c r="BB63" s="88"/>
      <c r="BC63" s="88"/>
      <c r="BD63" s="88"/>
      <c r="BE63" s="88"/>
      <c r="BF63" s="88"/>
      <c r="BG63" s="88"/>
      <c r="BH63" s="88"/>
      <c r="BI63" s="88"/>
      <c r="BJ63" s="88"/>
      <c r="BK63" s="88"/>
      <c r="BL63" s="88"/>
      <c r="BM63" s="88"/>
      <c r="BN63" s="88"/>
      <c r="BO63" s="88"/>
      <c r="BP63" s="88"/>
      <c r="BQ63" s="88"/>
      <c r="BR63" s="88"/>
      <c r="BS63" s="88"/>
      <c r="BT63" s="88"/>
      <c r="BU63" s="88"/>
      <c r="BV63" s="88"/>
      <c r="BW63" s="78"/>
      <c r="BX63" s="78">
        <v>-22490172.710115109</v>
      </c>
      <c r="BY63" s="88"/>
      <c r="BZ63" s="88"/>
      <c r="CA63" s="88"/>
      <c r="CB63" s="88"/>
      <c r="CC63" s="88"/>
      <c r="CD63" s="88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216"/>
      <c r="DJ63" s="88"/>
      <c r="DK63" s="78"/>
      <c r="DL63" s="78">
        <f>BX63</f>
        <v>-22490172.710115109</v>
      </c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  <c r="DZ63" s="88"/>
      <c r="EA63" s="88"/>
      <c r="EB63" s="88"/>
      <c r="EC63" s="88"/>
      <c r="ED63" s="88"/>
      <c r="EE63" s="88"/>
      <c r="EF63" s="88"/>
      <c r="EG63" s="88"/>
      <c r="EH63" s="88"/>
      <c r="EI63" s="88"/>
      <c r="EJ63" s="88"/>
      <c r="EK63" s="88"/>
      <c r="EL63" s="88"/>
      <c r="EM63" s="88"/>
      <c r="EN63" s="88"/>
      <c r="EO63" s="88"/>
      <c r="EP63" s="88"/>
      <c r="EQ63" s="88"/>
      <c r="ER63" s="88"/>
      <c r="ES63" s="88"/>
      <c r="ET63" s="88"/>
      <c r="EU63" s="88"/>
      <c r="EV63" s="88"/>
      <c r="EW63" s="216"/>
      <c r="EX63" s="216"/>
      <c r="EY63" s="88"/>
      <c r="EZ63" s="78"/>
      <c r="FA63" s="78">
        <f>DL63</f>
        <v>-22490172.710115109</v>
      </c>
      <c r="FB63" s="88"/>
      <c r="FC63" s="88"/>
      <c r="FD63" s="88"/>
      <c r="FE63" s="88"/>
      <c r="FF63" s="88"/>
      <c r="FG63" s="88"/>
      <c r="FH63" s="88"/>
      <c r="FI63" s="88"/>
      <c r="FJ63" s="88"/>
      <c r="FK63" s="88"/>
      <c r="FL63" s="88"/>
      <c r="FM63" s="88"/>
      <c r="FN63" s="88"/>
      <c r="FO63" s="88"/>
      <c r="FP63" s="88"/>
      <c r="FQ63" s="88"/>
      <c r="FR63" s="88"/>
      <c r="FS63" s="88"/>
      <c r="FT63" s="88"/>
      <c r="FU63" s="88"/>
      <c r="FV63" s="88"/>
      <c r="FW63" s="88"/>
      <c r="FX63" s="88"/>
      <c r="FY63" s="88"/>
      <c r="FZ63" s="88"/>
      <c r="GA63" s="88"/>
      <c r="GB63" s="88"/>
      <c r="GC63" s="88"/>
      <c r="GD63" s="88"/>
      <c r="GE63" s="88"/>
      <c r="GF63" s="88"/>
      <c r="GG63" s="88"/>
      <c r="GH63" s="88"/>
      <c r="GI63" s="88"/>
      <c r="GJ63" s="88"/>
      <c r="GK63" s="88"/>
      <c r="GL63" s="216"/>
      <c r="GM63" s="216"/>
      <c r="GN63" s="88"/>
      <c r="GO63" s="78"/>
      <c r="GP63" s="78">
        <f>FA63</f>
        <v>-22490172.710115109</v>
      </c>
      <c r="GQ63" s="88"/>
      <c r="GR63" s="88"/>
      <c r="GS63" s="88"/>
      <c r="GT63" s="88"/>
      <c r="GU63" s="88"/>
      <c r="GV63" s="88"/>
      <c r="GW63" s="88"/>
      <c r="GX63" s="88"/>
      <c r="GY63" s="88"/>
      <c r="GZ63" s="88"/>
      <c r="HA63" s="88"/>
      <c r="HB63" s="88"/>
      <c r="HC63" s="88"/>
      <c r="HD63" s="88"/>
      <c r="HE63" s="88"/>
      <c r="HF63" s="88"/>
      <c r="HG63" s="88"/>
      <c r="HH63" s="88"/>
      <c r="HI63" s="88"/>
      <c r="HJ63" s="88"/>
      <c r="HK63" s="88"/>
      <c r="HL63" s="88"/>
      <c r="HM63" s="88"/>
      <c r="HN63" s="88"/>
      <c r="HO63" s="88"/>
      <c r="HP63" s="88"/>
      <c r="HQ63" s="88"/>
      <c r="HR63" s="88"/>
      <c r="HS63" s="88"/>
      <c r="HT63" s="88"/>
      <c r="HU63" s="88"/>
      <c r="HV63" s="88"/>
      <c r="HW63" s="88"/>
      <c r="HX63" s="88"/>
      <c r="HY63" s="88"/>
      <c r="HZ63" s="88"/>
      <c r="IA63" s="216"/>
      <c r="IB63" s="216"/>
      <c r="IC63" s="88"/>
      <c r="ID63" s="78"/>
      <c r="IE63" s="78">
        <f>GP63</f>
        <v>-22490172.710115109</v>
      </c>
      <c r="IF63" s="47" t="s">
        <v>34</v>
      </c>
    </row>
    <row r="64" spans="1:240" x14ac:dyDescent="0.3">
      <c r="A64" s="58">
        <f>ROW()</f>
        <v>64</v>
      </c>
      <c r="B64" s="47" t="s">
        <v>109</v>
      </c>
      <c r="C64" s="78"/>
      <c r="D64" s="88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78"/>
      <c r="AJ64" s="7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  <c r="BO64" s="88"/>
      <c r="BP64" s="88"/>
      <c r="BQ64" s="88"/>
      <c r="BR64" s="88"/>
      <c r="BS64" s="88"/>
      <c r="BT64" s="88"/>
      <c r="BU64" s="88"/>
      <c r="BV64" s="88"/>
      <c r="BW64" s="78"/>
      <c r="BX64" s="110">
        <f>SUM(BX62:BX63)</f>
        <v>30802824.283828374</v>
      </c>
      <c r="BY64" s="88"/>
      <c r="BZ64" s="88"/>
      <c r="CA64" s="88"/>
      <c r="CB64" s="88"/>
      <c r="CC64" s="88"/>
      <c r="CD64" s="88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216"/>
      <c r="DJ64" s="88"/>
      <c r="DK64" s="78"/>
      <c r="DL64" s="110">
        <f>SUM(DL62:DL63)</f>
        <v>16344407.432988677</v>
      </c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  <c r="DZ64" s="88"/>
      <c r="EA64" s="88"/>
      <c r="EB64" s="88"/>
      <c r="EC64" s="88"/>
      <c r="ED64" s="88"/>
      <c r="EE64" s="88"/>
      <c r="EF64" s="88"/>
      <c r="EG64" s="88"/>
      <c r="EH64" s="88"/>
      <c r="EI64" s="88"/>
      <c r="EJ64" s="88"/>
      <c r="EK64" s="88"/>
      <c r="EL64" s="88"/>
      <c r="EM64" s="88"/>
      <c r="EN64" s="88"/>
      <c r="EO64" s="88"/>
      <c r="EP64" s="88"/>
      <c r="EQ64" s="88"/>
      <c r="ER64" s="88"/>
      <c r="ES64" s="88"/>
      <c r="ET64" s="88"/>
      <c r="EU64" s="88"/>
      <c r="EV64" s="88"/>
      <c r="EW64" s="216"/>
      <c r="EX64" s="216"/>
      <c r="EY64" s="88"/>
      <c r="EZ64" s="78"/>
      <c r="FA64" s="111">
        <f>SUM(FA62:FA63)</f>
        <v>42284452.709265217</v>
      </c>
      <c r="FB64" s="88"/>
      <c r="FC64" s="88"/>
      <c r="FD64" s="88"/>
      <c r="FE64" s="88"/>
      <c r="FF64" s="88"/>
      <c r="FG64" s="88"/>
      <c r="FH64" s="88"/>
      <c r="FI64" s="88"/>
      <c r="FJ64" s="88"/>
      <c r="FK64" s="88"/>
      <c r="FL64" s="88"/>
      <c r="FM64" s="88"/>
      <c r="FN64" s="88"/>
      <c r="FO64" s="88"/>
      <c r="FP64" s="88"/>
      <c r="FQ64" s="88"/>
      <c r="FR64" s="88"/>
      <c r="FS64" s="88"/>
      <c r="FT64" s="88"/>
      <c r="FU64" s="88"/>
      <c r="FV64" s="88"/>
      <c r="FW64" s="88"/>
      <c r="FX64" s="88"/>
      <c r="FY64" s="88"/>
      <c r="FZ64" s="88"/>
      <c r="GA64" s="88"/>
      <c r="GB64" s="88"/>
      <c r="GC64" s="88"/>
      <c r="GD64" s="88"/>
      <c r="GE64" s="88"/>
      <c r="GF64" s="88"/>
      <c r="GG64" s="88"/>
      <c r="GH64" s="88"/>
      <c r="GI64" s="88"/>
      <c r="GJ64" s="88"/>
      <c r="GK64" s="88"/>
      <c r="GL64" s="216"/>
      <c r="GM64" s="216"/>
      <c r="GN64" s="88"/>
      <c r="GO64" s="78"/>
      <c r="GP64" s="111">
        <f>SUM(GP62:GP63)</f>
        <v>56823640.835721865</v>
      </c>
      <c r="GQ64" s="88"/>
      <c r="GR64" s="88"/>
      <c r="GS64" s="88"/>
      <c r="GT64" s="88"/>
      <c r="GU64" s="88"/>
      <c r="GV64" s="88"/>
      <c r="GW64" s="88"/>
      <c r="GX64" s="88"/>
      <c r="GY64" s="88"/>
      <c r="GZ64" s="88"/>
      <c r="HA64" s="88"/>
      <c r="HB64" s="88"/>
      <c r="HC64" s="88"/>
      <c r="HD64" s="88"/>
      <c r="HE64" s="88"/>
      <c r="HF64" s="88"/>
      <c r="HG64" s="88"/>
      <c r="HH64" s="88"/>
      <c r="HI64" s="88"/>
      <c r="HJ64" s="88"/>
      <c r="HK64" s="88"/>
      <c r="HL64" s="88"/>
      <c r="HM64" s="88"/>
      <c r="HN64" s="88"/>
      <c r="HO64" s="88"/>
      <c r="HP64" s="88"/>
      <c r="HQ64" s="88"/>
      <c r="HR64" s="88"/>
      <c r="HS64" s="88"/>
      <c r="HT64" s="88"/>
      <c r="HU64" s="88"/>
      <c r="HV64" s="88"/>
      <c r="HW64" s="88"/>
      <c r="HX64" s="88"/>
      <c r="HY64" s="88"/>
      <c r="HZ64" s="88"/>
      <c r="IA64" s="216"/>
      <c r="IB64" s="216"/>
      <c r="IC64" s="88"/>
      <c r="ID64" s="78"/>
      <c r="IE64" s="111">
        <f>SUM(IE62:IE63)</f>
        <v>71877332.821367621</v>
      </c>
      <c r="IF64" s="47" t="s">
        <v>34</v>
      </c>
    </row>
    <row r="65" spans="1:240" x14ac:dyDescent="0.3">
      <c r="A65" s="58"/>
      <c r="C65" s="112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112"/>
      <c r="AJ65" s="112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BM65" s="88"/>
      <c r="BN65" s="88"/>
      <c r="BO65" s="88"/>
      <c r="BP65" s="88"/>
      <c r="BQ65" s="88"/>
      <c r="BR65" s="88"/>
      <c r="BS65" s="88"/>
      <c r="BT65" s="88"/>
      <c r="BU65" s="88"/>
      <c r="BV65" s="88"/>
      <c r="BW65" s="112"/>
      <c r="BX65" s="112"/>
      <c r="BY65" s="88"/>
      <c r="BZ65" s="88"/>
      <c r="CA65" s="88"/>
      <c r="CB65" s="88"/>
      <c r="CC65" s="88"/>
      <c r="CD65" s="88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216"/>
      <c r="DJ65" s="88"/>
      <c r="DK65" s="112"/>
      <c r="DL65" s="112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  <c r="DZ65" s="88"/>
      <c r="EA65" s="88"/>
      <c r="EB65" s="88"/>
      <c r="EC65" s="88"/>
      <c r="ED65" s="88"/>
      <c r="EE65" s="88"/>
      <c r="EF65" s="88"/>
      <c r="EG65" s="88"/>
      <c r="EH65" s="88"/>
      <c r="EI65" s="88"/>
      <c r="EJ65" s="88"/>
      <c r="EK65" s="88"/>
      <c r="EL65" s="88"/>
      <c r="EM65" s="88"/>
      <c r="EN65" s="88"/>
      <c r="EO65" s="88"/>
      <c r="EP65" s="88"/>
      <c r="EQ65" s="88"/>
      <c r="ER65" s="88"/>
      <c r="ES65" s="88"/>
      <c r="ET65" s="88"/>
      <c r="EU65" s="88"/>
      <c r="EV65" s="88"/>
      <c r="EW65" s="216"/>
      <c r="EX65" s="216"/>
      <c r="EY65" s="88"/>
      <c r="EZ65" s="112"/>
      <c r="FA65" s="112"/>
      <c r="FB65" s="88"/>
      <c r="FC65" s="88"/>
      <c r="FD65" s="88"/>
      <c r="FE65" s="88"/>
      <c r="FF65" s="88"/>
      <c r="FG65" s="88"/>
      <c r="FH65" s="88"/>
      <c r="FI65" s="88"/>
      <c r="FJ65" s="88"/>
      <c r="FK65" s="88"/>
      <c r="FL65" s="88"/>
      <c r="FM65" s="88"/>
      <c r="FN65" s="88"/>
      <c r="FO65" s="88"/>
      <c r="FP65" s="88"/>
      <c r="FQ65" s="88"/>
      <c r="FR65" s="88"/>
      <c r="FS65" s="88"/>
      <c r="FT65" s="88"/>
      <c r="FU65" s="88"/>
      <c r="FV65" s="88"/>
      <c r="FW65" s="88"/>
      <c r="FX65" s="88"/>
      <c r="FY65" s="88"/>
      <c r="FZ65" s="88"/>
      <c r="GA65" s="88"/>
      <c r="GB65" s="88"/>
      <c r="GC65" s="88"/>
      <c r="GD65" s="88"/>
      <c r="GE65" s="88"/>
      <c r="GF65" s="88"/>
      <c r="GG65" s="88"/>
      <c r="GH65" s="88"/>
      <c r="GI65" s="88"/>
      <c r="GJ65" s="88"/>
      <c r="GK65" s="88"/>
      <c r="GL65" s="216"/>
      <c r="GM65" s="216"/>
      <c r="GN65" s="88"/>
      <c r="GO65" s="112"/>
      <c r="GP65" s="112"/>
      <c r="GQ65" s="88"/>
      <c r="GR65" s="88"/>
      <c r="GS65" s="88"/>
      <c r="GT65" s="88"/>
      <c r="GU65" s="88"/>
      <c r="GV65" s="88"/>
      <c r="GW65" s="88"/>
      <c r="GX65" s="88"/>
      <c r="GY65" s="88"/>
      <c r="GZ65" s="88"/>
      <c r="HA65" s="88"/>
      <c r="HB65" s="88"/>
      <c r="HC65" s="88"/>
      <c r="HD65" s="88"/>
      <c r="HE65" s="88"/>
      <c r="HF65" s="88"/>
      <c r="HG65" s="88"/>
      <c r="HH65" s="88"/>
      <c r="HI65" s="88"/>
      <c r="HJ65" s="88"/>
      <c r="HK65" s="88"/>
      <c r="HL65" s="88"/>
      <c r="HM65" s="88"/>
      <c r="HN65" s="88"/>
      <c r="HO65" s="88"/>
      <c r="HP65" s="88"/>
      <c r="HQ65" s="88"/>
      <c r="HR65" s="88"/>
      <c r="HS65" s="88"/>
      <c r="HT65" s="88"/>
      <c r="HU65" s="88"/>
      <c r="HV65" s="88"/>
      <c r="HW65" s="88"/>
      <c r="HX65" s="88"/>
      <c r="HY65" s="88"/>
      <c r="HZ65" s="88"/>
      <c r="IA65" s="216"/>
      <c r="IB65" s="216"/>
      <c r="IC65" s="88"/>
      <c r="ID65" s="112"/>
      <c r="IE65" s="112"/>
      <c r="IF65" s="47" t="s">
        <v>34</v>
      </c>
    </row>
    <row r="66" spans="1:240" x14ac:dyDescent="0.3">
      <c r="H66" s="113"/>
      <c r="DI66" s="205"/>
      <c r="EW66" s="205"/>
      <c r="EX66" s="205"/>
      <c r="GL66" s="205"/>
      <c r="GM66" s="205"/>
      <c r="IA66" s="205"/>
      <c r="IB66" s="205"/>
      <c r="IF66" s="47" t="s">
        <v>34</v>
      </c>
    </row>
    <row r="67" spans="1:240" x14ac:dyDescent="0.3">
      <c r="B67" s="47" t="s">
        <v>110</v>
      </c>
      <c r="C67" s="200">
        <f>+'Exh. BGM-4 (1)'!$AL$16</f>
        <v>7.2000000000000008E-2</v>
      </c>
      <c r="D67" s="200">
        <f>+'Exh. BGM-4 (1)'!$AL$16</f>
        <v>7.2000000000000008E-2</v>
      </c>
      <c r="E67" s="200">
        <f>+'Exh. BGM-4 (1)'!$AL$16</f>
        <v>7.2000000000000008E-2</v>
      </c>
      <c r="F67" s="200">
        <f>+'Exh. BGM-4 (1)'!$AL$16</f>
        <v>7.2000000000000008E-2</v>
      </c>
      <c r="G67" s="200">
        <f>+'Exh. BGM-4 (1)'!$AL$16</f>
        <v>7.2000000000000008E-2</v>
      </c>
      <c r="H67" s="200">
        <f>+'Exh. BGM-4 (1)'!$AL$16</f>
        <v>7.2000000000000008E-2</v>
      </c>
      <c r="I67" s="200">
        <f>+'Exh. BGM-4 (1)'!$AL$16</f>
        <v>7.2000000000000008E-2</v>
      </c>
      <c r="J67" s="200">
        <f>+'Exh. BGM-4 (1)'!$AL$16</f>
        <v>7.2000000000000008E-2</v>
      </c>
      <c r="K67" s="200">
        <f>+'Exh. BGM-4 (1)'!$AL$16</f>
        <v>7.2000000000000008E-2</v>
      </c>
      <c r="L67" s="200">
        <f>+'Exh. BGM-4 (1)'!$AL$16</f>
        <v>7.2000000000000008E-2</v>
      </c>
      <c r="M67" s="200">
        <f>+'Exh. BGM-4 (1)'!$AL$16</f>
        <v>7.2000000000000008E-2</v>
      </c>
      <c r="N67" s="200">
        <f>+'Exh. BGM-4 (1)'!$AL$16</f>
        <v>7.2000000000000008E-2</v>
      </c>
      <c r="O67" s="200">
        <f>+'Exh. BGM-4 (1)'!$AL$16</f>
        <v>7.2000000000000008E-2</v>
      </c>
      <c r="P67" s="200">
        <f>+'Exh. BGM-4 (1)'!$AL$16</f>
        <v>7.2000000000000008E-2</v>
      </c>
      <c r="Q67" s="200">
        <f>+'Exh. BGM-4 (1)'!$AL$16</f>
        <v>7.2000000000000008E-2</v>
      </c>
      <c r="R67" s="200">
        <f>+'Exh. BGM-4 (1)'!$AL$16</f>
        <v>7.2000000000000008E-2</v>
      </c>
      <c r="S67" s="200">
        <f>+'Exh. BGM-4 (1)'!$AL$16</f>
        <v>7.2000000000000008E-2</v>
      </c>
      <c r="T67" s="200">
        <f>+'Exh. BGM-4 (1)'!$AL$16</f>
        <v>7.2000000000000008E-2</v>
      </c>
      <c r="U67" s="200">
        <f>+'Exh. BGM-4 (1)'!$AL$16</f>
        <v>7.2000000000000008E-2</v>
      </c>
      <c r="V67" s="200">
        <f>+'Exh. BGM-4 (1)'!$AL$16</f>
        <v>7.2000000000000008E-2</v>
      </c>
      <c r="W67" s="200">
        <f>+'Exh. BGM-4 (1)'!$AL$16</f>
        <v>7.2000000000000008E-2</v>
      </c>
      <c r="X67" s="200">
        <f>+'Exh. BGM-4 (1)'!$AL$16</f>
        <v>7.2000000000000008E-2</v>
      </c>
      <c r="Y67" s="200">
        <f>+'Exh. BGM-4 (1)'!$AL$16</f>
        <v>7.2000000000000008E-2</v>
      </c>
      <c r="Z67" s="200">
        <f>+'Exh. BGM-4 (1)'!$AL$16</f>
        <v>7.2000000000000008E-2</v>
      </c>
      <c r="AA67" s="200">
        <f>+'Exh. BGM-4 (1)'!$AL$16</f>
        <v>7.2000000000000008E-2</v>
      </c>
      <c r="AB67" s="200">
        <f>+'Exh. BGM-4 (1)'!$AL$16</f>
        <v>7.2000000000000008E-2</v>
      </c>
      <c r="AC67" s="200">
        <f>+'Exh. BGM-4 (1)'!$AL$16</f>
        <v>7.2000000000000008E-2</v>
      </c>
      <c r="AD67" s="200">
        <f>+'Exh. BGM-4 (1)'!$AL$16</f>
        <v>7.2000000000000008E-2</v>
      </c>
      <c r="AE67" s="200">
        <f>+'Exh. BGM-4 (1)'!$AL$16</f>
        <v>7.2000000000000008E-2</v>
      </c>
      <c r="AF67" s="200">
        <f>+'Exh. BGM-4 (1)'!$AL$16</f>
        <v>7.2000000000000008E-2</v>
      </c>
      <c r="AG67" s="200">
        <f>+'Exh. BGM-4 (1)'!$AL$16</f>
        <v>7.2000000000000008E-2</v>
      </c>
      <c r="AH67" s="200">
        <f>+'Exh. BGM-4 (1)'!$AL$16</f>
        <v>7.2000000000000008E-2</v>
      </c>
      <c r="AI67" s="200">
        <f>+'Exh. BGM-4 (1)'!$AL$16</f>
        <v>7.2000000000000008E-2</v>
      </c>
      <c r="AJ67" s="200">
        <f>+'Exh. BGM-4 (1)'!$AL$16</f>
        <v>7.2000000000000008E-2</v>
      </c>
      <c r="AK67" s="200">
        <f>+'Exh. BGM-4 (1)'!$AL$16</f>
        <v>7.2000000000000008E-2</v>
      </c>
      <c r="AL67" s="200">
        <f>+'Exh. BGM-4 (1)'!$AL$16</f>
        <v>7.2000000000000008E-2</v>
      </c>
      <c r="AM67" s="200">
        <f>+'Exh. BGM-4 (1)'!$AL$16</f>
        <v>7.2000000000000008E-2</v>
      </c>
      <c r="AN67" s="200">
        <f>+'Exh. BGM-4 (1)'!$AL$16</f>
        <v>7.2000000000000008E-2</v>
      </c>
      <c r="AO67" s="200">
        <f>+'Exh. BGM-4 (1)'!$AL$16</f>
        <v>7.2000000000000008E-2</v>
      </c>
      <c r="AP67" s="200">
        <f>+'Exh. BGM-4 (1)'!$AL$16</f>
        <v>7.2000000000000008E-2</v>
      </c>
      <c r="AQ67" s="200">
        <f>+'Exh. BGM-4 (1)'!$AL$16</f>
        <v>7.2000000000000008E-2</v>
      </c>
      <c r="AR67" s="200">
        <f>+'Exh. BGM-4 (1)'!$AL$16</f>
        <v>7.2000000000000008E-2</v>
      </c>
      <c r="AS67" s="200">
        <f>+'Exh. BGM-4 (1)'!$AL$16</f>
        <v>7.2000000000000008E-2</v>
      </c>
      <c r="AT67" s="200">
        <f>+'Exh. BGM-4 (1)'!$AL$16</f>
        <v>7.2000000000000008E-2</v>
      </c>
      <c r="AU67" s="200">
        <f>+'Exh. BGM-4 (1)'!$AL$16</f>
        <v>7.2000000000000008E-2</v>
      </c>
      <c r="AV67" s="200">
        <f>+'Exh. BGM-4 (1)'!$AL$16</f>
        <v>7.2000000000000008E-2</v>
      </c>
      <c r="AW67" s="200">
        <f>+'Exh. BGM-4 (1)'!$AL$16</f>
        <v>7.2000000000000008E-2</v>
      </c>
      <c r="AX67" s="200">
        <f>+'Exh. BGM-4 (1)'!$AL$16</f>
        <v>7.2000000000000008E-2</v>
      </c>
      <c r="AY67" s="200">
        <f>+'Exh. BGM-4 (1)'!$AL$16</f>
        <v>7.2000000000000008E-2</v>
      </c>
      <c r="AZ67" s="200">
        <f>+'Exh. BGM-4 (1)'!$AL$16</f>
        <v>7.2000000000000008E-2</v>
      </c>
      <c r="BA67" s="200">
        <f>+'Exh. BGM-4 (1)'!$AL$16</f>
        <v>7.2000000000000008E-2</v>
      </c>
      <c r="BB67" s="200">
        <f>+'Exh. BGM-4 (1)'!$AL$16</f>
        <v>7.2000000000000008E-2</v>
      </c>
      <c r="BC67" s="200">
        <f>+'Exh. BGM-4 (1)'!$AL$16</f>
        <v>7.2000000000000008E-2</v>
      </c>
      <c r="BD67" s="200">
        <f>+'Exh. BGM-4 (1)'!$AL$16</f>
        <v>7.2000000000000008E-2</v>
      </c>
      <c r="BE67" s="200">
        <f>+'Exh. BGM-4 (1)'!$AL$16</f>
        <v>7.2000000000000008E-2</v>
      </c>
      <c r="BF67" s="200">
        <f>+'Exh. BGM-4 (1)'!$AL$16</f>
        <v>7.2000000000000008E-2</v>
      </c>
      <c r="BG67" s="200">
        <f>+'Exh. BGM-4 (1)'!$AL$16</f>
        <v>7.2000000000000008E-2</v>
      </c>
      <c r="BH67" s="200">
        <f>+'Exh. BGM-4 (1)'!$AL$16</f>
        <v>7.2000000000000008E-2</v>
      </c>
      <c r="BI67" s="200">
        <f>+'Exh. BGM-4 (1)'!$AL$16</f>
        <v>7.2000000000000008E-2</v>
      </c>
      <c r="BJ67" s="200">
        <f>+'Exh. BGM-4 (1)'!$AL$16</f>
        <v>7.2000000000000008E-2</v>
      </c>
      <c r="BK67" s="200">
        <f>+'Exh. BGM-4 (1)'!$AL$16</f>
        <v>7.2000000000000008E-2</v>
      </c>
      <c r="BL67" s="200">
        <f>+'Exh. BGM-4 (1)'!$AL$16</f>
        <v>7.2000000000000008E-2</v>
      </c>
      <c r="BM67" s="200">
        <f>+'Exh. BGM-4 (1)'!$AL$16</f>
        <v>7.2000000000000008E-2</v>
      </c>
      <c r="BN67" s="200">
        <f>+'Exh. BGM-4 (1)'!$AL$16</f>
        <v>7.2000000000000008E-2</v>
      </c>
      <c r="BO67" s="200">
        <f>+'Exh. BGM-4 (1)'!$AL$16</f>
        <v>7.2000000000000008E-2</v>
      </c>
      <c r="BP67" s="200">
        <f>+'Exh. BGM-4 (1)'!$AL$16</f>
        <v>7.2000000000000008E-2</v>
      </c>
      <c r="BQ67" s="200">
        <f>+'Exh. BGM-4 (1)'!$AL$16</f>
        <v>7.2000000000000008E-2</v>
      </c>
      <c r="BR67" s="200">
        <f>+'Exh. BGM-4 (1)'!$AL$16</f>
        <v>7.2000000000000008E-2</v>
      </c>
      <c r="BS67" s="200">
        <f>+'Exh. BGM-4 (1)'!$AL$16</f>
        <v>7.2000000000000008E-2</v>
      </c>
      <c r="BT67" s="200">
        <f>+'Exh. BGM-4 (1)'!$AL$16</f>
        <v>7.2000000000000008E-2</v>
      </c>
      <c r="BU67" s="200">
        <f>+'Exh. BGM-4 (1)'!$AL$16</f>
        <v>7.2000000000000008E-2</v>
      </c>
      <c r="BV67" s="200">
        <f>+'Exh. BGM-4 (1)'!$AL$16</f>
        <v>7.2000000000000008E-2</v>
      </c>
      <c r="BW67" s="200">
        <f>+'Exh. BGM-4 (1)'!$AL$16</f>
        <v>7.2000000000000008E-2</v>
      </c>
      <c r="BX67" s="200">
        <f>+'Exh. BGM-4 (1)'!$AL$16</f>
        <v>7.2000000000000008E-2</v>
      </c>
      <c r="BY67" s="200">
        <f>+'Exh. BGM-4 (1)'!$AL$16</f>
        <v>7.2000000000000008E-2</v>
      </c>
      <c r="BZ67" s="200">
        <f>+'Exh. BGM-4 (1)'!$AL$16</f>
        <v>7.2000000000000008E-2</v>
      </c>
      <c r="CA67" s="200">
        <f>+'Exh. BGM-4 (1)'!$AL$16</f>
        <v>7.2000000000000008E-2</v>
      </c>
      <c r="CB67" s="200">
        <f>+'Exh. BGM-4 (1)'!$AL$16</f>
        <v>7.2000000000000008E-2</v>
      </c>
      <c r="CC67" s="200">
        <f>+'Exh. BGM-4 (1)'!$AL$16</f>
        <v>7.2000000000000008E-2</v>
      </c>
      <c r="CD67" s="200">
        <f>+'Exh. BGM-4 (1)'!$AL$16</f>
        <v>7.2000000000000008E-2</v>
      </c>
      <c r="CE67" s="200">
        <f>+'Exh. BGM-4 (1)'!$AL$16</f>
        <v>7.2000000000000008E-2</v>
      </c>
      <c r="CF67" s="200">
        <f>+'Exh. BGM-4 (1)'!$AL$16</f>
        <v>7.2000000000000008E-2</v>
      </c>
      <c r="CG67" s="200">
        <f>+'Exh. BGM-4 (1)'!$AL$16</f>
        <v>7.2000000000000008E-2</v>
      </c>
      <c r="CH67" s="200">
        <f>+'Exh. BGM-4 (1)'!$AL$16</f>
        <v>7.2000000000000008E-2</v>
      </c>
      <c r="CI67" s="200">
        <f>+'Exh. BGM-4 (1)'!$AL$16</f>
        <v>7.2000000000000008E-2</v>
      </c>
      <c r="CJ67" s="200">
        <f>+'Exh. BGM-4 (1)'!$AL$16</f>
        <v>7.2000000000000008E-2</v>
      </c>
      <c r="CK67" s="200">
        <f>+'Exh. BGM-4 (1)'!$AL$16</f>
        <v>7.2000000000000008E-2</v>
      </c>
      <c r="CL67" s="200">
        <f>+'Exh. BGM-4 (1)'!$AL$16</f>
        <v>7.2000000000000008E-2</v>
      </c>
      <c r="CM67" s="200">
        <f>+'Exh. BGM-4 (1)'!$AL$16</f>
        <v>7.2000000000000008E-2</v>
      </c>
      <c r="CN67" s="200">
        <f>+'Exh. BGM-4 (1)'!$AL$16</f>
        <v>7.2000000000000008E-2</v>
      </c>
      <c r="CO67" s="200">
        <f>+'Exh. BGM-4 (1)'!$AL$16</f>
        <v>7.2000000000000008E-2</v>
      </c>
      <c r="CP67" s="200">
        <f>+'Exh. BGM-4 (1)'!$AL$16</f>
        <v>7.2000000000000008E-2</v>
      </c>
      <c r="CQ67" s="200">
        <f>+'Exh. BGM-4 (1)'!$AL$16</f>
        <v>7.2000000000000008E-2</v>
      </c>
      <c r="CR67" s="200">
        <f>+'Exh. BGM-4 (1)'!$AL$16</f>
        <v>7.2000000000000008E-2</v>
      </c>
      <c r="CS67" s="200">
        <f>+'Exh. BGM-4 (1)'!$AL$16</f>
        <v>7.2000000000000008E-2</v>
      </c>
      <c r="CT67" s="200">
        <f>+'Exh. BGM-4 (1)'!$AL$16</f>
        <v>7.2000000000000008E-2</v>
      </c>
      <c r="CU67" s="200">
        <f>+'Exh. BGM-4 (1)'!$AL$16</f>
        <v>7.2000000000000008E-2</v>
      </c>
      <c r="CV67" s="200">
        <f>+'Exh. BGM-4 (1)'!$AL$16</f>
        <v>7.2000000000000008E-2</v>
      </c>
      <c r="CW67" s="200">
        <f>+'Exh. BGM-4 (1)'!$AL$16</f>
        <v>7.2000000000000008E-2</v>
      </c>
      <c r="CX67" s="200">
        <f>+'Exh. BGM-4 (1)'!$AL$16</f>
        <v>7.2000000000000008E-2</v>
      </c>
      <c r="CY67" s="200">
        <f>+'Exh. BGM-4 (1)'!$AL$16</f>
        <v>7.2000000000000008E-2</v>
      </c>
      <c r="CZ67" s="200">
        <f>+'Exh. BGM-4 (1)'!$AL$16</f>
        <v>7.2000000000000008E-2</v>
      </c>
      <c r="DA67" s="200">
        <f>+'Exh. BGM-4 (1)'!$AL$16</f>
        <v>7.2000000000000008E-2</v>
      </c>
      <c r="DB67" s="200">
        <f>+'Exh. BGM-4 (1)'!$AL$16</f>
        <v>7.2000000000000008E-2</v>
      </c>
      <c r="DC67" s="200">
        <f>+'Exh. BGM-4 (1)'!$AL$16</f>
        <v>7.2000000000000008E-2</v>
      </c>
      <c r="DD67" s="200">
        <f>+'Exh. BGM-4 (1)'!$AL$16</f>
        <v>7.2000000000000008E-2</v>
      </c>
      <c r="DE67" s="200">
        <f>+'Exh. BGM-4 (1)'!$AL$16</f>
        <v>7.2000000000000008E-2</v>
      </c>
      <c r="DF67" s="200">
        <f>+'Exh. BGM-4 (1)'!$AL$16</f>
        <v>7.2000000000000008E-2</v>
      </c>
      <c r="DG67" s="200">
        <f>+'Exh. BGM-4 (1)'!$AL$16</f>
        <v>7.2000000000000008E-2</v>
      </c>
      <c r="DH67" s="200">
        <f>+'Exh. BGM-4 (1)'!$AL$16</f>
        <v>7.2000000000000008E-2</v>
      </c>
      <c r="DI67" s="200">
        <f>+'Exh. BGM-4 (1)'!$AL$16</f>
        <v>7.2000000000000008E-2</v>
      </c>
      <c r="DJ67" s="200">
        <f>+'Exh. BGM-4 (1)'!$AL$16</f>
        <v>7.2000000000000008E-2</v>
      </c>
      <c r="DK67" s="200">
        <f>+'Exh. BGM-4 (1)'!$AL$16</f>
        <v>7.2000000000000008E-2</v>
      </c>
      <c r="DL67" s="200">
        <f>+'Exh. BGM-4 (1)'!$AL$16</f>
        <v>7.2000000000000008E-2</v>
      </c>
      <c r="DM67" s="200">
        <f>+'Exh. BGM-4 (1)'!$AL$16</f>
        <v>7.2000000000000008E-2</v>
      </c>
      <c r="DN67" s="200">
        <f>+'Exh. BGM-4 (1)'!$AL$16</f>
        <v>7.2000000000000008E-2</v>
      </c>
      <c r="DO67" s="200">
        <f>+'Exh. BGM-4 (1)'!$AL$16</f>
        <v>7.2000000000000008E-2</v>
      </c>
      <c r="DP67" s="200">
        <f>+'Exh. BGM-4 (1)'!$AL$16</f>
        <v>7.2000000000000008E-2</v>
      </c>
      <c r="DQ67" s="200">
        <f>+'Exh. BGM-4 (1)'!$AL$16</f>
        <v>7.2000000000000008E-2</v>
      </c>
      <c r="DR67" s="200">
        <f>+'Exh. BGM-4 (1)'!$AL$16</f>
        <v>7.2000000000000008E-2</v>
      </c>
      <c r="DS67" s="200">
        <f>+'Exh. BGM-4 (1)'!$AL$16</f>
        <v>7.2000000000000008E-2</v>
      </c>
      <c r="DT67" s="200">
        <f>+'Exh. BGM-4 (1)'!$AL$16</f>
        <v>7.2000000000000008E-2</v>
      </c>
      <c r="DU67" s="200">
        <f>+'Exh. BGM-4 (1)'!$AL$16</f>
        <v>7.2000000000000008E-2</v>
      </c>
      <c r="DV67" s="200">
        <f>+'Exh. BGM-4 (1)'!$AL$16</f>
        <v>7.2000000000000008E-2</v>
      </c>
      <c r="DW67" s="200">
        <f>+'Exh. BGM-4 (1)'!$AL$16</f>
        <v>7.2000000000000008E-2</v>
      </c>
      <c r="DX67" s="200">
        <f>+'Exh. BGM-4 (1)'!$AL$16</f>
        <v>7.2000000000000008E-2</v>
      </c>
      <c r="DY67" s="200">
        <f>+'Exh. BGM-4 (1)'!$AL$16</f>
        <v>7.2000000000000008E-2</v>
      </c>
      <c r="DZ67" s="200">
        <f>+'Exh. BGM-4 (1)'!$AL$16</f>
        <v>7.2000000000000008E-2</v>
      </c>
      <c r="EA67" s="200">
        <f>+'Exh. BGM-4 (1)'!$AL$16</f>
        <v>7.2000000000000008E-2</v>
      </c>
      <c r="EB67" s="200">
        <f>+'Exh. BGM-4 (1)'!$AL$16</f>
        <v>7.2000000000000008E-2</v>
      </c>
      <c r="EC67" s="200">
        <f>+'Exh. BGM-4 (1)'!$AL$16</f>
        <v>7.2000000000000008E-2</v>
      </c>
      <c r="ED67" s="200">
        <f>+'Exh. BGM-4 (1)'!$AL$16</f>
        <v>7.2000000000000008E-2</v>
      </c>
      <c r="EE67" s="200">
        <f>+'Exh. BGM-4 (1)'!$AL$16</f>
        <v>7.2000000000000008E-2</v>
      </c>
      <c r="EF67" s="200">
        <f>+'Exh. BGM-4 (1)'!$AL$16</f>
        <v>7.2000000000000008E-2</v>
      </c>
      <c r="EG67" s="200">
        <f>+'Exh. BGM-4 (1)'!$AL$16</f>
        <v>7.2000000000000008E-2</v>
      </c>
      <c r="EH67" s="200">
        <f>+'Exh. BGM-4 (1)'!$AL$16</f>
        <v>7.2000000000000008E-2</v>
      </c>
      <c r="EI67" s="200">
        <f>+'Exh. BGM-4 (1)'!$AL$16</f>
        <v>7.2000000000000008E-2</v>
      </c>
      <c r="EJ67" s="200">
        <f>+'Exh. BGM-4 (1)'!$AL$16</f>
        <v>7.2000000000000008E-2</v>
      </c>
      <c r="EK67" s="200">
        <f>+'Exh. BGM-4 (1)'!$AL$16</f>
        <v>7.2000000000000008E-2</v>
      </c>
      <c r="EL67" s="200">
        <f>+'Exh. BGM-4 (1)'!$AL$16</f>
        <v>7.2000000000000008E-2</v>
      </c>
      <c r="EM67" s="200">
        <f>+'Exh. BGM-4 (1)'!$AL$16</f>
        <v>7.2000000000000008E-2</v>
      </c>
      <c r="EN67" s="200">
        <f>+'Exh. BGM-4 (1)'!$AL$16</f>
        <v>7.2000000000000008E-2</v>
      </c>
      <c r="EO67" s="200">
        <f>+'Exh. BGM-4 (1)'!$AL$16</f>
        <v>7.2000000000000008E-2</v>
      </c>
      <c r="EP67" s="200">
        <f>+'Exh. BGM-4 (1)'!$AL$16</f>
        <v>7.2000000000000008E-2</v>
      </c>
      <c r="EQ67" s="200">
        <f>+'Exh. BGM-4 (1)'!$AL$16</f>
        <v>7.2000000000000008E-2</v>
      </c>
      <c r="ER67" s="200">
        <f>+'Exh. BGM-4 (1)'!$AL$16</f>
        <v>7.2000000000000008E-2</v>
      </c>
      <c r="ES67" s="200">
        <f>+'Exh. BGM-4 (1)'!$AL$16</f>
        <v>7.2000000000000008E-2</v>
      </c>
      <c r="ET67" s="200">
        <f>+'Exh. BGM-4 (1)'!$AL$16</f>
        <v>7.2000000000000008E-2</v>
      </c>
      <c r="EU67" s="200">
        <f>+'Exh. BGM-4 (1)'!$AL$16</f>
        <v>7.2000000000000008E-2</v>
      </c>
      <c r="EV67" s="200">
        <f>+'Exh. BGM-4 (1)'!$AL$16</f>
        <v>7.2000000000000008E-2</v>
      </c>
      <c r="EW67" s="200">
        <f>+'Exh. BGM-4 (1)'!$AL$16</f>
        <v>7.2000000000000008E-2</v>
      </c>
      <c r="EX67" s="200">
        <f>+'Exh. BGM-4 (1)'!$AL$16</f>
        <v>7.2000000000000008E-2</v>
      </c>
      <c r="EY67" s="200">
        <f>+'Exh. BGM-4 (1)'!$AL$16</f>
        <v>7.2000000000000008E-2</v>
      </c>
      <c r="EZ67" s="200">
        <f>+'Exh. BGM-4 (1)'!$AL$16</f>
        <v>7.2000000000000008E-2</v>
      </c>
      <c r="FA67" s="200">
        <f>+'Exh. BGM-4 (1)'!$AL$16</f>
        <v>7.2000000000000008E-2</v>
      </c>
      <c r="FB67" s="200">
        <f>+'Exh. BGM-4 (1)'!$AL$16</f>
        <v>7.2000000000000008E-2</v>
      </c>
      <c r="FC67" s="200">
        <f>+'Exh. BGM-4 (1)'!$AL$16</f>
        <v>7.2000000000000008E-2</v>
      </c>
      <c r="FD67" s="200">
        <f>+'Exh. BGM-4 (1)'!$AL$16</f>
        <v>7.2000000000000008E-2</v>
      </c>
      <c r="FE67" s="200">
        <f>+'Exh. BGM-4 (1)'!$AL$16</f>
        <v>7.2000000000000008E-2</v>
      </c>
      <c r="FF67" s="200">
        <f>+'Exh. BGM-4 (1)'!$AL$16</f>
        <v>7.2000000000000008E-2</v>
      </c>
      <c r="FG67" s="200">
        <f>+'Exh. BGM-4 (1)'!$AL$16</f>
        <v>7.2000000000000008E-2</v>
      </c>
      <c r="FH67" s="200">
        <f>+'Exh. BGM-4 (1)'!$AL$16</f>
        <v>7.2000000000000008E-2</v>
      </c>
      <c r="FI67" s="200">
        <f>+'Exh. BGM-4 (1)'!$AL$16</f>
        <v>7.2000000000000008E-2</v>
      </c>
      <c r="FJ67" s="200">
        <f>+'Exh. BGM-4 (1)'!$AL$16</f>
        <v>7.2000000000000008E-2</v>
      </c>
      <c r="FK67" s="200">
        <f>+'Exh. BGM-4 (1)'!$AL$16</f>
        <v>7.2000000000000008E-2</v>
      </c>
      <c r="FL67" s="200">
        <f>+'Exh. BGM-4 (1)'!$AL$16</f>
        <v>7.2000000000000008E-2</v>
      </c>
      <c r="FM67" s="200">
        <f>+'Exh. BGM-4 (1)'!$AL$16</f>
        <v>7.2000000000000008E-2</v>
      </c>
      <c r="FN67" s="200">
        <f>+'Exh. BGM-4 (1)'!$AL$16</f>
        <v>7.2000000000000008E-2</v>
      </c>
      <c r="FO67" s="200">
        <f>+'Exh. BGM-4 (1)'!$AL$16</f>
        <v>7.2000000000000008E-2</v>
      </c>
      <c r="FP67" s="200">
        <f>+'Exh. BGM-4 (1)'!$AL$16</f>
        <v>7.2000000000000008E-2</v>
      </c>
      <c r="FQ67" s="200">
        <f>+'Exh. BGM-4 (1)'!$AL$16</f>
        <v>7.2000000000000008E-2</v>
      </c>
      <c r="FR67" s="200">
        <f>+'Exh. BGM-4 (1)'!$AL$16</f>
        <v>7.2000000000000008E-2</v>
      </c>
      <c r="FS67" s="200">
        <f>+'Exh. BGM-4 (1)'!$AL$16</f>
        <v>7.2000000000000008E-2</v>
      </c>
      <c r="FT67" s="200">
        <f>+'Exh. BGM-4 (1)'!$AL$16</f>
        <v>7.2000000000000008E-2</v>
      </c>
      <c r="FU67" s="200">
        <f>+'Exh. BGM-4 (1)'!$AL$16</f>
        <v>7.2000000000000008E-2</v>
      </c>
      <c r="FV67" s="200">
        <f>+'Exh. BGM-4 (1)'!$AL$16</f>
        <v>7.2000000000000008E-2</v>
      </c>
      <c r="FW67" s="200">
        <f>+'Exh. BGM-4 (1)'!$AL$16</f>
        <v>7.2000000000000008E-2</v>
      </c>
      <c r="FX67" s="200">
        <f>+'Exh. BGM-4 (1)'!$AL$16</f>
        <v>7.2000000000000008E-2</v>
      </c>
      <c r="FY67" s="200">
        <f>+'Exh. BGM-4 (1)'!$AL$16</f>
        <v>7.2000000000000008E-2</v>
      </c>
      <c r="FZ67" s="200">
        <f>+'Exh. BGM-4 (1)'!$AL$16</f>
        <v>7.2000000000000008E-2</v>
      </c>
      <c r="GA67" s="200">
        <f>+'Exh. BGM-4 (1)'!$AL$16</f>
        <v>7.2000000000000008E-2</v>
      </c>
      <c r="GB67" s="200">
        <f>+'Exh. BGM-4 (1)'!$AL$16</f>
        <v>7.2000000000000008E-2</v>
      </c>
      <c r="GC67" s="200">
        <f>+'Exh. BGM-4 (1)'!$AL$16</f>
        <v>7.2000000000000008E-2</v>
      </c>
      <c r="GD67" s="200">
        <f>+'Exh. BGM-4 (1)'!$AL$16</f>
        <v>7.2000000000000008E-2</v>
      </c>
      <c r="GE67" s="200">
        <f>+'Exh. BGM-4 (1)'!$AL$16</f>
        <v>7.2000000000000008E-2</v>
      </c>
      <c r="GF67" s="200">
        <f>+'Exh. BGM-4 (1)'!$AL$16</f>
        <v>7.2000000000000008E-2</v>
      </c>
      <c r="GG67" s="200">
        <f>+'Exh. BGM-4 (1)'!$AL$16</f>
        <v>7.2000000000000008E-2</v>
      </c>
      <c r="GH67" s="200">
        <f>+'Exh. BGM-4 (1)'!$AL$16</f>
        <v>7.2000000000000008E-2</v>
      </c>
      <c r="GI67" s="200">
        <f>+'Exh. BGM-4 (1)'!$AL$16</f>
        <v>7.2000000000000008E-2</v>
      </c>
      <c r="GJ67" s="200">
        <f>+'Exh. BGM-4 (1)'!$AL$16</f>
        <v>7.2000000000000008E-2</v>
      </c>
      <c r="GK67" s="200">
        <f>+'Exh. BGM-4 (1)'!$AL$16</f>
        <v>7.2000000000000008E-2</v>
      </c>
      <c r="GL67" s="200">
        <f>+'Exh. BGM-4 (1)'!$AL$16</f>
        <v>7.2000000000000008E-2</v>
      </c>
      <c r="GM67" s="200">
        <f>+'Exh. BGM-4 (1)'!$AL$16</f>
        <v>7.2000000000000008E-2</v>
      </c>
      <c r="GN67" s="200">
        <f>+'Exh. BGM-4 (1)'!$AL$16</f>
        <v>7.2000000000000008E-2</v>
      </c>
      <c r="GO67" s="200">
        <f>+'Exh. BGM-4 (1)'!$AL$16</f>
        <v>7.2000000000000008E-2</v>
      </c>
      <c r="GP67" s="200">
        <f>+'Exh. BGM-4 (1)'!$AL$16</f>
        <v>7.2000000000000008E-2</v>
      </c>
      <c r="GQ67" s="200">
        <f>+'Exh. BGM-4 (1)'!$AL$16</f>
        <v>7.2000000000000008E-2</v>
      </c>
      <c r="GR67" s="200">
        <f>+'Exh. BGM-4 (1)'!$AL$16</f>
        <v>7.2000000000000008E-2</v>
      </c>
      <c r="GS67" s="200">
        <f>+'Exh. BGM-4 (1)'!$AL$16</f>
        <v>7.2000000000000008E-2</v>
      </c>
      <c r="GT67" s="200">
        <f>+'Exh. BGM-4 (1)'!$AL$16</f>
        <v>7.2000000000000008E-2</v>
      </c>
      <c r="GU67" s="200">
        <f>+'Exh. BGM-4 (1)'!$AL$16</f>
        <v>7.2000000000000008E-2</v>
      </c>
      <c r="GV67" s="200">
        <f>+'Exh. BGM-4 (1)'!$AL$16</f>
        <v>7.2000000000000008E-2</v>
      </c>
      <c r="GW67" s="200">
        <f>+'Exh. BGM-4 (1)'!$AL$16</f>
        <v>7.2000000000000008E-2</v>
      </c>
      <c r="GX67" s="200">
        <f>+'Exh. BGM-4 (1)'!$AL$16</f>
        <v>7.2000000000000008E-2</v>
      </c>
      <c r="GY67" s="200">
        <f>+'Exh. BGM-4 (1)'!$AL$16</f>
        <v>7.2000000000000008E-2</v>
      </c>
      <c r="GZ67" s="200">
        <f>+'Exh. BGM-4 (1)'!$AL$16</f>
        <v>7.2000000000000008E-2</v>
      </c>
      <c r="HA67" s="200">
        <f>+'Exh. BGM-4 (1)'!$AL$16</f>
        <v>7.2000000000000008E-2</v>
      </c>
      <c r="HB67" s="200">
        <f>+'Exh. BGM-4 (1)'!$AL$16</f>
        <v>7.2000000000000008E-2</v>
      </c>
      <c r="HC67" s="200">
        <f>+'Exh. BGM-4 (1)'!$AL$16</f>
        <v>7.2000000000000008E-2</v>
      </c>
      <c r="HD67" s="200">
        <f>+'Exh. BGM-4 (1)'!$AL$16</f>
        <v>7.2000000000000008E-2</v>
      </c>
      <c r="HE67" s="200">
        <f>+'Exh. BGM-4 (1)'!$AL$16</f>
        <v>7.2000000000000008E-2</v>
      </c>
      <c r="HF67" s="200">
        <f>+'Exh. BGM-4 (1)'!$AL$16</f>
        <v>7.2000000000000008E-2</v>
      </c>
      <c r="HG67" s="200">
        <f>+'Exh. BGM-4 (1)'!$AL$16</f>
        <v>7.2000000000000008E-2</v>
      </c>
      <c r="HH67" s="200">
        <f>+'Exh. BGM-4 (1)'!$AL$16</f>
        <v>7.2000000000000008E-2</v>
      </c>
      <c r="HI67" s="200">
        <f>+'Exh. BGM-4 (1)'!$AL$16</f>
        <v>7.2000000000000008E-2</v>
      </c>
      <c r="HJ67" s="200">
        <f>+'Exh. BGM-4 (1)'!$AL$16</f>
        <v>7.2000000000000008E-2</v>
      </c>
      <c r="HK67" s="200">
        <f>+'Exh. BGM-4 (1)'!$AL$16</f>
        <v>7.2000000000000008E-2</v>
      </c>
      <c r="HL67" s="200">
        <f>+'Exh. BGM-4 (1)'!$AL$16</f>
        <v>7.2000000000000008E-2</v>
      </c>
      <c r="HM67" s="200">
        <f>+'Exh. BGM-4 (1)'!$AL$16</f>
        <v>7.2000000000000008E-2</v>
      </c>
      <c r="HN67" s="200">
        <f>+'Exh. BGM-4 (1)'!$AL$16</f>
        <v>7.2000000000000008E-2</v>
      </c>
      <c r="HO67" s="200">
        <f>+'Exh. BGM-4 (1)'!$AL$16</f>
        <v>7.2000000000000008E-2</v>
      </c>
      <c r="HP67" s="200">
        <f>+'Exh. BGM-4 (1)'!$AL$16</f>
        <v>7.2000000000000008E-2</v>
      </c>
      <c r="HQ67" s="200">
        <f>+'Exh. BGM-4 (1)'!$AL$16</f>
        <v>7.2000000000000008E-2</v>
      </c>
      <c r="HR67" s="200">
        <f>+'Exh. BGM-4 (1)'!$AL$16</f>
        <v>7.2000000000000008E-2</v>
      </c>
      <c r="HS67" s="200">
        <f>+'Exh. BGM-4 (1)'!$AL$16</f>
        <v>7.2000000000000008E-2</v>
      </c>
      <c r="HT67" s="200">
        <f>+'Exh. BGM-4 (1)'!$AL$16</f>
        <v>7.2000000000000008E-2</v>
      </c>
      <c r="HU67" s="200">
        <f>+'Exh. BGM-4 (1)'!$AL$16</f>
        <v>7.2000000000000008E-2</v>
      </c>
      <c r="HV67" s="200">
        <f>+'Exh. BGM-4 (1)'!$AL$16</f>
        <v>7.2000000000000008E-2</v>
      </c>
      <c r="HW67" s="200">
        <f>+'Exh. BGM-4 (1)'!$AL$16</f>
        <v>7.2000000000000008E-2</v>
      </c>
      <c r="HX67" s="200">
        <f>+'Exh. BGM-4 (1)'!$AL$16</f>
        <v>7.2000000000000008E-2</v>
      </c>
      <c r="HY67" s="200">
        <f>+'Exh. BGM-4 (1)'!$AL$16</f>
        <v>7.2000000000000008E-2</v>
      </c>
      <c r="HZ67" s="200">
        <f>+'Exh. BGM-4 (1)'!$AL$16</f>
        <v>7.2000000000000008E-2</v>
      </c>
      <c r="IA67" s="200">
        <f>+'Exh. BGM-4 (1)'!$AL$16</f>
        <v>7.2000000000000008E-2</v>
      </c>
      <c r="IB67" s="200">
        <f>+'Exh. BGM-4 (1)'!$AL$16</f>
        <v>7.2000000000000008E-2</v>
      </c>
      <c r="IC67" s="200">
        <f>+'Exh. BGM-4 (1)'!$AL$16</f>
        <v>7.2000000000000008E-2</v>
      </c>
      <c r="ID67" s="200">
        <f>+'Exh. BGM-4 (1)'!$AL$16</f>
        <v>7.2000000000000008E-2</v>
      </c>
      <c r="IE67" s="200">
        <f>+'Exh. BGM-4 (1)'!$AL$16</f>
        <v>7.2000000000000008E-2</v>
      </c>
      <c r="IF67" s="47" t="s">
        <v>34</v>
      </c>
    </row>
    <row r="68" spans="1:240" x14ac:dyDescent="0.3">
      <c r="B68" s="47" t="s">
        <v>111</v>
      </c>
      <c r="C68" s="109">
        <v>0.75480100000000006</v>
      </c>
      <c r="D68" s="109">
        <v>0.75480100000000006</v>
      </c>
      <c r="E68" s="109">
        <v>0.75480100000000006</v>
      </c>
      <c r="F68" s="109">
        <v>0.75480100000000006</v>
      </c>
      <c r="G68" s="109">
        <v>0.75480100000000006</v>
      </c>
      <c r="H68" s="109">
        <v>0.75480100000000006</v>
      </c>
      <c r="I68" s="109">
        <v>0.75480100000000006</v>
      </c>
      <c r="J68" s="109">
        <v>0.75480100000000006</v>
      </c>
      <c r="K68" s="109">
        <v>0.75480100000000006</v>
      </c>
      <c r="L68" s="109">
        <v>0.75480100000000006</v>
      </c>
      <c r="M68" s="109">
        <v>0.75480100000000006</v>
      </c>
      <c r="N68" s="109">
        <v>0.75480100000000006</v>
      </c>
      <c r="O68" s="109">
        <v>0.75480100000000006</v>
      </c>
      <c r="P68" s="109">
        <v>0.75480100000000006</v>
      </c>
      <c r="Q68" s="109">
        <v>0.75480100000000006</v>
      </c>
      <c r="R68" s="109">
        <v>0.75480100000000006</v>
      </c>
      <c r="S68" s="109">
        <v>0.75480100000000006</v>
      </c>
      <c r="T68" s="109">
        <v>0.75480100000000006</v>
      </c>
      <c r="U68" s="109">
        <v>0.75480100000000006</v>
      </c>
      <c r="V68" s="109">
        <v>0.75480100000000006</v>
      </c>
      <c r="W68" s="109">
        <v>0.75480100000000006</v>
      </c>
      <c r="X68" s="109">
        <v>0.75480100000000006</v>
      </c>
      <c r="Y68" s="109">
        <v>0.75480100000000006</v>
      </c>
      <c r="Z68" s="109">
        <v>0.75480100000000006</v>
      </c>
      <c r="AA68" s="109">
        <v>0.75480100000000006</v>
      </c>
      <c r="AB68" s="109">
        <v>0.75480100000000006</v>
      </c>
      <c r="AC68" s="109">
        <v>0.75480100000000006</v>
      </c>
      <c r="AD68" s="109">
        <v>0.75480100000000006</v>
      </c>
      <c r="AE68" s="109">
        <v>0.75480100000000006</v>
      </c>
      <c r="AF68" s="109">
        <v>0.75480100000000006</v>
      </c>
      <c r="AG68" s="109">
        <v>0.75480100000000006</v>
      </c>
      <c r="AH68" s="109">
        <v>0.75480100000000006</v>
      </c>
      <c r="AI68" s="109">
        <v>0.75480100000000006</v>
      </c>
      <c r="AJ68" s="109">
        <v>0.75480100000000006</v>
      </c>
      <c r="AK68" s="109">
        <v>0.75480100000000006</v>
      </c>
      <c r="AL68" s="109">
        <v>0.75480100000000006</v>
      </c>
      <c r="AM68" s="109">
        <v>0.75480100000000006</v>
      </c>
      <c r="AN68" s="109">
        <v>0.75480100000000006</v>
      </c>
      <c r="AO68" s="109">
        <v>0.75480100000000006</v>
      </c>
      <c r="AP68" s="109">
        <v>0.75480100000000006</v>
      </c>
      <c r="AQ68" s="109">
        <v>0.75480100000000006</v>
      </c>
      <c r="AR68" s="109">
        <v>0.75480100000000006</v>
      </c>
      <c r="AS68" s="109">
        <v>0.75480100000000006</v>
      </c>
      <c r="AT68" s="109">
        <v>0.75480100000000006</v>
      </c>
      <c r="AU68" s="109">
        <v>0.75480100000000006</v>
      </c>
      <c r="AV68" s="109">
        <v>0.75480100000000006</v>
      </c>
      <c r="AW68" s="109">
        <v>0.75480100000000006</v>
      </c>
      <c r="AX68" s="109">
        <v>0.75480100000000006</v>
      </c>
      <c r="AY68" s="109">
        <v>0.75480100000000006</v>
      </c>
      <c r="AZ68" s="109">
        <v>0.75480100000000006</v>
      </c>
      <c r="BA68" s="109">
        <v>0.75480100000000006</v>
      </c>
      <c r="BB68" s="109">
        <v>0.75480100000000006</v>
      </c>
      <c r="BC68" s="109">
        <v>0.75480100000000006</v>
      </c>
      <c r="BD68" s="109">
        <v>0.75480100000000006</v>
      </c>
      <c r="BE68" s="109">
        <v>0.75480100000000006</v>
      </c>
      <c r="BF68" s="109">
        <v>0.75480100000000006</v>
      </c>
      <c r="BG68" s="109">
        <v>0.75480100000000006</v>
      </c>
      <c r="BH68" s="109">
        <v>0.75480100000000006</v>
      </c>
      <c r="BI68" s="109">
        <v>0.75480100000000006</v>
      </c>
      <c r="BJ68" s="109">
        <v>0.75480100000000006</v>
      </c>
      <c r="BK68" s="109">
        <v>0.75480100000000006</v>
      </c>
      <c r="BL68" s="109">
        <v>0.75480100000000006</v>
      </c>
      <c r="BM68" s="109">
        <v>0.75480100000000006</v>
      </c>
      <c r="BN68" s="109">
        <v>0.75480100000000006</v>
      </c>
      <c r="BO68" s="109">
        <v>0.75480100000000006</v>
      </c>
      <c r="BP68" s="109">
        <v>0.75480100000000006</v>
      </c>
      <c r="BQ68" s="109">
        <v>0.75480100000000006</v>
      </c>
      <c r="BR68" s="109">
        <v>0.75480100000000006</v>
      </c>
      <c r="BS68" s="109">
        <v>0.75480100000000006</v>
      </c>
      <c r="BT68" s="109">
        <v>0.75480100000000006</v>
      </c>
      <c r="BU68" s="109">
        <v>0.75480100000000006</v>
      </c>
      <c r="BV68" s="109">
        <v>0.75480100000000006</v>
      </c>
      <c r="BW68" s="109">
        <v>0.75480100000000006</v>
      </c>
      <c r="BX68" s="109">
        <v>0.75480100000000006</v>
      </c>
      <c r="BY68" s="109">
        <v>0.75480100000000006</v>
      </c>
      <c r="BZ68" s="109">
        <v>0.75480100000000006</v>
      </c>
      <c r="CA68" s="109">
        <v>0.75480100000000006</v>
      </c>
      <c r="CB68" s="109">
        <v>0.75480100000000006</v>
      </c>
      <c r="CC68" s="109">
        <v>0.75480100000000006</v>
      </c>
      <c r="CD68" s="109">
        <v>0.75480100000000006</v>
      </c>
      <c r="CE68" s="109">
        <v>0.75480100000000006</v>
      </c>
      <c r="CF68" s="109">
        <v>0.75480100000000006</v>
      </c>
      <c r="CG68" s="109">
        <v>0.75480100000000006</v>
      </c>
      <c r="CH68" s="109">
        <v>0.75480100000000006</v>
      </c>
      <c r="CI68" s="109">
        <v>0.75480100000000006</v>
      </c>
      <c r="CJ68" s="109">
        <v>0.75480100000000006</v>
      </c>
      <c r="CK68" s="109">
        <v>0.75480100000000006</v>
      </c>
      <c r="CL68" s="109">
        <v>0.75480100000000006</v>
      </c>
      <c r="CM68" s="109">
        <v>0.75480100000000006</v>
      </c>
      <c r="CN68" s="109">
        <v>0.75480100000000006</v>
      </c>
      <c r="CO68" s="109">
        <v>0.75480100000000006</v>
      </c>
      <c r="CP68" s="109">
        <v>0.75480100000000006</v>
      </c>
      <c r="CQ68" s="109">
        <v>0.75480100000000006</v>
      </c>
      <c r="CR68" s="109">
        <v>0.75480100000000006</v>
      </c>
      <c r="CS68" s="109">
        <v>0.75480100000000006</v>
      </c>
      <c r="CT68" s="109">
        <v>0.75480100000000006</v>
      </c>
      <c r="CU68" s="109">
        <v>0.75480100000000006</v>
      </c>
      <c r="CV68" s="109">
        <v>0.75480100000000006</v>
      </c>
      <c r="CW68" s="109">
        <v>0.75480100000000006</v>
      </c>
      <c r="CX68" s="109">
        <v>0.75480100000000006</v>
      </c>
      <c r="CY68" s="109">
        <v>0.75480100000000006</v>
      </c>
      <c r="CZ68" s="109">
        <v>0.75480100000000006</v>
      </c>
      <c r="DA68" s="109">
        <v>0.75480100000000006</v>
      </c>
      <c r="DB68" s="109">
        <v>0.75480100000000006</v>
      </c>
      <c r="DC68" s="109">
        <v>0.75480100000000006</v>
      </c>
      <c r="DD68" s="109">
        <v>0.75480100000000006</v>
      </c>
      <c r="DE68" s="109">
        <v>0.75480100000000006</v>
      </c>
      <c r="DF68" s="109">
        <v>0.75480100000000006</v>
      </c>
      <c r="DG68" s="109">
        <v>0.75480100000000006</v>
      </c>
      <c r="DH68" s="109">
        <v>0.75480100000000006</v>
      </c>
      <c r="DI68" s="109">
        <v>1.7548010000000001</v>
      </c>
      <c r="DJ68" s="109">
        <v>0.75480100000000006</v>
      </c>
      <c r="DK68" s="109">
        <v>0.75480100000000006</v>
      </c>
      <c r="DL68" s="109">
        <v>0.75480100000000006</v>
      </c>
      <c r="DM68" s="109">
        <v>0.75480100000000006</v>
      </c>
      <c r="DN68" s="109">
        <v>0.75480100000000006</v>
      </c>
      <c r="DO68" s="109">
        <v>0.75480100000000006</v>
      </c>
      <c r="DP68" s="109">
        <v>0.75480100000000006</v>
      </c>
      <c r="DQ68" s="109">
        <v>0.75480100000000006</v>
      </c>
      <c r="DR68" s="109">
        <v>0.75480100000000006</v>
      </c>
      <c r="DS68" s="109">
        <v>0.75480100000000006</v>
      </c>
      <c r="DT68" s="109">
        <v>0.75480100000000006</v>
      </c>
      <c r="DU68" s="109">
        <v>0.75480100000000006</v>
      </c>
      <c r="DV68" s="109">
        <v>0.75480100000000006</v>
      </c>
      <c r="DW68" s="109">
        <v>0.75480100000000006</v>
      </c>
      <c r="DX68" s="109">
        <v>0.75480100000000006</v>
      </c>
      <c r="DY68" s="109">
        <v>0.75480100000000006</v>
      </c>
      <c r="DZ68" s="109">
        <v>0.75480100000000006</v>
      </c>
      <c r="EA68" s="109">
        <v>0.75480100000000006</v>
      </c>
      <c r="EB68" s="109">
        <v>0.75480100000000006</v>
      </c>
      <c r="EC68" s="109">
        <v>0.75480100000000006</v>
      </c>
      <c r="ED68" s="109">
        <v>0.75480100000000006</v>
      </c>
      <c r="EE68" s="109">
        <v>0.75480100000000006</v>
      </c>
      <c r="EF68" s="109">
        <v>0.75480100000000006</v>
      </c>
      <c r="EG68" s="109">
        <v>0.75480100000000006</v>
      </c>
      <c r="EH68" s="109">
        <v>0.75480100000000006</v>
      </c>
      <c r="EI68" s="109">
        <v>0.75480100000000006</v>
      </c>
      <c r="EJ68" s="109">
        <v>0.75480100000000006</v>
      </c>
      <c r="EK68" s="109">
        <v>0.75480100000000006</v>
      </c>
      <c r="EL68" s="109">
        <v>0.75480100000000006</v>
      </c>
      <c r="EM68" s="109">
        <v>0.75480100000000006</v>
      </c>
      <c r="EN68" s="109">
        <v>0.75480100000000006</v>
      </c>
      <c r="EO68" s="109">
        <v>0.75480100000000006</v>
      </c>
      <c r="EP68" s="109">
        <v>0.75480100000000006</v>
      </c>
      <c r="EQ68" s="109">
        <v>0.75480100000000006</v>
      </c>
      <c r="ER68" s="109">
        <v>0.75480100000000006</v>
      </c>
      <c r="ES68" s="109">
        <v>0.75480100000000006</v>
      </c>
      <c r="ET68" s="109">
        <v>0.75480100000000006</v>
      </c>
      <c r="EU68" s="109">
        <v>0.75480100000000006</v>
      </c>
      <c r="EV68" s="109">
        <v>0.75480100000000006</v>
      </c>
      <c r="EW68" s="109">
        <v>1.7548010000000001</v>
      </c>
      <c r="EX68" s="109">
        <v>1.7548010000000001</v>
      </c>
      <c r="EY68" s="109">
        <v>0.75480100000000006</v>
      </c>
      <c r="EZ68" s="109">
        <v>0.75480100000000006</v>
      </c>
      <c r="FA68" s="109">
        <v>0.75480100000000006</v>
      </c>
      <c r="FB68" s="109">
        <v>0.75480100000000006</v>
      </c>
      <c r="FC68" s="109">
        <v>0.75480100000000006</v>
      </c>
      <c r="FD68" s="109">
        <v>0.75480100000000006</v>
      </c>
      <c r="FE68" s="109">
        <v>0.75480100000000006</v>
      </c>
      <c r="FF68" s="109">
        <v>0.75480100000000006</v>
      </c>
      <c r="FG68" s="109">
        <v>0.75480100000000006</v>
      </c>
      <c r="FH68" s="109">
        <v>0.75480100000000006</v>
      </c>
      <c r="FI68" s="109">
        <v>0.75480100000000006</v>
      </c>
      <c r="FJ68" s="109">
        <v>0.75480100000000006</v>
      </c>
      <c r="FK68" s="109">
        <v>0.75480100000000006</v>
      </c>
      <c r="FL68" s="109">
        <v>0.75480100000000006</v>
      </c>
      <c r="FM68" s="109">
        <v>0.75480100000000006</v>
      </c>
      <c r="FN68" s="109">
        <v>0.75480100000000006</v>
      </c>
      <c r="FO68" s="109">
        <v>0.75480100000000006</v>
      </c>
      <c r="FP68" s="109">
        <v>0.75480100000000006</v>
      </c>
      <c r="FQ68" s="109">
        <v>0.75480100000000006</v>
      </c>
      <c r="FR68" s="109">
        <v>0.75480100000000006</v>
      </c>
      <c r="FS68" s="109">
        <v>0.75480100000000006</v>
      </c>
      <c r="FT68" s="109">
        <v>0.75480100000000006</v>
      </c>
      <c r="FU68" s="109">
        <v>0.75480100000000006</v>
      </c>
      <c r="FV68" s="109">
        <v>0.75480100000000006</v>
      </c>
      <c r="FW68" s="109">
        <v>0.75480100000000006</v>
      </c>
      <c r="FX68" s="109">
        <v>0.75480100000000006</v>
      </c>
      <c r="FY68" s="109">
        <v>0.75480100000000006</v>
      </c>
      <c r="FZ68" s="109">
        <v>0.75480100000000006</v>
      </c>
      <c r="GA68" s="109">
        <v>0.75480100000000006</v>
      </c>
      <c r="GB68" s="109">
        <v>0.75480100000000006</v>
      </c>
      <c r="GC68" s="109">
        <v>0.75480100000000006</v>
      </c>
      <c r="GD68" s="109">
        <v>0.75480100000000006</v>
      </c>
      <c r="GE68" s="109">
        <v>0.75480100000000006</v>
      </c>
      <c r="GF68" s="109">
        <v>0.75480100000000006</v>
      </c>
      <c r="GG68" s="109">
        <v>0.75480100000000006</v>
      </c>
      <c r="GH68" s="109">
        <v>0.75480100000000006</v>
      </c>
      <c r="GI68" s="109">
        <v>0.75480100000000006</v>
      </c>
      <c r="GJ68" s="109">
        <v>0.75480100000000006</v>
      </c>
      <c r="GK68" s="109">
        <v>0.75480100000000006</v>
      </c>
      <c r="GL68" s="109">
        <v>1.7548010000000001</v>
      </c>
      <c r="GM68" s="109">
        <v>1.7548010000000001</v>
      </c>
      <c r="GN68" s="109">
        <v>0.75480100000000006</v>
      </c>
      <c r="GO68" s="109">
        <v>0.75480100000000006</v>
      </c>
      <c r="GP68" s="109">
        <v>0.75480100000000006</v>
      </c>
      <c r="GQ68" s="109">
        <v>0.75480100000000006</v>
      </c>
      <c r="GR68" s="109">
        <v>0.75480100000000006</v>
      </c>
      <c r="GS68" s="109">
        <v>0.75480100000000006</v>
      </c>
      <c r="GT68" s="109">
        <v>0.75480100000000006</v>
      </c>
      <c r="GU68" s="109">
        <v>0.75480100000000006</v>
      </c>
      <c r="GV68" s="109">
        <v>0.75480100000000006</v>
      </c>
      <c r="GW68" s="109">
        <v>0.75480100000000006</v>
      </c>
      <c r="GX68" s="109">
        <v>0.75480100000000006</v>
      </c>
      <c r="GY68" s="109">
        <v>0.75480100000000006</v>
      </c>
      <c r="GZ68" s="109">
        <v>0.75480100000000006</v>
      </c>
      <c r="HA68" s="109">
        <v>0.75480100000000006</v>
      </c>
      <c r="HB68" s="109">
        <v>0.75480100000000006</v>
      </c>
      <c r="HC68" s="109">
        <v>0.75480100000000006</v>
      </c>
      <c r="HD68" s="109">
        <v>0.75480100000000006</v>
      </c>
      <c r="HE68" s="109">
        <v>0.75480100000000006</v>
      </c>
      <c r="HF68" s="109">
        <v>0.75480100000000006</v>
      </c>
      <c r="HG68" s="109">
        <v>0.75480100000000006</v>
      </c>
      <c r="HH68" s="109">
        <v>0.75480100000000006</v>
      </c>
      <c r="HI68" s="109">
        <v>0.75480100000000006</v>
      </c>
      <c r="HJ68" s="109">
        <v>0.75480100000000006</v>
      </c>
      <c r="HK68" s="109">
        <v>0.75480100000000006</v>
      </c>
      <c r="HL68" s="109">
        <v>0.75480100000000006</v>
      </c>
      <c r="HM68" s="109">
        <v>0.75480100000000006</v>
      </c>
      <c r="HN68" s="109">
        <v>0.75480100000000006</v>
      </c>
      <c r="HO68" s="109">
        <v>0.75480100000000006</v>
      </c>
      <c r="HP68" s="109">
        <v>0.75480100000000006</v>
      </c>
      <c r="HQ68" s="109">
        <v>0.75480100000000006</v>
      </c>
      <c r="HR68" s="109">
        <v>0.75480100000000006</v>
      </c>
      <c r="HS68" s="109">
        <v>0.75480100000000006</v>
      </c>
      <c r="HT68" s="109">
        <v>0.75480100000000006</v>
      </c>
      <c r="HU68" s="109">
        <v>0.75480100000000006</v>
      </c>
      <c r="HV68" s="109">
        <v>0.75480100000000006</v>
      </c>
      <c r="HW68" s="109">
        <v>0.75480100000000006</v>
      </c>
      <c r="HX68" s="109">
        <v>0.75480100000000006</v>
      </c>
      <c r="HY68" s="109">
        <v>0.75480100000000006</v>
      </c>
      <c r="HZ68" s="109">
        <v>0.75480100000000006</v>
      </c>
      <c r="IA68" s="109">
        <v>1.7548010000000001</v>
      </c>
      <c r="IB68" s="109">
        <v>1.7548010000000001</v>
      </c>
      <c r="IC68" s="109">
        <v>0.75480100000000006</v>
      </c>
      <c r="ID68" s="109">
        <v>0.75480100000000006</v>
      </c>
      <c r="IE68" s="109">
        <v>0.75480100000000006</v>
      </c>
      <c r="IF68" s="47" t="s">
        <v>34</v>
      </c>
    </row>
    <row r="69" spans="1:240" x14ac:dyDescent="0.3">
      <c r="B69" s="47" t="s">
        <v>112</v>
      </c>
      <c r="C69" s="88">
        <f t="shared" ref="C69:BN69" si="98">+C44-(C57*C67)</f>
        <v>-28985335.453631878</v>
      </c>
      <c r="D69" s="88">
        <f t="shared" si="98"/>
        <v>4268094.9130006935</v>
      </c>
      <c r="E69" s="88">
        <f t="shared" si="98"/>
        <v>-611838.08835041523</v>
      </c>
      <c r="F69" s="88">
        <f t="shared" si="98"/>
        <v>36564.135962030472</v>
      </c>
      <c r="G69" s="88">
        <f t="shared" si="98"/>
        <v>4083468.6190756047</v>
      </c>
      <c r="H69" s="88">
        <f>+H44-(H57*H67)</f>
        <v>13470187.035978962</v>
      </c>
      <c r="I69" s="88">
        <f t="shared" si="98"/>
        <v>332327.22565972776</v>
      </c>
      <c r="J69" s="88">
        <f t="shared" si="98"/>
        <v>-30618.301992259963</v>
      </c>
      <c r="K69" s="88">
        <f t="shared" si="98"/>
        <v>950.77666197940709</v>
      </c>
      <c r="L69" s="88">
        <f t="shared" si="98"/>
        <v>13767.210054030083</v>
      </c>
      <c r="M69" s="88">
        <f t="shared" si="98"/>
        <v>662275.35417178285</v>
      </c>
      <c r="N69" s="88">
        <f t="shared" si="98"/>
        <v>-2217552.9012950091</v>
      </c>
      <c r="O69" s="88">
        <f t="shared" si="98"/>
        <v>-49077.570371584741</v>
      </c>
      <c r="P69" s="88">
        <f t="shared" si="98"/>
        <v>-3870.6276671299306</v>
      </c>
      <c r="Q69" s="88">
        <f t="shared" si="98"/>
        <v>-238403.68133350945</v>
      </c>
      <c r="R69" s="88">
        <f t="shared" si="98"/>
        <v>18053.427599999995</v>
      </c>
      <c r="S69" s="88">
        <f t="shared" si="98"/>
        <v>47549.921461222839</v>
      </c>
      <c r="T69" s="88">
        <f t="shared" si="98"/>
        <v>629811.27671236463</v>
      </c>
      <c r="U69" s="88">
        <f t="shared" si="98"/>
        <v>-939593.36042031588</v>
      </c>
      <c r="V69" s="88">
        <f t="shared" si="98"/>
        <v>-4829427.4258043636</v>
      </c>
      <c r="W69" s="88">
        <f t="shared" si="98"/>
        <v>194973.25313147515</v>
      </c>
      <c r="X69" s="88">
        <f>+X44-(X57*X67)</f>
        <v>6486.0668321998955</v>
      </c>
      <c r="Y69" s="88">
        <f t="shared" si="98"/>
        <v>0</v>
      </c>
      <c r="Z69" s="88">
        <f t="shared" si="98"/>
        <v>0</v>
      </c>
      <c r="AA69" s="88">
        <f t="shared" si="98"/>
        <v>4721590.3326891847</v>
      </c>
      <c r="AB69" s="88">
        <f t="shared" si="98"/>
        <v>0</v>
      </c>
      <c r="AC69" s="88">
        <f t="shared" si="98"/>
        <v>697854.35301457928</v>
      </c>
      <c r="AD69" s="88">
        <f t="shared" si="98"/>
        <v>0</v>
      </c>
      <c r="AE69" s="88">
        <f t="shared" si="98"/>
        <v>0</v>
      </c>
      <c r="AF69" s="88">
        <f>+AF44-(AF57*AF67)</f>
        <v>1711440.8507940078</v>
      </c>
      <c r="AG69" s="88">
        <f t="shared" si="98"/>
        <v>0</v>
      </c>
      <c r="AH69" s="88">
        <f t="shared" si="98"/>
        <v>0</v>
      </c>
      <c r="AI69" s="88">
        <f t="shared" si="98"/>
        <v>21975012.795565054</v>
      </c>
      <c r="AJ69" s="88">
        <f t="shared" si="98"/>
        <v>-7010322.6580665708</v>
      </c>
      <c r="AK69" s="88">
        <f t="shared" si="98"/>
        <v>-29612974.840182617</v>
      </c>
      <c r="AL69" s="88">
        <f t="shared" si="98"/>
        <v>0</v>
      </c>
      <c r="AM69" s="88">
        <f t="shared" si="98"/>
        <v>9813528.8017177954</v>
      </c>
      <c r="AN69" s="88">
        <f t="shared" si="98"/>
        <v>-803218.07202477497</v>
      </c>
      <c r="AO69" s="88">
        <f t="shared" si="98"/>
        <v>549694.16513885884</v>
      </c>
      <c r="AP69" s="88">
        <f t="shared" si="98"/>
        <v>0</v>
      </c>
      <c r="AQ69" s="88">
        <f t="shared" si="98"/>
        <v>0</v>
      </c>
      <c r="AR69" s="88">
        <f t="shared" si="98"/>
        <v>0</v>
      </c>
      <c r="AS69" s="88">
        <f t="shared" si="98"/>
        <v>-35344.100019756894</v>
      </c>
      <c r="AT69" s="88">
        <f t="shared" si="98"/>
        <v>0</v>
      </c>
      <c r="AU69" s="88">
        <f t="shared" si="98"/>
        <v>918682.31335913856</v>
      </c>
      <c r="AV69" s="88">
        <f t="shared" si="98"/>
        <v>0</v>
      </c>
      <c r="AW69" s="88">
        <f t="shared" si="98"/>
        <v>0</v>
      </c>
      <c r="AX69" s="88">
        <f t="shared" si="98"/>
        <v>-445734.37112307164</v>
      </c>
      <c r="AY69" s="88">
        <f t="shared" si="98"/>
        <v>19234.896299999982</v>
      </c>
      <c r="AZ69" s="88">
        <f t="shared" si="98"/>
        <v>0</v>
      </c>
      <c r="BA69" s="88">
        <f t="shared" si="98"/>
        <v>-489300.65499830747</v>
      </c>
      <c r="BB69" s="88">
        <f t="shared" si="98"/>
        <v>0</v>
      </c>
      <c r="BC69" s="88">
        <f t="shared" si="98"/>
        <v>0</v>
      </c>
      <c r="BD69" s="88">
        <f t="shared" si="98"/>
        <v>0</v>
      </c>
      <c r="BE69" s="88">
        <f t="shared" si="98"/>
        <v>0</v>
      </c>
      <c r="BF69" s="88">
        <f t="shared" si="98"/>
        <v>0</v>
      </c>
      <c r="BG69" s="88">
        <f t="shared" si="98"/>
        <v>0</v>
      </c>
      <c r="BH69" s="88">
        <f t="shared" si="98"/>
        <v>-6884166.510689185</v>
      </c>
      <c r="BI69" s="88">
        <f t="shared" si="98"/>
        <v>-4853428.043596887</v>
      </c>
      <c r="BJ69" s="88">
        <f t="shared" si="98"/>
        <v>0</v>
      </c>
      <c r="BK69" s="88">
        <f t="shared" si="98"/>
        <v>24196.743084059999</v>
      </c>
      <c r="BL69" s="88">
        <f t="shared" si="98"/>
        <v>0</v>
      </c>
      <c r="BM69" s="88">
        <f t="shared" si="98"/>
        <v>8428509.3648439329</v>
      </c>
      <c r="BN69" s="88">
        <f t="shared" si="98"/>
        <v>144991.52435590804</v>
      </c>
      <c r="BO69" s="88">
        <f t="shared" ref="BO69:ED69" si="99">+BO44-(BO57*BO67)</f>
        <v>-3512226.3981398609</v>
      </c>
      <c r="BP69" s="88">
        <f t="shared" si="99"/>
        <v>-4288164.8233399997</v>
      </c>
      <c r="BQ69" s="88">
        <f t="shared" si="99"/>
        <v>-207.98579752400005</v>
      </c>
      <c r="BR69" s="88">
        <f t="shared" si="99"/>
        <v>-1987227.5191118082</v>
      </c>
      <c r="BS69" s="88">
        <f t="shared" si="99"/>
        <v>0</v>
      </c>
      <c r="BT69" s="88">
        <f t="shared" si="99"/>
        <v>0</v>
      </c>
      <c r="BU69" s="88">
        <f t="shared" si="99"/>
        <v>-202129.2557349136</v>
      </c>
      <c r="BV69" s="88">
        <f t="shared" si="99"/>
        <v>0</v>
      </c>
      <c r="BW69" s="88">
        <f t="shared" si="99"/>
        <v>-33215284.76595901</v>
      </c>
      <c r="BX69" s="88">
        <f t="shared" si="99"/>
        <v>-40225607.424025536</v>
      </c>
      <c r="BY69" s="88">
        <f t="shared" si="99"/>
        <v>11331219.433740547</v>
      </c>
      <c r="BZ69" s="88">
        <f t="shared" si="99"/>
        <v>0</v>
      </c>
      <c r="CA69" s="88">
        <f t="shared" si="99"/>
        <v>0</v>
      </c>
      <c r="CB69" s="88">
        <f t="shared" si="99"/>
        <v>-133864.04167777515</v>
      </c>
      <c r="CC69" s="88">
        <f t="shared" si="99"/>
        <v>246128.65813437337</v>
      </c>
      <c r="CD69" s="88">
        <f t="shared" si="99"/>
        <v>0</v>
      </c>
      <c r="CE69" s="88">
        <f t="shared" si="99"/>
        <v>0</v>
      </c>
      <c r="CF69" s="88">
        <f t="shared" si="99"/>
        <v>0</v>
      </c>
      <c r="CG69" s="88">
        <f t="shared" si="99"/>
        <v>0</v>
      </c>
      <c r="CH69" s="88">
        <f t="shared" si="99"/>
        <v>0</v>
      </c>
      <c r="CI69" s="88">
        <f t="shared" si="99"/>
        <v>-33965.106110777218</v>
      </c>
      <c r="CJ69" s="88">
        <f t="shared" si="99"/>
        <v>0</v>
      </c>
      <c r="CK69" s="88">
        <f t="shared" si="99"/>
        <v>0</v>
      </c>
      <c r="CL69" s="88">
        <f t="shared" si="99"/>
        <v>0</v>
      </c>
      <c r="CM69" s="88">
        <f t="shared" si="99"/>
        <v>0</v>
      </c>
      <c r="CN69" s="88">
        <f t="shared" si="99"/>
        <v>0</v>
      </c>
      <c r="CO69" s="88">
        <f t="shared" si="99"/>
        <v>0</v>
      </c>
      <c r="CP69" s="88">
        <f t="shared" si="99"/>
        <v>0</v>
      </c>
      <c r="CQ69" s="88">
        <f t="shared" si="99"/>
        <v>0</v>
      </c>
      <c r="CR69" s="88">
        <f t="shared" si="99"/>
        <v>0</v>
      </c>
      <c r="CS69" s="88">
        <f t="shared" si="99"/>
        <v>0</v>
      </c>
      <c r="CT69" s="88">
        <f t="shared" si="99"/>
        <v>0</v>
      </c>
      <c r="CU69" s="88">
        <f t="shared" si="99"/>
        <v>0</v>
      </c>
      <c r="CV69" s="88">
        <f t="shared" si="99"/>
        <v>0</v>
      </c>
      <c r="CW69" s="88">
        <f t="shared" si="99"/>
        <v>-251433.789633112</v>
      </c>
      <c r="CX69" s="88">
        <f t="shared" si="99"/>
        <v>0</v>
      </c>
      <c r="CY69" s="88">
        <f t="shared" si="99"/>
        <v>12098.371542030001</v>
      </c>
      <c r="CZ69" s="88">
        <f t="shared" si="99"/>
        <v>0</v>
      </c>
      <c r="DA69" s="88">
        <f t="shared" si="99"/>
        <v>19692451.721337847</v>
      </c>
      <c r="DB69" s="88">
        <f t="shared" si="99"/>
        <v>932145.09716979344</v>
      </c>
      <c r="DC69" s="88">
        <f t="shared" si="99"/>
        <v>-12435584.707072282</v>
      </c>
      <c r="DD69" s="88">
        <f t="shared" si="99"/>
        <v>-2910262.0388825056</v>
      </c>
      <c r="DE69" s="88">
        <f t="shared" si="99"/>
        <v>-923647.78358778567</v>
      </c>
      <c r="DF69" s="88">
        <f t="shared" si="99"/>
        <v>-4710716.656357781</v>
      </c>
      <c r="DG69" s="88">
        <f t="shared" si="99"/>
        <v>0</v>
      </c>
      <c r="DH69" s="88">
        <f t="shared" si="99"/>
        <v>259710.83057817232</v>
      </c>
      <c r="DI69" s="88">
        <f t="shared" si="99"/>
        <v>-161052.49175009737</v>
      </c>
      <c r="DJ69" s="88">
        <f t="shared" si="99"/>
        <v>0</v>
      </c>
      <c r="DK69" s="88">
        <f t="shared" si="99"/>
        <v>10913227.497430647</v>
      </c>
      <c r="DL69" s="88">
        <f t="shared" si="99"/>
        <v>-29312379.926594883</v>
      </c>
      <c r="DM69" s="88">
        <f t="shared" si="99"/>
        <v>2402259.5491298623</v>
      </c>
      <c r="DN69" s="88">
        <f t="shared" si="99"/>
        <v>0</v>
      </c>
      <c r="DO69" s="88">
        <f t="shared" si="99"/>
        <v>0</v>
      </c>
      <c r="DP69" s="88">
        <f t="shared" si="99"/>
        <v>1218159.801651692</v>
      </c>
      <c r="DQ69" s="88">
        <f t="shared" si="99"/>
        <v>-788293.00387395511</v>
      </c>
      <c r="DR69" s="88">
        <f t="shared" si="99"/>
        <v>0</v>
      </c>
      <c r="DS69" s="88">
        <f t="shared" si="99"/>
        <v>0</v>
      </c>
      <c r="DT69" s="88">
        <f t="shared" si="99"/>
        <v>0</v>
      </c>
      <c r="DU69" s="88">
        <f t="shared" si="99"/>
        <v>0</v>
      </c>
      <c r="DV69" s="88">
        <f t="shared" si="99"/>
        <v>0</v>
      </c>
      <c r="DW69" s="88">
        <f t="shared" si="99"/>
        <v>-170818.57543166098</v>
      </c>
      <c r="DX69" s="88">
        <f t="shared" si="99"/>
        <v>0</v>
      </c>
      <c r="DY69" s="88">
        <f t="shared" si="99"/>
        <v>0</v>
      </c>
      <c r="DZ69" s="88">
        <f t="shared" si="99"/>
        <v>0</v>
      </c>
      <c r="EA69" s="88">
        <f t="shared" si="99"/>
        <v>-1507463.1769666667</v>
      </c>
      <c r="EB69" s="88">
        <f t="shared" si="99"/>
        <v>0</v>
      </c>
      <c r="EC69" s="88">
        <f t="shared" si="99"/>
        <v>0</v>
      </c>
      <c r="ED69" s="88">
        <f t="shared" si="99"/>
        <v>0</v>
      </c>
      <c r="EE69" s="88">
        <f t="shared" ref="EE69:GV69" si="100">+EE44-(EE57*EE67)</f>
        <v>0</v>
      </c>
      <c r="EF69" s="88">
        <f t="shared" si="100"/>
        <v>0</v>
      </c>
      <c r="EG69" s="88">
        <f t="shared" si="100"/>
        <v>0</v>
      </c>
      <c r="EH69" s="88">
        <f t="shared" si="100"/>
        <v>-4614884.1155936997</v>
      </c>
      <c r="EI69" s="88">
        <f t="shared" si="100"/>
        <v>-201581.28271894535</v>
      </c>
      <c r="EJ69" s="88">
        <f t="shared" si="100"/>
        <v>-2764843.9047150896</v>
      </c>
      <c r="EK69" s="88">
        <f t="shared" si="100"/>
        <v>-3686153.5148110245</v>
      </c>
      <c r="EL69" s="88">
        <f t="shared" si="100"/>
        <v>-518678.73011322715</v>
      </c>
      <c r="EM69" s="88">
        <f t="shared" si="100"/>
        <v>313011.45105547481</v>
      </c>
      <c r="EN69" s="88">
        <f t="shared" si="100"/>
        <v>0</v>
      </c>
      <c r="EO69" s="88">
        <f t="shared" si="100"/>
        <v>-358022.50006563868</v>
      </c>
      <c r="EP69" s="88">
        <f t="shared" si="100"/>
        <v>1042795.0210911972</v>
      </c>
      <c r="EQ69" s="88">
        <f t="shared" si="100"/>
        <v>-10591319.6042987</v>
      </c>
      <c r="ER69" s="88">
        <f t="shared" si="100"/>
        <v>-1133982.8179110573</v>
      </c>
      <c r="ES69" s="88">
        <f t="shared" si="100"/>
        <v>346172.50880979112</v>
      </c>
      <c r="ET69" s="88">
        <f t="shared" si="100"/>
        <v>-4798791.7259795452</v>
      </c>
      <c r="EU69" s="88">
        <f t="shared" si="100"/>
        <v>0</v>
      </c>
      <c r="EV69" s="88">
        <f t="shared" si="100"/>
        <v>1273598.6483659174</v>
      </c>
      <c r="EW69" s="88">
        <f t="shared" ref="EW69:EX69" si="101">+EW44-(EW57*EW67)</f>
        <v>4756013.5834246259</v>
      </c>
      <c r="EX69" s="88">
        <f t="shared" si="101"/>
        <v>203250.27437172731</v>
      </c>
      <c r="EY69" s="88">
        <f t="shared" si="100"/>
        <v>0</v>
      </c>
      <c r="EZ69" s="88">
        <f t="shared" si="100"/>
        <v>-19579572.114578925</v>
      </c>
      <c r="FA69" s="88">
        <f t="shared" si="100"/>
        <v>-48891952.041173697</v>
      </c>
      <c r="FB69" s="88">
        <f t="shared" si="100"/>
        <v>3086005.6546553429</v>
      </c>
      <c r="FC69" s="88">
        <f t="shared" si="100"/>
        <v>0</v>
      </c>
      <c r="FD69" s="88">
        <f t="shared" si="100"/>
        <v>0</v>
      </c>
      <c r="FE69" s="88">
        <f t="shared" si="100"/>
        <v>38414.956633145746</v>
      </c>
      <c r="FF69" s="88">
        <f t="shared" si="100"/>
        <v>424226.83839822165</v>
      </c>
      <c r="FG69" s="88">
        <f t="shared" si="100"/>
        <v>0</v>
      </c>
      <c r="FH69" s="88">
        <f t="shared" si="100"/>
        <v>0</v>
      </c>
      <c r="FI69" s="88">
        <f t="shared" si="100"/>
        <v>0</v>
      </c>
      <c r="FJ69" s="88">
        <f t="shared" si="100"/>
        <v>0</v>
      </c>
      <c r="FK69" s="88">
        <f t="shared" si="100"/>
        <v>0</v>
      </c>
      <c r="FL69" s="88">
        <f t="shared" si="100"/>
        <v>-524529.6720035621</v>
      </c>
      <c r="FM69" s="88">
        <f t="shared" si="100"/>
        <v>0</v>
      </c>
      <c r="FN69" s="88">
        <f t="shared" si="100"/>
        <v>0</v>
      </c>
      <c r="FO69" s="88">
        <f t="shared" si="100"/>
        <v>0</v>
      </c>
      <c r="FP69" s="88">
        <f t="shared" si="100"/>
        <v>0</v>
      </c>
      <c r="FQ69" s="88">
        <f t="shared" si="100"/>
        <v>0</v>
      </c>
      <c r="FR69" s="88">
        <f t="shared" si="100"/>
        <v>0</v>
      </c>
      <c r="FS69" s="88">
        <f t="shared" si="100"/>
        <v>0</v>
      </c>
      <c r="FT69" s="88">
        <f t="shared" si="100"/>
        <v>0</v>
      </c>
      <c r="FU69" s="88">
        <f t="shared" si="100"/>
        <v>0</v>
      </c>
      <c r="FV69" s="88">
        <f t="shared" si="100"/>
        <v>0</v>
      </c>
      <c r="FW69" s="88">
        <f t="shared" si="100"/>
        <v>-3364884.9033524827</v>
      </c>
      <c r="FX69" s="88">
        <f t="shared" si="100"/>
        <v>-624401.62727874634</v>
      </c>
      <c r="FY69" s="88">
        <f t="shared" si="100"/>
        <v>0</v>
      </c>
      <c r="FZ69" s="88">
        <f t="shared" si="100"/>
        <v>253970.96705712317</v>
      </c>
      <c r="GA69" s="88">
        <f t="shared" si="100"/>
        <v>0</v>
      </c>
      <c r="GB69" s="88">
        <f t="shared" si="100"/>
        <v>-23378.448626549987</v>
      </c>
      <c r="GC69" s="88">
        <f t="shared" si="100"/>
        <v>0</v>
      </c>
      <c r="GD69" s="88">
        <f t="shared" si="100"/>
        <v>17882486.541461255</v>
      </c>
      <c r="GE69" s="88">
        <f t="shared" si="100"/>
        <v>231697.67147281746</v>
      </c>
      <c r="GF69" s="88">
        <f t="shared" si="100"/>
        <v>-25656083.450485855</v>
      </c>
      <c r="GG69" s="88">
        <f t="shared" si="100"/>
        <v>-3918158.856461213</v>
      </c>
      <c r="GH69" s="88">
        <f t="shared" si="100"/>
        <v>-445075.59811406548</v>
      </c>
      <c r="GI69" s="88">
        <f t="shared" si="100"/>
        <v>-7552367.7505980516</v>
      </c>
      <c r="GJ69" s="88">
        <f t="shared" si="100"/>
        <v>0</v>
      </c>
      <c r="GK69" s="88">
        <f t="shared" si="100"/>
        <v>3538869.4019631157</v>
      </c>
      <c r="GL69" s="88">
        <f t="shared" si="100"/>
        <v>5678818.6182419984</v>
      </c>
      <c r="GM69" s="88">
        <f t="shared" si="100"/>
        <v>195.92000000000002</v>
      </c>
      <c r="GN69" s="88">
        <f t="shared" si="100"/>
        <v>0</v>
      </c>
      <c r="GO69" s="88">
        <f t="shared" si="100"/>
        <v>-10974193.737037506</v>
      </c>
      <c r="GP69" s="88">
        <f t="shared" si="100"/>
        <v>-59866145.778211296</v>
      </c>
      <c r="GQ69" s="88">
        <f t="shared" si="100"/>
        <v>644762.49332177895</v>
      </c>
      <c r="GR69" s="88">
        <f t="shared" si="100"/>
        <v>0</v>
      </c>
      <c r="GS69" s="88">
        <f t="shared" si="100"/>
        <v>0</v>
      </c>
      <c r="GT69" s="88">
        <f t="shared" si="100"/>
        <v>172873.75779272034</v>
      </c>
      <c r="GU69" s="88">
        <f t="shared" si="100"/>
        <v>262172.66740625678</v>
      </c>
      <c r="GV69" s="88">
        <f t="shared" si="100"/>
        <v>0</v>
      </c>
      <c r="GW69" s="88">
        <f t="shared" ref="GW69:IE69" si="102">+GW44-(GW57*GW67)</f>
        <v>0</v>
      </c>
      <c r="GX69" s="88">
        <f t="shared" si="102"/>
        <v>0</v>
      </c>
      <c r="GY69" s="88">
        <f t="shared" si="102"/>
        <v>0</v>
      </c>
      <c r="GZ69" s="88">
        <f t="shared" si="102"/>
        <v>0</v>
      </c>
      <c r="HA69" s="88">
        <f t="shared" si="102"/>
        <v>-792189.97162490746</v>
      </c>
      <c r="HB69" s="88">
        <f t="shared" si="102"/>
        <v>0</v>
      </c>
      <c r="HC69" s="88">
        <f t="shared" si="102"/>
        <v>0</v>
      </c>
      <c r="HD69" s="88">
        <f t="shared" si="102"/>
        <v>0</v>
      </c>
      <c r="HE69" s="88">
        <f t="shared" si="102"/>
        <v>0</v>
      </c>
      <c r="HF69" s="88">
        <f t="shared" si="102"/>
        <v>0</v>
      </c>
      <c r="HG69" s="88">
        <f t="shared" si="102"/>
        <v>0</v>
      </c>
      <c r="HH69" s="88">
        <f t="shared" si="102"/>
        <v>0</v>
      </c>
      <c r="HI69" s="88">
        <f t="shared" si="102"/>
        <v>0</v>
      </c>
      <c r="HJ69" s="88">
        <f t="shared" si="102"/>
        <v>0</v>
      </c>
      <c r="HK69" s="88">
        <f t="shared" si="102"/>
        <v>0</v>
      </c>
      <c r="HL69" s="88">
        <f t="shared" si="102"/>
        <v>-3451692.5128177032</v>
      </c>
      <c r="HM69" s="88">
        <f t="shared" si="102"/>
        <v>105663.47111259667</v>
      </c>
      <c r="HN69" s="88">
        <f t="shared" si="102"/>
        <v>0</v>
      </c>
      <c r="HO69" s="88">
        <f t="shared" si="102"/>
        <v>253970.96705712317</v>
      </c>
      <c r="HP69" s="88">
        <f t="shared" si="102"/>
        <v>2587614.9562998684</v>
      </c>
      <c r="HQ69" s="88">
        <f t="shared" si="102"/>
        <v>-336389.89968202484</v>
      </c>
      <c r="HR69" s="88">
        <f t="shared" si="102"/>
        <v>0</v>
      </c>
      <c r="HS69" s="88">
        <f t="shared" si="102"/>
        <v>13316999.187390586</v>
      </c>
      <c r="HT69" s="88">
        <f t="shared" si="102"/>
        <v>80529.394716575334</v>
      </c>
      <c r="HU69" s="88">
        <f t="shared" si="102"/>
        <v>-15972102.940833721</v>
      </c>
      <c r="HV69" s="88">
        <f t="shared" si="102"/>
        <v>-3686296.045312304</v>
      </c>
      <c r="HW69" s="88">
        <f t="shared" si="102"/>
        <v>-2365495.9266764037</v>
      </c>
      <c r="HX69" s="88">
        <f t="shared" si="102"/>
        <v>-4345244.8349784324</v>
      </c>
      <c r="HY69" s="88">
        <f t="shared" si="102"/>
        <v>0</v>
      </c>
      <c r="HZ69" s="88">
        <f t="shared" si="102"/>
        <v>0</v>
      </c>
      <c r="IA69" s="88">
        <f t="shared" ref="IA69:IB69" si="103">+IA44-(IA57*IA67)</f>
        <v>2162084.3923706021</v>
      </c>
      <c r="IB69" s="88">
        <f t="shared" si="103"/>
        <v>199.08</v>
      </c>
      <c r="IC69" s="88">
        <f t="shared" si="102"/>
        <v>0</v>
      </c>
      <c r="ID69" s="88">
        <f t="shared" si="102"/>
        <v>-11362541.76445739</v>
      </c>
      <c r="IE69" s="88">
        <f t="shared" si="102"/>
        <v>-71228687.5426687</v>
      </c>
      <c r="IF69" s="47" t="s">
        <v>34</v>
      </c>
    </row>
    <row r="70" spans="1:240" x14ac:dyDescent="0.3">
      <c r="B70" s="47" t="s">
        <v>113</v>
      </c>
      <c r="C70" s="88">
        <f t="shared" ref="C70:BN70" si="104">-C69/C68</f>
        <v>38401294.451957375</v>
      </c>
      <c r="D70" s="88">
        <f t="shared" si="104"/>
        <v>-5654596.2617970742</v>
      </c>
      <c r="E70" s="88">
        <f t="shared" si="104"/>
        <v>810595.22755059309</v>
      </c>
      <c r="F70" s="88">
        <f t="shared" si="104"/>
        <v>-48442.087334317876</v>
      </c>
      <c r="G70" s="88">
        <f t="shared" si="104"/>
        <v>-5409993.6527317856</v>
      </c>
      <c r="H70" s="88">
        <f t="shared" si="104"/>
        <v>-17846011.115484692</v>
      </c>
      <c r="I70" s="88">
        <f t="shared" si="104"/>
        <v>-440284.55932057288</v>
      </c>
      <c r="J70" s="88">
        <f t="shared" si="104"/>
        <v>40564.73427070176</v>
      </c>
      <c r="K70" s="88">
        <f t="shared" si="104"/>
        <v>-1259.6388478279798</v>
      </c>
      <c r="L70" s="88">
        <f t="shared" si="104"/>
        <v>-18239.522806713401</v>
      </c>
      <c r="M70" s="88">
        <f t="shared" si="104"/>
        <v>-877417.16581162822</v>
      </c>
      <c r="N70" s="88">
        <f t="shared" si="104"/>
        <v>2937930.529099735</v>
      </c>
      <c r="O70" s="88">
        <f t="shared" si="104"/>
        <v>65020.54233047484</v>
      </c>
      <c r="P70" s="88">
        <f t="shared" si="104"/>
        <v>5128.010783146724</v>
      </c>
      <c r="Q70" s="88">
        <f t="shared" si="104"/>
        <v>315849.71579728887</v>
      </c>
      <c r="R70" s="88">
        <f t="shared" si="104"/>
        <v>-23918.128884301947</v>
      </c>
      <c r="S70" s="88">
        <f t="shared" si="104"/>
        <v>-62996.632835969795</v>
      </c>
      <c r="T70" s="88">
        <f t="shared" si="104"/>
        <v>-834407.05127889942</v>
      </c>
      <c r="U70" s="88">
        <f t="shared" si="104"/>
        <v>1244822.6226784487</v>
      </c>
      <c r="V70" s="88">
        <f t="shared" si="104"/>
        <v>6398279.0507754534</v>
      </c>
      <c r="W70" s="88">
        <f t="shared" si="104"/>
        <v>-258310.80394895494</v>
      </c>
      <c r="X70" s="88">
        <f>-X69/X68</f>
        <v>-8593.0819278192466</v>
      </c>
      <c r="Y70" s="88">
        <f t="shared" si="104"/>
        <v>0</v>
      </c>
      <c r="Z70" s="88">
        <f t="shared" si="104"/>
        <v>0</v>
      </c>
      <c r="AA70" s="88">
        <f t="shared" si="104"/>
        <v>-6255410.8072050568</v>
      </c>
      <c r="AB70" s="88">
        <f t="shared" si="104"/>
        <v>0</v>
      </c>
      <c r="AC70" s="88">
        <f t="shared" si="104"/>
        <v>-924554.09176005225</v>
      </c>
      <c r="AD70" s="88">
        <f t="shared" si="104"/>
        <v>0</v>
      </c>
      <c r="AE70" s="88">
        <f t="shared" si="104"/>
        <v>0</v>
      </c>
      <c r="AF70" s="88">
        <f>-AF69/AF68</f>
        <v>-2267406.7082502642</v>
      </c>
      <c r="AG70" s="88">
        <f t="shared" si="104"/>
        <v>0</v>
      </c>
      <c r="AH70" s="88">
        <f t="shared" si="104"/>
        <v>0</v>
      </c>
      <c r="AI70" s="88">
        <f t="shared" si="104"/>
        <v>-29113650.876939818</v>
      </c>
      <c r="AJ70" s="88">
        <f t="shared" si="104"/>
        <v>9287643.5750172175</v>
      </c>
      <c r="AK70" s="88">
        <f t="shared" si="104"/>
        <v>39232824.069102474</v>
      </c>
      <c r="AL70" s="88">
        <f t="shared" si="104"/>
        <v>0</v>
      </c>
      <c r="AM70" s="88">
        <f t="shared" si="104"/>
        <v>-13001478.272707369</v>
      </c>
      <c r="AN70" s="88">
        <f t="shared" si="104"/>
        <v>1064145.4794373284</v>
      </c>
      <c r="AO70" s="88">
        <f t="shared" si="104"/>
        <v>-728263.69485315843</v>
      </c>
      <c r="AP70" s="88">
        <f t="shared" si="104"/>
        <v>0</v>
      </c>
      <c r="AQ70" s="88">
        <f t="shared" si="104"/>
        <v>0</v>
      </c>
      <c r="AR70" s="88">
        <f t="shared" si="104"/>
        <v>0</v>
      </c>
      <c r="AS70" s="88">
        <f t="shared" si="104"/>
        <v>46825.719652937514</v>
      </c>
      <c r="AT70" s="88">
        <f t="shared" si="104"/>
        <v>0</v>
      </c>
      <c r="AU70" s="88">
        <f t="shared" si="104"/>
        <v>-1217118.5694761116</v>
      </c>
      <c r="AV70" s="88">
        <f t="shared" si="104"/>
        <v>0</v>
      </c>
      <c r="AW70" s="88">
        <f t="shared" si="104"/>
        <v>0</v>
      </c>
      <c r="AX70" s="88">
        <f t="shared" si="104"/>
        <v>590532.30072969117</v>
      </c>
      <c r="AY70" s="88">
        <f t="shared" si="104"/>
        <v>-25483.400657921731</v>
      </c>
      <c r="AZ70" s="88">
        <f t="shared" si="104"/>
        <v>0</v>
      </c>
      <c r="BA70" s="88">
        <f t="shared" si="104"/>
        <v>648251.20130777173</v>
      </c>
      <c r="BB70" s="88">
        <f t="shared" si="104"/>
        <v>0</v>
      </c>
      <c r="BC70" s="88">
        <f t="shared" si="104"/>
        <v>0</v>
      </c>
      <c r="BD70" s="88">
        <f t="shared" si="104"/>
        <v>0</v>
      </c>
      <c r="BE70" s="88">
        <f t="shared" si="104"/>
        <v>0</v>
      </c>
      <c r="BF70" s="88">
        <f t="shared" si="104"/>
        <v>0</v>
      </c>
      <c r="BG70" s="88">
        <f t="shared" si="104"/>
        <v>0</v>
      </c>
      <c r="BH70" s="88">
        <f t="shared" si="104"/>
        <v>9120505.286412159</v>
      </c>
      <c r="BI70" s="88">
        <f t="shared" si="104"/>
        <v>6430076.3295184914</v>
      </c>
      <c r="BJ70" s="88">
        <f t="shared" si="104"/>
        <v>0</v>
      </c>
      <c r="BK70" s="88">
        <f t="shared" si="104"/>
        <v>-32057.115827959948</v>
      </c>
      <c r="BL70" s="88">
        <f t="shared" si="104"/>
        <v>0</v>
      </c>
      <c r="BM70" s="88">
        <f t="shared" si="104"/>
        <v>-11166531.794266213</v>
      </c>
      <c r="BN70" s="88">
        <f t="shared" si="104"/>
        <v>-192092.38508680835</v>
      </c>
      <c r="BO70" s="88">
        <f t="shared" ref="BO70:IE70" si="105">-BO69/BO68</f>
        <v>4653181.9620533902</v>
      </c>
      <c r="BP70" s="88">
        <f t="shared" si="105"/>
        <v>5681185.9329015184</v>
      </c>
      <c r="BQ70" s="88">
        <f t="shared" si="105"/>
        <v>275.55050605921298</v>
      </c>
      <c r="BR70" s="88">
        <f t="shared" si="105"/>
        <v>2632783.368214679</v>
      </c>
      <c r="BS70" s="88">
        <f t="shared" si="105"/>
        <v>0</v>
      </c>
      <c r="BT70" s="88">
        <f t="shared" si="105"/>
        <v>0</v>
      </c>
      <c r="BU70" s="88">
        <f>-BU69/BU68</f>
        <v>267791.45196537045</v>
      </c>
      <c r="BV70" s="88">
        <f>-BV69/BV68</f>
        <v>0</v>
      </c>
      <c r="BW70" s="88">
        <f t="shared" si="105"/>
        <v>44005353.418926321</v>
      </c>
      <c r="BX70" s="88">
        <f t="shared" si="105"/>
        <v>53292996.993943483</v>
      </c>
      <c r="BY70" s="88">
        <f t="shared" si="105"/>
        <v>-15012194.517151602</v>
      </c>
      <c r="BZ70" s="88">
        <f t="shared" si="105"/>
        <v>0</v>
      </c>
      <c r="CA70" s="88">
        <f t="shared" si="105"/>
        <v>0</v>
      </c>
      <c r="CB70" s="88">
        <f t="shared" si="105"/>
        <v>177350.11172186464</v>
      </c>
      <c r="CC70" s="88">
        <f t="shared" si="105"/>
        <v>-326084.17070774065</v>
      </c>
      <c r="CD70" s="88">
        <f t="shared" si="105"/>
        <v>0</v>
      </c>
      <c r="CE70" s="88">
        <f t="shared" si="105"/>
        <v>0</v>
      </c>
      <c r="CF70" s="88">
        <f t="shared" si="105"/>
        <v>0</v>
      </c>
      <c r="CG70" s="88">
        <f t="shared" si="105"/>
        <v>0</v>
      </c>
      <c r="CH70" s="88">
        <f t="shared" si="105"/>
        <v>0</v>
      </c>
      <c r="CI70" s="88">
        <f t="shared" si="105"/>
        <v>44998.756110255839</v>
      </c>
      <c r="CJ70" s="88">
        <f t="shared" si="105"/>
        <v>0</v>
      </c>
      <c r="CK70" s="88">
        <f t="shared" si="105"/>
        <v>0</v>
      </c>
      <c r="CL70" s="88">
        <f t="shared" si="105"/>
        <v>0</v>
      </c>
      <c r="CM70" s="88">
        <f t="shared" si="105"/>
        <v>0</v>
      </c>
      <c r="CN70" s="88">
        <f t="shared" si="105"/>
        <v>0</v>
      </c>
      <c r="CO70" s="88">
        <f t="shared" si="105"/>
        <v>0</v>
      </c>
      <c r="CP70" s="88">
        <f t="shared" si="105"/>
        <v>0</v>
      </c>
      <c r="CQ70" s="88">
        <f t="shared" si="105"/>
        <v>0</v>
      </c>
      <c r="CR70" s="88">
        <f t="shared" si="105"/>
        <v>0</v>
      </c>
      <c r="CS70" s="88">
        <f t="shared" si="105"/>
        <v>0</v>
      </c>
      <c r="CT70" s="88">
        <f t="shared" si="105"/>
        <v>0</v>
      </c>
      <c r="CU70" s="88">
        <f t="shared" si="105"/>
        <v>0</v>
      </c>
      <c r="CV70" s="88">
        <f t="shared" si="105"/>
        <v>0</v>
      </c>
      <c r="CW70" s="88">
        <f t="shared" si="105"/>
        <v>333112.68749393814</v>
      </c>
      <c r="CX70" s="88">
        <f t="shared" si="105"/>
        <v>0</v>
      </c>
      <c r="CY70" s="88">
        <f t="shared" si="105"/>
        <v>-16028.557913979977</v>
      </c>
      <c r="CZ70" s="88">
        <f t="shared" si="105"/>
        <v>0</v>
      </c>
      <c r="DA70" s="88">
        <f t="shared" si="105"/>
        <v>-26089594.106708717</v>
      </c>
      <c r="DB70" s="88">
        <f t="shared" si="105"/>
        <v>-1234954.7724099376</v>
      </c>
      <c r="DC70" s="88">
        <f t="shared" si="105"/>
        <v>16475315.622359114</v>
      </c>
      <c r="DD70" s="88">
        <f t="shared" si="105"/>
        <v>3855667.9692826392</v>
      </c>
      <c r="DE70" s="88">
        <f t="shared" si="105"/>
        <v>1223697.0851758088</v>
      </c>
      <c r="DF70" s="88">
        <f t="shared" si="105"/>
        <v>6241004.7898158329</v>
      </c>
      <c r="DG70" s="88">
        <f t="shared" si="105"/>
        <v>0</v>
      </c>
      <c r="DH70" s="88">
        <f>-DH69/DH68</f>
        <v>-344078.54597194795</v>
      </c>
      <c r="DI70" s="88">
        <f>-DI69/DI68</f>
        <v>91778.208326811626</v>
      </c>
      <c r="DJ70" s="88">
        <f>-DJ69/DJ68</f>
        <v>0</v>
      </c>
      <c r="DK70" s="88">
        <f t="shared" si="105"/>
        <v>-14458416.850839686</v>
      </c>
      <c r="DL70" s="88">
        <f t="shared" si="105"/>
        <v>38834580.143103786</v>
      </c>
      <c r="DM70" s="88">
        <f t="shared" si="105"/>
        <v>-3182639.5952441269</v>
      </c>
      <c r="DN70" s="88">
        <f t="shared" si="105"/>
        <v>0</v>
      </c>
      <c r="DO70" s="88">
        <f t="shared" si="105"/>
        <v>0</v>
      </c>
      <c r="DP70" s="88">
        <f t="shared" si="105"/>
        <v>-1613882.0717668524</v>
      </c>
      <c r="DQ70" s="88">
        <f t="shared" si="105"/>
        <v>1044371.9654239396</v>
      </c>
      <c r="DR70" s="88">
        <f t="shared" si="105"/>
        <v>0</v>
      </c>
      <c r="DS70" s="88">
        <f t="shared" si="105"/>
        <v>0</v>
      </c>
      <c r="DT70" s="88">
        <f t="shared" si="105"/>
        <v>0</v>
      </c>
      <c r="DU70" s="88">
        <f t="shared" si="105"/>
        <v>0</v>
      </c>
      <c r="DV70" s="88">
        <f t="shared" si="105"/>
        <v>0</v>
      </c>
      <c r="DW70" s="88">
        <f t="shared" si="105"/>
        <v>226309.4185509306</v>
      </c>
      <c r="DX70" s="88">
        <f t="shared" si="105"/>
        <v>0</v>
      </c>
      <c r="DY70" s="88">
        <f t="shared" si="105"/>
        <v>0</v>
      </c>
      <c r="DZ70" s="88">
        <f t="shared" si="105"/>
        <v>0</v>
      </c>
      <c r="EA70" s="88">
        <f t="shared" si="105"/>
        <v>1997166.3749341436</v>
      </c>
      <c r="EB70" s="88">
        <f t="shared" si="105"/>
        <v>0</v>
      </c>
      <c r="EC70" s="88">
        <f t="shared" si="105"/>
        <v>0</v>
      </c>
      <c r="ED70" s="88">
        <f t="shared" si="105"/>
        <v>0</v>
      </c>
      <c r="EE70" s="88">
        <f t="shared" si="105"/>
        <v>0</v>
      </c>
      <c r="EF70" s="88">
        <f t="shared" si="105"/>
        <v>0</v>
      </c>
      <c r="EG70" s="88">
        <f t="shared" si="105"/>
        <v>0</v>
      </c>
      <c r="EH70" s="88">
        <f t="shared" si="105"/>
        <v>6114040.8075687494</v>
      </c>
      <c r="EI70" s="88">
        <f t="shared" si="105"/>
        <v>267065.46853931743</v>
      </c>
      <c r="EJ70" s="88">
        <f t="shared" si="105"/>
        <v>3663010.3891159249</v>
      </c>
      <c r="EK70" s="88">
        <f t="shared" si="105"/>
        <v>4883609.7392703826</v>
      </c>
      <c r="EL70" s="88">
        <f t="shared" si="105"/>
        <v>687172.81788607477</v>
      </c>
      <c r="EM70" s="88">
        <f t="shared" si="105"/>
        <v>-414694.00683819281</v>
      </c>
      <c r="EN70" s="88">
        <f t="shared" si="105"/>
        <v>0</v>
      </c>
      <c r="EO70" s="88">
        <f t="shared" si="105"/>
        <v>474327.00813279086</v>
      </c>
      <c r="EP70" s="88">
        <f t="shared" si="105"/>
        <v>-1381549.6019364006</v>
      </c>
      <c r="EQ70" s="88">
        <f t="shared" si="105"/>
        <v>14031936.370379344</v>
      </c>
      <c r="ER70" s="88">
        <f t="shared" si="105"/>
        <v>1502359.9835069869</v>
      </c>
      <c r="ES70" s="88">
        <f t="shared" si="105"/>
        <v>-458627.51746459148</v>
      </c>
      <c r="ET70" s="88">
        <f t="shared" si="105"/>
        <v>6357691.2669426044</v>
      </c>
      <c r="EU70" s="88">
        <f t="shared" si="105"/>
        <v>0</v>
      </c>
      <c r="EV70" s="88">
        <f>-EV69/EV68</f>
        <v>-1687330.3670317307</v>
      </c>
      <c r="EW70" s="88">
        <f>-EW69/EW68</f>
        <v>-2710286.5700581581</v>
      </c>
      <c r="EX70" s="88">
        <f t="shared" ref="EX70" si="106">-EX69/EX68</f>
        <v>-115825.25561116463</v>
      </c>
      <c r="EY70" s="88">
        <f>-EY69/EY68</f>
        <v>0</v>
      </c>
      <c r="EZ70" s="88">
        <f t="shared" si="105"/>
        <v>25940045.276276693</v>
      </c>
      <c r="FA70" s="88">
        <f t="shared" si="105"/>
        <v>64774625.41938033</v>
      </c>
      <c r="FB70" s="88">
        <f t="shared" si="105"/>
        <v>-4088502.3398953401</v>
      </c>
      <c r="FC70" s="88">
        <f t="shared" si="105"/>
        <v>0</v>
      </c>
      <c r="FD70" s="88">
        <f t="shared" si="105"/>
        <v>0</v>
      </c>
      <c r="FE70" s="88">
        <f t="shared" si="105"/>
        <v>-50894.151747474825</v>
      </c>
      <c r="FF70" s="88">
        <f t="shared" si="105"/>
        <v>-562037.99199818447</v>
      </c>
      <c r="FG70" s="88">
        <f t="shared" si="105"/>
        <v>0</v>
      </c>
      <c r="FH70" s="88">
        <f t="shared" si="105"/>
        <v>0</v>
      </c>
      <c r="FI70" s="88">
        <f t="shared" si="105"/>
        <v>0</v>
      </c>
      <c r="FJ70" s="88">
        <f t="shared" si="105"/>
        <v>0</v>
      </c>
      <c r="FK70" s="88">
        <f t="shared" si="105"/>
        <v>0</v>
      </c>
      <c r="FL70" s="88">
        <f t="shared" si="105"/>
        <v>694924.45293999615</v>
      </c>
      <c r="FM70" s="88">
        <f t="shared" si="105"/>
        <v>0</v>
      </c>
      <c r="FN70" s="88">
        <f t="shared" si="105"/>
        <v>0</v>
      </c>
      <c r="FO70" s="88">
        <f t="shared" si="105"/>
        <v>0</v>
      </c>
      <c r="FP70" s="88">
        <f t="shared" si="105"/>
        <v>0</v>
      </c>
      <c r="FQ70" s="88">
        <f t="shared" si="105"/>
        <v>0</v>
      </c>
      <c r="FR70" s="88">
        <f t="shared" si="105"/>
        <v>0</v>
      </c>
      <c r="FS70" s="88">
        <f t="shared" si="105"/>
        <v>0</v>
      </c>
      <c r="FT70" s="88">
        <f t="shared" si="105"/>
        <v>0</v>
      </c>
      <c r="FU70" s="88">
        <f t="shared" si="105"/>
        <v>0</v>
      </c>
      <c r="FV70" s="88">
        <f t="shared" si="105"/>
        <v>0</v>
      </c>
      <c r="FW70" s="88">
        <f t="shared" si="105"/>
        <v>4457976.2127401559</v>
      </c>
      <c r="FX70" s="88">
        <f t="shared" si="105"/>
        <v>827240.06364425365</v>
      </c>
      <c r="FY70" s="88">
        <f t="shared" si="105"/>
        <v>0</v>
      </c>
      <c r="FZ70" s="88">
        <f t="shared" si="105"/>
        <v>-336474.07337446976</v>
      </c>
      <c r="GA70" s="88">
        <f t="shared" si="105"/>
        <v>0</v>
      </c>
      <c r="GB70" s="88">
        <f t="shared" si="105"/>
        <v>30972.996361358804</v>
      </c>
      <c r="GC70" s="88">
        <f t="shared" si="105"/>
        <v>0</v>
      </c>
      <c r="GD70" s="88">
        <f t="shared" si="105"/>
        <v>-23691657.193699073</v>
      </c>
      <c r="GE70" s="88">
        <f t="shared" si="105"/>
        <v>-306965.24179594015</v>
      </c>
      <c r="GF70" s="88">
        <f t="shared" si="105"/>
        <v>33990526.576522626</v>
      </c>
      <c r="GG70" s="88">
        <f t="shared" si="105"/>
        <v>5190982.5986733092</v>
      </c>
      <c r="GH70" s="88">
        <f t="shared" si="105"/>
        <v>589659.52365466591</v>
      </c>
      <c r="GI70" s="88">
        <f t="shared" si="105"/>
        <v>10005773.376821242</v>
      </c>
      <c r="GJ70" s="88">
        <f t="shared" si="105"/>
        <v>0</v>
      </c>
      <c r="GK70" s="88">
        <f>-GK69/GK68</f>
        <v>-4688480.0125637297</v>
      </c>
      <c r="GL70" s="88">
        <f>-GL69/GL68</f>
        <v>-3236161.0337821771</v>
      </c>
      <c r="GM70" s="88">
        <f t="shared" ref="GM70" si="107">-GM69/GM68</f>
        <v>-111.64798743561236</v>
      </c>
      <c r="GN70" s="88">
        <f>-GN69/GN68</f>
        <v>0</v>
      </c>
      <c r="GO70" s="88">
        <f t="shared" si="105"/>
        <v>14539188.126456516</v>
      </c>
      <c r="GP70" s="88">
        <f t="shared" si="105"/>
        <v>79313813.54583697</v>
      </c>
      <c r="GQ70" s="88">
        <f t="shared" si="105"/>
        <v>-854215.2081433105</v>
      </c>
      <c r="GR70" s="88">
        <f t="shared" si="105"/>
        <v>0</v>
      </c>
      <c r="GS70" s="88">
        <f t="shared" si="105"/>
        <v>0</v>
      </c>
      <c r="GT70" s="88">
        <f t="shared" si="105"/>
        <v>-229032.23206212011</v>
      </c>
      <c r="GU70" s="88">
        <f t="shared" si="105"/>
        <v>-347340.11667480139</v>
      </c>
      <c r="GV70" s="88">
        <f t="shared" si="105"/>
        <v>0</v>
      </c>
      <c r="GW70" s="88">
        <f t="shared" si="105"/>
        <v>0</v>
      </c>
      <c r="GX70" s="88">
        <f t="shared" si="105"/>
        <v>0</v>
      </c>
      <c r="GY70" s="88">
        <f t="shared" si="105"/>
        <v>0</v>
      </c>
      <c r="GZ70" s="88">
        <f t="shared" si="105"/>
        <v>0</v>
      </c>
      <c r="HA70" s="88">
        <f t="shared" si="105"/>
        <v>1049534.872933273</v>
      </c>
      <c r="HB70" s="88">
        <f t="shared" si="105"/>
        <v>0</v>
      </c>
      <c r="HC70" s="88">
        <f t="shared" si="105"/>
        <v>0</v>
      </c>
      <c r="HD70" s="88">
        <f t="shared" si="105"/>
        <v>0</v>
      </c>
      <c r="HE70" s="88">
        <f t="shared" si="105"/>
        <v>0</v>
      </c>
      <c r="HF70" s="88">
        <f t="shared" si="105"/>
        <v>0</v>
      </c>
      <c r="HG70" s="88">
        <f t="shared" si="105"/>
        <v>0</v>
      </c>
      <c r="HH70" s="88">
        <f t="shared" si="105"/>
        <v>0</v>
      </c>
      <c r="HI70" s="88">
        <f t="shared" si="105"/>
        <v>0</v>
      </c>
      <c r="HJ70" s="88">
        <f t="shared" si="105"/>
        <v>0</v>
      </c>
      <c r="HK70" s="88">
        <f t="shared" si="105"/>
        <v>0</v>
      </c>
      <c r="HL70" s="88">
        <f t="shared" si="105"/>
        <v>4572983.4920961987</v>
      </c>
      <c r="HM70" s="88">
        <f t="shared" si="105"/>
        <v>-139988.51500275789</v>
      </c>
      <c r="HN70" s="88">
        <f t="shared" si="105"/>
        <v>0</v>
      </c>
      <c r="HO70" s="88">
        <f t="shared" si="105"/>
        <v>-336474.07337446976</v>
      </c>
      <c r="HP70" s="88">
        <f t="shared" si="105"/>
        <v>-3428208.1718225973</v>
      </c>
      <c r="HQ70" s="88">
        <f t="shared" si="105"/>
        <v>445667.00319955172</v>
      </c>
      <c r="HR70" s="88">
        <f t="shared" si="105"/>
        <v>0</v>
      </c>
      <c r="HS70" s="88">
        <f t="shared" si="105"/>
        <v>-17643059.809659217</v>
      </c>
      <c r="HT70" s="88">
        <f t="shared" si="105"/>
        <v>-106689.5707829949</v>
      </c>
      <c r="HU70" s="88">
        <f t="shared" si="105"/>
        <v>21160680.683827553</v>
      </c>
      <c r="HV70" s="88">
        <f t="shared" si="105"/>
        <v>4883798.5711628674</v>
      </c>
      <c r="HW70" s="88">
        <f t="shared" si="105"/>
        <v>3133933.2177307708</v>
      </c>
      <c r="HX70" s="88">
        <f t="shared" si="105"/>
        <v>5756808.5296368608</v>
      </c>
      <c r="HY70" s="88">
        <f t="shared" si="105"/>
        <v>0</v>
      </c>
      <c r="HZ70" s="88">
        <f t="shared" si="105"/>
        <v>0</v>
      </c>
      <c r="IA70" s="88">
        <f t="shared" ref="IA70:IB70" si="108">-IA69/IA68</f>
        <v>-1232096.6265522996</v>
      </c>
      <c r="IB70" s="88">
        <f t="shared" si="108"/>
        <v>-113.44876142650934</v>
      </c>
      <c r="IC70" s="88">
        <f t="shared" si="105"/>
        <v>0</v>
      </c>
      <c r="ID70" s="88">
        <f t="shared" si="105"/>
        <v>15053691.985645737</v>
      </c>
      <c r="IE70" s="88">
        <f t="shared" si="105"/>
        <v>94367505.531482726</v>
      </c>
      <c r="IF70" s="47" t="s">
        <v>34</v>
      </c>
    </row>
    <row r="71" spans="1:240" x14ac:dyDescent="0.3">
      <c r="C71" s="90">
        <f>+C70-C62</f>
        <v>0</v>
      </c>
      <c r="D71" s="90">
        <f t="shared" ref="D71:BO71" si="109">+D70-D62</f>
        <v>0</v>
      </c>
      <c r="E71" s="90">
        <f t="shared" si="109"/>
        <v>0</v>
      </c>
      <c r="F71" s="90">
        <f t="shared" si="109"/>
        <v>0</v>
      </c>
      <c r="G71" s="90">
        <f t="shared" si="109"/>
        <v>0</v>
      </c>
      <c r="H71" s="90">
        <f t="shared" si="109"/>
        <v>0</v>
      </c>
      <c r="I71" s="90">
        <f t="shared" si="109"/>
        <v>0</v>
      </c>
      <c r="J71" s="90">
        <f t="shared" si="109"/>
        <v>0</v>
      </c>
      <c r="K71" s="90">
        <f t="shared" si="109"/>
        <v>0</v>
      </c>
      <c r="L71" s="90">
        <f t="shared" si="109"/>
        <v>0</v>
      </c>
      <c r="M71" s="90">
        <f t="shared" si="109"/>
        <v>0</v>
      </c>
      <c r="N71" s="90">
        <f t="shared" si="109"/>
        <v>0</v>
      </c>
      <c r="O71" s="90">
        <f t="shared" si="109"/>
        <v>0</v>
      </c>
      <c r="P71" s="90">
        <f t="shared" si="109"/>
        <v>0</v>
      </c>
      <c r="Q71" s="90">
        <f t="shared" si="109"/>
        <v>0</v>
      </c>
      <c r="R71" s="90">
        <f t="shared" si="109"/>
        <v>0</v>
      </c>
      <c r="S71" s="90">
        <f t="shared" si="109"/>
        <v>0</v>
      </c>
      <c r="T71" s="90">
        <f t="shared" si="109"/>
        <v>0</v>
      </c>
      <c r="U71" s="90">
        <f t="shared" si="109"/>
        <v>0</v>
      </c>
      <c r="V71" s="90">
        <f t="shared" si="109"/>
        <v>0</v>
      </c>
      <c r="W71" s="90">
        <f t="shared" si="109"/>
        <v>0</v>
      </c>
      <c r="X71" s="90">
        <f t="shared" si="109"/>
        <v>0</v>
      </c>
      <c r="Y71" s="90">
        <f t="shared" si="109"/>
        <v>0</v>
      </c>
      <c r="Z71" s="90">
        <f t="shared" si="109"/>
        <v>0</v>
      </c>
      <c r="AA71" s="90">
        <f t="shared" si="109"/>
        <v>0</v>
      </c>
      <c r="AB71" s="90">
        <f t="shared" si="109"/>
        <v>0</v>
      </c>
      <c r="AC71" s="90">
        <f t="shared" si="109"/>
        <v>0</v>
      </c>
      <c r="AD71" s="90">
        <f t="shared" si="109"/>
        <v>0</v>
      </c>
      <c r="AE71" s="90">
        <f t="shared" si="109"/>
        <v>0</v>
      </c>
      <c r="AF71" s="90">
        <f t="shared" si="109"/>
        <v>0</v>
      </c>
      <c r="AG71" s="90">
        <f t="shared" si="109"/>
        <v>0</v>
      </c>
      <c r="AH71" s="90">
        <f t="shared" si="109"/>
        <v>0</v>
      </c>
      <c r="AI71" s="90">
        <f t="shared" si="109"/>
        <v>2.7194619178771973E-7</v>
      </c>
      <c r="AJ71" s="90">
        <f t="shared" si="109"/>
        <v>0</v>
      </c>
      <c r="AK71" s="90">
        <f t="shared" si="109"/>
        <v>0</v>
      </c>
      <c r="AL71" s="90">
        <f t="shared" si="109"/>
        <v>0</v>
      </c>
      <c r="AM71" s="90">
        <f t="shared" si="109"/>
        <v>0</v>
      </c>
      <c r="AN71" s="90">
        <f t="shared" si="109"/>
        <v>0</v>
      </c>
      <c r="AO71" s="90">
        <f t="shared" si="109"/>
        <v>0</v>
      </c>
      <c r="AP71" s="90">
        <f t="shared" si="109"/>
        <v>0</v>
      </c>
      <c r="AQ71" s="90">
        <f t="shared" si="109"/>
        <v>0</v>
      </c>
      <c r="AR71" s="90">
        <f t="shared" si="109"/>
        <v>0</v>
      </c>
      <c r="AS71" s="90">
        <f t="shared" si="109"/>
        <v>0</v>
      </c>
      <c r="AT71" s="90">
        <f t="shared" si="109"/>
        <v>0</v>
      </c>
      <c r="AU71" s="90">
        <f t="shared" si="109"/>
        <v>0</v>
      </c>
      <c r="AV71" s="90">
        <f t="shared" si="109"/>
        <v>0</v>
      </c>
      <c r="AW71" s="90">
        <f t="shared" si="109"/>
        <v>0</v>
      </c>
      <c r="AX71" s="90">
        <f t="shared" si="109"/>
        <v>0</v>
      </c>
      <c r="AY71" s="90">
        <f t="shared" si="109"/>
        <v>0</v>
      </c>
      <c r="AZ71" s="90">
        <f t="shared" si="109"/>
        <v>0</v>
      </c>
      <c r="BA71" s="90">
        <f t="shared" si="109"/>
        <v>0</v>
      </c>
      <c r="BB71" s="90">
        <f t="shared" si="109"/>
        <v>0</v>
      </c>
      <c r="BC71" s="90">
        <f t="shared" si="109"/>
        <v>0</v>
      </c>
      <c r="BD71" s="90">
        <f t="shared" si="109"/>
        <v>0</v>
      </c>
      <c r="BE71" s="90">
        <f t="shared" si="109"/>
        <v>0</v>
      </c>
      <c r="BF71" s="90">
        <f t="shared" si="109"/>
        <v>0</v>
      </c>
      <c r="BG71" s="90">
        <f t="shared" si="109"/>
        <v>0</v>
      </c>
      <c r="BH71" s="90">
        <f t="shared" si="109"/>
        <v>0</v>
      </c>
      <c r="BI71" s="90">
        <f t="shared" si="109"/>
        <v>0</v>
      </c>
      <c r="BJ71" s="90">
        <f t="shared" si="109"/>
        <v>0</v>
      </c>
      <c r="BK71" s="90">
        <f t="shared" si="109"/>
        <v>0</v>
      </c>
      <c r="BL71" s="90">
        <f t="shared" si="109"/>
        <v>0</v>
      </c>
      <c r="BM71" s="90">
        <f t="shared" si="109"/>
        <v>0</v>
      </c>
      <c r="BN71" s="90">
        <f t="shared" si="109"/>
        <v>0</v>
      </c>
      <c r="BO71" s="90">
        <f t="shared" si="109"/>
        <v>0</v>
      </c>
      <c r="BP71" s="90">
        <f t="shared" ref="BP71:EB71" si="110">+BP70-BP62</f>
        <v>0</v>
      </c>
      <c r="BQ71" s="90">
        <f t="shared" si="110"/>
        <v>0</v>
      </c>
      <c r="BR71" s="90">
        <f t="shared" si="110"/>
        <v>0</v>
      </c>
      <c r="BS71" s="90">
        <f t="shared" si="110"/>
        <v>0</v>
      </c>
      <c r="BT71" s="90">
        <f t="shared" si="110"/>
        <v>0</v>
      </c>
      <c r="BU71" s="90">
        <f t="shared" si="110"/>
        <v>0</v>
      </c>
      <c r="BV71" s="90">
        <f t="shared" si="110"/>
        <v>0</v>
      </c>
      <c r="BW71" s="90">
        <f t="shared" si="110"/>
        <v>0</v>
      </c>
      <c r="BX71" s="90">
        <f t="shared" si="110"/>
        <v>0</v>
      </c>
      <c r="BY71" s="90">
        <f t="shared" si="110"/>
        <v>0</v>
      </c>
      <c r="BZ71" s="90">
        <f t="shared" si="110"/>
        <v>0</v>
      </c>
      <c r="CA71" s="90">
        <f t="shared" si="110"/>
        <v>0</v>
      </c>
      <c r="CB71" s="90">
        <f t="shared" si="110"/>
        <v>0</v>
      </c>
      <c r="CC71" s="90">
        <f t="shared" si="110"/>
        <v>0</v>
      </c>
      <c r="CD71" s="90">
        <f t="shared" si="110"/>
        <v>0</v>
      </c>
      <c r="CE71" s="90">
        <f t="shared" si="110"/>
        <v>0</v>
      </c>
      <c r="CF71" s="90">
        <f t="shared" si="110"/>
        <v>0</v>
      </c>
      <c r="CG71" s="90">
        <f t="shared" si="110"/>
        <v>0</v>
      </c>
      <c r="CH71" s="90">
        <f t="shared" si="110"/>
        <v>0</v>
      </c>
      <c r="CI71" s="90">
        <f t="shared" si="110"/>
        <v>0</v>
      </c>
      <c r="CJ71" s="90">
        <f t="shared" si="110"/>
        <v>0</v>
      </c>
      <c r="CK71" s="90">
        <f t="shared" si="110"/>
        <v>0</v>
      </c>
      <c r="CL71" s="90">
        <f t="shared" si="110"/>
        <v>0</v>
      </c>
      <c r="CM71" s="90">
        <f t="shared" si="110"/>
        <v>0</v>
      </c>
      <c r="CN71" s="90">
        <f t="shared" si="110"/>
        <v>0</v>
      </c>
      <c r="CO71" s="90">
        <f t="shared" si="110"/>
        <v>0</v>
      </c>
      <c r="CP71" s="90">
        <f t="shared" si="110"/>
        <v>0</v>
      </c>
      <c r="CQ71" s="90">
        <f t="shared" si="110"/>
        <v>0</v>
      </c>
      <c r="CR71" s="90">
        <f t="shared" si="110"/>
        <v>0</v>
      </c>
      <c r="CS71" s="90">
        <f t="shared" si="110"/>
        <v>0</v>
      </c>
      <c r="CT71" s="90">
        <f t="shared" si="110"/>
        <v>0</v>
      </c>
      <c r="CU71" s="90">
        <f t="shared" si="110"/>
        <v>0</v>
      </c>
      <c r="CV71" s="90">
        <f t="shared" si="110"/>
        <v>0</v>
      </c>
      <c r="CW71" s="90">
        <f t="shared" si="110"/>
        <v>0</v>
      </c>
      <c r="CX71" s="90">
        <f t="shared" si="110"/>
        <v>0</v>
      </c>
      <c r="CY71" s="90">
        <f t="shared" si="110"/>
        <v>0</v>
      </c>
      <c r="CZ71" s="90">
        <f t="shared" si="110"/>
        <v>0</v>
      </c>
      <c r="DA71" s="90">
        <f t="shared" si="110"/>
        <v>0</v>
      </c>
      <c r="DB71" s="90">
        <f t="shared" si="110"/>
        <v>0</v>
      </c>
      <c r="DC71" s="90">
        <f t="shared" si="110"/>
        <v>0</v>
      </c>
      <c r="DD71" s="90">
        <f t="shared" si="110"/>
        <v>0</v>
      </c>
      <c r="DE71" s="90">
        <f t="shared" si="110"/>
        <v>0</v>
      </c>
      <c r="DF71" s="90">
        <f t="shared" si="110"/>
        <v>0</v>
      </c>
      <c r="DG71" s="90">
        <f t="shared" si="110"/>
        <v>0</v>
      </c>
      <c r="DH71" s="90">
        <f t="shared" si="110"/>
        <v>0</v>
      </c>
      <c r="DI71" s="90">
        <f t="shared" si="110"/>
        <v>-121592.58973797281</v>
      </c>
      <c r="DJ71" s="90">
        <f t="shared" si="110"/>
        <v>0</v>
      </c>
      <c r="DK71" s="90">
        <f t="shared" si="110"/>
        <v>0</v>
      </c>
      <c r="DL71" s="90">
        <f t="shared" si="110"/>
        <v>0</v>
      </c>
      <c r="DM71" s="90">
        <f t="shared" si="110"/>
        <v>0</v>
      </c>
      <c r="DN71" s="90">
        <f t="shared" si="110"/>
        <v>0</v>
      </c>
      <c r="DO71" s="90">
        <f t="shared" si="110"/>
        <v>0</v>
      </c>
      <c r="DP71" s="90">
        <f t="shared" si="110"/>
        <v>0</v>
      </c>
      <c r="DQ71" s="90">
        <f t="shared" si="110"/>
        <v>0</v>
      </c>
      <c r="DR71" s="90">
        <f t="shared" si="110"/>
        <v>0</v>
      </c>
      <c r="DS71" s="90">
        <f t="shared" si="110"/>
        <v>0</v>
      </c>
      <c r="DT71" s="90">
        <f t="shared" si="110"/>
        <v>0</v>
      </c>
      <c r="DU71" s="90">
        <f t="shared" si="110"/>
        <v>0</v>
      </c>
      <c r="DV71" s="90">
        <f t="shared" si="110"/>
        <v>0</v>
      </c>
      <c r="DW71" s="90">
        <f t="shared" si="110"/>
        <v>0</v>
      </c>
      <c r="DX71" s="90">
        <f t="shared" si="110"/>
        <v>0</v>
      </c>
      <c r="DY71" s="90">
        <f t="shared" si="110"/>
        <v>0</v>
      </c>
      <c r="DZ71" s="90">
        <f t="shared" si="110"/>
        <v>0</v>
      </c>
      <c r="EA71" s="90">
        <f t="shared" si="110"/>
        <v>0</v>
      </c>
      <c r="EB71" s="90">
        <f t="shared" si="110"/>
        <v>0</v>
      </c>
      <c r="EC71" s="90">
        <f t="shared" ref="EC71:GR71" si="111">+EC70-EC62</f>
        <v>0</v>
      </c>
      <c r="ED71" s="90">
        <f t="shared" si="111"/>
        <v>0</v>
      </c>
      <c r="EE71" s="90">
        <f t="shared" si="111"/>
        <v>0</v>
      </c>
      <c r="EF71" s="90">
        <f t="shared" si="111"/>
        <v>0</v>
      </c>
      <c r="EG71" s="90">
        <f t="shared" si="111"/>
        <v>0</v>
      </c>
      <c r="EH71" s="90">
        <f t="shared" si="111"/>
        <v>0</v>
      </c>
      <c r="EI71" s="90">
        <f t="shared" si="111"/>
        <v>0</v>
      </c>
      <c r="EJ71" s="90">
        <f t="shared" si="111"/>
        <v>0</v>
      </c>
      <c r="EK71" s="90">
        <f t="shared" si="111"/>
        <v>0</v>
      </c>
      <c r="EL71" s="90">
        <f t="shared" si="111"/>
        <v>0</v>
      </c>
      <c r="EM71" s="90">
        <f t="shared" si="111"/>
        <v>0</v>
      </c>
      <c r="EN71" s="90">
        <f t="shared" si="111"/>
        <v>0</v>
      </c>
      <c r="EO71" s="90">
        <f t="shared" si="111"/>
        <v>0</v>
      </c>
      <c r="EP71" s="90">
        <f t="shared" si="111"/>
        <v>0</v>
      </c>
      <c r="EQ71" s="90">
        <f t="shared" si="111"/>
        <v>0</v>
      </c>
      <c r="ER71" s="90">
        <f t="shared" si="111"/>
        <v>0</v>
      </c>
      <c r="ES71" s="90">
        <f t="shared" si="111"/>
        <v>0</v>
      </c>
      <c r="ET71" s="90">
        <f t="shared" si="111"/>
        <v>0</v>
      </c>
      <c r="EU71" s="90">
        <f t="shared" si="111"/>
        <v>0</v>
      </c>
      <c r="EV71" s="90">
        <f t="shared" si="111"/>
        <v>0</v>
      </c>
      <c r="EW71" s="90">
        <f t="shared" ref="EW71:EX71" si="112">+EW70-EW62</f>
        <v>3590729.9673134475</v>
      </c>
      <c r="EX71" s="90">
        <f t="shared" si="112"/>
        <v>153451.38070983562</v>
      </c>
      <c r="EY71" s="90">
        <f t="shared" si="111"/>
        <v>0</v>
      </c>
      <c r="EZ71" s="90">
        <f t="shared" si="111"/>
        <v>0</v>
      </c>
      <c r="FA71" s="90">
        <f t="shared" si="111"/>
        <v>0</v>
      </c>
      <c r="FB71" s="90">
        <f t="shared" si="111"/>
        <v>0</v>
      </c>
      <c r="FC71" s="90">
        <f t="shared" si="111"/>
        <v>0</v>
      </c>
      <c r="FD71" s="90">
        <f t="shared" si="111"/>
        <v>0</v>
      </c>
      <c r="FE71" s="90">
        <f t="shared" si="111"/>
        <v>0</v>
      </c>
      <c r="FF71" s="90">
        <f t="shared" si="111"/>
        <v>0</v>
      </c>
      <c r="FG71" s="90">
        <f t="shared" si="111"/>
        <v>0</v>
      </c>
      <c r="FH71" s="90">
        <f t="shared" si="111"/>
        <v>0</v>
      </c>
      <c r="FI71" s="90">
        <f t="shared" si="111"/>
        <v>0</v>
      </c>
      <c r="FJ71" s="90">
        <f t="shared" si="111"/>
        <v>0</v>
      </c>
      <c r="FK71" s="90">
        <f t="shared" si="111"/>
        <v>0</v>
      </c>
      <c r="FL71" s="90">
        <f t="shared" si="111"/>
        <v>0</v>
      </c>
      <c r="FM71" s="90">
        <f t="shared" si="111"/>
        <v>0</v>
      </c>
      <c r="FN71" s="90">
        <f t="shared" si="111"/>
        <v>0</v>
      </c>
      <c r="FO71" s="90">
        <f t="shared" si="111"/>
        <v>0</v>
      </c>
      <c r="FP71" s="90">
        <f t="shared" si="111"/>
        <v>0</v>
      </c>
      <c r="FQ71" s="90">
        <f t="shared" si="111"/>
        <v>0</v>
      </c>
      <c r="FR71" s="90">
        <f t="shared" si="111"/>
        <v>0</v>
      </c>
      <c r="FS71" s="90">
        <f t="shared" si="111"/>
        <v>0</v>
      </c>
      <c r="FT71" s="90">
        <f t="shared" si="111"/>
        <v>0</v>
      </c>
      <c r="FU71" s="90">
        <f t="shared" si="111"/>
        <v>0</v>
      </c>
      <c r="FV71" s="90">
        <f t="shared" si="111"/>
        <v>0</v>
      </c>
      <c r="FW71" s="90">
        <f t="shared" si="111"/>
        <v>0</v>
      </c>
      <c r="FX71" s="90">
        <f t="shared" si="111"/>
        <v>0</v>
      </c>
      <c r="FY71" s="90">
        <f t="shared" si="111"/>
        <v>0</v>
      </c>
      <c r="FZ71" s="90">
        <f t="shared" si="111"/>
        <v>0</v>
      </c>
      <c r="GA71" s="90">
        <f t="shared" si="111"/>
        <v>0</v>
      </c>
      <c r="GB71" s="90">
        <f t="shared" si="111"/>
        <v>0</v>
      </c>
      <c r="GC71" s="90">
        <f t="shared" si="111"/>
        <v>0</v>
      </c>
      <c r="GD71" s="90">
        <f t="shared" si="111"/>
        <v>0</v>
      </c>
      <c r="GE71" s="90">
        <f t="shared" si="111"/>
        <v>0</v>
      </c>
      <c r="GF71" s="90">
        <f t="shared" si="111"/>
        <v>0</v>
      </c>
      <c r="GG71" s="90">
        <f t="shared" si="111"/>
        <v>0</v>
      </c>
      <c r="GH71" s="90">
        <f t="shared" si="111"/>
        <v>0</v>
      </c>
      <c r="GI71" s="90">
        <f t="shared" si="111"/>
        <v>0</v>
      </c>
      <c r="GJ71" s="90">
        <f t="shared" si="111"/>
        <v>0</v>
      </c>
      <c r="GK71" s="90">
        <f t="shared" si="111"/>
        <v>0</v>
      </c>
      <c r="GL71" s="90">
        <f t="shared" si="111"/>
        <v>4287436.070940787</v>
      </c>
      <c r="GM71" s="90">
        <f t="shared" si="111"/>
        <v>147.91711647919431</v>
      </c>
      <c r="GN71" s="90">
        <f t="shared" si="111"/>
        <v>0</v>
      </c>
      <c r="GO71" s="90">
        <f t="shared" si="111"/>
        <v>0</v>
      </c>
      <c r="GP71" s="90">
        <f t="shared" si="111"/>
        <v>0</v>
      </c>
      <c r="GQ71" s="90">
        <f t="shared" si="111"/>
        <v>0</v>
      </c>
      <c r="GR71" s="90">
        <f t="shared" si="111"/>
        <v>0</v>
      </c>
      <c r="GS71" s="90">
        <f t="shared" ref="GS71:IE71" si="113">+GS70-GS62</f>
        <v>0</v>
      </c>
      <c r="GT71" s="90">
        <f t="shared" si="113"/>
        <v>0</v>
      </c>
      <c r="GU71" s="90">
        <f t="shared" si="113"/>
        <v>0</v>
      </c>
      <c r="GV71" s="90">
        <f t="shared" si="113"/>
        <v>0</v>
      </c>
      <c r="GW71" s="90">
        <f t="shared" si="113"/>
        <v>0</v>
      </c>
      <c r="GX71" s="90">
        <f t="shared" si="113"/>
        <v>0</v>
      </c>
      <c r="GY71" s="90">
        <f t="shared" si="113"/>
        <v>0</v>
      </c>
      <c r="GZ71" s="90">
        <f t="shared" si="113"/>
        <v>0</v>
      </c>
      <c r="HA71" s="90">
        <f t="shared" si="113"/>
        <v>0</v>
      </c>
      <c r="HB71" s="90">
        <f t="shared" si="113"/>
        <v>0</v>
      </c>
      <c r="HC71" s="90">
        <f t="shared" si="113"/>
        <v>0</v>
      </c>
      <c r="HD71" s="90">
        <f t="shared" si="113"/>
        <v>0</v>
      </c>
      <c r="HE71" s="90">
        <f t="shared" si="113"/>
        <v>0</v>
      </c>
      <c r="HF71" s="90">
        <f t="shared" si="113"/>
        <v>0</v>
      </c>
      <c r="HG71" s="90">
        <f t="shared" si="113"/>
        <v>0</v>
      </c>
      <c r="HH71" s="90">
        <f t="shared" si="113"/>
        <v>0</v>
      </c>
      <c r="HI71" s="90">
        <f t="shared" si="113"/>
        <v>0</v>
      </c>
      <c r="HJ71" s="90">
        <f t="shared" si="113"/>
        <v>0</v>
      </c>
      <c r="HK71" s="90">
        <f t="shared" si="113"/>
        <v>0</v>
      </c>
      <c r="HL71" s="90">
        <f t="shared" si="113"/>
        <v>0</v>
      </c>
      <c r="HM71" s="90">
        <f t="shared" si="113"/>
        <v>0</v>
      </c>
      <c r="HN71" s="90">
        <f t="shared" si="113"/>
        <v>0</v>
      </c>
      <c r="HO71" s="90">
        <f t="shared" si="113"/>
        <v>0</v>
      </c>
      <c r="HP71" s="90">
        <f t="shared" si="113"/>
        <v>0</v>
      </c>
      <c r="HQ71" s="90">
        <f t="shared" si="113"/>
        <v>0</v>
      </c>
      <c r="HR71" s="90">
        <f t="shared" si="113"/>
        <v>0</v>
      </c>
      <c r="HS71" s="90">
        <f t="shared" si="113"/>
        <v>0</v>
      </c>
      <c r="HT71" s="90">
        <f t="shared" si="113"/>
        <v>0</v>
      </c>
      <c r="HU71" s="90">
        <f t="shared" si="113"/>
        <v>0</v>
      </c>
      <c r="HV71" s="90">
        <f t="shared" si="113"/>
        <v>0</v>
      </c>
      <c r="HW71" s="90">
        <f t="shared" si="113"/>
        <v>0</v>
      </c>
      <c r="HX71" s="90">
        <f t="shared" si="113"/>
        <v>0</v>
      </c>
      <c r="HY71" s="90">
        <f t="shared" si="113"/>
        <v>0</v>
      </c>
      <c r="HZ71" s="90">
        <f t="shared" si="113"/>
        <v>0</v>
      </c>
      <c r="IA71" s="90">
        <f t="shared" ref="IA71:IB71" si="114">+IA70-IA62</f>
        <v>1632346.3092289222</v>
      </c>
      <c r="IB71" s="90">
        <f t="shared" si="114"/>
        <v>150.30287642240711</v>
      </c>
      <c r="IC71" s="90">
        <f t="shared" si="113"/>
        <v>0</v>
      </c>
      <c r="ID71" s="90">
        <f t="shared" si="113"/>
        <v>0</v>
      </c>
      <c r="IE71" s="90">
        <f t="shared" si="113"/>
        <v>0</v>
      </c>
      <c r="IF71" s="47" t="s">
        <v>34</v>
      </c>
    </row>
    <row r="72" spans="1:240" x14ac:dyDescent="0.3">
      <c r="IF72" s="47" t="s">
        <v>34</v>
      </c>
    </row>
    <row r="73" spans="1:240" x14ac:dyDescent="0.3">
      <c r="B73" s="114" t="s">
        <v>114</v>
      </c>
      <c r="C73" s="115">
        <v>0</v>
      </c>
      <c r="AJ73" s="115">
        <v>0</v>
      </c>
      <c r="BX73" s="115">
        <v>0</v>
      </c>
      <c r="DL73" s="115">
        <v>0</v>
      </c>
      <c r="FA73" s="115">
        <v>0</v>
      </c>
      <c r="GP73" s="115">
        <v>0</v>
      </c>
      <c r="IE73" s="115">
        <v>0</v>
      </c>
      <c r="IF73" s="47" t="s">
        <v>34</v>
      </c>
    </row>
    <row r="74" spans="1:240" x14ac:dyDescent="0.3">
      <c r="B74" s="114" t="s">
        <v>115</v>
      </c>
      <c r="C74" s="115">
        <v>0</v>
      </c>
      <c r="AJ74" s="115">
        <v>0</v>
      </c>
      <c r="BX74" s="115">
        <v>0</v>
      </c>
      <c r="DL74" s="115">
        <v>0</v>
      </c>
      <c r="FA74" s="115">
        <v>0</v>
      </c>
      <c r="GP74" s="115">
        <v>0</v>
      </c>
      <c r="IE74" s="115">
        <v>0</v>
      </c>
      <c r="IF74" s="47" t="s">
        <v>34</v>
      </c>
    </row>
    <row r="75" spans="1:240" x14ac:dyDescent="0.3">
      <c r="IF75" s="47" t="s">
        <v>34</v>
      </c>
    </row>
    <row r="76" spans="1:240" customFormat="1" ht="14.5" x14ac:dyDescent="0.35">
      <c r="B76" s="117" t="s">
        <v>116</v>
      </c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8"/>
      <c r="Z76" s="118"/>
      <c r="AA76" s="118"/>
      <c r="AB76" s="118"/>
      <c r="AC76" s="118"/>
      <c r="AD76" s="118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18"/>
      <c r="HY76" s="118"/>
      <c r="HZ76" s="118"/>
      <c r="IA76" s="118"/>
      <c r="IB76" s="118"/>
      <c r="IC76" s="118"/>
      <c r="ID76" s="118"/>
      <c r="IE76" s="118"/>
      <c r="IF76" s="47" t="s">
        <v>34</v>
      </c>
    </row>
    <row r="77" spans="1:240" customFormat="1" ht="14.5" x14ac:dyDescent="0.35">
      <c r="B77" s="119" t="s">
        <v>117</v>
      </c>
      <c r="C77" s="120">
        <v>148876035.75999987</v>
      </c>
      <c r="D77" s="120">
        <v>4268094.9130006935</v>
      </c>
      <c r="E77" s="120">
        <v>-611838.08835041523</v>
      </c>
      <c r="F77" s="120">
        <v>36564.135962030472</v>
      </c>
      <c r="G77" s="120">
        <v>4083468.6190756047</v>
      </c>
      <c r="H77" s="120">
        <v>13470187.035978962</v>
      </c>
      <c r="I77" s="120">
        <v>332327.22565972776</v>
      </c>
      <c r="J77" s="120">
        <v>-30618.301992259963</v>
      </c>
      <c r="K77" s="120">
        <v>950.77666197940709</v>
      </c>
      <c r="L77" s="120">
        <v>13767.210054030083</v>
      </c>
      <c r="M77" s="120">
        <v>662275.35417178285</v>
      </c>
      <c r="N77" s="120">
        <v>-2217552.9012950091</v>
      </c>
      <c r="O77" s="120">
        <v>-49077.570371584741</v>
      </c>
      <c r="P77" s="120">
        <v>-3870.6276671299306</v>
      </c>
      <c r="Q77" s="120">
        <v>-238403.68133350945</v>
      </c>
      <c r="R77" s="120">
        <v>18053.427599999995</v>
      </c>
      <c r="S77" s="120">
        <v>47549.921461222839</v>
      </c>
      <c r="T77" s="120">
        <v>629811.27671236463</v>
      </c>
      <c r="U77" s="120">
        <v>-939593.36042031588</v>
      </c>
      <c r="V77" s="120">
        <v>0</v>
      </c>
      <c r="W77" s="120">
        <v>210100.48828822756</v>
      </c>
      <c r="X77" s="120">
        <v>6486.0668321998955</v>
      </c>
      <c r="Y77" s="120">
        <v>0</v>
      </c>
      <c r="Z77" s="120">
        <v>0</v>
      </c>
      <c r="AA77" s="120">
        <v>0</v>
      </c>
      <c r="AB77" s="120">
        <v>0</v>
      </c>
      <c r="AC77" s="120">
        <v>697854.35301457928</v>
      </c>
      <c r="AD77" s="120">
        <v>0</v>
      </c>
      <c r="AE77" s="120">
        <v>0</v>
      </c>
      <c r="AF77" s="120">
        <v>0</v>
      </c>
      <c r="AG77" s="120">
        <v>0</v>
      </c>
      <c r="AH77" s="120">
        <v>0</v>
      </c>
      <c r="AI77" s="120">
        <v>20386536.273042977</v>
      </c>
      <c r="AJ77" s="120">
        <v>169262572.03304309</v>
      </c>
      <c r="AK77" s="120">
        <v>-29612974.840182617</v>
      </c>
      <c r="AL77" s="120">
        <v>0</v>
      </c>
      <c r="AM77" s="120">
        <v>9813528.8017177954</v>
      </c>
      <c r="AN77" s="120">
        <v>-489534.39253912517</v>
      </c>
      <c r="AO77" s="120">
        <v>678363.06193641061</v>
      </c>
      <c r="AP77" s="120">
        <v>0</v>
      </c>
      <c r="AQ77" s="120">
        <v>0</v>
      </c>
      <c r="AR77" s="120">
        <v>0</v>
      </c>
      <c r="AS77" s="120">
        <v>-35344.100019756894</v>
      </c>
      <c r="AT77" s="120">
        <v>0</v>
      </c>
      <c r="AU77" s="120">
        <v>918682.31335913856</v>
      </c>
      <c r="AV77" s="120">
        <v>0</v>
      </c>
      <c r="AW77" s="120">
        <v>0</v>
      </c>
      <c r="AX77" s="120">
        <v>-445734.37112307164</v>
      </c>
      <c r="AY77" s="120">
        <v>19234.896299999982</v>
      </c>
      <c r="AZ77" s="120">
        <v>0</v>
      </c>
      <c r="BA77" s="120">
        <v>-489300.65499830747</v>
      </c>
      <c r="BB77" s="120">
        <v>0</v>
      </c>
      <c r="BC77" s="120">
        <v>0</v>
      </c>
      <c r="BD77" s="120">
        <v>0</v>
      </c>
      <c r="BE77" s="120">
        <v>0</v>
      </c>
      <c r="BF77" s="120">
        <v>0</v>
      </c>
      <c r="BG77" s="120">
        <v>0</v>
      </c>
      <c r="BH77" s="120">
        <v>-2162576.1780000003</v>
      </c>
      <c r="BI77" s="120">
        <v>-4620848.4321740009</v>
      </c>
      <c r="BJ77" s="120">
        <v>0</v>
      </c>
      <c r="BK77" s="120">
        <v>0</v>
      </c>
      <c r="BL77" s="120">
        <v>0</v>
      </c>
      <c r="BM77" s="120">
        <v>1654158.7874142607</v>
      </c>
      <c r="BN77" s="120">
        <v>159531.06440274004</v>
      </c>
      <c r="BO77" s="120">
        <v>-295585.7815927401</v>
      </c>
      <c r="BP77" s="120">
        <v>-308092.2659</v>
      </c>
      <c r="BQ77" s="120">
        <v>-20.966130740000001</v>
      </c>
      <c r="BR77" s="120">
        <v>-394228.89515679999</v>
      </c>
      <c r="BS77" s="120">
        <v>0</v>
      </c>
      <c r="BT77" s="120">
        <v>-423891.40592988755</v>
      </c>
      <c r="BU77" s="120">
        <v>-335525.80576325813</v>
      </c>
      <c r="BV77" s="120">
        <v>0</v>
      </c>
      <c r="BW77" s="120">
        <v>-26370159.164379954</v>
      </c>
      <c r="BX77" s="120">
        <v>142892412.86866313</v>
      </c>
      <c r="BY77" s="120">
        <v>11331219.433740547</v>
      </c>
      <c r="BZ77" s="120">
        <v>0</v>
      </c>
      <c r="CA77" s="120">
        <v>0</v>
      </c>
      <c r="CB77" s="120">
        <v>252779.03881400137</v>
      </c>
      <c r="CC77" s="120">
        <v>1849639.0504073494</v>
      </c>
      <c r="CD77" s="120">
        <v>0</v>
      </c>
      <c r="CE77" s="120">
        <v>0</v>
      </c>
      <c r="CF77" s="120">
        <v>0</v>
      </c>
      <c r="CG77" s="120">
        <v>0</v>
      </c>
      <c r="CH77" s="120">
        <v>0</v>
      </c>
      <c r="CI77" s="120">
        <v>-33965.106110777218</v>
      </c>
      <c r="CJ77" s="120">
        <v>0</v>
      </c>
      <c r="CK77" s="120">
        <v>0</v>
      </c>
      <c r="CL77" s="120">
        <v>0</v>
      </c>
      <c r="CM77" s="120">
        <v>0</v>
      </c>
      <c r="CN77" s="120">
        <v>0</v>
      </c>
      <c r="CO77" s="120">
        <v>0</v>
      </c>
      <c r="CP77" s="120">
        <v>0</v>
      </c>
      <c r="CQ77" s="120">
        <v>0</v>
      </c>
      <c r="CR77" s="120">
        <v>0</v>
      </c>
      <c r="CS77" s="120">
        <v>0</v>
      </c>
      <c r="CT77" s="120">
        <v>0</v>
      </c>
      <c r="CU77" s="120">
        <v>0</v>
      </c>
      <c r="CV77" s="120">
        <v>0</v>
      </c>
      <c r="CW77" s="120">
        <v>0</v>
      </c>
      <c r="CX77" s="120">
        <v>0</v>
      </c>
      <c r="CY77" s="120">
        <v>0</v>
      </c>
      <c r="CZ77" s="120">
        <v>0</v>
      </c>
      <c r="DA77" s="120">
        <v>7788660.0135981999</v>
      </c>
      <c r="DB77" s="120">
        <v>1041616.8013943374</v>
      </c>
      <c r="DC77" s="120">
        <v>-4029894.3225494004</v>
      </c>
      <c r="DD77" s="120">
        <v>-2050409.4104999998</v>
      </c>
      <c r="DE77" s="120">
        <v>-4598552.1104892604</v>
      </c>
      <c r="DF77" s="120">
        <v>-2804606.9670917802</v>
      </c>
      <c r="DG77" s="120">
        <v>0</v>
      </c>
      <c r="DH77" s="120">
        <v>0</v>
      </c>
      <c r="DI77" s="120">
        <v>1</v>
      </c>
      <c r="DJ77" s="120">
        <v>0</v>
      </c>
      <c r="DK77" s="120">
        <v>8746486.4212132152</v>
      </c>
      <c r="DL77" s="120">
        <v>151638899.28987628</v>
      </c>
      <c r="DM77" s="120">
        <v>2402259.5491298623</v>
      </c>
      <c r="DN77" s="120">
        <v>0</v>
      </c>
      <c r="DO77" s="120">
        <v>0</v>
      </c>
      <c r="DP77" s="120">
        <v>1441248.0251239983</v>
      </c>
      <c r="DQ77" s="120">
        <v>-190003.80148794292</v>
      </c>
      <c r="DR77" s="120">
        <v>0</v>
      </c>
      <c r="DS77" s="120">
        <v>0</v>
      </c>
      <c r="DT77" s="120">
        <v>0</v>
      </c>
      <c r="DU77" s="120">
        <v>0</v>
      </c>
      <c r="DV77" s="120">
        <v>0</v>
      </c>
      <c r="DW77" s="120">
        <v>-170818.57543166098</v>
      </c>
      <c r="DX77" s="120">
        <v>0</v>
      </c>
      <c r="DY77" s="120">
        <v>0</v>
      </c>
      <c r="DZ77" s="120">
        <v>0</v>
      </c>
      <c r="EA77" s="120">
        <v>-1507463.1769666667</v>
      </c>
      <c r="EB77" s="120">
        <v>0</v>
      </c>
      <c r="EC77" s="120">
        <v>0</v>
      </c>
      <c r="ED77" s="120">
        <v>0</v>
      </c>
      <c r="EE77" s="120">
        <v>0</v>
      </c>
      <c r="EF77" s="120">
        <v>0</v>
      </c>
      <c r="EG77" s="120">
        <v>0</v>
      </c>
      <c r="EH77" s="120">
        <v>-28583950.02399075</v>
      </c>
      <c r="EI77" s="120">
        <v>-122295.68415809781</v>
      </c>
      <c r="EJ77" s="120">
        <v>-2764843.9047150896</v>
      </c>
      <c r="EK77" s="120">
        <v>-3687248.1967909653</v>
      </c>
      <c r="EL77" s="120">
        <v>-518678.73011322715</v>
      </c>
      <c r="EM77" s="120">
        <v>-249888.27411794034</v>
      </c>
      <c r="EN77" s="120">
        <v>0</v>
      </c>
      <c r="EO77" s="120">
        <v>-6449140.1849529129</v>
      </c>
      <c r="EP77" s="120">
        <v>1144017.0830004611</v>
      </c>
      <c r="EQ77" s="120">
        <v>-5589003.6045694984</v>
      </c>
      <c r="ER77" s="120">
        <v>-2861973.021399999</v>
      </c>
      <c r="ES77" s="120">
        <v>544031.09840000002</v>
      </c>
      <c r="ET77" s="120">
        <v>-3755119.1824351605</v>
      </c>
      <c r="EU77" s="120">
        <v>-1658740.3896547803</v>
      </c>
      <c r="EV77" s="120">
        <v>1152993.689038258</v>
      </c>
      <c r="EW77" s="120">
        <v>1</v>
      </c>
      <c r="EX77" s="120">
        <v>0</v>
      </c>
      <c r="EY77" s="120">
        <v>-6106358.8464405183</v>
      </c>
      <c r="EZ77" s="120">
        <v>-57530976.152532622</v>
      </c>
      <c r="FA77" s="120">
        <v>94107923.137343764</v>
      </c>
      <c r="FB77" s="120">
        <v>3086005.6546553429</v>
      </c>
      <c r="FC77" s="120">
        <v>0</v>
      </c>
      <c r="FD77" s="120">
        <v>0</v>
      </c>
      <c r="FE77" s="120">
        <v>527842.51771800278</v>
      </c>
      <c r="FF77" s="120">
        <v>904672.36444030167</v>
      </c>
      <c r="FG77" s="120">
        <v>0</v>
      </c>
      <c r="FH77" s="120">
        <v>0</v>
      </c>
      <c r="FI77" s="120">
        <v>0</v>
      </c>
      <c r="FJ77" s="120">
        <v>0</v>
      </c>
      <c r="FK77" s="120">
        <v>0</v>
      </c>
      <c r="FL77" s="120">
        <v>-524529.6720035621</v>
      </c>
      <c r="FM77" s="120">
        <v>0</v>
      </c>
      <c r="FN77" s="120">
        <v>0</v>
      </c>
      <c r="FO77" s="120">
        <v>0</v>
      </c>
      <c r="FP77" s="120">
        <v>0</v>
      </c>
      <c r="FQ77" s="120">
        <v>0</v>
      </c>
      <c r="FR77" s="120">
        <v>0</v>
      </c>
      <c r="FS77" s="120">
        <v>0</v>
      </c>
      <c r="FT77" s="120">
        <v>0</v>
      </c>
      <c r="FU77" s="120">
        <v>0</v>
      </c>
      <c r="FV77" s="120">
        <v>0</v>
      </c>
      <c r="FW77" s="120">
        <v>-4393717.742931297</v>
      </c>
      <c r="FX77" s="120">
        <v>-1345252.5257390761</v>
      </c>
      <c r="FY77" s="120">
        <v>0</v>
      </c>
      <c r="FZ77" s="120">
        <v>0</v>
      </c>
      <c r="GA77" s="120">
        <v>0</v>
      </c>
      <c r="GB77" s="120">
        <v>0</v>
      </c>
      <c r="GC77" s="120">
        <v>0</v>
      </c>
      <c r="GD77" s="120">
        <v>6419401.374896952</v>
      </c>
      <c r="GE77" s="120">
        <v>470086.55034856161</v>
      </c>
      <c r="GF77" s="120">
        <v>-9989512.6856092587</v>
      </c>
      <c r="GG77" s="120">
        <v>-2039439.5574000152</v>
      </c>
      <c r="GH77" s="120">
        <v>-160444.97844180002</v>
      </c>
      <c r="GI77" s="120">
        <v>-4874604.5002844194</v>
      </c>
      <c r="GJ77" s="120">
        <v>0</v>
      </c>
      <c r="GK77" s="120">
        <v>3458981.0671147741</v>
      </c>
      <c r="GL77" s="120">
        <v>1</v>
      </c>
      <c r="GM77" s="120">
        <v>0</v>
      </c>
      <c r="GN77" s="120">
        <v>0</v>
      </c>
      <c r="GO77" s="120">
        <v>-8460512.1332354881</v>
      </c>
      <c r="GP77" s="120">
        <v>85647411.004108191</v>
      </c>
      <c r="GQ77" s="120">
        <v>644762.49332177895</v>
      </c>
      <c r="GR77" s="120">
        <v>0</v>
      </c>
      <c r="GS77" s="120">
        <v>0</v>
      </c>
      <c r="GT77" s="120">
        <v>695730.51745199854</v>
      </c>
      <c r="GU77" s="120">
        <v>500745.82573861192</v>
      </c>
      <c r="GV77" s="120">
        <v>0</v>
      </c>
      <c r="GW77" s="120">
        <v>0</v>
      </c>
      <c r="GX77" s="120">
        <v>0</v>
      </c>
      <c r="GY77" s="120">
        <v>0</v>
      </c>
      <c r="GZ77" s="120">
        <v>0</v>
      </c>
      <c r="HA77" s="120">
        <v>-792189.97162490746</v>
      </c>
      <c r="HB77" s="120">
        <v>0</v>
      </c>
      <c r="HC77" s="120">
        <v>0</v>
      </c>
      <c r="HD77" s="120">
        <v>0</v>
      </c>
      <c r="HE77" s="120">
        <v>0</v>
      </c>
      <c r="HF77" s="120">
        <v>0</v>
      </c>
      <c r="HG77" s="120">
        <v>0</v>
      </c>
      <c r="HH77" s="120">
        <v>0</v>
      </c>
      <c r="HI77" s="120">
        <v>0</v>
      </c>
      <c r="HJ77" s="120">
        <v>0</v>
      </c>
      <c r="HK77" s="120">
        <v>0</v>
      </c>
      <c r="HL77" s="120">
        <v>-3867024.4508332675</v>
      </c>
      <c r="HM77" s="120">
        <v>0</v>
      </c>
      <c r="HN77" s="120">
        <v>0</v>
      </c>
      <c r="HO77" s="120">
        <v>0</v>
      </c>
      <c r="HP77" s="120">
        <v>2587614.9562998684</v>
      </c>
      <c r="HQ77" s="120">
        <v>249888.27411794034</v>
      </c>
      <c r="HR77" s="120">
        <v>0</v>
      </c>
      <c r="HS77" s="120">
        <v>2418271.6000985508</v>
      </c>
      <c r="HT77" s="120">
        <v>353204.68364855938</v>
      </c>
      <c r="HU77" s="120">
        <v>-6217907.733156031</v>
      </c>
      <c r="HV77" s="120">
        <v>-1837510.9991000185</v>
      </c>
      <c r="HW77" s="120">
        <v>-1051203.5738396</v>
      </c>
      <c r="HX77" s="120">
        <v>-2693657.2300185445</v>
      </c>
      <c r="HY77" s="120">
        <v>0</v>
      </c>
      <c r="HZ77" s="120">
        <v>0</v>
      </c>
      <c r="IA77" s="120">
        <v>0</v>
      </c>
      <c r="IB77" s="120">
        <v>0</v>
      </c>
      <c r="IC77" s="120">
        <v>0</v>
      </c>
      <c r="ID77" s="120">
        <v>-9009275.6078950595</v>
      </c>
      <c r="IE77" s="120">
        <v>76638135.396213055</v>
      </c>
      <c r="IF77" s="47" t="s">
        <v>34</v>
      </c>
    </row>
    <row r="78" spans="1:240" customFormat="1" ht="14.5" x14ac:dyDescent="0.35">
      <c r="B78" s="121" t="s">
        <v>118</v>
      </c>
      <c r="C78" s="122">
        <v>2470296822.411552</v>
      </c>
      <c r="D78" s="122">
        <v>0</v>
      </c>
      <c r="E78" s="122">
        <v>0</v>
      </c>
      <c r="F78" s="122">
        <v>0</v>
      </c>
      <c r="G78" s="122">
        <v>0</v>
      </c>
      <c r="H78" s="122">
        <v>0</v>
      </c>
      <c r="I78" s="122">
        <v>0</v>
      </c>
      <c r="J78" s="122">
        <v>0</v>
      </c>
      <c r="K78" s="122">
        <v>0</v>
      </c>
      <c r="L78" s="122">
        <v>0</v>
      </c>
      <c r="M78" s="122">
        <v>0</v>
      </c>
      <c r="N78" s="122">
        <v>0</v>
      </c>
      <c r="O78" s="122">
        <v>0</v>
      </c>
      <c r="P78" s="122">
        <v>0</v>
      </c>
      <c r="Q78" s="122">
        <v>0</v>
      </c>
      <c r="R78" s="122">
        <v>0</v>
      </c>
      <c r="S78" s="122">
        <v>0</v>
      </c>
      <c r="T78" s="122">
        <v>0</v>
      </c>
      <c r="U78" s="122">
        <v>0</v>
      </c>
      <c r="V78" s="122">
        <v>67075380.91394949</v>
      </c>
      <c r="W78" s="122">
        <v>210100.48828822773</v>
      </c>
      <c r="X78" s="122">
        <v>0</v>
      </c>
      <c r="Y78" s="122">
        <v>0</v>
      </c>
      <c r="Z78" s="122">
        <v>0</v>
      </c>
      <c r="AA78" s="122">
        <v>-65577643.509571999</v>
      </c>
      <c r="AB78" s="122">
        <v>0</v>
      </c>
      <c r="AC78" s="122">
        <v>0</v>
      </c>
      <c r="AD78" s="122">
        <v>0</v>
      </c>
      <c r="AE78" s="122">
        <v>0</v>
      </c>
      <c r="AF78" s="122">
        <v>-23770011.81658344</v>
      </c>
      <c r="AG78" s="122">
        <v>0</v>
      </c>
      <c r="AH78" s="122">
        <v>0</v>
      </c>
      <c r="AI78" s="122">
        <v>-22062173.923917718</v>
      </c>
      <c r="AJ78" s="122">
        <v>2448234648.4876337</v>
      </c>
      <c r="AK78" s="122">
        <v>0</v>
      </c>
      <c r="AL78" s="122">
        <v>0</v>
      </c>
      <c r="AM78" s="122">
        <v>0</v>
      </c>
      <c r="AN78" s="122">
        <v>4356717.7706340253</v>
      </c>
      <c r="AO78" s="122">
        <v>0</v>
      </c>
      <c r="AP78" s="122">
        <v>0</v>
      </c>
      <c r="AQ78" s="122">
        <v>0</v>
      </c>
      <c r="AR78" s="122">
        <v>0</v>
      </c>
      <c r="AS78" s="122">
        <v>0</v>
      </c>
      <c r="AT78" s="122">
        <v>0</v>
      </c>
      <c r="AU78" s="122">
        <v>0</v>
      </c>
      <c r="AV78" s="122">
        <v>0</v>
      </c>
      <c r="AW78" s="122">
        <v>0</v>
      </c>
      <c r="AX78" s="122">
        <v>0</v>
      </c>
      <c r="AY78" s="122">
        <v>0</v>
      </c>
      <c r="AZ78" s="122">
        <v>0</v>
      </c>
      <c r="BA78" s="122">
        <v>0</v>
      </c>
      <c r="BB78" s="122">
        <v>0</v>
      </c>
      <c r="BC78" s="122">
        <v>0</v>
      </c>
      <c r="BD78" s="122">
        <v>0</v>
      </c>
      <c r="BE78" s="122">
        <v>0</v>
      </c>
      <c r="BF78" s="122">
        <v>0</v>
      </c>
      <c r="BG78" s="122">
        <v>0</v>
      </c>
      <c r="BH78" s="122">
        <v>65577643.509571999</v>
      </c>
      <c r="BI78" s="122">
        <v>3230272.3808734193</v>
      </c>
      <c r="BJ78" s="122">
        <v>0</v>
      </c>
      <c r="BK78" s="122">
        <v>16325.156433949582</v>
      </c>
      <c r="BL78" s="122">
        <v>0</v>
      </c>
      <c r="BM78" s="122">
        <v>-94088202.46430099</v>
      </c>
      <c r="BN78" s="122">
        <v>201938.05620600007</v>
      </c>
      <c r="BO78" s="122">
        <v>44675564.118710004</v>
      </c>
      <c r="BP78" s="122">
        <v>55278785.519999988</v>
      </c>
      <c r="BQ78" s="122">
        <v>2597.4953720000003</v>
      </c>
      <c r="BR78" s="122">
        <v>22124980.888264</v>
      </c>
      <c r="BS78" s="122">
        <v>0</v>
      </c>
      <c r="BT78" s="122">
        <v>23770011.81658344</v>
      </c>
      <c r="BU78" s="122">
        <v>-1852729.8615047848</v>
      </c>
      <c r="BV78" s="122">
        <v>0</v>
      </c>
      <c r="BW78" s="122">
        <v>123293904.38684309</v>
      </c>
      <c r="BX78" s="122">
        <v>2571528552.8744764</v>
      </c>
      <c r="BY78" s="122">
        <v>0</v>
      </c>
      <c r="BZ78" s="122">
        <v>0</v>
      </c>
      <c r="CA78" s="122">
        <v>0</v>
      </c>
      <c r="CB78" s="122">
        <v>5370042.7846080065</v>
      </c>
      <c r="CC78" s="122">
        <v>0</v>
      </c>
      <c r="CD78" s="122">
        <v>0</v>
      </c>
      <c r="CE78" s="122">
        <v>0</v>
      </c>
      <c r="CF78" s="122">
        <v>0</v>
      </c>
      <c r="CG78" s="122">
        <v>0</v>
      </c>
      <c r="CH78" s="122">
        <v>0</v>
      </c>
      <c r="CI78" s="122">
        <v>0</v>
      </c>
      <c r="CJ78" s="122">
        <v>0</v>
      </c>
      <c r="CK78" s="122">
        <v>0</v>
      </c>
      <c r="CL78" s="122">
        <v>0</v>
      </c>
      <c r="CM78" s="122">
        <v>0</v>
      </c>
      <c r="CN78" s="122">
        <v>0</v>
      </c>
      <c r="CO78" s="122">
        <v>0</v>
      </c>
      <c r="CP78" s="122">
        <v>0</v>
      </c>
      <c r="CQ78" s="122">
        <v>0</v>
      </c>
      <c r="CR78" s="122">
        <v>0</v>
      </c>
      <c r="CS78" s="122">
        <v>0</v>
      </c>
      <c r="CT78" s="122">
        <v>0</v>
      </c>
      <c r="CU78" s="122">
        <v>0</v>
      </c>
      <c r="CV78" s="122">
        <v>0</v>
      </c>
      <c r="CW78" s="122">
        <v>3492135.9671265553</v>
      </c>
      <c r="CX78" s="122">
        <v>0</v>
      </c>
      <c r="CY78" s="122">
        <v>8162.5782169746817</v>
      </c>
      <c r="CZ78" s="122">
        <v>0</v>
      </c>
      <c r="DA78" s="122">
        <v>-165330440.38527286</v>
      </c>
      <c r="DB78" s="122">
        <v>1520440.3364520001</v>
      </c>
      <c r="DC78" s="122">
        <v>116745699.78503998</v>
      </c>
      <c r="DD78" s="122">
        <v>116033821.57000001</v>
      </c>
      <c r="DE78" s="122">
        <v>235469249.98153597</v>
      </c>
      <c r="DF78" s="122">
        <v>26473745.684250008</v>
      </c>
      <c r="DG78" s="122">
        <v>0</v>
      </c>
      <c r="DH78" s="122">
        <v>-3607094.8691412816</v>
      </c>
      <c r="DI78" s="122">
        <v>-3607093.8691412802</v>
      </c>
      <c r="DJ78" s="122">
        <v>0</v>
      </c>
      <c r="DK78" s="122">
        <v>336175763.43281525</v>
      </c>
      <c r="DL78" s="122">
        <v>2907704316.307291</v>
      </c>
      <c r="DM78" s="122">
        <v>0</v>
      </c>
      <c r="DN78" s="122">
        <v>0</v>
      </c>
      <c r="DO78" s="122">
        <v>0</v>
      </c>
      <c r="DP78" s="122">
        <v>3098447.5482264757</v>
      </c>
      <c r="DQ78" s="122">
        <v>0</v>
      </c>
      <c r="DR78" s="122">
        <v>0</v>
      </c>
      <c r="DS78" s="122">
        <v>0</v>
      </c>
      <c r="DT78" s="122">
        <v>0</v>
      </c>
      <c r="DU78" s="122">
        <v>0</v>
      </c>
      <c r="DV78" s="122">
        <v>0</v>
      </c>
      <c r="DW78" s="122">
        <v>0</v>
      </c>
      <c r="DX78" s="122">
        <v>0</v>
      </c>
      <c r="DY78" s="122">
        <v>0</v>
      </c>
      <c r="DZ78" s="122">
        <v>0</v>
      </c>
      <c r="EA78" s="122">
        <v>0</v>
      </c>
      <c r="EB78" s="122">
        <v>0</v>
      </c>
      <c r="EC78" s="122">
        <v>0</v>
      </c>
      <c r="ED78" s="122">
        <v>0</v>
      </c>
      <c r="EE78" s="122">
        <v>0</v>
      </c>
      <c r="EF78" s="122">
        <v>0</v>
      </c>
      <c r="EG78" s="122">
        <v>0</v>
      </c>
      <c r="EH78" s="122">
        <v>0</v>
      </c>
      <c r="EI78" s="122">
        <v>1101188.86890066</v>
      </c>
      <c r="EJ78" s="122">
        <v>0</v>
      </c>
      <c r="EK78" s="122">
        <v>-15203.916388063459</v>
      </c>
      <c r="EL78" s="122">
        <v>0</v>
      </c>
      <c r="EM78" s="122">
        <v>-124944.13705897008</v>
      </c>
      <c r="EN78" s="122">
        <v>0</v>
      </c>
      <c r="EO78" s="122">
        <v>-84598856.734545469</v>
      </c>
      <c r="EP78" s="122">
        <v>1405861.9709619989</v>
      </c>
      <c r="EQ78" s="122">
        <v>69476611.107350022</v>
      </c>
      <c r="ER78" s="122">
        <v>47073500.800000012</v>
      </c>
      <c r="ES78" s="122">
        <v>-2672892.9216160001</v>
      </c>
      <c r="ET78" s="122">
        <v>14495451.993672004</v>
      </c>
      <c r="EU78" s="122">
        <v>1059724.5648247197</v>
      </c>
      <c r="EV78" s="122">
        <v>-1675068.8795508225</v>
      </c>
      <c r="EW78" s="122">
        <v>-3607093.8691412802</v>
      </c>
      <c r="EX78" s="122">
        <v>0</v>
      </c>
      <c r="EY78" s="122">
        <v>7336157.9226403516</v>
      </c>
      <c r="EZ78" s="122">
        <v>55959978.187416926</v>
      </c>
      <c r="FA78" s="122">
        <v>2963664294.4947081</v>
      </c>
      <c r="FB78" s="122">
        <v>0</v>
      </c>
      <c r="FC78" s="122">
        <v>0</v>
      </c>
      <c r="FD78" s="122">
        <v>0</v>
      </c>
      <c r="FE78" s="122">
        <v>6797605.0150674582</v>
      </c>
      <c r="FF78" s="122">
        <v>0</v>
      </c>
      <c r="FG78" s="122">
        <v>0</v>
      </c>
      <c r="FH78" s="122">
        <v>0</v>
      </c>
      <c r="FI78" s="122">
        <v>0</v>
      </c>
      <c r="FJ78" s="122">
        <v>0</v>
      </c>
      <c r="FK78" s="122">
        <v>0</v>
      </c>
      <c r="FL78" s="122">
        <v>0</v>
      </c>
      <c r="FM78" s="122">
        <v>0</v>
      </c>
      <c r="FN78" s="122">
        <v>0</v>
      </c>
      <c r="FO78" s="122">
        <v>0</v>
      </c>
      <c r="FP78" s="122">
        <v>0</v>
      </c>
      <c r="FQ78" s="122">
        <v>0</v>
      </c>
      <c r="FR78" s="122">
        <v>0</v>
      </c>
      <c r="FS78" s="122">
        <v>0</v>
      </c>
      <c r="FT78" s="122">
        <v>0</v>
      </c>
      <c r="FU78" s="122">
        <v>0</v>
      </c>
      <c r="FV78" s="122">
        <v>0</v>
      </c>
      <c r="FW78" s="122">
        <v>0</v>
      </c>
      <c r="FX78" s="122">
        <v>-10011818.034171246</v>
      </c>
      <c r="FY78" s="122">
        <v>0</v>
      </c>
      <c r="FZ78" s="122">
        <v>-3527374.5424600434</v>
      </c>
      <c r="GA78" s="122">
        <v>0</v>
      </c>
      <c r="GB78" s="122">
        <v>-249888.27411794057</v>
      </c>
      <c r="GC78" s="122">
        <v>0</v>
      </c>
      <c r="GD78" s="122">
        <v>-159209516.20228195</v>
      </c>
      <c r="GE78" s="122">
        <v>3310956.6510520019</v>
      </c>
      <c r="GF78" s="122">
        <v>217591260.62328604</v>
      </c>
      <c r="GG78" s="122">
        <v>84769335.090000004</v>
      </c>
      <c r="GH78" s="122">
        <v>-3427353.7037280039</v>
      </c>
      <c r="GI78" s="122">
        <v>37191156.254355997</v>
      </c>
      <c r="GJ78" s="122">
        <v>-423889.82592988736</v>
      </c>
      <c r="GK78" s="122">
        <v>-1109560.2062269687</v>
      </c>
      <c r="GL78" s="122">
        <v>-3607093.8691412802</v>
      </c>
      <c r="GM78" s="122">
        <v>0</v>
      </c>
      <c r="GN78" s="122">
        <v>-2096045.1207543868</v>
      </c>
      <c r="GO78" s="122">
        <v>169604867.72409105</v>
      </c>
      <c r="GP78" s="122">
        <v>3133269162.2187996</v>
      </c>
      <c r="GQ78" s="122">
        <v>0</v>
      </c>
      <c r="GR78" s="122">
        <v>0</v>
      </c>
      <c r="GS78" s="122">
        <v>0</v>
      </c>
      <c r="GT78" s="122">
        <v>7261899.4397121966</v>
      </c>
      <c r="GU78" s="122">
        <v>0</v>
      </c>
      <c r="GV78" s="122">
        <v>0</v>
      </c>
      <c r="GW78" s="122">
        <v>0</v>
      </c>
      <c r="GX78" s="122">
        <v>0</v>
      </c>
      <c r="GY78" s="122">
        <v>0</v>
      </c>
      <c r="GZ78" s="122">
        <v>0</v>
      </c>
      <c r="HA78" s="122">
        <v>0</v>
      </c>
      <c r="HB78" s="122">
        <v>0</v>
      </c>
      <c r="HC78" s="122">
        <v>0</v>
      </c>
      <c r="HD78" s="122">
        <v>0</v>
      </c>
      <c r="HE78" s="122">
        <v>0</v>
      </c>
      <c r="HF78" s="122">
        <v>0</v>
      </c>
      <c r="HG78" s="122">
        <v>0</v>
      </c>
      <c r="HH78" s="122">
        <v>0</v>
      </c>
      <c r="HI78" s="122">
        <v>0</v>
      </c>
      <c r="HJ78" s="122">
        <v>0</v>
      </c>
      <c r="HK78" s="122">
        <v>0</v>
      </c>
      <c r="HL78" s="122">
        <v>0</v>
      </c>
      <c r="HM78" s="122">
        <v>-1467548.2098971759</v>
      </c>
      <c r="HN78" s="122">
        <v>0</v>
      </c>
      <c r="HO78" s="122">
        <v>-3527374.5424600434</v>
      </c>
      <c r="HP78" s="122">
        <v>0</v>
      </c>
      <c r="HQ78" s="122">
        <v>-124944.1370589709</v>
      </c>
      <c r="HR78" s="122">
        <v>0</v>
      </c>
      <c r="HS78" s="122">
        <v>-151371216.49016714</v>
      </c>
      <c r="HT78" s="122">
        <v>3787156.7907220004</v>
      </c>
      <c r="HU78" s="122">
        <v>135474933.4399679</v>
      </c>
      <c r="HV78" s="122">
        <v>72306559.649999961</v>
      </c>
      <c r="HW78" s="122">
        <v>11119859.832856031</v>
      </c>
      <c r="HX78" s="122">
        <v>22938716.735553999</v>
      </c>
      <c r="HY78" s="122">
        <v>-423889.82592988771</v>
      </c>
      <c r="HZ78" s="122">
        <v>0</v>
      </c>
      <c r="IA78" s="122">
        <v>0</v>
      </c>
      <c r="IB78" s="122">
        <v>0</v>
      </c>
      <c r="IC78" s="122">
        <v>-2096045.1207543851</v>
      </c>
      <c r="ID78" s="122">
        <v>93878107.562544525</v>
      </c>
      <c r="IE78" s="122">
        <v>3227147269.7813435</v>
      </c>
      <c r="IF78" s="47" t="s">
        <v>34</v>
      </c>
    </row>
    <row r="79" spans="1:240" customFormat="1" ht="14.5" x14ac:dyDescent="0.35">
      <c r="B79" s="117" t="s">
        <v>119</v>
      </c>
      <c r="C79" s="118"/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8"/>
      <c r="BR79" s="118"/>
      <c r="BS79" s="118"/>
      <c r="BT79" s="118"/>
      <c r="BU79" s="118"/>
      <c r="BV79" s="118"/>
      <c r="BW79" s="118"/>
      <c r="BX79" s="118"/>
      <c r="BY79" s="118"/>
      <c r="BZ79" s="118"/>
      <c r="CA79" s="118"/>
      <c r="CB79" s="118"/>
      <c r="CC79" s="118"/>
      <c r="CD79" s="118"/>
      <c r="CE79" s="118"/>
      <c r="CF79" s="118"/>
      <c r="CG79" s="118"/>
      <c r="CH79" s="118"/>
      <c r="CI79" s="118"/>
      <c r="CJ79" s="118"/>
      <c r="CK79" s="118"/>
      <c r="CL79" s="118"/>
      <c r="CM79" s="118"/>
      <c r="CN79" s="118"/>
      <c r="CO79" s="118"/>
      <c r="CP79" s="118"/>
      <c r="CQ79" s="118"/>
      <c r="CR79" s="118"/>
      <c r="CS79" s="118"/>
      <c r="CT79" s="118"/>
      <c r="CU79" s="118"/>
      <c r="CV79" s="118"/>
      <c r="CW79" s="118"/>
      <c r="CX79" s="118"/>
      <c r="CY79" s="118"/>
      <c r="CZ79" s="118"/>
      <c r="DA79" s="118"/>
      <c r="DB79" s="118"/>
      <c r="DC79" s="118"/>
      <c r="DD79" s="118"/>
      <c r="DE79" s="118"/>
      <c r="DF79" s="118"/>
      <c r="DG79" s="118"/>
      <c r="DH79" s="118"/>
      <c r="DI79" s="118"/>
      <c r="DJ79" s="118"/>
      <c r="DK79" s="118"/>
      <c r="DL79" s="118"/>
      <c r="DM79" s="118"/>
      <c r="DN79" s="118"/>
      <c r="DO79" s="118"/>
      <c r="DP79" s="118"/>
      <c r="DQ79" s="118"/>
      <c r="DR79" s="118"/>
      <c r="DS79" s="118"/>
      <c r="DT79" s="118"/>
      <c r="DU79" s="118"/>
      <c r="DV79" s="118"/>
      <c r="DW79" s="118"/>
      <c r="DX79" s="118"/>
      <c r="DY79" s="118"/>
      <c r="DZ79" s="118"/>
      <c r="EA79" s="118"/>
      <c r="EB79" s="118"/>
      <c r="EC79" s="118"/>
      <c r="ED79" s="118"/>
      <c r="EE79" s="118"/>
      <c r="EF79" s="118"/>
      <c r="EG79" s="118"/>
      <c r="EH79" s="118"/>
      <c r="EI79" s="118"/>
      <c r="EJ79" s="118"/>
      <c r="EK79" s="118"/>
      <c r="EL79" s="118"/>
      <c r="EM79" s="118"/>
      <c r="EN79" s="118"/>
      <c r="EO79" s="118"/>
      <c r="EP79" s="118"/>
      <c r="EQ79" s="118"/>
      <c r="ER79" s="118"/>
      <c r="ES79" s="118"/>
      <c r="ET79" s="118"/>
      <c r="EU79" s="118"/>
      <c r="EV79" s="118"/>
      <c r="EW79" s="118"/>
      <c r="EX79" s="118"/>
      <c r="EY79" s="118"/>
      <c r="EZ79" s="118"/>
      <c r="FA79" s="118"/>
      <c r="FB79" s="118"/>
      <c r="FC79" s="118"/>
      <c r="FD79" s="118"/>
      <c r="FE79" s="118"/>
      <c r="FF79" s="118"/>
      <c r="FG79" s="118"/>
      <c r="FH79" s="118"/>
      <c r="FI79" s="118"/>
      <c r="FJ79" s="118"/>
      <c r="FK79" s="118"/>
      <c r="FL79" s="118"/>
      <c r="FM79" s="118"/>
      <c r="FN79" s="118"/>
      <c r="FO79" s="118"/>
      <c r="FP79" s="118"/>
      <c r="FQ79" s="118"/>
      <c r="FR79" s="118"/>
      <c r="FS79" s="118"/>
      <c r="FT79" s="118"/>
      <c r="FU79" s="118"/>
      <c r="FV79" s="118"/>
      <c r="FW79" s="118"/>
      <c r="FX79" s="118"/>
      <c r="FY79" s="118"/>
      <c r="FZ79" s="118"/>
      <c r="GA79" s="118"/>
      <c r="GB79" s="118"/>
      <c r="GC79" s="118"/>
      <c r="GD79" s="118"/>
      <c r="GE79" s="118"/>
      <c r="GF79" s="118"/>
      <c r="GG79" s="118"/>
      <c r="GH79" s="118"/>
      <c r="GI79" s="118"/>
      <c r="GJ79" s="118"/>
      <c r="GK79" s="118"/>
      <c r="GL79" s="118"/>
      <c r="GM79" s="118"/>
      <c r="GN79" s="118"/>
      <c r="GO79" s="118"/>
      <c r="GP79" s="118"/>
      <c r="GQ79" s="118"/>
      <c r="GR79" s="118"/>
      <c r="GS79" s="118"/>
      <c r="GT79" s="118"/>
      <c r="GU79" s="118"/>
      <c r="GV79" s="118"/>
      <c r="GW79" s="118"/>
      <c r="GX79" s="118"/>
      <c r="GY79" s="118"/>
      <c r="GZ79" s="118"/>
      <c r="HA79" s="118"/>
      <c r="HB79" s="118"/>
      <c r="HC79" s="118"/>
      <c r="HD79" s="118"/>
      <c r="HE79" s="118"/>
      <c r="HF79" s="118"/>
      <c r="HG79" s="118"/>
      <c r="HH79" s="118"/>
      <c r="HI79" s="118"/>
      <c r="HJ79" s="118"/>
      <c r="HK79" s="118"/>
      <c r="HL79" s="118"/>
      <c r="HM79" s="118"/>
      <c r="HN79" s="118"/>
      <c r="HO79" s="118"/>
      <c r="HP79" s="118"/>
      <c r="HQ79" s="118"/>
      <c r="HR79" s="118"/>
      <c r="HS79" s="118"/>
      <c r="HT79" s="118"/>
      <c r="HU79" s="118"/>
      <c r="HV79" s="118"/>
      <c r="HW79" s="118"/>
      <c r="HX79" s="118"/>
      <c r="HY79" s="118"/>
      <c r="HZ79" s="118"/>
      <c r="IA79" s="118"/>
      <c r="IB79" s="118"/>
      <c r="IC79" s="118"/>
      <c r="ID79" s="118"/>
      <c r="IE79" s="118"/>
      <c r="IF79" s="47" t="s">
        <v>34</v>
      </c>
    </row>
    <row r="80" spans="1:240" customFormat="1" ht="14.5" x14ac:dyDescent="0.35">
      <c r="B80" s="123" t="s">
        <v>117</v>
      </c>
      <c r="C80" s="124">
        <f>+C44</f>
        <v>148876035.75999987</v>
      </c>
      <c r="D80" s="124">
        <f t="shared" ref="D80:BO80" si="115">+D44</f>
        <v>4268094.9130006935</v>
      </c>
      <c r="E80" s="124">
        <f t="shared" si="115"/>
        <v>-611838.08835041523</v>
      </c>
      <c r="F80" s="124">
        <f t="shared" si="115"/>
        <v>36564.135962030472</v>
      </c>
      <c r="G80" s="124">
        <f t="shared" si="115"/>
        <v>4083468.6190756047</v>
      </c>
      <c r="H80" s="124">
        <f t="shared" si="115"/>
        <v>13470187.035978962</v>
      </c>
      <c r="I80" s="124">
        <f t="shared" si="115"/>
        <v>332327.22565972776</v>
      </c>
      <c r="J80" s="124">
        <f t="shared" si="115"/>
        <v>-30618.301992259963</v>
      </c>
      <c r="K80" s="124">
        <f t="shared" si="115"/>
        <v>950.77666197940709</v>
      </c>
      <c r="L80" s="124">
        <f t="shared" si="115"/>
        <v>13767.210054030083</v>
      </c>
      <c r="M80" s="124">
        <f t="shared" si="115"/>
        <v>662275.35417178285</v>
      </c>
      <c r="N80" s="124">
        <f t="shared" si="115"/>
        <v>-2217552.9012950091</v>
      </c>
      <c r="O80" s="124">
        <f t="shared" si="115"/>
        <v>-49077.570371584741</v>
      </c>
      <c r="P80" s="124">
        <f t="shared" si="115"/>
        <v>-3870.6276671299306</v>
      </c>
      <c r="Q80" s="124">
        <f t="shared" si="115"/>
        <v>-238403.68133350945</v>
      </c>
      <c r="R80" s="124">
        <f t="shared" si="115"/>
        <v>18053.427599999995</v>
      </c>
      <c r="S80" s="124">
        <f t="shared" si="115"/>
        <v>47549.921461222839</v>
      </c>
      <c r="T80" s="124">
        <f t="shared" si="115"/>
        <v>629811.27671236463</v>
      </c>
      <c r="U80" s="124">
        <f t="shared" si="115"/>
        <v>-939593.36042031588</v>
      </c>
      <c r="V80" s="124">
        <f t="shared" si="115"/>
        <v>0</v>
      </c>
      <c r="W80" s="124">
        <f t="shared" si="115"/>
        <v>210100.48828822756</v>
      </c>
      <c r="X80" s="124">
        <f>+X44</f>
        <v>6486.0668321998955</v>
      </c>
      <c r="Y80" s="124">
        <f t="shared" si="115"/>
        <v>0</v>
      </c>
      <c r="Z80" s="124">
        <f t="shared" si="115"/>
        <v>0</v>
      </c>
      <c r="AA80" s="124">
        <f t="shared" si="115"/>
        <v>0</v>
      </c>
      <c r="AB80" s="124">
        <f t="shared" si="115"/>
        <v>0</v>
      </c>
      <c r="AC80" s="124">
        <f t="shared" si="115"/>
        <v>697854.35301457928</v>
      </c>
      <c r="AD80" s="124">
        <f t="shared" si="115"/>
        <v>0</v>
      </c>
      <c r="AE80" s="124">
        <f t="shared" si="115"/>
        <v>0</v>
      </c>
      <c r="AF80" s="124">
        <f>+AF44</f>
        <v>0</v>
      </c>
      <c r="AG80" s="124">
        <f t="shared" si="115"/>
        <v>0</v>
      </c>
      <c r="AH80" s="124">
        <f t="shared" si="115"/>
        <v>0</v>
      </c>
      <c r="AI80" s="124">
        <f t="shared" si="115"/>
        <v>20386536.273042977</v>
      </c>
      <c r="AJ80" s="124">
        <f t="shared" si="115"/>
        <v>169262572.03304309</v>
      </c>
      <c r="AK80" s="124">
        <f t="shared" si="115"/>
        <v>-29612974.840182617</v>
      </c>
      <c r="AL80" s="124">
        <f t="shared" si="115"/>
        <v>0</v>
      </c>
      <c r="AM80" s="124">
        <f t="shared" si="115"/>
        <v>9813528.8017177954</v>
      </c>
      <c r="AN80" s="124">
        <f t="shared" si="115"/>
        <v>-489534.39253912517</v>
      </c>
      <c r="AO80" s="124">
        <f t="shared" si="115"/>
        <v>549694.16513885884</v>
      </c>
      <c r="AP80" s="124">
        <f t="shared" si="115"/>
        <v>0</v>
      </c>
      <c r="AQ80" s="124">
        <f t="shared" si="115"/>
        <v>0</v>
      </c>
      <c r="AR80" s="124">
        <f t="shared" si="115"/>
        <v>0</v>
      </c>
      <c r="AS80" s="124">
        <f t="shared" si="115"/>
        <v>-35344.100019756894</v>
      </c>
      <c r="AT80" s="124">
        <f t="shared" si="115"/>
        <v>0</v>
      </c>
      <c r="AU80" s="124">
        <f t="shared" si="115"/>
        <v>918682.31335913856</v>
      </c>
      <c r="AV80" s="124">
        <f t="shared" si="115"/>
        <v>0</v>
      </c>
      <c r="AW80" s="124">
        <f t="shared" si="115"/>
        <v>0</v>
      </c>
      <c r="AX80" s="124">
        <f t="shared" si="115"/>
        <v>-445734.37112307164</v>
      </c>
      <c r="AY80" s="124">
        <f t="shared" si="115"/>
        <v>19234.896299999982</v>
      </c>
      <c r="AZ80" s="124">
        <f t="shared" si="115"/>
        <v>0</v>
      </c>
      <c r="BA80" s="124">
        <f t="shared" si="115"/>
        <v>-489300.65499830747</v>
      </c>
      <c r="BB80" s="124">
        <f t="shared" si="115"/>
        <v>0</v>
      </c>
      <c r="BC80" s="124">
        <f t="shared" si="115"/>
        <v>0</v>
      </c>
      <c r="BD80" s="124">
        <f t="shared" si="115"/>
        <v>0</v>
      </c>
      <c r="BE80" s="124">
        <f t="shared" si="115"/>
        <v>0</v>
      </c>
      <c r="BF80" s="124">
        <f t="shared" si="115"/>
        <v>0</v>
      </c>
      <c r="BG80" s="124">
        <f t="shared" si="115"/>
        <v>0</v>
      </c>
      <c r="BH80" s="124">
        <f t="shared" si="115"/>
        <v>-2162576.1780000003</v>
      </c>
      <c r="BI80" s="124">
        <f t="shared" si="115"/>
        <v>-4620848.4321740009</v>
      </c>
      <c r="BJ80" s="124">
        <f t="shared" si="115"/>
        <v>0</v>
      </c>
      <c r="BK80" s="124">
        <f t="shared" si="115"/>
        <v>0</v>
      </c>
      <c r="BL80" s="124">
        <f t="shared" si="115"/>
        <v>0</v>
      </c>
      <c r="BM80" s="124">
        <f t="shared" si="115"/>
        <v>1654158.7874142607</v>
      </c>
      <c r="BN80" s="124">
        <f t="shared" si="115"/>
        <v>159531.06440274004</v>
      </c>
      <c r="BO80" s="124">
        <f t="shared" si="115"/>
        <v>-295585.7815927401</v>
      </c>
      <c r="BP80" s="124">
        <f t="shared" ref="BP80:EE80" si="116">+BP44</f>
        <v>-308092.2659</v>
      </c>
      <c r="BQ80" s="124">
        <f t="shared" si="116"/>
        <v>-20.966130740000001</v>
      </c>
      <c r="BR80" s="124">
        <f t="shared" si="116"/>
        <v>-394228.89515679999</v>
      </c>
      <c r="BS80" s="124">
        <f t="shared" si="116"/>
        <v>0</v>
      </c>
      <c r="BT80" s="124">
        <f t="shared" si="116"/>
        <v>0</v>
      </c>
      <c r="BU80" s="124">
        <f t="shared" si="116"/>
        <v>-335525.80576325813</v>
      </c>
      <c r="BV80" s="124">
        <f t="shared" si="116"/>
        <v>0</v>
      </c>
      <c r="BW80" s="124">
        <f t="shared" si="116"/>
        <v>-26074936.655247618</v>
      </c>
      <c r="BX80" s="124">
        <f t="shared" si="116"/>
        <v>143187635.37779546</v>
      </c>
      <c r="BY80" s="124">
        <f t="shared" si="116"/>
        <v>11331219.433740547</v>
      </c>
      <c r="BZ80" s="124">
        <f t="shared" si="116"/>
        <v>0</v>
      </c>
      <c r="CA80" s="124">
        <f t="shared" si="116"/>
        <v>0</v>
      </c>
      <c r="CB80" s="124">
        <f t="shared" si="116"/>
        <v>252779.03881400137</v>
      </c>
      <c r="CC80" s="124">
        <f t="shared" si="116"/>
        <v>246128.65813437337</v>
      </c>
      <c r="CD80" s="124">
        <f t="shared" si="116"/>
        <v>0</v>
      </c>
      <c r="CE80" s="124">
        <f t="shared" si="116"/>
        <v>0</v>
      </c>
      <c r="CF80" s="124">
        <f t="shared" si="116"/>
        <v>0</v>
      </c>
      <c r="CG80" s="124">
        <f t="shared" si="116"/>
        <v>0</v>
      </c>
      <c r="CH80" s="124">
        <f t="shared" si="116"/>
        <v>0</v>
      </c>
      <c r="CI80" s="124">
        <f t="shared" si="116"/>
        <v>-33965.106110777218</v>
      </c>
      <c r="CJ80" s="124">
        <f t="shared" si="116"/>
        <v>0</v>
      </c>
      <c r="CK80" s="124">
        <f t="shared" si="116"/>
        <v>0</v>
      </c>
      <c r="CL80" s="124">
        <f t="shared" si="116"/>
        <v>0</v>
      </c>
      <c r="CM80" s="124">
        <f t="shared" si="116"/>
        <v>0</v>
      </c>
      <c r="CN80" s="124">
        <f t="shared" si="116"/>
        <v>0</v>
      </c>
      <c r="CO80" s="124">
        <f t="shared" si="116"/>
        <v>0</v>
      </c>
      <c r="CP80" s="124">
        <f t="shared" si="116"/>
        <v>0</v>
      </c>
      <c r="CQ80" s="124">
        <f t="shared" si="116"/>
        <v>0</v>
      </c>
      <c r="CR80" s="124">
        <f t="shared" si="116"/>
        <v>0</v>
      </c>
      <c r="CS80" s="124">
        <f t="shared" si="116"/>
        <v>0</v>
      </c>
      <c r="CT80" s="124">
        <f t="shared" si="116"/>
        <v>0</v>
      </c>
      <c r="CU80" s="124">
        <f t="shared" si="116"/>
        <v>0</v>
      </c>
      <c r="CV80" s="124">
        <f t="shared" si="116"/>
        <v>0</v>
      </c>
      <c r="CW80" s="124">
        <f t="shared" si="116"/>
        <v>0</v>
      </c>
      <c r="CX80" s="124">
        <f t="shared" si="116"/>
        <v>0</v>
      </c>
      <c r="CY80" s="124">
        <f t="shared" si="116"/>
        <v>0</v>
      </c>
      <c r="CZ80" s="124">
        <f t="shared" si="116"/>
        <v>0</v>
      </c>
      <c r="DA80" s="124">
        <f t="shared" si="116"/>
        <v>7788660.0135981999</v>
      </c>
      <c r="DB80" s="124">
        <f t="shared" si="116"/>
        <v>1041616.8013943374</v>
      </c>
      <c r="DC80" s="124">
        <f t="shared" si="116"/>
        <v>-4029894.3225494004</v>
      </c>
      <c r="DD80" s="124">
        <f t="shared" si="116"/>
        <v>-262713.8425453552</v>
      </c>
      <c r="DE80" s="124">
        <f t="shared" si="116"/>
        <v>-12782.799289260111</v>
      </c>
      <c r="DF80" s="124">
        <f t="shared" si="116"/>
        <v>-2804606.9670917802</v>
      </c>
      <c r="DG80" s="124">
        <f t="shared" si="116"/>
        <v>0</v>
      </c>
      <c r="DH80" s="124">
        <f t="shared" si="116"/>
        <v>0</v>
      </c>
      <c r="DI80" s="124">
        <f t="shared" ref="DI80" si="117">+DI44</f>
        <v>-43243.153597953235</v>
      </c>
      <c r="DJ80" s="124">
        <f t="shared" si="116"/>
        <v>0</v>
      </c>
      <c r="DK80" s="124">
        <f t="shared" si="116"/>
        <v>13473197.754496932</v>
      </c>
      <c r="DL80" s="124">
        <f t="shared" si="116"/>
        <v>156660833.13229239</v>
      </c>
      <c r="DM80" s="124">
        <f t="shared" si="116"/>
        <v>2402259.5491298623</v>
      </c>
      <c r="DN80" s="124">
        <f t="shared" si="116"/>
        <v>0</v>
      </c>
      <c r="DO80" s="124">
        <f t="shared" si="116"/>
        <v>0</v>
      </c>
      <c r="DP80" s="124">
        <f t="shared" si="116"/>
        <v>1441248.0251239983</v>
      </c>
      <c r="DQ80" s="124">
        <f t="shared" si="116"/>
        <v>-788293.00387395511</v>
      </c>
      <c r="DR80" s="124">
        <f t="shared" si="116"/>
        <v>0</v>
      </c>
      <c r="DS80" s="124">
        <f t="shared" si="116"/>
        <v>0</v>
      </c>
      <c r="DT80" s="124">
        <f t="shared" si="116"/>
        <v>0</v>
      </c>
      <c r="DU80" s="124">
        <f t="shared" si="116"/>
        <v>0</v>
      </c>
      <c r="DV80" s="124">
        <f t="shared" si="116"/>
        <v>0</v>
      </c>
      <c r="DW80" s="124">
        <f t="shared" si="116"/>
        <v>-170818.57543166098</v>
      </c>
      <c r="DX80" s="124">
        <f t="shared" si="116"/>
        <v>0</v>
      </c>
      <c r="DY80" s="124">
        <f t="shared" si="116"/>
        <v>0</v>
      </c>
      <c r="DZ80" s="124">
        <f t="shared" si="116"/>
        <v>0</v>
      </c>
      <c r="EA80" s="124">
        <f t="shared" si="116"/>
        <v>-1507463.1769666667</v>
      </c>
      <c r="EB80" s="124">
        <f t="shared" si="116"/>
        <v>0</v>
      </c>
      <c r="EC80" s="124">
        <f t="shared" si="116"/>
        <v>0</v>
      </c>
      <c r="ED80" s="124">
        <f t="shared" si="116"/>
        <v>0</v>
      </c>
      <c r="EE80" s="124">
        <f t="shared" si="116"/>
        <v>0</v>
      </c>
      <c r="EF80" s="124">
        <f t="shared" ref="EF80:GW80" si="118">+EF44</f>
        <v>0</v>
      </c>
      <c r="EG80" s="124">
        <f t="shared" si="118"/>
        <v>0</v>
      </c>
      <c r="EH80" s="124">
        <f t="shared" si="118"/>
        <v>-4614884.1155936997</v>
      </c>
      <c r="EI80" s="124">
        <f t="shared" si="118"/>
        <v>-122295.68415809781</v>
      </c>
      <c r="EJ80" s="124">
        <f t="shared" si="118"/>
        <v>-2764843.9047150896</v>
      </c>
      <c r="EK80" s="124">
        <f t="shared" si="118"/>
        <v>-3687248.1967909653</v>
      </c>
      <c r="EL80" s="124">
        <f t="shared" si="118"/>
        <v>-518678.73011322715</v>
      </c>
      <c r="EM80" s="124">
        <f t="shared" si="118"/>
        <v>324700.67536874983</v>
      </c>
      <c r="EN80" s="124">
        <f t="shared" si="118"/>
        <v>0</v>
      </c>
      <c r="EO80" s="124">
        <f t="shared" si="118"/>
        <v>-6449140.1849529129</v>
      </c>
      <c r="EP80" s="124">
        <f t="shared" si="118"/>
        <v>1144017.0830004611</v>
      </c>
      <c r="EQ80" s="124">
        <f t="shared" si="118"/>
        <v>-5589003.6045694984</v>
      </c>
      <c r="ER80" s="124">
        <f t="shared" si="118"/>
        <v>-1589366.8413096312</v>
      </c>
      <c r="ES80" s="124">
        <f t="shared" si="118"/>
        <v>-13133.149600000177</v>
      </c>
      <c r="ET80" s="124">
        <f t="shared" si="118"/>
        <v>-3755119.1824351605</v>
      </c>
      <c r="EU80" s="124">
        <f t="shared" si="118"/>
        <v>0</v>
      </c>
      <c r="EV80" s="124">
        <f t="shared" si="118"/>
        <v>1152993.689038258</v>
      </c>
      <c r="EW80" s="124">
        <f t="shared" si="118"/>
        <v>1275470.6240246119</v>
      </c>
      <c r="EX80" s="124">
        <f t="shared" ref="EX80" si="119">+EX44</f>
        <v>203250.27437172731</v>
      </c>
      <c r="EY80" s="124">
        <f t="shared" si="118"/>
        <v>0</v>
      </c>
      <c r="EZ80" s="124">
        <f t="shared" si="118"/>
        <v>-23626348.430452898</v>
      </c>
      <c r="FA80" s="124">
        <f t="shared" si="118"/>
        <v>133034484.70183963</v>
      </c>
      <c r="FB80" s="124">
        <f t="shared" si="118"/>
        <v>3086005.6546553429</v>
      </c>
      <c r="FC80" s="124">
        <f t="shared" si="118"/>
        <v>0</v>
      </c>
      <c r="FD80" s="124">
        <f t="shared" si="118"/>
        <v>0</v>
      </c>
      <c r="FE80" s="124">
        <f t="shared" si="118"/>
        <v>527842.51771800278</v>
      </c>
      <c r="FF80" s="124">
        <f t="shared" si="118"/>
        <v>424226.83839822165</v>
      </c>
      <c r="FG80" s="124">
        <f t="shared" si="118"/>
        <v>0</v>
      </c>
      <c r="FH80" s="124">
        <f t="shared" si="118"/>
        <v>0</v>
      </c>
      <c r="FI80" s="124">
        <f t="shared" si="118"/>
        <v>0</v>
      </c>
      <c r="FJ80" s="124">
        <f t="shared" si="118"/>
        <v>0</v>
      </c>
      <c r="FK80" s="124">
        <f t="shared" si="118"/>
        <v>0</v>
      </c>
      <c r="FL80" s="124">
        <f t="shared" si="118"/>
        <v>-524529.6720035621</v>
      </c>
      <c r="FM80" s="124">
        <f t="shared" si="118"/>
        <v>0</v>
      </c>
      <c r="FN80" s="124">
        <f t="shared" si="118"/>
        <v>0</v>
      </c>
      <c r="FO80" s="124">
        <f t="shared" si="118"/>
        <v>0</v>
      </c>
      <c r="FP80" s="124">
        <f t="shared" si="118"/>
        <v>0</v>
      </c>
      <c r="FQ80" s="124">
        <f t="shared" si="118"/>
        <v>0</v>
      </c>
      <c r="FR80" s="124">
        <f t="shared" si="118"/>
        <v>0</v>
      </c>
      <c r="FS80" s="124">
        <f t="shared" si="118"/>
        <v>0</v>
      </c>
      <c r="FT80" s="124">
        <f t="shared" si="118"/>
        <v>0</v>
      </c>
      <c r="FU80" s="124">
        <f t="shared" si="118"/>
        <v>0</v>
      </c>
      <c r="FV80" s="124">
        <f t="shared" si="118"/>
        <v>0</v>
      </c>
      <c r="FW80" s="124">
        <f t="shared" si="118"/>
        <v>-3364884.9033524827</v>
      </c>
      <c r="FX80" s="124">
        <f t="shared" si="118"/>
        <v>-1345252.5257390761</v>
      </c>
      <c r="FY80" s="124">
        <f t="shared" si="118"/>
        <v>0</v>
      </c>
      <c r="FZ80" s="124">
        <f t="shared" si="118"/>
        <v>0</v>
      </c>
      <c r="GA80" s="124">
        <f t="shared" si="118"/>
        <v>0</v>
      </c>
      <c r="GB80" s="124">
        <f t="shared" si="118"/>
        <v>0</v>
      </c>
      <c r="GC80" s="124">
        <f t="shared" si="118"/>
        <v>0</v>
      </c>
      <c r="GD80" s="124">
        <f t="shared" si="118"/>
        <v>6419401.374896952</v>
      </c>
      <c r="GE80" s="124">
        <f t="shared" si="118"/>
        <v>470086.55034856161</v>
      </c>
      <c r="GF80" s="124">
        <f t="shared" si="118"/>
        <v>-9989512.6856092587</v>
      </c>
      <c r="GG80" s="124">
        <f t="shared" si="118"/>
        <v>-944378.05390548136</v>
      </c>
      <c r="GH80" s="124">
        <f t="shared" si="118"/>
        <v>-160444.97844180002</v>
      </c>
      <c r="GI80" s="124">
        <f t="shared" si="118"/>
        <v>-4874604.5002844194</v>
      </c>
      <c r="GJ80" s="124">
        <f t="shared" si="118"/>
        <v>0</v>
      </c>
      <c r="GK80" s="124">
        <f t="shared" si="118"/>
        <v>3458981.0671147741</v>
      </c>
      <c r="GL80" s="124">
        <f t="shared" si="118"/>
        <v>1569020.184227075</v>
      </c>
      <c r="GM80" s="124">
        <f t="shared" si="118"/>
        <v>195.92000000000002</v>
      </c>
      <c r="GN80" s="124">
        <f t="shared" si="118"/>
        <v>0</v>
      </c>
      <c r="GO80" s="124">
        <f t="shared" si="118"/>
        <v>-5247847.2119771466</v>
      </c>
      <c r="GP80" s="124">
        <f t="shared" si="118"/>
        <v>127786637.48986238</v>
      </c>
      <c r="GQ80" s="124">
        <f t="shared" si="118"/>
        <v>644762.49332177895</v>
      </c>
      <c r="GR80" s="124">
        <f t="shared" si="118"/>
        <v>0</v>
      </c>
      <c r="GS80" s="124">
        <f t="shared" si="118"/>
        <v>0</v>
      </c>
      <c r="GT80" s="124">
        <f t="shared" si="118"/>
        <v>695730.51745199854</v>
      </c>
      <c r="GU80" s="124">
        <f t="shared" si="118"/>
        <v>262172.66740625678</v>
      </c>
      <c r="GV80" s="124">
        <f t="shared" si="118"/>
        <v>0</v>
      </c>
      <c r="GW80" s="124">
        <f t="shared" si="118"/>
        <v>0</v>
      </c>
      <c r="GX80" s="124">
        <f t="shared" ref="GX80:IE80" si="120">+GX44</f>
        <v>0</v>
      </c>
      <c r="GY80" s="124">
        <f t="shared" si="120"/>
        <v>0</v>
      </c>
      <c r="GZ80" s="124">
        <f t="shared" si="120"/>
        <v>0</v>
      </c>
      <c r="HA80" s="124">
        <f t="shared" si="120"/>
        <v>-792189.97162490746</v>
      </c>
      <c r="HB80" s="124">
        <f t="shared" si="120"/>
        <v>0</v>
      </c>
      <c r="HC80" s="124">
        <f t="shared" si="120"/>
        <v>0</v>
      </c>
      <c r="HD80" s="124">
        <f t="shared" si="120"/>
        <v>0</v>
      </c>
      <c r="HE80" s="124">
        <f t="shared" si="120"/>
        <v>0</v>
      </c>
      <c r="HF80" s="124">
        <f t="shared" si="120"/>
        <v>0</v>
      </c>
      <c r="HG80" s="124">
        <f t="shared" si="120"/>
        <v>0</v>
      </c>
      <c r="HH80" s="124">
        <f t="shared" si="120"/>
        <v>0</v>
      </c>
      <c r="HI80" s="124">
        <f t="shared" si="120"/>
        <v>0</v>
      </c>
      <c r="HJ80" s="124">
        <f t="shared" si="120"/>
        <v>0</v>
      </c>
      <c r="HK80" s="124">
        <f t="shared" si="120"/>
        <v>0</v>
      </c>
      <c r="HL80" s="124">
        <f t="shared" si="120"/>
        <v>-3451692.5128177032</v>
      </c>
      <c r="HM80" s="124">
        <f t="shared" si="120"/>
        <v>0</v>
      </c>
      <c r="HN80" s="124">
        <f t="shared" si="120"/>
        <v>0</v>
      </c>
      <c r="HO80" s="124">
        <f t="shared" si="120"/>
        <v>0</v>
      </c>
      <c r="HP80" s="124">
        <f t="shared" si="120"/>
        <v>2587614.9562998684</v>
      </c>
      <c r="HQ80" s="124">
        <f t="shared" si="120"/>
        <v>-324700.67536874983</v>
      </c>
      <c r="HR80" s="124">
        <f t="shared" si="120"/>
        <v>0</v>
      </c>
      <c r="HS80" s="124">
        <f t="shared" si="120"/>
        <v>2418271.6000985508</v>
      </c>
      <c r="HT80" s="124">
        <f t="shared" si="120"/>
        <v>353204.68364855938</v>
      </c>
      <c r="HU80" s="124">
        <f t="shared" si="120"/>
        <v>-6217907.733156031</v>
      </c>
      <c r="HV80" s="124">
        <f t="shared" si="120"/>
        <v>-920114.18468042056</v>
      </c>
      <c r="HW80" s="124">
        <f t="shared" si="120"/>
        <v>-1051203.5738396</v>
      </c>
      <c r="HX80" s="124">
        <f t="shared" si="120"/>
        <v>-2693657.2300185445</v>
      </c>
      <c r="HY80" s="124">
        <f t="shared" si="120"/>
        <v>0</v>
      </c>
      <c r="HZ80" s="124">
        <f t="shared" si="120"/>
        <v>0</v>
      </c>
      <c r="IA80" s="124">
        <f t="shared" si="120"/>
        <v>665856.76772491483</v>
      </c>
      <c r="IB80" s="124">
        <f t="shared" ref="IB80" si="121">+IB44</f>
        <v>199.08</v>
      </c>
      <c r="IC80" s="124">
        <f t="shared" si="120"/>
        <v>0</v>
      </c>
      <c r="ID80" s="124">
        <f t="shared" si="120"/>
        <v>-7823653.1155540282</v>
      </c>
      <c r="IE80" s="124">
        <f t="shared" si="120"/>
        <v>119962984.37430835</v>
      </c>
      <c r="IF80" s="47" t="s">
        <v>34</v>
      </c>
    </row>
    <row r="81" spans="1:240" customFormat="1" ht="14.5" x14ac:dyDescent="0.35">
      <c r="B81" s="125" t="s">
        <v>118</v>
      </c>
      <c r="C81" s="126">
        <f>+C46</f>
        <v>2470296822.411552</v>
      </c>
      <c r="D81" s="126">
        <f t="shared" ref="D81:BO81" si="122">+D46</f>
        <v>0</v>
      </c>
      <c r="E81" s="126">
        <f t="shared" si="122"/>
        <v>0</v>
      </c>
      <c r="F81" s="126">
        <f t="shared" si="122"/>
        <v>0</v>
      </c>
      <c r="G81" s="126">
        <f t="shared" si="122"/>
        <v>0</v>
      </c>
      <c r="H81" s="126">
        <f t="shared" si="122"/>
        <v>0</v>
      </c>
      <c r="I81" s="126">
        <f t="shared" si="122"/>
        <v>0</v>
      </c>
      <c r="J81" s="126">
        <f t="shared" si="122"/>
        <v>0</v>
      </c>
      <c r="K81" s="126">
        <f t="shared" si="122"/>
        <v>0</v>
      </c>
      <c r="L81" s="126">
        <f t="shared" si="122"/>
        <v>0</v>
      </c>
      <c r="M81" s="126">
        <f t="shared" si="122"/>
        <v>0</v>
      </c>
      <c r="N81" s="126">
        <f t="shared" si="122"/>
        <v>0</v>
      </c>
      <c r="O81" s="126">
        <f t="shared" si="122"/>
        <v>0</v>
      </c>
      <c r="P81" s="126">
        <f t="shared" si="122"/>
        <v>0</v>
      </c>
      <c r="Q81" s="126">
        <f t="shared" si="122"/>
        <v>0</v>
      </c>
      <c r="R81" s="126">
        <f t="shared" si="122"/>
        <v>0</v>
      </c>
      <c r="S81" s="126">
        <f t="shared" si="122"/>
        <v>0</v>
      </c>
      <c r="T81" s="126">
        <f t="shared" si="122"/>
        <v>0</v>
      </c>
      <c r="U81" s="126">
        <f t="shared" si="122"/>
        <v>0</v>
      </c>
      <c r="V81" s="126">
        <f t="shared" si="122"/>
        <v>67075380.91394949</v>
      </c>
      <c r="W81" s="126">
        <f t="shared" si="122"/>
        <v>210100.48828822773</v>
      </c>
      <c r="X81" s="126">
        <f>+X46</f>
        <v>0</v>
      </c>
      <c r="Y81" s="126">
        <f t="shared" si="122"/>
        <v>0</v>
      </c>
      <c r="Z81" s="126">
        <f t="shared" si="122"/>
        <v>0</v>
      </c>
      <c r="AA81" s="126">
        <f t="shared" si="122"/>
        <v>-65577643.509571999</v>
      </c>
      <c r="AB81" s="126">
        <f t="shared" si="122"/>
        <v>0</v>
      </c>
      <c r="AC81" s="126">
        <f t="shared" si="122"/>
        <v>0</v>
      </c>
      <c r="AD81" s="126">
        <f t="shared" si="122"/>
        <v>0</v>
      </c>
      <c r="AE81" s="126">
        <f t="shared" si="122"/>
        <v>0</v>
      </c>
      <c r="AF81" s="126">
        <f>+AF46</f>
        <v>-23770011.81658344</v>
      </c>
      <c r="AG81" s="126">
        <f t="shared" si="122"/>
        <v>0</v>
      </c>
      <c r="AH81" s="126">
        <f t="shared" si="122"/>
        <v>0</v>
      </c>
      <c r="AI81" s="126">
        <f t="shared" si="122"/>
        <v>-22062173.923917718</v>
      </c>
      <c r="AJ81" s="126">
        <f t="shared" si="122"/>
        <v>2448234648.4876337</v>
      </c>
      <c r="AK81" s="126">
        <f t="shared" si="122"/>
        <v>0</v>
      </c>
      <c r="AL81" s="126">
        <f t="shared" si="122"/>
        <v>0</v>
      </c>
      <c r="AM81" s="126">
        <f t="shared" si="122"/>
        <v>0</v>
      </c>
      <c r="AN81" s="126">
        <f t="shared" si="122"/>
        <v>4356717.7706340253</v>
      </c>
      <c r="AO81" s="126">
        <f t="shared" si="122"/>
        <v>0</v>
      </c>
      <c r="AP81" s="126">
        <f t="shared" si="122"/>
        <v>0</v>
      </c>
      <c r="AQ81" s="126">
        <f t="shared" si="122"/>
        <v>0</v>
      </c>
      <c r="AR81" s="126">
        <f t="shared" si="122"/>
        <v>0</v>
      </c>
      <c r="AS81" s="126">
        <f t="shared" si="122"/>
        <v>0</v>
      </c>
      <c r="AT81" s="126">
        <f t="shared" si="122"/>
        <v>0</v>
      </c>
      <c r="AU81" s="126">
        <f t="shared" si="122"/>
        <v>0</v>
      </c>
      <c r="AV81" s="126">
        <f t="shared" si="122"/>
        <v>0</v>
      </c>
      <c r="AW81" s="126">
        <f t="shared" si="122"/>
        <v>0</v>
      </c>
      <c r="AX81" s="126">
        <f t="shared" si="122"/>
        <v>0</v>
      </c>
      <c r="AY81" s="126">
        <f t="shared" si="122"/>
        <v>0</v>
      </c>
      <c r="AZ81" s="126">
        <f t="shared" si="122"/>
        <v>0</v>
      </c>
      <c r="BA81" s="126">
        <f t="shared" si="122"/>
        <v>0</v>
      </c>
      <c r="BB81" s="126">
        <f t="shared" si="122"/>
        <v>0</v>
      </c>
      <c r="BC81" s="126">
        <f t="shared" si="122"/>
        <v>0</v>
      </c>
      <c r="BD81" s="126">
        <f t="shared" si="122"/>
        <v>0</v>
      </c>
      <c r="BE81" s="126">
        <f t="shared" si="122"/>
        <v>0</v>
      </c>
      <c r="BF81" s="126">
        <f t="shared" si="122"/>
        <v>0</v>
      </c>
      <c r="BG81" s="126">
        <f t="shared" si="122"/>
        <v>0</v>
      </c>
      <c r="BH81" s="126">
        <f t="shared" si="122"/>
        <v>65577643.509571999</v>
      </c>
      <c r="BI81" s="126">
        <f t="shared" si="122"/>
        <v>3230272.3808734193</v>
      </c>
      <c r="BJ81" s="126">
        <f t="shared" si="122"/>
        <v>0</v>
      </c>
      <c r="BK81" s="126">
        <f t="shared" si="122"/>
        <v>-336065.87616749993</v>
      </c>
      <c r="BL81" s="126">
        <f t="shared" si="122"/>
        <v>0</v>
      </c>
      <c r="BM81" s="126">
        <f t="shared" si="122"/>
        <v>-94088202.46430099</v>
      </c>
      <c r="BN81" s="126">
        <f t="shared" si="122"/>
        <v>201938.05620600007</v>
      </c>
      <c r="BO81" s="126">
        <f t="shared" si="122"/>
        <v>44675564.118710004</v>
      </c>
      <c r="BP81" s="126">
        <f t="shared" ref="BP81:EE81" si="123">+BP46</f>
        <v>55278785.519999988</v>
      </c>
      <c r="BQ81" s="126">
        <f t="shared" si="123"/>
        <v>2597.4953720000003</v>
      </c>
      <c r="BR81" s="126">
        <f t="shared" si="123"/>
        <v>22124980.888264</v>
      </c>
      <c r="BS81" s="126">
        <f t="shared" si="123"/>
        <v>0</v>
      </c>
      <c r="BT81" s="126">
        <f t="shared" si="123"/>
        <v>0</v>
      </c>
      <c r="BU81" s="126">
        <f t="shared" si="123"/>
        <v>-1852729.8615047848</v>
      </c>
      <c r="BV81" s="126">
        <f t="shared" si="123"/>
        <v>0</v>
      </c>
      <c r="BW81" s="126">
        <f t="shared" si="123"/>
        <v>99171501.537658185</v>
      </c>
      <c r="BX81" s="126">
        <f t="shared" si="123"/>
        <v>2547406150.0252914</v>
      </c>
      <c r="BY81" s="126">
        <f t="shared" si="123"/>
        <v>0</v>
      </c>
      <c r="BZ81" s="126">
        <f t="shared" si="123"/>
        <v>0</v>
      </c>
      <c r="CA81" s="126">
        <f t="shared" si="123"/>
        <v>0</v>
      </c>
      <c r="CB81" s="126">
        <f t="shared" si="123"/>
        <v>5370042.7846080065</v>
      </c>
      <c r="CC81" s="126">
        <f t="shared" si="123"/>
        <v>0</v>
      </c>
      <c r="CD81" s="126">
        <f t="shared" si="123"/>
        <v>0</v>
      </c>
      <c r="CE81" s="126">
        <f t="shared" si="123"/>
        <v>0</v>
      </c>
      <c r="CF81" s="126">
        <f t="shared" si="123"/>
        <v>0</v>
      </c>
      <c r="CG81" s="126">
        <f t="shared" si="123"/>
        <v>0</v>
      </c>
      <c r="CH81" s="126">
        <f t="shared" si="123"/>
        <v>0</v>
      </c>
      <c r="CI81" s="126">
        <f t="shared" si="123"/>
        <v>0</v>
      </c>
      <c r="CJ81" s="126">
        <f t="shared" si="123"/>
        <v>0</v>
      </c>
      <c r="CK81" s="126">
        <f t="shared" si="123"/>
        <v>0</v>
      </c>
      <c r="CL81" s="126">
        <f t="shared" si="123"/>
        <v>0</v>
      </c>
      <c r="CM81" s="126">
        <f t="shared" si="123"/>
        <v>0</v>
      </c>
      <c r="CN81" s="126">
        <f t="shared" si="123"/>
        <v>0</v>
      </c>
      <c r="CO81" s="126">
        <f t="shared" si="123"/>
        <v>0</v>
      </c>
      <c r="CP81" s="126">
        <f t="shared" si="123"/>
        <v>0</v>
      </c>
      <c r="CQ81" s="126">
        <f t="shared" si="123"/>
        <v>0</v>
      </c>
      <c r="CR81" s="126">
        <f t="shared" si="123"/>
        <v>0</v>
      </c>
      <c r="CS81" s="126">
        <f t="shared" si="123"/>
        <v>0</v>
      </c>
      <c r="CT81" s="126">
        <f t="shared" si="123"/>
        <v>0</v>
      </c>
      <c r="CU81" s="126">
        <f t="shared" si="123"/>
        <v>0</v>
      </c>
      <c r="CV81" s="126">
        <f t="shared" si="123"/>
        <v>0</v>
      </c>
      <c r="CW81" s="126">
        <f t="shared" si="123"/>
        <v>3492135.9671265553</v>
      </c>
      <c r="CX81" s="126">
        <f t="shared" si="123"/>
        <v>0</v>
      </c>
      <c r="CY81" s="126">
        <f t="shared" si="123"/>
        <v>-168032.93808374999</v>
      </c>
      <c r="CZ81" s="126">
        <f t="shared" si="123"/>
        <v>0</v>
      </c>
      <c r="DA81" s="126">
        <f t="shared" si="123"/>
        <v>-165330440.38527286</v>
      </c>
      <c r="DB81" s="126">
        <f t="shared" si="123"/>
        <v>1520440.3364520001</v>
      </c>
      <c r="DC81" s="126">
        <f t="shared" si="123"/>
        <v>116745699.78504001</v>
      </c>
      <c r="DD81" s="126">
        <f t="shared" si="123"/>
        <v>36771502.726904862</v>
      </c>
      <c r="DE81" s="126">
        <f t="shared" si="123"/>
        <v>12650902.559701743</v>
      </c>
      <c r="DF81" s="126">
        <f t="shared" si="123"/>
        <v>26473745.684250008</v>
      </c>
      <c r="DG81" s="126">
        <f t="shared" si="123"/>
        <v>0</v>
      </c>
      <c r="DH81" s="126">
        <f t="shared" si="123"/>
        <v>-3607094.8691412816</v>
      </c>
      <c r="DI81" s="126">
        <f t="shared" ref="DI81" si="124">+DI46</f>
        <v>1636240.8076686685</v>
      </c>
      <c r="DJ81" s="126">
        <f t="shared" si="123"/>
        <v>0</v>
      </c>
      <c r="DK81" s="126">
        <f t="shared" si="123"/>
        <v>35555142.459253967</v>
      </c>
      <c r="DL81" s="126">
        <f t="shared" si="123"/>
        <v>2582961292.4845452</v>
      </c>
      <c r="DM81" s="126">
        <f t="shared" si="123"/>
        <v>0</v>
      </c>
      <c r="DN81" s="126">
        <f t="shared" si="123"/>
        <v>0</v>
      </c>
      <c r="DO81" s="126">
        <f t="shared" si="123"/>
        <v>0</v>
      </c>
      <c r="DP81" s="126">
        <f t="shared" si="123"/>
        <v>3098447.5482264757</v>
      </c>
      <c r="DQ81" s="126">
        <f t="shared" si="123"/>
        <v>0</v>
      </c>
      <c r="DR81" s="126">
        <f t="shared" si="123"/>
        <v>0</v>
      </c>
      <c r="DS81" s="126">
        <f t="shared" si="123"/>
        <v>0</v>
      </c>
      <c r="DT81" s="126">
        <f t="shared" si="123"/>
        <v>0</v>
      </c>
      <c r="DU81" s="126">
        <f t="shared" si="123"/>
        <v>0</v>
      </c>
      <c r="DV81" s="126">
        <f t="shared" si="123"/>
        <v>0</v>
      </c>
      <c r="DW81" s="126">
        <f t="shared" si="123"/>
        <v>0</v>
      </c>
      <c r="DX81" s="126">
        <f t="shared" si="123"/>
        <v>0</v>
      </c>
      <c r="DY81" s="126">
        <f t="shared" si="123"/>
        <v>0</v>
      </c>
      <c r="DZ81" s="126">
        <f t="shared" si="123"/>
        <v>0</v>
      </c>
      <c r="EA81" s="126">
        <f t="shared" si="123"/>
        <v>0</v>
      </c>
      <c r="EB81" s="126">
        <f t="shared" si="123"/>
        <v>0</v>
      </c>
      <c r="EC81" s="126">
        <f t="shared" si="123"/>
        <v>0</v>
      </c>
      <c r="ED81" s="126">
        <f t="shared" si="123"/>
        <v>0</v>
      </c>
      <c r="EE81" s="126">
        <f t="shared" si="123"/>
        <v>0</v>
      </c>
      <c r="EF81" s="126">
        <f t="shared" ref="EF81:GW81" si="125">+EF46</f>
        <v>0</v>
      </c>
      <c r="EG81" s="126">
        <f t="shared" si="125"/>
        <v>0</v>
      </c>
      <c r="EH81" s="126">
        <f t="shared" si="125"/>
        <v>0</v>
      </c>
      <c r="EI81" s="126">
        <f t="shared" si="125"/>
        <v>1101188.86890066</v>
      </c>
      <c r="EJ81" s="126">
        <f t="shared" si="125"/>
        <v>0</v>
      </c>
      <c r="EK81" s="126">
        <f t="shared" si="125"/>
        <v>-15203.916388063459</v>
      </c>
      <c r="EL81" s="126">
        <f t="shared" si="125"/>
        <v>0</v>
      </c>
      <c r="EM81" s="126">
        <f t="shared" si="125"/>
        <v>162350.33768437497</v>
      </c>
      <c r="EN81" s="126">
        <f t="shared" si="125"/>
        <v>0</v>
      </c>
      <c r="EO81" s="126">
        <f t="shared" si="125"/>
        <v>-84598856.734545469</v>
      </c>
      <c r="EP81" s="126">
        <f t="shared" si="125"/>
        <v>1405861.9709619989</v>
      </c>
      <c r="EQ81" s="126">
        <f t="shared" si="125"/>
        <v>69476611.107350022</v>
      </c>
      <c r="ER81" s="126">
        <f t="shared" si="125"/>
        <v>-6324778.1027579708</v>
      </c>
      <c r="ES81" s="126">
        <f t="shared" si="125"/>
        <v>-4990356.3668026561</v>
      </c>
      <c r="ET81" s="126">
        <f t="shared" si="125"/>
        <v>14495451.993672004</v>
      </c>
      <c r="EU81" s="126">
        <f t="shared" si="125"/>
        <v>0</v>
      </c>
      <c r="EV81" s="126">
        <f t="shared" si="125"/>
        <v>-1675068.8795508225</v>
      </c>
      <c r="EW81" s="126">
        <f t="shared" si="125"/>
        <v>-48340874.436111309</v>
      </c>
      <c r="EX81" s="126">
        <f t="shared" ref="EX81" si="126">+EX46</f>
        <v>0</v>
      </c>
      <c r="EY81" s="126">
        <f t="shared" si="125"/>
        <v>0</v>
      </c>
      <c r="EZ81" s="126">
        <f t="shared" si="125"/>
        <v>-56205226.609360754</v>
      </c>
      <c r="FA81" s="126">
        <f t="shared" si="125"/>
        <v>2526756065.8751845</v>
      </c>
      <c r="FB81" s="126">
        <f t="shared" si="125"/>
        <v>0</v>
      </c>
      <c r="FC81" s="126">
        <f t="shared" si="125"/>
        <v>0</v>
      </c>
      <c r="FD81" s="126">
        <f t="shared" si="125"/>
        <v>0</v>
      </c>
      <c r="FE81" s="126">
        <f t="shared" si="125"/>
        <v>6797605.0150674582</v>
      </c>
      <c r="FF81" s="126">
        <f t="shared" si="125"/>
        <v>0</v>
      </c>
      <c r="FG81" s="126">
        <f t="shared" si="125"/>
        <v>0</v>
      </c>
      <c r="FH81" s="126">
        <f t="shared" si="125"/>
        <v>0</v>
      </c>
      <c r="FI81" s="126">
        <f t="shared" si="125"/>
        <v>0</v>
      </c>
      <c r="FJ81" s="126">
        <f t="shared" si="125"/>
        <v>0</v>
      </c>
      <c r="FK81" s="126">
        <f t="shared" si="125"/>
        <v>0</v>
      </c>
      <c r="FL81" s="126">
        <f t="shared" si="125"/>
        <v>0</v>
      </c>
      <c r="FM81" s="126">
        <f t="shared" si="125"/>
        <v>0</v>
      </c>
      <c r="FN81" s="126">
        <f t="shared" si="125"/>
        <v>0</v>
      </c>
      <c r="FO81" s="126">
        <f t="shared" si="125"/>
        <v>0</v>
      </c>
      <c r="FP81" s="126">
        <f t="shared" si="125"/>
        <v>0</v>
      </c>
      <c r="FQ81" s="126">
        <f t="shared" si="125"/>
        <v>0</v>
      </c>
      <c r="FR81" s="126">
        <f t="shared" si="125"/>
        <v>0</v>
      </c>
      <c r="FS81" s="126">
        <f t="shared" si="125"/>
        <v>0</v>
      </c>
      <c r="FT81" s="126">
        <f t="shared" si="125"/>
        <v>0</v>
      </c>
      <c r="FU81" s="126">
        <f t="shared" si="125"/>
        <v>0</v>
      </c>
      <c r="FV81" s="126">
        <f t="shared" si="125"/>
        <v>0</v>
      </c>
      <c r="FW81" s="126">
        <f t="shared" si="125"/>
        <v>0</v>
      </c>
      <c r="FX81" s="126">
        <f t="shared" si="125"/>
        <v>-10011818.034171246</v>
      </c>
      <c r="FY81" s="126">
        <f t="shared" si="125"/>
        <v>0</v>
      </c>
      <c r="FZ81" s="126">
        <f t="shared" si="125"/>
        <v>-3527374.5424600434</v>
      </c>
      <c r="GA81" s="126">
        <f t="shared" si="125"/>
        <v>0</v>
      </c>
      <c r="GB81" s="126">
        <f t="shared" si="125"/>
        <v>324700.67536874977</v>
      </c>
      <c r="GC81" s="126">
        <f t="shared" si="125"/>
        <v>0</v>
      </c>
      <c r="GD81" s="126">
        <f t="shared" si="125"/>
        <v>-159209516.20228195</v>
      </c>
      <c r="GE81" s="126">
        <f t="shared" si="125"/>
        <v>3310956.6510520019</v>
      </c>
      <c r="GF81" s="126">
        <f t="shared" si="125"/>
        <v>217591260.62328604</v>
      </c>
      <c r="GG81" s="126">
        <f t="shared" si="125"/>
        <v>41302511.146607377</v>
      </c>
      <c r="GH81" s="126">
        <f t="shared" si="125"/>
        <v>3953203.0510036857</v>
      </c>
      <c r="GI81" s="126">
        <f t="shared" si="125"/>
        <v>37191156.254355997</v>
      </c>
      <c r="GJ81" s="126">
        <f t="shared" si="125"/>
        <v>0</v>
      </c>
      <c r="GK81" s="126">
        <f t="shared" si="125"/>
        <v>-1109560.2062269687</v>
      </c>
      <c r="GL81" s="126">
        <f t="shared" si="125"/>
        <v>-57080533.80576282</v>
      </c>
      <c r="GM81" s="126">
        <f t="shared" si="125"/>
        <v>0</v>
      </c>
      <c r="GN81" s="126">
        <f t="shared" si="125"/>
        <v>0</v>
      </c>
      <c r="GO81" s="126">
        <f t="shared" si="125"/>
        <v>79532590.62583831</v>
      </c>
      <c r="GP81" s="126">
        <f t="shared" si="125"/>
        <v>2606288656.5010228</v>
      </c>
      <c r="GQ81" s="126">
        <f t="shared" si="125"/>
        <v>0</v>
      </c>
      <c r="GR81" s="126">
        <f t="shared" si="125"/>
        <v>0</v>
      </c>
      <c r="GS81" s="126">
        <f t="shared" si="125"/>
        <v>0</v>
      </c>
      <c r="GT81" s="126">
        <f t="shared" si="125"/>
        <v>7261899.4397121966</v>
      </c>
      <c r="GU81" s="126">
        <f t="shared" si="125"/>
        <v>0</v>
      </c>
      <c r="GV81" s="126">
        <f t="shared" si="125"/>
        <v>0</v>
      </c>
      <c r="GW81" s="126">
        <f t="shared" si="125"/>
        <v>0</v>
      </c>
      <c r="GX81" s="126">
        <f t="shared" ref="GX81:IE81" si="127">+GX46</f>
        <v>0</v>
      </c>
      <c r="GY81" s="126">
        <f t="shared" si="127"/>
        <v>0</v>
      </c>
      <c r="GZ81" s="126">
        <f t="shared" si="127"/>
        <v>0</v>
      </c>
      <c r="HA81" s="126">
        <f t="shared" si="127"/>
        <v>0</v>
      </c>
      <c r="HB81" s="126">
        <f t="shared" si="127"/>
        <v>0</v>
      </c>
      <c r="HC81" s="126">
        <f t="shared" si="127"/>
        <v>0</v>
      </c>
      <c r="HD81" s="126">
        <f t="shared" si="127"/>
        <v>0</v>
      </c>
      <c r="HE81" s="126">
        <f t="shared" si="127"/>
        <v>0</v>
      </c>
      <c r="HF81" s="126">
        <f t="shared" si="127"/>
        <v>0</v>
      </c>
      <c r="HG81" s="126">
        <f t="shared" si="127"/>
        <v>0</v>
      </c>
      <c r="HH81" s="126">
        <f t="shared" si="127"/>
        <v>0</v>
      </c>
      <c r="HI81" s="126">
        <f t="shared" si="127"/>
        <v>0</v>
      </c>
      <c r="HJ81" s="126">
        <f t="shared" si="127"/>
        <v>0</v>
      </c>
      <c r="HK81" s="126">
        <f t="shared" si="127"/>
        <v>0</v>
      </c>
      <c r="HL81" s="126">
        <f t="shared" si="127"/>
        <v>0</v>
      </c>
      <c r="HM81" s="126">
        <f t="shared" si="127"/>
        <v>-1467548.2098971759</v>
      </c>
      <c r="HN81" s="126">
        <f t="shared" si="127"/>
        <v>0</v>
      </c>
      <c r="HO81" s="126">
        <f t="shared" si="127"/>
        <v>-3527374.5424600434</v>
      </c>
      <c r="HP81" s="126">
        <f t="shared" si="127"/>
        <v>0</v>
      </c>
      <c r="HQ81" s="126">
        <f t="shared" si="127"/>
        <v>162350.33768437497</v>
      </c>
      <c r="HR81" s="126">
        <f t="shared" si="127"/>
        <v>0</v>
      </c>
      <c r="HS81" s="126">
        <f t="shared" si="127"/>
        <v>-151371216.49016714</v>
      </c>
      <c r="HT81" s="126">
        <f t="shared" si="127"/>
        <v>3787156.7907220004</v>
      </c>
      <c r="HU81" s="126">
        <f t="shared" si="127"/>
        <v>135474933.4399679</v>
      </c>
      <c r="HV81" s="126">
        <f t="shared" si="127"/>
        <v>38419192.508776158</v>
      </c>
      <c r="HW81" s="126">
        <f t="shared" si="127"/>
        <v>18254060.45606672</v>
      </c>
      <c r="HX81" s="126">
        <f t="shared" si="127"/>
        <v>22938716.735553999</v>
      </c>
      <c r="HY81" s="126">
        <f t="shared" si="127"/>
        <v>0</v>
      </c>
      <c r="HZ81" s="126">
        <f t="shared" si="127"/>
        <v>0</v>
      </c>
      <c r="IA81" s="126">
        <f t="shared" si="127"/>
        <v>-20780939.231190097</v>
      </c>
      <c r="IB81" s="126">
        <f t="shared" ref="IB81" si="128">+IB46</f>
        <v>0</v>
      </c>
      <c r="IC81" s="126">
        <f t="shared" si="127"/>
        <v>0</v>
      </c>
      <c r="ID81" s="126">
        <f t="shared" si="127"/>
        <v>49151231.234768897</v>
      </c>
      <c r="IE81" s="126">
        <f t="shared" si="127"/>
        <v>2655439887.7357922</v>
      </c>
      <c r="IF81" s="47" t="s">
        <v>34</v>
      </c>
    </row>
    <row r="82" spans="1:240" customFormat="1" ht="14.5" x14ac:dyDescent="0.35">
      <c r="B82" s="117" t="s">
        <v>120</v>
      </c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8"/>
      <c r="Z82" s="118"/>
      <c r="AA82" s="118"/>
      <c r="AB82" s="118"/>
      <c r="AC82" s="118"/>
      <c r="AD82" s="118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118"/>
      <c r="DO82" s="118"/>
      <c r="DP82" s="118"/>
      <c r="DQ82" s="118"/>
      <c r="DR82" s="118"/>
      <c r="DS82" s="118"/>
      <c r="DT82" s="118"/>
      <c r="DU82" s="118"/>
      <c r="DV82" s="118"/>
      <c r="DW82" s="118"/>
      <c r="DX82" s="118"/>
      <c r="DY82" s="118"/>
      <c r="DZ82" s="118"/>
      <c r="EA82" s="118"/>
      <c r="EB82" s="118"/>
      <c r="EC82" s="118"/>
      <c r="ED82" s="118"/>
      <c r="EE82" s="118"/>
      <c r="EF82" s="118"/>
      <c r="EG82" s="118"/>
      <c r="EH82" s="118"/>
      <c r="EI82" s="118"/>
      <c r="EJ82" s="118"/>
      <c r="EK82" s="118"/>
      <c r="EL82" s="118"/>
      <c r="EM82" s="118"/>
      <c r="EN82" s="118"/>
      <c r="EO82" s="118"/>
      <c r="EP82" s="118"/>
      <c r="EQ82" s="118"/>
      <c r="ER82" s="118"/>
      <c r="ES82" s="118"/>
      <c r="ET82" s="118"/>
      <c r="EU82" s="118"/>
      <c r="EV82" s="118"/>
      <c r="EW82" s="118"/>
      <c r="EX82" s="118"/>
      <c r="EY82" s="118"/>
      <c r="EZ82" s="118"/>
      <c r="FA82" s="118"/>
      <c r="FB82" s="118"/>
      <c r="FC82" s="118"/>
      <c r="FD82" s="118"/>
      <c r="FE82" s="118"/>
      <c r="FF82" s="118"/>
      <c r="FG82" s="118"/>
      <c r="FH82" s="118"/>
      <c r="FI82" s="118"/>
      <c r="FJ82" s="118"/>
      <c r="FK82" s="118"/>
      <c r="FL82" s="118"/>
      <c r="FM82" s="118"/>
      <c r="FN82" s="118"/>
      <c r="FO82" s="118"/>
      <c r="FP82" s="118"/>
      <c r="FQ82" s="118"/>
      <c r="FR82" s="118"/>
      <c r="FS82" s="118"/>
      <c r="FT82" s="118"/>
      <c r="FU82" s="118"/>
      <c r="FV82" s="118"/>
      <c r="FW82" s="118"/>
      <c r="FX82" s="118"/>
      <c r="FY82" s="118"/>
      <c r="FZ82" s="118"/>
      <c r="GA82" s="118"/>
      <c r="GB82" s="118"/>
      <c r="GC82" s="118"/>
      <c r="GD82" s="118"/>
      <c r="GE82" s="118"/>
      <c r="GF82" s="118"/>
      <c r="GG82" s="118"/>
      <c r="GH82" s="118"/>
      <c r="GI82" s="118"/>
      <c r="GJ82" s="118"/>
      <c r="GK82" s="118"/>
      <c r="GL82" s="118"/>
      <c r="GM82" s="118"/>
      <c r="GN82" s="118"/>
      <c r="GO82" s="118"/>
      <c r="GP82" s="118"/>
      <c r="GQ82" s="118"/>
      <c r="GR82" s="118"/>
      <c r="GS82" s="118"/>
      <c r="GT82" s="118"/>
      <c r="GU82" s="118"/>
      <c r="GV82" s="118"/>
      <c r="GW82" s="118"/>
      <c r="GX82" s="118"/>
      <c r="GY82" s="118"/>
      <c r="GZ82" s="118"/>
      <c r="HA82" s="118"/>
      <c r="HB82" s="118"/>
      <c r="HC82" s="118"/>
      <c r="HD82" s="118"/>
      <c r="HE82" s="118"/>
      <c r="HF82" s="118"/>
      <c r="HG82" s="118"/>
      <c r="HH82" s="118"/>
      <c r="HI82" s="118"/>
      <c r="HJ82" s="118"/>
      <c r="HK82" s="118"/>
      <c r="HL82" s="118"/>
      <c r="HM82" s="118"/>
      <c r="HN82" s="118"/>
      <c r="HO82" s="118"/>
      <c r="HP82" s="118"/>
      <c r="HQ82" s="118"/>
      <c r="HR82" s="118"/>
      <c r="HS82" s="118"/>
      <c r="HT82" s="118"/>
      <c r="HU82" s="118"/>
      <c r="HV82" s="118"/>
      <c r="HW82" s="118"/>
      <c r="HX82" s="118"/>
      <c r="HY82" s="118"/>
      <c r="HZ82" s="118"/>
      <c r="IA82" s="118"/>
      <c r="IB82" s="118"/>
      <c r="IC82" s="118"/>
      <c r="ID82" s="118"/>
      <c r="IE82" s="118"/>
      <c r="IF82" t="s">
        <v>34</v>
      </c>
    </row>
    <row r="83" spans="1:240" customFormat="1" ht="15" customHeight="1" x14ac:dyDescent="0.35">
      <c r="A83" s="127">
        <f>SUM(C83:IE83)</f>
        <v>212686741.6393337</v>
      </c>
      <c r="B83" s="128" t="s">
        <v>121</v>
      </c>
      <c r="C83" s="129">
        <f>C80-C77</f>
        <v>0</v>
      </c>
      <c r="D83" s="129">
        <f t="shared" ref="D83:BO84" si="129">D80-D77</f>
        <v>0</v>
      </c>
      <c r="E83" s="129">
        <f t="shared" si="129"/>
        <v>0</v>
      </c>
      <c r="F83" s="129">
        <f t="shared" si="129"/>
        <v>0</v>
      </c>
      <c r="G83" s="129">
        <f t="shared" si="129"/>
        <v>0</v>
      </c>
      <c r="H83" s="129">
        <f t="shared" si="129"/>
        <v>0</v>
      </c>
      <c r="I83" s="129">
        <f t="shared" si="129"/>
        <v>0</v>
      </c>
      <c r="J83" s="129">
        <f t="shared" si="129"/>
        <v>0</v>
      </c>
      <c r="K83" s="129">
        <f t="shared" si="129"/>
        <v>0</v>
      </c>
      <c r="L83" s="129">
        <f t="shared" si="129"/>
        <v>0</v>
      </c>
      <c r="M83" s="129">
        <f t="shared" si="129"/>
        <v>0</v>
      </c>
      <c r="N83" s="129">
        <f t="shared" si="129"/>
        <v>0</v>
      </c>
      <c r="O83" s="129">
        <f t="shared" si="129"/>
        <v>0</v>
      </c>
      <c r="P83" s="129">
        <f t="shared" si="129"/>
        <v>0</v>
      </c>
      <c r="Q83" s="129">
        <f t="shared" si="129"/>
        <v>0</v>
      </c>
      <c r="R83" s="129">
        <f t="shared" si="129"/>
        <v>0</v>
      </c>
      <c r="S83" s="129">
        <f t="shared" si="129"/>
        <v>0</v>
      </c>
      <c r="T83" s="129">
        <f t="shared" si="129"/>
        <v>0</v>
      </c>
      <c r="U83" s="129">
        <f t="shared" si="129"/>
        <v>0</v>
      </c>
      <c r="V83" s="129">
        <f t="shared" si="129"/>
        <v>0</v>
      </c>
      <c r="W83" s="129">
        <f t="shared" si="129"/>
        <v>0</v>
      </c>
      <c r="X83" s="129">
        <f>X80-X77</f>
        <v>0</v>
      </c>
      <c r="Y83" s="129">
        <f t="shared" si="129"/>
        <v>0</v>
      </c>
      <c r="Z83" s="129">
        <f t="shared" si="129"/>
        <v>0</v>
      </c>
      <c r="AA83" s="129">
        <f t="shared" si="129"/>
        <v>0</v>
      </c>
      <c r="AB83" s="129">
        <f t="shared" si="129"/>
        <v>0</v>
      </c>
      <c r="AC83" s="129">
        <f t="shared" si="129"/>
        <v>0</v>
      </c>
      <c r="AD83" s="129">
        <f t="shared" si="129"/>
        <v>0</v>
      </c>
      <c r="AE83" s="129">
        <f t="shared" si="129"/>
        <v>0</v>
      </c>
      <c r="AF83" s="129">
        <f>AF80-AF77</f>
        <v>0</v>
      </c>
      <c r="AG83" s="129">
        <f t="shared" si="129"/>
        <v>0</v>
      </c>
      <c r="AH83" s="129">
        <f t="shared" si="129"/>
        <v>0</v>
      </c>
      <c r="AI83" s="129">
        <f t="shared" si="129"/>
        <v>0</v>
      </c>
      <c r="AJ83" s="129">
        <f t="shared" si="129"/>
        <v>0</v>
      </c>
      <c r="AK83" s="129">
        <f t="shared" si="129"/>
        <v>0</v>
      </c>
      <c r="AL83" s="129">
        <f t="shared" si="129"/>
        <v>0</v>
      </c>
      <c r="AM83" s="129">
        <f t="shared" si="129"/>
        <v>0</v>
      </c>
      <c r="AN83" s="129">
        <f t="shared" si="129"/>
        <v>0</v>
      </c>
      <c r="AO83" s="129">
        <f t="shared" si="129"/>
        <v>-128668.89679755177</v>
      </c>
      <c r="AP83" s="129">
        <f t="shared" si="129"/>
        <v>0</v>
      </c>
      <c r="AQ83" s="129">
        <f t="shared" si="129"/>
        <v>0</v>
      </c>
      <c r="AR83" s="129">
        <f t="shared" si="129"/>
        <v>0</v>
      </c>
      <c r="AS83" s="129">
        <f t="shared" si="129"/>
        <v>0</v>
      </c>
      <c r="AT83" s="129">
        <f t="shared" si="129"/>
        <v>0</v>
      </c>
      <c r="AU83" s="129">
        <f t="shared" si="129"/>
        <v>0</v>
      </c>
      <c r="AV83" s="129">
        <f t="shared" si="129"/>
        <v>0</v>
      </c>
      <c r="AW83" s="129">
        <f t="shared" si="129"/>
        <v>0</v>
      </c>
      <c r="AX83" s="129">
        <f t="shared" si="129"/>
        <v>0</v>
      </c>
      <c r="AY83" s="129">
        <f t="shared" si="129"/>
        <v>0</v>
      </c>
      <c r="AZ83" s="129">
        <f t="shared" si="129"/>
        <v>0</v>
      </c>
      <c r="BA83" s="129">
        <f t="shared" si="129"/>
        <v>0</v>
      </c>
      <c r="BB83" s="129">
        <f t="shared" si="129"/>
        <v>0</v>
      </c>
      <c r="BC83" s="129">
        <f t="shared" si="129"/>
        <v>0</v>
      </c>
      <c r="BD83" s="129">
        <f t="shared" si="129"/>
        <v>0</v>
      </c>
      <c r="BE83" s="129">
        <f t="shared" si="129"/>
        <v>0</v>
      </c>
      <c r="BF83" s="129">
        <f t="shared" si="129"/>
        <v>0</v>
      </c>
      <c r="BG83" s="129">
        <f t="shared" si="129"/>
        <v>0</v>
      </c>
      <c r="BH83" s="129">
        <f t="shared" si="129"/>
        <v>0</v>
      </c>
      <c r="BI83" s="129">
        <f t="shared" si="129"/>
        <v>0</v>
      </c>
      <c r="BJ83" s="129">
        <f t="shared" si="129"/>
        <v>0</v>
      </c>
      <c r="BK83" s="129">
        <f t="shared" si="129"/>
        <v>0</v>
      </c>
      <c r="BL83" s="129">
        <f t="shared" si="129"/>
        <v>0</v>
      </c>
      <c r="BM83" s="129">
        <f t="shared" si="129"/>
        <v>0</v>
      </c>
      <c r="BN83" s="129">
        <f t="shared" si="129"/>
        <v>0</v>
      </c>
      <c r="BO83" s="129">
        <f t="shared" si="129"/>
        <v>0</v>
      </c>
      <c r="BP83" s="129">
        <f t="shared" ref="BP83:IE84" si="130">BP80-BP77</f>
        <v>0</v>
      </c>
      <c r="BQ83" s="129">
        <f t="shared" si="130"/>
        <v>0</v>
      </c>
      <c r="BR83" s="129">
        <f t="shared" si="130"/>
        <v>0</v>
      </c>
      <c r="BS83" s="129">
        <f t="shared" si="130"/>
        <v>0</v>
      </c>
      <c r="BT83" s="129">
        <f t="shared" si="130"/>
        <v>423891.40592988755</v>
      </c>
      <c r="BU83" s="129">
        <f>BU80-BU77</f>
        <v>0</v>
      </c>
      <c r="BV83" s="129">
        <f>BV80-BV77</f>
        <v>0</v>
      </c>
      <c r="BW83" s="129">
        <f t="shared" si="130"/>
        <v>295222.50913233683</v>
      </c>
      <c r="BX83" s="129">
        <f t="shared" si="130"/>
        <v>295222.50913232565</v>
      </c>
      <c r="BY83" s="129">
        <f t="shared" si="130"/>
        <v>0</v>
      </c>
      <c r="BZ83" s="129">
        <f t="shared" si="130"/>
        <v>0</v>
      </c>
      <c r="CA83" s="129">
        <f t="shared" si="130"/>
        <v>0</v>
      </c>
      <c r="CB83" s="129">
        <f t="shared" si="130"/>
        <v>0</v>
      </c>
      <c r="CC83" s="129">
        <f t="shared" si="130"/>
        <v>-1603510.392272976</v>
      </c>
      <c r="CD83" s="129">
        <f t="shared" si="130"/>
        <v>0</v>
      </c>
      <c r="CE83" s="129">
        <f t="shared" si="130"/>
        <v>0</v>
      </c>
      <c r="CF83" s="129">
        <f t="shared" si="130"/>
        <v>0</v>
      </c>
      <c r="CG83" s="129">
        <f t="shared" si="130"/>
        <v>0</v>
      </c>
      <c r="CH83" s="129">
        <f t="shared" si="130"/>
        <v>0</v>
      </c>
      <c r="CI83" s="129">
        <f t="shared" si="130"/>
        <v>0</v>
      </c>
      <c r="CJ83" s="129">
        <f t="shared" si="130"/>
        <v>0</v>
      </c>
      <c r="CK83" s="129">
        <f t="shared" si="130"/>
        <v>0</v>
      </c>
      <c r="CL83" s="129">
        <f t="shared" si="130"/>
        <v>0</v>
      </c>
      <c r="CM83" s="129">
        <f t="shared" si="130"/>
        <v>0</v>
      </c>
      <c r="CN83" s="129">
        <f t="shared" si="130"/>
        <v>0</v>
      </c>
      <c r="CO83" s="129">
        <f t="shared" si="130"/>
        <v>0</v>
      </c>
      <c r="CP83" s="129">
        <f t="shared" si="130"/>
        <v>0</v>
      </c>
      <c r="CQ83" s="129">
        <f t="shared" si="130"/>
        <v>0</v>
      </c>
      <c r="CR83" s="129">
        <f t="shared" si="130"/>
        <v>0</v>
      </c>
      <c r="CS83" s="129">
        <f t="shared" si="130"/>
        <v>0</v>
      </c>
      <c r="CT83" s="129">
        <f t="shared" si="130"/>
        <v>0</v>
      </c>
      <c r="CU83" s="129">
        <f t="shared" si="130"/>
        <v>0</v>
      </c>
      <c r="CV83" s="129">
        <f t="shared" si="130"/>
        <v>0</v>
      </c>
      <c r="CW83" s="129">
        <f t="shared" si="130"/>
        <v>0</v>
      </c>
      <c r="CX83" s="129">
        <f t="shared" si="130"/>
        <v>0</v>
      </c>
      <c r="CY83" s="129">
        <f t="shared" si="130"/>
        <v>0</v>
      </c>
      <c r="CZ83" s="129">
        <f t="shared" si="130"/>
        <v>0</v>
      </c>
      <c r="DA83" s="129">
        <f t="shared" si="130"/>
        <v>0</v>
      </c>
      <c r="DB83" s="129">
        <f t="shared" si="130"/>
        <v>0</v>
      </c>
      <c r="DC83" s="129">
        <f t="shared" si="130"/>
        <v>0</v>
      </c>
      <c r="DD83" s="129">
        <f t="shared" si="130"/>
        <v>1787695.5679546446</v>
      </c>
      <c r="DE83" s="129">
        <f t="shared" si="130"/>
        <v>4585769.3112000003</v>
      </c>
      <c r="DF83" s="129">
        <f t="shared" si="130"/>
        <v>0</v>
      </c>
      <c r="DG83" s="129">
        <f t="shared" si="130"/>
        <v>0</v>
      </c>
      <c r="DH83" s="129">
        <f>DH80-DH77</f>
        <v>0</v>
      </c>
      <c r="DI83" s="129"/>
      <c r="DJ83" s="129">
        <f>DJ80-DJ77</f>
        <v>0</v>
      </c>
      <c r="DK83" s="129">
        <f t="shared" si="130"/>
        <v>4726711.3332837168</v>
      </c>
      <c r="DL83" s="129">
        <f t="shared" si="130"/>
        <v>5021933.8424161077</v>
      </c>
      <c r="DM83" s="129">
        <f t="shared" si="130"/>
        <v>0</v>
      </c>
      <c r="DN83" s="129">
        <f t="shared" si="130"/>
        <v>0</v>
      </c>
      <c r="DO83" s="129">
        <f t="shared" si="130"/>
        <v>0</v>
      </c>
      <c r="DP83" s="129">
        <f t="shared" si="130"/>
        <v>0</v>
      </c>
      <c r="DQ83" s="129">
        <f t="shared" si="130"/>
        <v>-598289.20238601218</v>
      </c>
      <c r="DR83" s="129">
        <f t="shared" si="130"/>
        <v>0</v>
      </c>
      <c r="DS83" s="129">
        <f t="shared" si="130"/>
        <v>0</v>
      </c>
      <c r="DT83" s="129">
        <f t="shared" si="130"/>
        <v>0</v>
      </c>
      <c r="DU83" s="129">
        <f t="shared" si="130"/>
        <v>0</v>
      </c>
      <c r="DV83" s="129">
        <f t="shared" si="130"/>
        <v>0</v>
      </c>
      <c r="DW83" s="129">
        <f t="shared" si="130"/>
        <v>0</v>
      </c>
      <c r="DX83" s="129">
        <f t="shared" si="130"/>
        <v>0</v>
      </c>
      <c r="DY83" s="129">
        <f t="shared" si="130"/>
        <v>0</v>
      </c>
      <c r="DZ83" s="129">
        <f t="shared" si="130"/>
        <v>0</v>
      </c>
      <c r="EA83" s="129">
        <f t="shared" si="130"/>
        <v>0</v>
      </c>
      <c r="EB83" s="129">
        <f t="shared" si="130"/>
        <v>0</v>
      </c>
      <c r="EC83" s="129">
        <f t="shared" si="130"/>
        <v>0</v>
      </c>
      <c r="ED83" s="129">
        <f t="shared" si="130"/>
        <v>0</v>
      </c>
      <c r="EE83" s="129">
        <f t="shared" si="130"/>
        <v>0</v>
      </c>
      <c r="EF83" s="129">
        <f t="shared" si="130"/>
        <v>0</v>
      </c>
      <c r="EG83" s="129">
        <f t="shared" si="130"/>
        <v>0</v>
      </c>
      <c r="EH83" s="129">
        <f t="shared" si="130"/>
        <v>23969065.908397049</v>
      </c>
      <c r="EI83" s="129">
        <f t="shared" si="130"/>
        <v>0</v>
      </c>
      <c r="EJ83" s="129">
        <f t="shared" si="130"/>
        <v>0</v>
      </c>
      <c r="EK83" s="129">
        <f t="shared" si="130"/>
        <v>0</v>
      </c>
      <c r="EL83" s="129">
        <f t="shared" si="130"/>
        <v>0</v>
      </c>
      <c r="EM83" s="129">
        <f t="shared" si="130"/>
        <v>574588.94948669011</v>
      </c>
      <c r="EN83" s="129">
        <f t="shared" si="130"/>
        <v>0</v>
      </c>
      <c r="EO83" s="129">
        <f t="shared" si="130"/>
        <v>0</v>
      </c>
      <c r="EP83" s="129">
        <f t="shared" si="130"/>
        <v>0</v>
      </c>
      <c r="EQ83" s="129">
        <f t="shared" si="130"/>
        <v>0</v>
      </c>
      <c r="ER83" s="129">
        <f t="shared" si="130"/>
        <v>1272606.1800903678</v>
      </c>
      <c r="ES83" s="129">
        <f t="shared" si="130"/>
        <v>-557164.24800000014</v>
      </c>
      <c r="ET83" s="129">
        <f t="shared" si="130"/>
        <v>0</v>
      </c>
      <c r="EU83" s="129">
        <f t="shared" si="130"/>
        <v>1658740.3896547803</v>
      </c>
      <c r="EV83" s="129">
        <f>EV80-EV77</f>
        <v>0</v>
      </c>
      <c r="EW83" s="129"/>
      <c r="EX83" s="129"/>
      <c r="EY83" s="129">
        <f>EY80-EY77</f>
        <v>6106358.8464405183</v>
      </c>
      <c r="EZ83" s="129">
        <f t="shared" si="130"/>
        <v>33904627.722079724</v>
      </c>
      <c r="FA83" s="129">
        <f t="shared" si="130"/>
        <v>38926561.564495862</v>
      </c>
      <c r="FB83" s="129">
        <f t="shared" si="130"/>
        <v>0</v>
      </c>
      <c r="FC83" s="129">
        <f t="shared" si="130"/>
        <v>0</v>
      </c>
      <c r="FD83" s="129">
        <f t="shared" si="130"/>
        <v>0</v>
      </c>
      <c r="FE83" s="129">
        <f t="shared" si="130"/>
        <v>0</v>
      </c>
      <c r="FF83" s="129">
        <f t="shared" si="130"/>
        <v>-480445.52604208002</v>
      </c>
      <c r="FG83" s="129">
        <f t="shared" si="130"/>
        <v>0</v>
      </c>
      <c r="FH83" s="129">
        <f t="shared" si="130"/>
        <v>0</v>
      </c>
      <c r="FI83" s="129">
        <f t="shared" si="130"/>
        <v>0</v>
      </c>
      <c r="FJ83" s="129">
        <f t="shared" si="130"/>
        <v>0</v>
      </c>
      <c r="FK83" s="129">
        <f t="shared" si="130"/>
        <v>0</v>
      </c>
      <c r="FL83" s="129">
        <f t="shared" si="130"/>
        <v>0</v>
      </c>
      <c r="FM83" s="129">
        <f t="shared" si="130"/>
        <v>0</v>
      </c>
      <c r="FN83" s="129">
        <f t="shared" si="130"/>
        <v>0</v>
      </c>
      <c r="FO83" s="129">
        <f t="shared" si="130"/>
        <v>0</v>
      </c>
      <c r="FP83" s="129">
        <f t="shared" si="130"/>
        <v>0</v>
      </c>
      <c r="FQ83" s="129">
        <f t="shared" si="130"/>
        <v>0</v>
      </c>
      <c r="FR83" s="129">
        <f t="shared" si="130"/>
        <v>0</v>
      </c>
      <c r="FS83" s="129">
        <f t="shared" si="130"/>
        <v>0</v>
      </c>
      <c r="FT83" s="129">
        <f t="shared" si="130"/>
        <v>0</v>
      </c>
      <c r="FU83" s="129">
        <f t="shared" si="130"/>
        <v>0</v>
      </c>
      <c r="FV83" s="129">
        <f t="shared" si="130"/>
        <v>0</v>
      </c>
      <c r="FW83" s="129">
        <f t="shared" si="130"/>
        <v>1028832.8395788143</v>
      </c>
      <c r="FX83" s="129">
        <f t="shared" si="130"/>
        <v>0</v>
      </c>
      <c r="FY83" s="129">
        <f t="shared" si="130"/>
        <v>0</v>
      </c>
      <c r="FZ83" s="129">
        <f>FZ80-FZ77</f>
        <v>0</v>
      </c>
      <c r="GA83" s="129">
        <f t="shared" si="130"/>
        <v>0</v>
      </c>
      <c r="GB83" s="129">
        <f t="shared" si="130"/>
        <v>0</v>
      </c>
      <c r="GC83" s="129">
        <f t="shared" si="130"/>
        <v>0</v>
      </c>
      <c r="GD83" s="129">
        <f t="shared" si="130"/>
        <v>0</v>
      </c>
      <c r="GE83" s="129">
        <f t="shared" si="130"/>
        <v>0</v>
      </c>
      <c r="GF83" s="129">
        <f t="shared" si="130"/>
        <v>0</v>
      </c>
      <c r="GG83" s="129">
        <f t="shared" si="130"/>
        <v>1095061.5034945337</v>
      </c>
      <c r="GH83" s="129">
        <f t="shared" si="130"/>
        <v>0</v>
      </c>
      <c r="GI83" s="129">
        <f t="shared" si="130"/>
        <v>0</v>
      </c>
      <c r="GJ83" s="129">
        <f t="shared" si="130"/>
        <v>0</v>
      </c>
      <c r="GK83" s="129">
        <f>GK80-GK77</f>
        <v>0</v>
      </c>
      <c r="GL83" s="129"/>
      <c r="GM83" s="129"/>
      <c r="GN83" s="129">
        <f>GN80-GN77</f>
        <v>0</v>
      </c>
      <c r="GO83" s="129">
        <f t="shared" si="130"/>
        <v>3212664.9212583415</v>
      </c>
      <c r="GP83" s="129">
        <f t="shared" si="130"/>
        <v>42139226.485754192</v>
      </c>
      <c r="GQ83" s="129">
        <f t="shared" si="130"/>
        <v>0</v>
      </c>
      <c r="GR83" s="129">
        <f t="shared" si="130"/>
        <v>0</v>
      </c>
      <c r="GS83" s="129">
        <f t="shared" si="130"/>
        <v>0</v>
      </c>
      <c r="GT83" s="129">
        <f t="shared" si="130"/>
        <v>0</v>
      </c>
      <c r="GU83" s="129">
        <f t="shared" si="130"/>
        <v>-238573.15833235515</v>
      </c>
      <c r="GV83" s="129">
        <f t="shared" si="130"/>
        <v>0</v>
      </c>
      <c r="GW83" s="129">
        <f t="shared" si="130"/>
        <v>0</v>
      </c>
      <c r="GX83" s="129">
        <f t="shared" si="130"/>
        <v>0</v>
      </c>
      <c r="GY83" s="129">
        <f t="shared" si="130"/>
        <v>0</v>
      </c>
      <c r="GZ83" s="129">
        <f t="shared" si="130"/>
        <v>0</v>
      </c>
      <c r="HA83" s="129">
        <f t="shared" si="130"/>
        <v>0</v>
      </c>
      <c r="HB83" s="129">
        <f t="shared" si="130"/>
        <v>0</v>
      </c>
      <c r="HC83" s="129">
        <f t="shared" si="130"/>
        <v>0</v>
      </c>
      <c r="HD83" s="129">
        <f t="shared" si="130"/>
        <v>0</v>
      </c>
      <c r="HE83" s="129">
        <f t="shared" si="130"/>
        <v>0</v>
      </c>
      <c r="HF83" s="129">
        <f t="shared" si="130"/>
        <v>0</v>
      </c>
      <c r="HG83" s="129">
        <f t="shared" si="130"/>
        <v>0</v>
      </c>
      <c r="HH83" s="129">
        <f t="shared" si="130"/>
        <v>0</v>
      </c>
      <c r="HI83" s="129">
        <f t="shared" si="130"/>
        <v>0</v>
      </c>
      <c r="HJ83" s="129">
        <f t="shared" si="130"/>
        <v>0</v>
      </c>
      <c r="HK83" s="129">
        <f t="shared" si="130"/>
        <v>0</v>
      </c>
      <c r="HL83" s="129">
        <f t="shared" si="130"/>
        <v>415331.93801556434</v>
      </c>
      <c r="HM83" s="129">
        <f t="shared" si="130"/>
        <v>0</v>
      </c>
      <c r="HN83" s="129">
        <f t="shared" si="130"/>
        <v>0</v>
      </c>
      <c r="HO83" s="129">
        <f t="shared" si="130"/>
        <v>0</v>
      </c>
      <c r="HP83" s="129">
        <f t="shared" si="130"/>
        <v>0</v>
      </c>
      <c r="HQ83" s="129">
        <f t="shared" si="130"/>
        <v>-574588.94948669011</v>
      </c>
      <c r="HR83" s="129">
        <f t="shared" si="130"/>
        <v>0</v>
      </c>
      <c r="HS83" s="129">
        <f t="shared" si="130"/>
        <v>0</v>
      </c>
      <c r="HT83" s="129">
        <f t="shared" si="130"/>
        <v>0</v>
      </c>
      <c r="HU83" s="129">
        <f t="shared" si="130"/>
        <v>0</v>
      </c>
      <c r="HV83" s="129">
        <f t="shared" si="130"/>
        <v>917396.81441959797</v>
      </c>
      <c r="HW83" s="129">
        <f t="shared" si="130"/>
        <v>0</v>
      </c>
      <c r="HX83" s="129">
        <f t="shared" si="130"/>
        <v>0</v>
      </c>
      <c r="HY83" s="129">
        <f t="shared" si="130"/>
        <v>0</v>
      </c>
      <c r="HZ83" s="129">
        <f t="shared" si="130"/>
        <v>0</v>
      </c>
      <c r="IA83" s="129"/>
      <c r="IB83" s="129"/>
      <c r="IC83" s="129">
        <f t="shared" si="130"/>
        <v>0</v>
      </c>
      <c r="ID83" s="129">
        <f t="shared" si="130"/>
        <v>1185622.4923410313</v>
      </c>
      <c r="IE83" s="129">
        <f t="shared" si="130"/>
        <v>43324848.978095293</v>
      </c>
    </row>
    <row r="84" spans="1:240" customFormat="1" ht="15.75" customHeight="1" x14ac:dyDescent="0.35">
      <c r="A84" s="127">
        <f>SUM(C84:IE84)</f>
        <v>-2903310200.4804912</v>
      </c>
      <c r="B84" s="131" t="s">
        <v>122</v>
      </c>
      <c r="C84" s="132">
        <f>C81-C78</f>
        <v>0</v>
      </c>
      <c r="D84" s="132">
        <f t="shared" si="129"/>
        <v>0</v>
      </c>
      <c r="E84" s="132">
        <f t="shared" si="129"/>
        <v>0</v>
      </c>
      <c r="F84" s="132">
        <f t="shared" si="129"/>
        <v>0</v>
      </c>
      <c r="G84" s="132">
        <f t="shared" si="129"/>
        <v>0</v>
      </c>
      <c r="H84" s="132">
        <f t="shared" si="129"/>
        <v>0</v>
      </c>
      <c r="I84" s="132">
        <f t="shared" si="129"/>
        <v>0</v>
      </c>
      <c r="J84" s="132">
        <f t="shared" si="129"/>
        <v>0</v>
      </c>
      <c r="K84" s="132">
        <f t="shared" si="129"/>
        <v>0</v>
      </c>
      <c r="L84" s="132">
        <f t="shared" si="129"/>
        <v>0</v>
      </c>
      <c r="M84" s="132">
        <f t="shared" si="129"/>
        <v>0</v>
      </c>
      <c r="N84" s="132">
        <f t="shared" si="129"/>
        <v>0</v>
      </c>
      <c r="O84" s="132">
        <f t="shared" si="129"/>
        <v>0</v>
      </c>
      <c r="P84" s="132">
        <f t="shared" si="129"/>
        <v>0</v>
      </c>
      <c r="Q84" s="132">
        <f t="shared" si="129"/>
        <v>0</v>
      </c>
      <c r="R84" s="132">
        <f t="shared" si="129"/>
        <v>0</v>
      </c>
      <c r="S84" s="132">
        <f t="shared" si="129"/>
        <v>0</v>
      </c>
      <c r="T84" s="132">
        <f t="shared" si="129"/>
        <v>0</v>
      </c>
      <c r="U84" s="132">
        <f t="shared" si="129"/>
        <v>0</v>
      </c>
      <c r="V84" s="132">
        <f t="shared" si="129"/>
        <v>0</v>
      </c>
      <c r="W84" s="132">
        <f t="shared" si="129"/>
        <v>0</v>
      </c>
      <c r="X84" s="132">
        <f>X81-X78</f>
        <v>0</v>
      </c>
      <c r="Y84" s="132">
        <f t="shared" si="129"/>
        <v>0</v>
      </c>
      <c r="Z84" s="132">
        <f t="shared" si="129"/>
        <v>0</v>
      </c>
      <c r="AA84" s="132">
        <f t="shared" si="129"/>
        <v>0</v>
      </c>
      <c r="AB84" s="132">
        <f t="shared" si="129"/>
        <v>0</v>
      </c>
      <c r="AC84" s="132">
        <f t="shared" si="129"/>
        <v>0</v>
      </c>
      <c r="AD84" s="132">
        <f t="shared" si="129"/>
        <v>0</v>
      </c>
      <c r="AE84" s="132">
        <f t="shared" si="129"/>
        <v>0</v>
      </c>
      <c r="AF84" s="132">
        <f>AF81-AF78</f>
        <v>0</v>
      </c>
      <c r="AG84" s="132">
        <f t="shared" si="129"/>
        <v>0</v>
      </c>
      <c r="AH84" s="132">
        <f t="shared" si="129"/>
        <v>0</v>
      </c>
      <c r="AI84" s="132">
        <f t="shared" si="129"/>
        <v>0</v>
      </c>
      <c r="AJ84" s="132">
        <f t="shared" si="129"/>
        <v>0</v>
      </c>
      <c r="AK84" s="132">
        <f t="shared" si="129"/>
        <v>0</v>
      </c>
      <c r="AL84" s="132">
        <f t="shared" si="129"/>
        <v>0</v>
      </c>
      <c r="AM84" s="132">
        <f t="shared" si="129"/>
        <v>0</v>
      </c>
      <c r="AN84" s="132">
        <f t="shared" si="129"/>
        <v>0</v>
      </c>
      <c r="AO84" s="132">
        <f t="shared" si="129"/>
        <v>0</v>
      </c>
      <c r="AP84" s="132">
        <f t="shared" si="129"/>
        <v>0</v>
      </c>
      <c r="AQ84" s="132">
        <f t="shared" si="129"/>
        <v>0</v>
      </c>
      <c r="AR84" s="132">
        <f t="shared" si="129"/>
        <v>0</v>
      </c>
      <c r="AS84" s="132">
        <f t="shared" si="129"/>
        <v>0</v>
      </c>
      <c r="AT84" s="132">
        <f t="shared" si="129"/>
        <v>0</v>
      </c>
      <c r="AU84" s="132">
        <f t="shared" si="129"/>
        <v>0</v>
      </c>
      <c r="AV84" s="132">
        <f t="shared" si="129"/>
        <v>0</v>
      </c>
      <c r="AW84" s="132">
        <f t="shared" si="129"/>
        <v>0</v>
      </c>
      <c r="AX84" s="132">
        <f t="shared" si="129"/>
        <v>0</v>
      </c>
      <c r="AY84" s="132">
        <f t="shared" si="129"/>
        <v>0</v>
      </c>
      <c r="AZ84" s="132">
        <f t="shared" si="129"/>
        <v>0</v>
      </c>
      <c r="BA84" s="132">
        <f t="shared" si="129"/>
        <v>0</v>
      </c>
      <c r="BB84" s="132">
        <f t="shared" si="129"/>
        <v>0</v>
      </c>
      <c r="BC84" s="132">
        <f t="shared" si="129"/>
        <v>0</v>
      </c>
      <c r="BD84" s="132">
        <f t="shared" si="129"/>
        <v>0</v>
      </c>
      <c r="BE84" s="132">
        <f t="shared" si="129"/>
        <v>0</v>
      </c>
      <c r="BF84" s="132">
        <f t="shared" si="129"/>
        <v>0</v>
      </c>
      <c r="BG84" s="132">
        <f t="shared" si="129"/>
        <v>0</v>
      </c>
      <c r="BH84" s="132">
        <f t="shared" si="129"/>
        <v>0</v>
      </c>
      <c r="BI84" s="132">
        <f t="shared" si="129"/>
        <v>0</v>
      </c>
      <c r="BJ84" s="132">
        <f t="shared" si="129"/>
        <v>0</v>
      </c>
      <c r="BK84" s="132">
        <f t="shared" si="129"/>
        <v>-352391.03260144952</v>
      </c>
      <c r="BL84" s="132">
        <f t="shared" si="129"/>
        <v>0</v>
      </c>
      <c r="BM84" s="132">
        <f t="shared" si="129"/>
        <v>0</v>
      </c>
      <c r="BN84" s="132">
        <f t="shared" si="129"/>
        <v>0</v>
      </c>
      <c r="BO84" s="132">
        <f t="shared" si="129"/>
        <v>0</v>
      </c>
      <c r="BP84" s="132">
        <f t="shared" si="130"/>
        <v>0</v>
      </c>
      <c r="BQ84" s="132">
        <f t="shared" si="130"/>
        <v>0</v>
      </c>
      <c r="BR84" s="132">
        <f t="shared" si="130"/>
        <v>0</v>
      </c>
      <c r="BS84" s="132">
        <f t="shared" si="130"/>
        <v>0</v>
      </c>
      <c r="BT84" s="132">
        <f t="shared" si="130"/>
        <v>-23770011.81658344</v>
      </c>
      <c r="BU84" s="132">
        <f>BU81-BU78</f>
        <v>0</v>
      </c>
      <c r="BV84" s="132">
        <f>BV81-BV78</f>
        <v>0</v>
      </c>
      <c r="BW84" s="132">
        <f t="shared" si="130"/>
        <v>-24122402.849184901</v>
      </c>
      <c r="BX84" s="132">
        <f t="shared" si="130"/>
        <v>-24122402.84918499</v>
      </c>
      <c r="BY84" s="132">
        <f t="shared" si="130"/>
        <v>0</v>
      </c>
      <c r="BZ84" s="132">
        <f t="shared" si="130"/>
        <v>0</v>
      </c>
      <c r="CA84" s="132">
        <f t="shared" si="130"/>
        <v>0</v>
      </c>
      <c r="CB84" s="132">
        <f t="shared" si="130"/>
        <v>0</v>
      </c>
      <c r="CC84" s="132">
        <f t="shared" si="130"/>
        <v>0</v>
      </c>
      <c r="CD84" s="132">
        <f t="shared" si="130"/>
        <v>0</v>
      </c>
      <c r="CE84" s="132">
        <f t="shared" si="130"/>
        <v>0</v>
      </c>
      <c r="CF84" s="132">
        <f t="shared" si="130"/>
        <v>0</v>
      </c>
      <c r="CG84" s="132">
        <f t="shared" si="130"/>
        <v>0</v>
      </c>
      <c r="CH84" s="132">
        <f t="shared" si="130"/>
        <v>0</v>
      </c>
      <c r="CI84" s="132">
        <f t="shared" si="130"/>
        <v>0</v>
      </c>
      <c r="CJ84" s="132">
        <f t="shared" si="130"/>
        <v>0</v>
      </c>
      <c r="CK84" s="132">
        <f t="shared" si="130"/>
        <v>0</v>
      </c>
      <c r="CL84" s="132">
        <f t="shared" si="130"/>
        <v>0</v>
      </c>
      <c r="CM84" s="132">
        <f t="shared" si="130"/>
        <v>0</v>
      </c>
      <c r="CN84" s="132">
        <f t="shared" si="130"/>
        <v>0</v>
      </c>
      <c r="CO84" s="132">
        <f t="shared" si="130"/>
        <v>0</v>
      </c>
      <c r="CP84" s="132">
        <f t="shared" si="130"/>
        <v>0</v>
      </c>
      <c r="CQ84" s="132">
        <f t="shared" si="130"/>
        <v>0</v>
      </c>
      <c r="CR84" s="132">
        <f t="shared" si="130"/>
        <v>0</v>
      </c>
      <c r="CS84" s="132">
        <f t="shared" si="130"/>
        <v>0</v>
      </c>
      <c r="CT84" s="132">
        <f t="shared" si="130"/>
        <v>0</v>
      </c>
      <c r="CU84" s="132">
        <f t="shared" si="130"/>
        <v>0</v>
      </c>
      <c r="CV84" s="132">
        <f t="shared" si="130"/>
        <v>0</v>
      </c>
      <c r="CW84" s="132">
        <f t="shared" si="130"/>
        <v>0</v>
      </c>
      <c r="CX84" s="132">
        <f t="shared" si="130"/>
        <v>0</v>
      </c>
      <c r="CY84" s="132">
        <f t="shared" si="130"/>
        <v>-176195.51630072467</v>
      </c>
      <c r="CZ84" s="132">
        <f t="shared" si="130"/>
        <v>0</v>
      </c>
      <c r="DA84" s="132">
        <f t="shared" si="130"/>
        <v>0</v>
      </c>
      <c r="DB84" s="132">
        <f t="shared" si="130"/>
        <v>0</v>
      </c>
      <c r="DC84" s="132">
        <f t="shared" si="130"/>
        <v>0</v>
      </c>
      <c r="DD84" s="132">
        <f t="shared" si="130"/>
        <v>-79262318.843095154</v>
      </c>
      <c r="DE84" s="132">
        <f t="shared" si="130"/>
        <v>-222818347.42183423</v>
      </c>
      <c r="DF84" s="132">
        <f t="shared" si="130"/>
        <v>0</v>
      </c>
      <c r="DG84" s="132">
        <f t="shared" si="130"/>
        <v>0</v>
      </c>
      <c r="DH84" s="132">
        <f>DH81-DH78</f>
        <v>0</v>
      </c>
      <c r="DI84" s="132"/>
      <c r="DJ84" s="132">
        <f>DJ81-DJ78</f>
        <v>0</v>
      </c>
      <c r="DK84" s="132">
        <f t="shared" si="130"/>
        <v>-300620620.97356129</v>
      </c>
      <c r="DL84" s="132">
        <f t="shared" si="130"/>
        <v>-324743023.8227458</v>
      </c>
      <c r="DM84" s="132">
        <f t="shared" si="130"/>
        <v>0</v>
      </c>
      <c r="DN84" s="132">
        <f t="shared" si="130"/>
        <v>0</v>
      </c>
      <c r="DO84" s="132">
        <f t="shared" si="130"/>
        <v>0</v>
      </c>
      <c r="DP84" s="132">
        <f t="shared" si="130"/>
        <v>0</v>
      </c>
      <c r="DQ84" s="132">
        <f t="shared" si="130"/>
        <v>0</v>
      </c>
      <c r="DR84" s="132">
        <f t="shared" si="130"/>
        <v>0</v>
      </c>
      <c r="DS84" s="132">
        <f t="shared" si="130"/>
        <v>0</v>
      </c>
      <c r="DT84" s="132">
        <f t="shared" si="130"/>
        <v>0</v>
      </c>
      <c r="DU84" s="132">
        <f t="shared" si="130"/>
        <v>0</v>
      </c>
      <c r="DV84" s="132">
        <f t="shared" si="130"/>
        <v>0</v>
      </c>
      <c r="DW84" s="132">
        <f t="shared" si="130"/>
        <v>0</v>
      </c>
      <c r="DX84" s="132">
        <f t="shared" si="130"/>
        <v>0</v>
      </c>
      <c r="DY84" s="132">
        <f t="shared" si="130"/>
        <v>0</v>
      </c>
      <c r="DZ84" s="132">
        <f t="shared" si="130"/>
        <v>0</v>
      </c>
      <c r="EA84" s="132">
        <f t="shared" si="130"/>
        <v>0</v>
      </c>
      <c r="EB84" s="132">
        <f t="shared" si="130"/>
        <v>0</v>
      </c>
      <c r="EC84" s="132">
        <f t="shared" si="130"/>
        <v>0</v>
      </c>
      <c r="ED84" s="132">
        <f t="shared" si="130"/>
        <v>0</v>
      </c>
      <c r="EE84" s="132">
        <f t="shared" si="130"/>
        <v>0</v>
      </c>
      <c r="EF84" s="132">
        <f t="shared" si="130"/>
        <v>0</v>
      </c>
      <c r="EG84" s="132">
        <f t="shared" si="130"/>
        <v>0</v>
      </c>
      <c r="EH84" s="132">
        <f t="shared" si="130"/>
        <v>0</v>
      </c>
      <c r="EI84" s="132">
        <f t="shared" si="130"/>
        <v>0</v>
      </c>
      <c r="EJ84" s="132">
        <f t="shared" si="130"/>
        <v>0</v>
      </c>
      <c r="EK84" s="132">
        <f t="shared" si="130"/>
        <v>0</v>
      </c>
      <c r="EL84" s="132">
        <f t="shared" si="130"/>
        <v>0</v>
      </c>
      <c r="EM84" s="132">
        <f t="shared" si="130"/>
        <v>287294.47474334505</v>
      </c>
      <c r="EN84" s="132">
        <f t="shared" si="130"/>
        <v>0</v>
      </c>
      <c r="EO84" s="132">
        <f t="shared" si="130"/>
        <v>0</v>
      </c>
      <c r="EP84" s="132">
        <f t="shared" si="130"/>
        <v>0</v>
      </c>
      <c r="EQ84" s="132">
        <f t="shared" si="130"/>
        <v>0</v>
      </c>
      <c r="ER84" s="132">
        <f t="shared" si="130"/>
        <v>-53398278.90275798</v>
      </c>
      <c r="ES84" s="132">
        <f t="shared" si="130"/>
        <v>-2317463.445186656</v>
      </c>
      <c r="ET84" s="132">
        <f t="shared" si="130"/>
        <v>0</v>
      </c>
      <c r="EU84" s="132">
        <f t="shared" si="130"/>
        <v>-1059724.5648247197</v>
      </c>
      <c r="EV84" s="132">
        <f>EV81-EV78</f>
        <v>0</v>
      </c>
      <c r="EW84" s="132"/>
      <c r="EX84" s="132"/>
      <c r="EY84" s="132">
        <f>EY81-EY78</f>
        <v>-7336157.9226403516</v>
      </c>
      <c r="EZ84" s="132">
        <f t="shared" si="130"/>
        <v>-112165204.79677768</v>
      </c>
      <c r="FA84" s="132">
        <f t="shared" si="130"/>
        <v>-436908228.61952353</v>
      </c>
      <c r="FB84" s="132">
        <f t="shared" si="130"/>
        <v>0</v>
      </c>
      <c r="FC84" s="132">
        <f t="shared" si="130"/>
        <v>0</v>
      </c>
      <c r="FD84" s="132">
        <f t="shared" si="130"/>
        <v>0</v>
      </c>
      <c r="FE84" s="132">
        <f t="shared" si="130"/>
        <v>0</v>
      </c>
      <c r="FF84" s="132">
        <f t="shared" si="130"/>
        <v>0</v>
      </c>
      <c r="FG84" s="132">
        <f t="shared" si="130"/>
        <v>0</v>
      </c>
      <c r="FH84" s="132">
        <f t="shared" si="130"/>
        <v>0</v>
      </c>
      <c r="FI84" s="132">
        <f t="shared" si="130"/>
        <v>0</v>
      </c>
      <c r="FJ84" s="132">
        <f t="shared" si="130"/>
        <v>0</v>
      </c>
      <c r="FK84" s="132">
        <f t="shared" si="130"/>
        <v>0</v>
      </c>
      <c r="FL84" s="132">
        <f t="shared" si="130"/>
        <v>0</v>
      </c>
      <c r="FM84" s="132">
        <f t="shared" si="130"/>
        <v>0</v>
      </c>
      <c r="FN84" s="132">
        <f t="shared" si="130"/>
        <v>0</v>
      </c>
      <c r="FO84" s="132">
        <f t="shared" si="130"/>
        <v>0</v>
      </c>
      <c r="FP84" s="132">
        <f t="shared" si="130"/>
        <v>0</v>
      </c>
      <c r="FQ84" s="132">
        <f t="shared" si="130"/>
        <v>0</v>
      </c>
      <c r="FR84" s="132">
        <f t="shared" si="130"/>
        <v>0</v>
      </c>
      <c r="FS84" s="132">
        <f t="shared" si="130"/>
        <v>0</v>
      </c>
      <c r="FT84" s="132">
        <f t="shared" ref="FT84:GJ84" si="131">FT81-FT78</f>
        <v>0</v>
      </c>
      <c r="FU84" s="132">
        <f t="shared" si="131"/>
        <v>0</v>
      </c>
      <c r="FV84" s="132">
        <f t="shared" si="131"/>
        <v>0</v>
      </c>
      <c r="FW84" s="132">
        <f t="shared" si="131"/>
        <v>0</v>
      </c>
      <c r="FX84" s="132">
        <f t="shared" si="131"/>
        <v>0</v>
      </c>
      <c r="FY84" s="132">
        <f t="shared" si="131"/>
        <v>0</v>
      </c>
      <c r="FZ84" s="132">
        <f t="shared" si="131"/>
        <v>0</v>
      </c>
      <c r="GA84" s="132">
        <f t="shared" si="131"/>
        <v>0</v>
      </c>
      <c r="GB84" s="132">
        <f t="shared" si="131"/>
        <v>574588.94948669034</v>
      </c>
      <c r="GC84" s="132">
        <f t="shared" si="131"/>
        <v>0</v>
      </c>
      <c r="GD84" s="132">
        <f t="shared" si="131"/>
        <v>0</v>
      </c>
      <c r="GE84" s="132">
        <f t="shared" si="131"/>
        <v>0</v>
      </c>
      <c r="GF84" s="132">
        <f t="shared" si="131"/>
        <v>0</v>
      </c>
      <c r="GG84" s="132">
        <f t="shared" si="131"/>
        <v>-43466823.943392627</v>
      </c>
      <c r="GH84" s="132">
        <f t="shared" si="131"/>
        <v>7380556.7547316896</v>
      </c>
      <c r="GI84" s="132">
        <f t="shared" si="131"/>
        <v>0</v>
      </c>
      <c r="GJ84" s="132">
        <f t="shared" si="131"/>
        <v>423889.82592988736</v>
      </c>
      <c r="GK84" s="132">
        <f>GK81-GK78</f>
        <v>0</v>
      </c>
      <c r="GL84" s="132"/>
      <c r="GM84" s="132"/>
      <c r="GN84" s="132">
        <f>GN81-GN78</f>
        <v>2096045.1207543868</v>
      </c>
      <c r="GO84" s="132">
        <f t="shared" ref="GO84:IE84" si="132">GO81-GO78</f>
        <v>-90072277.098252743</v>
      </c>
      <c r="GP84" s="132">
        <f t="shared" si="132"/>
        <v>-526980505.71777678</v>
      </c>
      <c r="GQ84" s="132">
        <f t="shared" si="132"/>
        <v>0</v>
      </c>
      <c r="GR84" s="132">
        <f t="shared" si="132"/>
        <v>0</v>
      </c>
      <c r="GS84" s="132">
        <f t="shared" si="132"/>
        <v>0</v>
      </c>
      <c r="GT84" s="132">
        <f t="shared" si="132"/>
        <v>0</v>
      </c>
      <c r="GU84" s="132">
        <f t="shared" si="132"/>
        <v>0</v>
      </c>
      <c r="GV84" s="132">
        <f t="shared" si="132"/>
        <v>0</v>
      </c>
      <c r="GW84" s="132">
        <f t="shared" si="132"/>
        <v>0</v>
      </c>
      <c r="GX84" s="132">
        <f t="shared" si="132"/>
        <v>0</v>
      </c>
      <c r="GY84" s="132">
        <f t="shared" si="132"/>
        <v>0</v>
      </c>
      <c r="GZ84" s="132">
        <f t="shared" si="132"/>
        <v>0</v>
      </c>
      <c r="HA84" s="132">
        <f t="shared" si="132"/>
        <v>0</v>
      </c>
      <c r="HB84" s="132">
        <f t="shared" si="132"/>
        <v>0</v>
      </c>
      <c r="HC84" s="132">
        <f t="shared" si="132"/>
        <v>0</v>
      </c>
      <c r="HD84" s="132">
        <f t="shared" si="132"/>
        <v>0</v>
      </c>
      <c r="HE84" s="132">
        <f t="shared" si="132"/>
        <v>0</v>
      </c>
      <c r="HF84" s="132">
        <f t="shared" si="132"/>
        <v>0</v>
      </c>
      <c r="HG84" s="132">
        <f t="shared" si="132"/>
        <v>0</v>
      </c>
      <c r="HH84" s="132">
        <f t="shared" si="132"/>
        <v>0</v>
      </c>
      <c r="HI84" s="132">
        <f t="shared" si="132"/>
        <v>0</v>
      </c>
      <c r="HJ84" s="132">
        <f t="shared" si="132"/>
        <v>0</v>
      </c>
      <c r="HK84" s="132">
        <f t="shared" si="132"/>
        <v>0</v>
      </c>
      <c r="HL84" s="132">
        <f t="shared" si="132"/>
        <v>0</v>
      </c>
      <c r="HM84" s="132">
        <f t="shared" si="132"/>
        <v>0</v>
      </c>
      <c r="HN84" s="132">
        <f t="shared" si="132"/>
        <v>0</v>
      </c>
      <c r="HO84" s="132">
        <f t="shared" si="132"/>
        <v>0</v>
      </c>
      <c r="HP84" s="132">
        <f t="shared" si="132"/>
        <v>0</v>
      </c>
      <c r="HQ84" s="132">
        <f t="shared" si="132"/>
        <v>287294.47474334587</v>
      </c>
      <c r="HR84" s="132">
        <f t="shared" si="132"/>
        <v>0</v>
      </c>
      <c r="HS84" s="132">
        <f t="shared" si="132"/>
        <v>0</v>
      </c>
      <c r="HT84" s="132">
        <f t="shared" si="132"/>
        <v>0</v>
      </c>
      <c r="HU84" s="132">
        <f t="shared" si="132"/>
        <v>0</v>
      </c>
      <c r="HV84" s="132">
        <f t="shared" si="132"/>
        <v>-33887367.141223803</v>
      </c>
      <c r="HW84" s="132">
        <f t="shared" si="132"/>
        <v>7134200.6232106891</v>
      </c>
      <c r="HX84" s="132">
        <f t="shared" si="132"/>
        <v>0</v>
      </c>
      <c r="HY84" s="132">
        <f t="shared" si="132"/>
        <v>423889.82592988771</v>
      </c>
      <c r="HZ84" s="132">
        <f t="shared" si="132"/>
        <v>0</v>
      </c>
      <c r="IA84" s="132"/>
      <c r="IB84" s="132"/>
      <c r="IC84" s="132">
        <f t="shared" si="132"/>
        <v>2096045.1207543851</v>
      </c>
      <c r="ID84" s="132">
        <f t="shared" si="132"/>
        <v>-44726876.327775627</v>
      </c>
      <c r="IE84" s="132">
        <f t="shared" si="132"/>
        <v>-571707382.0455513</v>
      </c>
    </row>
    <row r="85" spans="1:240" customFormat="1" ht="14.5" x14ac:dyDescent="0.35"/>
    <row r="86" spans="1:240" customFormat="1" ht="14.5" x14ac:dyDescent="0.35"/>
    <row r="87" spans="1:240" customFormat="1" ht="14.5" x14ac:dyDescent="0.35"/>
    <row r="88" spans="1:240" customFormat="1" ht="14.5" x14ac:dyDescent="0.35"/>
    <row r="89" spans="1:240" customFormat="1" ht="14.5" x14ac:dyDescent="0.35">
      <c r="G89" s="171"/>
    </row>
    <row r="90" spans="1:240" customFormat="1" ht="14.5" x14ac:dyDescent="0.35"/>
    <row r="91" spans="1:240" customFormat="1" ht="14.5" x14ac:dyDescent="0.35"/>
    <row r="92" spans="1:240" x14ac:dyDescent="0.3">
      <c r="A92" s="58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90"/>
      <c r="Y92" s="90"/>
      <c r="Z92" s="90"/>
      <c r="AA92" s="90"/>
      <c r="AB92" s="90"/>
      <c r="AC92" s="90"/>
      <c r="AD92" s="90"/>
      <c r="AE92" s="90"/>
      <c r="AF92" s="90"/>
      <c r="AG92" s="90"/>
      <c r="AH92" s="90"/>
      <c r="AK92" s="79"/>
      <c r="AM92" s="79"/>
      <c r="AN92" s="79"/>
      <c r="AO92" s="79"/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51"/>
      <c r="BB92" s="79"/>
      <c r="BC92" s="79"/>
      <c r="BD92" s="79"/>
      <c r="BE92" s="79"/>
      <c r="BF92" s="79"/>
      <c r="BG92" s="79"/>
      <c r="BH92" s="79"/>
      <c r="BI92" s="79"/>
      <c r="BJ92" s="79"/>
      <c r="BK92" s="79"/>
      <c r="BL92" s="79"/>
      <c r="BM92" s="79"/>
      <c r="BN92" s="79"/>
      <c r="BO92" s="79"/>
      <c r="BP92" s="79"/>
      <c r="BQ92" s="79"/>
      <c r="BR92" s="79"/>
      <c r="BS92" s="79"/>
      <c r="BT92" s="79"/>
      <c r="BU92" s="79"/>
      <c r="BV92" s="79"/>
      <c r="BW92" s="79"/>
      <c r="BX92" s="79"/>
      <c r="BY92" s="79"/>
      <c r="BZ92" s="79"/>
      <c r="CA92" s="79"/>
      <c r="CB92" s="79"/>
      <c r="CC92" s="79"/>
      <c r="CD92" s="79"/>
      <c r="CE92" s="79"/>
      <c r="CF92" s="79"/>
      <c r="CG92" s="79"/>
      <c r="CH92" s="79"/>
      <c r="CI92" s="79"/>
      <c r="CJ92" s="79"/>
      <c r="CK92" s="79"/>
      <c r="CL92" s="79"/>
      <c r="CM92" s="79"/>
      <c r="CN92" s="79"/>
      <c r="CO92" s="79"/>
      <c r="CP92" s="79"/>
      <c r="CQ92" s="79"/>
      <c r="CR92" s="79"/>
      <c r="CS92" s="79"/>
      <c r="CT92" s="79"/>
      <c r="CU92" s="79"/>
      <c r="CV92" s="79"/>
      <c r="CW92" s="79"/>
      <c r="CX92" s="79"/>
      <c r="CY92" s="79"/>
      <c r="CZ92" s="79"/>
      <c r="DA92" s="79"/>
      <c r="DB92" s="79"/>
      <c r="DC92" s="79"/>
      <c r="DD92" s="79"/>
      <c r="DE92" s="79"/>
      <c r="DF92" s="79"/>
      <c r="DG92" s="79"/>
      <c r="DH92" s="79"/>
      <c r="DI92" s="79"/>
      <c r="DJ92" s="79"/>
      <c r="DK92" s="79"/>
      <c r="DL92" s="79"/>
      <c r="DM92" s="79"/>
      <c r="DN92" s="79"/>
      <c r="DO92" s="79"/>
      <c r="DP92" s="79"/>
      <c r="DQ92" s="79"/>
      <c r="DR92" s="79"/>
      <c r="DS92" s="79"/>
      <c r="DT92" s="79"/>
      <c r="DU92" s="79"/>
      <c r="DV92" s="79"/>
      <c r="DW92" s="79"/>
      <c r="DX92" s="79"/>
      <c r="DY92" s="79"/>
      <c r="DZ92" s="79"/>
      <c r="EA92" s="79"/>
      <c r="EB92" s="79"/>
      <c r="EC92" s="79"/>
      <c r="ED92" s="79"/>
      <c r="EE92" s="79"/>
      <c r="EF92" s="79"/>
      <c r="EG92" s="79"/>
      <c r="EH92" s="79"/>
      <c r="EI92" s="79"/>
      <c r="EJ92" s="79"/>
      <c r="EK92" s="79"/>
      <c r="EL92" s="79"/>
      <c r="EM92" s="79"/>
      <c r="EN92" s="79"/>
      <c r="EO92" s="79"/>
      <c r="EP92" s="79"/>
      <c r="EQ92" s="79"/>
      <c r="ER92" s="79"/>
      <c r="ES92" s="79"/>
      <c r="ET92" s="79"/>
      <c r="EU92" s="79"/>
      <c r="EV92" s="79"/>
      <c r="EW92" s="79"/>
      <c r="EX92" s="79"/>
      <c r="EY92" s="79"/>
      <c r="EZ92" s="79"/>
      <c r="FA92" s="79"/>
      <c r="FB92" s="79"/>
      <c r="FC92" s="79"/>
      <c r="FD92" s="79"/>
      <c r="FE92" s="79"/>
      <c r="FF92" s="79"/>
      <c r="FG92" s="79"/>
      <c r="FH92" s="79"/>
      <c r="FI92" s="79"/>
      <c r="FJ92" s="79"/>
      <c r="FK92" s="79"/>
      <c r="FL92" s="79"/>
      <c r="FM92" s="79"/>
      <c r="FN92" s="79"/>
      <c r="FO92" s="79"/>
      <c r="FP92" s="79"/>
      <c r="FQ92" s="79"/>
      <c r="FR92" s="79"/>
      <c r="FS92" s="79"/>
      <c r="FT92" s="79"/>
      <c r="FU92" s="79"/>
      <c r="FV92" s="79"/>
      <c r="FW92" s="79"/>
      <c r="FX92" s="79"/>
      <c r="FY92" s="79"/>
      <c r="FZ92" s="79"/>
      <c r="GA92" s="79"/>
      <c r="GB92" s="79"/>
      <c r="GC92" s="79"/>
      <c r="GD92" s="79"/>
      <c r="GE92" s="79"/>
      <c r="GF92" s="79"/>
      <c r="GG92" s="79"/>
      <c r="GH92" s="79"/>
      <c r="GI92" s="79"/>
      <c r="GJ92" s="79"/>
      <c r="GK92" s="79"/>
      <c r="GL92" s="79"/>
      <c r="GM92" s="79"/>
      <c r="GN92" s="79"/>
      <c r="GO92" s="79"/>
      <c r="GP92" s="79"/>
      <c r="GQ92" s="79"/>
      <c r="GR92" s="79"/>
      <c r="GS92" s="79"/>
      <c r="GT92" s="79"/>
      <c r="GU92" s="79"/>
      <c r="GV92" s="79"/>
      <c r="GW92" s="79"/>
      <c r="GX92" s="79"/>
      <c r="GY92" s="79"/>
      <c r="GZ92" s="79"/>
      <c r="HA92" s="79"/>
      <c r="HB92" s="79"/>
      <c r="HC92" s="79"/>
      <c r="HD92" s="79"/>
      <c r="HE92" s="79"/>
      <c r="HF92" s="79"/>
      <c r="HG92" s="79"/>
      <c r="HH92" s="79"/>
      <c r="HI92" s="79"/>
      <c r="HJ92" s="79"/>
      <c r="HK92" s="79"/>
      <c r="HL92" s="79"/>
      <c r="HM92" s="79"/>
      <c r="HN92" s="79"/>
      <c r="HO92" s="79"/>
      <c r="HP92" s="79"/>
      <c r="HQ92" s="79"/>
      <c r="HR92" s="79"/>
      <c r="HS92" s="79"/>
      <c r="HT92" s="79"/>
      <c r="HU92" s="79"/>
      <c r="HV92" s="79"/>
      <c r="HW92" s="79"/>
      <c r="HX92" s="79"/>
      <c r="HY92" s="79"/>
      <c r="HZ92" s="79"/>
      <c r="IA92" s="79"/>
      <c r="IB92" s="79"/>
      <c r="IC92" s="79"/>
      <c r="ID92" s="79"/>
      <c r="IE92" s="79"/>
    </row>
    <row r="93" spans="1:240" x14ac:dyDescent="0.3">
      <c r="A93" s="58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K93" s="79"/>
      <c r="AM93" s="79"/>
      <c r="AN93" s="79"/>
      <c r="AO93" s="79"/>
      <c r="AP93" s="79"/>
      <c r="AQ93" s="79"/>
      <c r="AR93" s="79"/>
      <c r="AS93" s="79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79"/>
      <c r="BE93" s="79"/>
      <c r="BF93" s="79"/>
      <c r="BG93" s="79"/>
      <c r="BH93" s="79"/>
      <c r="BI93" s="79"/>
      <c r="BJ93" s="79"/>
      <c r="BK93" s="79"/>
      <c r="BL93" s="79"/>
      <c r="BM93" s="79"/>
      <c r="BN93" s="79"/>
      <c r="BO93" s="79"/>
      <c r="BP93" s="79"/>
      <c r="BQ93" s="79"/>
      <c r="BR93" s="79"/>
      <c r="BS93" s="79"/>
      <c r="BT93" s="79"/>
      <c r="BU93" s="79"/>
      <c r="BV93" s="79"/>
      <c r="BW93" s="79"/>
      <c r="BX93" s="79"/>
      <c r="BY93" s="79"/>
      <c r="BZ93" s="79"/>
      <c r="CA93" s="79"/>
      <c r="CB93" s="79"/>
      <c r="CC93" s="79"/>
      <c r="CD93" s="79"/>
      <c r="CE93" s="79"/>
      <c r="CF93" s="79"/>
      <c r="CG93" s="79"/>
      <c r="CH93" s="79"/>
      <c r="CI93" s="79"/>
      <c r="CJ93" s="79"/>
      <c r="CK93" s="79"/>
      <c r="CL93" s="79"/>
      <c r="CM93" s="79"/>
      <c r="CN93" s="79"/>
      <c r="CO93" s="79"/>
      <c r="CP93" s="79"/>
      <c r="CQ93" s="79"/>
      <c r="CR93" s="79"/>
      <c r="CS93" s="79"/>
      <c r="CT93" s="79"/>
      <c r="CU93" s="79"/>
      <c r="CV93" s="79"/>
      <c r="CW93" s="79"/>
      <c r="CX93" s="79"/>
      <c r="CY93" s="79"/>
      <c r="CZ93" s="79"/>
      <c r="DA93" s="79"/>
      <c r="DB93" s="79"/>
      <c r="DC93" s="79"/>
      <c r="DD93" s="79"/>
      <c r="DE93" s="79"/>
      <c r="DF93" s="79"/>
      <c r="DG93" s="79"/>
      <c r="DH93" s="79"/>
      <c r="DI93" s="79"/>
      <c r="DJ93" s="79"/>
      <c r="DK93" s="79"/>
      <c r="DL93" s="79"/>
      <c r="DM93" s="79"/>
      <c r="DN93" s="79"/>
      <c r="DO93" s="79"/>
      <c r="DP93" s="79"/>
      <c r="DQ93" s="79"/>
      <c r="DR93" s="79"/>
      <c r="DS93" s="79"/>
      <c r="DT93" s="79"/>
      <c r="DU93" s="79"/>
      <c r="DV93" s="79"/>
      <c r="DW93" s="79"/>
      <c r="DX93" s="79"/>
      <c r="DY93" s="79"/>
      <c r="DZ93" s="79"/>
      <c r="EA93" s="79"/>
      <c r="EB93" s="79"/>
      <c r="EC93" s="79"/>
      <c r="ED93" s="79"/>
      <c r="EE93" s="79"/>
      <c r="EF93" s="79"/>
      <c r="EG93" s="79"/>
      <c r="EH93" s="79"/>
      <c r="EI93" s="79"/>
      <c r="EJ93" s="79"/>
      <c r="EK93" s="79"/>
      <c r="EL93" s="79"/>
      <c r="EM93" s="79"/>
      <c r="EN93" s="79"/>
      <c r="EO93" s="79"/>
      <c r="EP93" s="79"/>
      <c r="EQ93" s="79"/>
      <c r="ER93" s="79"/>
      <c r="ES93" s="79"/>
      <c r="ET93" s="79"/>
      <c r="EU93" s="79"/>
      <c r="EV93" s="79"/>
      <c r="EW93" s="79"/>
      <c r="EX93" s="79"/>
      <c r="EY93" s="79"/>
      <c r="EZ93" s="79"/>
      <c r="FA93" s="79"/>
      <c r="FB93" s="79"/>
      <c r="FC93" s="79"/>
      <c r="FD93" s="79"/>
      <c r="FE93" s="79"/>
      <c r="FF93" s="79"/>
      <c r="FG93" s="79"/>
      <c r="FH93" s="79"/>
      <c r="FI93" s="79"/>
      <c r="FJ93" s="79"/>
      <c r="FK93" s="79"/>
      <c r="FL93" s="79"/>
      <c r="FM93" s="79"/>
      <c r="FN93" s="79"/>
      <c r="FO93" s="79"/>
      <c r="FP93" s="79"/>
      <c r="FQ93" s="79"/>
      <c r="FR93" s="79"/>
      <c r="FS93" s="79"/>
      <c r="FT93" s="79"/>
      <c r="FU93" s="79"/>
      <c r="FV93" s="79"/>
      <c r="FW93" s="79"/>
      <c r="FX93" s="79"/>
      <c r="FY93" s="79"/>
      <c r="FZ93" s="79"/>
      <c r="GA93" s="79"/>
      <c r="GB93" s="79"/>
      <c r="GC93" s="79"/>
      <c r="GD93" s="79"/>
      <c r="GE93" s="79"/>
      <c r="GF93" s="79"/>
      <c r="GG93" s="79"/>
      <c r="GH93" s="79"/>
      <c r="GI93" s="79"/>
      <c r="GJ93" s="79"/>
      <c r="GK93" s="79"/>
      <c r="GL93" s="79"/>
      <c r="GM93" s="79"/>
      <c r="GN93" s="79"/>
      <c r="GO93" s="79"/>
      <c r="GP93" s="79"/>
      <c r="GQ93" s="79"/>
      <c r="GR93" s="79"/>
      <c r="GS93" s="79"/>
      <c r="GT93" s="79"/>
      <c r="GU93" s="79"/>
      <c r="GV93" s="79"/>
      <c r="GW93" s="79"/>
      <c r="GX93" s="79"/>
      <c r="GY93" s="79"/>
      <c r="GZ93" s="79"/>
      <c r="HA93" s="79"/>
      <c r="HB93" s="79"/>
      <c r="HC93" s="79"/>
      <c r="HD93" s="79"/>
      <c r="HE93" s="79"/>
      <c r="HF93" s="79"/>
      <c r="HG93" s="79"/>
      <c r="HH93" s="79"/>
      <c r="HI93" s="79"/>
      <c r="HJ93" s="79"/>
      <c r="HK93" s="79"/>
      <c r="HL93" s="79"/>
      <c r="HM93" s="79"/>
      <c r="HN93" s="79"/>
      <c r="HO93" s="79"/>
      <c r="HP93" s="79"/>
      <c r="HQ93" s="79"/>
      <c r="HR93" s="79"/>
      <c r="HS93" s="79"/>
      <c r="HT93" s="79"/>
      <c r="HU93" s="79"/>
      <c r="HV93" s="79"/>
      <c r="HW93" s="79"/>
      <c r="HX93" s="79"/>
      <c r="HY93" s="79"/>
      <c r="HZ93" s="79"/>
      <c r="IA93" s="79"/>
      <c r="IB93" s="79"/>
      <c r="IC93" s="79"/>
      <c r="ID93" s="79"/>
      <c r="IE93" s="79"/>
    </row>
    <row r="94" spans="1:240" x14ac:dyDescent="0.3">
      <c r="A94" s="58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90"/>
      <c r="Y94" s="90"/>
      <c r="Z94" s="90"/>
      <c r="AA94" s="90"/>
      <c r="AB94" s="90"/>
      <c r="AC94" s="90"/>
      <c r="AD94" s="90"/>
      <c r="AE94" s="90"/>
      <c r="AF94" s="90"/>
      <c r="AG94" s="90"/>
      <c r="AH94" s="90"/>
      <c r="AK94" s="79"/>
      <c r="AM94" s="79"/>
      <c r="AN94" s="79"/>
      <c r="AO94" s="79"/>
      <c r="AP94" s="79"/>
      <c r="AQ94" s="79"/>
      <c r="AR94" s="79"/>
      <c r="AS94" s="79"/>
      <c r="AT94" s="79"/>
      <c r="AU94" s="79"/>
      <c r="AV94" s="79"/>
      <c r="AW94" s="79"/>
      <c r="AX94" s="79"/>
      <c r="AY94" s="79"/>
      <c r="AZ94" s="79"/>
      <c r="BA94" s="79"/>
      <c r="BB94" s="79"/>
      <c r="BC94" s="79"/>
      <c r="BD94" s="79"/>
      <c r="BE94" s="79"/>
      <c r="BF94" s="79"/>
      <c r="BG94" s="79"/>
      <c r="BH94" s="79"/>
      <c r="BI94" s="79"/>
      <c r="BJ94" s="79"/>
      <c r="BK94" s="79"/>
      <c r="BL94" s="79"/>
      <c r="BM94" s="79"/>
      <c r="BN94" s="79"/>
      <c r="BO94" s="79"/>
      <c r="BP94" s="79"/>
      <c r="BQ94" s="79"/>
      <c r="BR94" s="79"/>
      <c r="BS94" s="79"/>
      <c r="BT94" s="79"/>
      <c r="BU94" s="79"/>
      <c r="BV94" s="79"/>
      <c r="BW94" s="79"/>
      <c r="BX94" s="79"/>
      <c r="BY94" s="79"/>
      <c r="BZ94" s="79"/>
      <c r="CA94" s="79"/>
      <c r="CB94" s="79"/>
      <c r="CC94" s="79"/>
      <c r="CD94" s="79"/>
      <c r="CE94" s="79"/>
      <c r="CF94" s="79"/>
      <c r="CG94" s="79"/>
      <c r="CH94" s="79"/>
      <c r="CI94" s="79"/>
      <c r="CJ94" s="79"/>
      <c r="CK94" s="79"/>
      <c r="CL94" s="79"/>
      <c r="CM94" s="79"/>
      <c r="CN94" s="79"/>
      <c r="CO94" s="79"/>
      <c r="CP94" s="79"/>
      <c r="CQ94" s="79"/>
      <c r="CR94" s="79"/>
      <c r="CS94" s="79"/>
      <c r="CT94" s="79"/>
      <c r="CU94" s="79"/>
      <c r="CV94" s="79"/>
      <c r="CW94" s="79"/>
      <c r="CX94" s="79"/>
      <c r="CY94" s="79"/>
      <c r="CZ94" s="79"/>
      <c r="DA94" s="79"/>
      <c r="DB94" s="79"/>
      <c r="DC94" s="79"/>
      <c r="DD94" s="79"/>
      <c r="DE94" s="79"/>
      <c r="DF94" s="79"/>
      <c r="DG94" s="79"/>
      <c r="DH94" s="79"/>
      <c r="DI94" s="79"/>
      <c r="DJ94" s="79"/>
      <c r="DK94" s="79"/>
      <c r="DL94" s="79"/>
      <c r="DM94" s="79"/>
      <c r="DN94" s="79"/>
      <c r="DO94" s="79"/>
      <c r="DP94" s="79"/>
      <c r="DQ94" s="79"/>
      <c r="DR94" s="79"/>
      <c r="DS94" s="79"/>
      <c r="DT94" s="79"/>
      <c r="DU94" s="79"/>
      <c r="DV94" s="79"/>
      <c r="DW94" s="79"/>
      <c r="DX94" s="79"/>
      <c r="DY94" s="79"/>
      <c r="DZ94" s="79"/>
      <c r="EA94" s="79"/>
      <c r="EB94" s="79"/>
      <c r="EC94" s="79"/>
      <c r="ED94" s="79"/>
      <c r="EE94" s="79"/>
      <c r="EF94" s="79"/>
      <c r="EG94" s="79"/>
      <c r="EH94" s="79"/>
      <c r="EI94" s="79"/>
      <c r="EJ94" s="79"/>
      <c r="EK94" s="79"/>
      <c r="EL94" s="79"/>
      <c r="EM94" s="79"/>
      <c r="EN94" s="79"/>
      <c r="EO94" s="79"/>
      <c r="EP94" s="79"/>
      <c r="EQ94" s="79"/>
      <c r="ER94" s="79"/>
      <c r="ES94" s="79"/>
      <c r="ET94" s="79"/>
      <c r="EU94" s="79"/>
      <c r="EV94" s="79"/>
      <c r="EW94" s="79"/>
      <c r="EX94" s="79"/>
      <c r="EY94" s="79"/>
      <c r="EZ94" s="79"/>
      <c r="FA94" s="79"/>
      <c r="FB94" s="79"/>
      <c r="FC94" s="79"/>
      <c r="FD94" s="79"/>
      <c r="FE94" s="79"/>
      <c r="FF94" s="79"/>
      <c r="FG94" s="79"/>
      <c r="FH94" s="79"/>
      <c r="FI94" s="79"/>
      <c r="FJ94" s="79"/>
      <c r="FK94" s="79"/>
      <c r="FL94" s="79"/>
      <c r="FM94" s="79"/>
      <c r="FN94" s="79"/>
      <c r="FO94" s="79"/>
      <c r="FP94" s="79"/>
      <c r="FQ94" s="79"/>
      <c r="FR94" s="79"/>
      <c r="FS94" s="79"/>
      <c r="FT94" s="79"/>
      <c r="FU94" s="79"/>
      <c r="FV94" s="79"/>
      <c r="FW94" s="79"/>
      <c r="FX94" s="79"/>
      <c r="FY94" s="79"/>
      <c r="FZ94" s="79"/>
      <c r="GA94" s="79"/>
      <c r="GB94" s="79"/>
      <c r="GC94" s="79"/>
      <c r="GD94" s="79"/>
      <c r="GE94" s="79"/>
      <c r="GF94" s="79"/>
      <c r="GG94" s="79"/>
      <c r="GH94" s="79"/>
      <c r="GI94" s="79"/>
      <c r="GJ94" s="79"/>
      <c r="GK94" s="79"/>
      <c r="GL94" s="79"/>
      <c r="GM94" s="79"/>
      <c r="GN94" s="79"/>
      <c r="GO94" s="79"/>
      <c r="GP94" s="79"/>
      <c r="GQ94" s="79"/>
      <c r="GR94" s="79"/>
      <c r="GS94" s="79"/>
      <c r="GT94" s="79"/>
      <c r="GU94" s="79"/>
      <c r="GV94" s="79"/>
      <c r="GW94" s="79"/>
      <c r="GX94" s="79"/>
      <c r="GY94" s="79"/>
      <c r="GZ94" s="79"/>
      <c r="HA94" s="79"/>
      <c r="HB94" s="79"/>
      <c r="HC94" s="79"/>
      <c r="HD94" s="79"/>
      <c r="HE94" s="79"/>
      <c r="HF94" s="79"/>
      <c r="HG94" s="79"/>
      <c r="HH94" s="79"/>
      <c r="HI94" s="79"/>
      <c r="HJ94" s="79"/>
      <c r="HK94" s="79"/>
      <c r="HL94" s="79"/>
      <c r="HM94" s="79"/>
      <c r="HN94" s="79"/>
      <c r="HO94" s="79"/>
      <c r="HP94" s="79"/>
      <c r="HQ94" s="79"/>
      <c r="HR94" s="79"/>
      <c r="HS94" s="79"/>
      <c r="HT94" s="79"/>
      <c r="HU94" s="79"/>
      <c r="HV94" s="79"/>
      <c r="HW94" s="79"/>
      <c r="HX94" s="79"/>
      <c r="HY94" s="79"/>
      <c r="HZ94" s="79"/>
      <c r="IA94" s="79"/>
      <c r="IB94" s="79"/>
      <c r="IC94" s="79"/>
      <c r="ID94" s="79"/>
      <c r="IE94" s="79"/>
    </row>
    <row r="95" spans="1:240" x14ac:dyDescent="0.3">
      <c r="A95" s="58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K95" s="51"/>
      <c r="AM95" s="51"/>
      <c r="AN95" s="51"/>
      <c r="AO95" s="51"/>
      <c r="AP95" s="51"/>
      <c r="AQ95" s="51"/>
      <c r="AR95" s="51"/>
      <c r="AS95" s="51"/>
      <c r="AT95" s="51"/>
      <c r="AU95" s="51"/>
      <c r="AV95" s="51"/>
      <c r="AW95" s="51"/>
      <c r="AX95" s="51"/>
      <c r="AY95" s="51"/>
      <c r="AZ95" s="51"/>
      <c r="BA95" s="51"/>
      <c r="BB95" s="51"/>
      <c r="BC95" s="51"/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51"/>
      <c r="BQ95" s="51"/>
      <c r="BR95" s="51"/>
      <c r="BS95" s="51"/>
      <c r="BT95" s="51"/>
      <c r="BU95" s="51"/>
      <c r="BV95" s="51"/>
      <c r="BW95" s="51"/>
      <c r="BX95" s="51"/>
      <c r="BY95" s="51"/>
      <c r="BZ95" s="51"/>
      <c r="CA95" s="51"/>
      <c r="CB95" s="51"/>
      <c r="CC95" s="51"/>
      <c r="CD95" s="51"/>
      <c r="CE95" s="51"/>
      <c r="CF95" s="51"/>
      <c r="CG95" s="51"/>
      <c r="CH95" s="51"/>
      <c r="CI95" s="51"/>
      <c r="CJ95" s="51"/>
      <c r="CK95" s="51"/>
      <c r="CL95" s="51"/>
      <c r="CM95" s="51"/>
      <c r="CN95" s="51"/>
      <c r="CO95" s="51"/>
      <c r="CP95" s="51"/>
      <c r="CQ95" s="51"/>
      <c r="CR95" s="51"/>
      <c r="CS95" s="51"/>
      <c r="CT95" s="51"/>
      <c r="CU95" s="51"/>
      <c r="CV95" s="51"/>
      <c r="CW95" s="51"/>
      <c r="CX95" s="51"/>
      <c r="CY95" s="51"/>
      <c r="CZ95" s="51"/>
      <c r="DA95" s="51"/>
      <c r="DB95" s="51"/>
      <c r="DC95" s="51"/>
      <c r="DD95" s="51"/>
      <c r="DE95" s="51"/>
      <c r="DF95" s="51"/>
      <c r="DG95" s="51"/>
      <c r="DH95" s="51"/>
      <c r="DI95" s="51"/>
      <c r="DJ95" s="51"/>
      <c r="DK95" s="51"/>
      <c r="DL95" s="51"/>
      <c r="DM95" s="51"/>
      <c r="DN95" s="51"/>
      <c r="DO95" s="51"/>
      <c r="DP95" s="51"/>
      <c r="DQ95" s="51"/>
      <c r="DR95" s="51"/>
      <c r="DS95" s="51"/>
      <c r="DT95" s="51"/>
      <c r="DU95" s="51"/>
      <c r="DV95" s="51"/>
      <c r="DW95" s="51"/>
      <c r="DX95" s="51"/>
      <c r="DY95" s="51"/>
      <c r="DZ95" s="51"/>
      <c r="EA95" s="51"/>
      <c r="EB95" s="51"/>
      <c r="EC95" s="51"/>
      <c r="ED95" s="51"/>
      <c r="EE95" s="51"/>
      <c r="EF95" s="51"/>
      <c r="EG95" s="51"/>
      <c r="EH95" s="51"/>
      <c r="EI95" s="51"/>
      <c r="EJ95" s="51"/>
      <c r="EK95" s="51"/>
      <c r="EL95" s="51"/>
      <c r="EM95" s="51"/>
      <c r="EN95" s="51"/>
      <c r="EO95" s="51"/>
      <c r="EP95" s="51"/>
      <c r="EQ95" s="51"/>
      <c r="ER95" s="51"/>
      <c r="ES95" s="51"/>
      <c r="ET95" s="51"/>
      <c r="EU95" s="51"/>
      <c r="EV95" s="51"/>
      <c r="EW95" s="51"/>
      <c r="EX95" s="51"/>
      <c r="EY95" s="51"/>
      <c r="EZ95" s="51"/>
      <c r="FA95" s="51"/>
      <c r="FB95" s="51"/>
      <c r="FC95" s="51"/>
      <c r="FD95" s="51"/>
      <c r="FE95" s="51"/>
      <c r="FF95" s="51"/>
      <c r="FG95" s="51"/>
      <c r="FH95" s="51"/>
      <c r="FI95" s="51"/>
      <c r="FJ95" s="51"/>
      <c r="FK95" s="51"/>
      <c r="FL95" s="51"/>
      <c r="FM95" s="51"/>
      <c r="FN95" s="51"/>
      <c r="FO95" s="51"/>
      <c r="FP95" s="51"/>
      <c r="FQ95" s="51"/>
      <c r="FR95" s="51"/>
      <c r="FS95" s="51"/>
      <c r="FT95" s="51"/>
      <c r="FU95" s="51"/>
      <c r="FV95" s="51"/>
      <c r="FW95" s="51"/>
      <c r="FX95" s="51"/>
      <c r="FY95" s="51"/>
      <c r="FZ95" s="51"/>
      <c r="GA95" s="51"/>
      <c r="GB95" s="51"/>
      <c r="GC95" s="51"/>
      <c r="GD95" s="51"/>
      <c r="GE95" s="51"/>
      <c r="GF95" s="51"/>
      <c r="GG95" s="51"/>
      <c r="GH95" s="51"/>
      <c r="GI95" s="51"/>
      <c r="GJ95" s="51"/>
      <c r="GK95" s="51"/>
      <c r="GL95" s="51"/>
      <c r="GM95" s="51"/>
      <c r="GN95" s="51"/>
      <c r="GO95" s="51"/>
      <c r="GP95" s="51"/>
      <c r="GQ95" s="51"/>
      <c r="GR95" s="51"/>
      <c r="GS95" s="51"/>
      <c r="GT95" s="51"/>
      <c r="GU95" s="51"/>
      <c r="GV95" s="51"/>
      <c r="GW95" s="51"/>
      <c r="GX95" s="51"/>
      <c r="GY95" s="51"/>
      <c r="GZ95" s="51"/>
      <c r="HA95" s="51"/>
      <c r="HB95" s="51"/>
      <c r="HC95" s="51"/>
      <c r="HD95" s="51"/>
      <c r="HE95" s="51"/>
      <c r="HF95" s="51"/>
      <c r="HG95" s="51"/>
      <c r="HH95" s="51"/>
      <c r="HI95" s="51"/>
      <c r="HJ95" s="51"/>
      <c r="HK95" s="51"/>
      <c r="HL95" s="51"/>
      <c r="HM95" s="51"/>
      <c r="HN95" s="51"/>
      <c r="HO95" s="51"/>
      <c r="HP95" s="51"/>
      <c r="HQ95" s="51"/>
      <c r="HR95" s="51"/>
      <c r="HS95" s="51"/>
      <c r="HT95" s="51"/>
      <c r="HU95" s="51"/>
      <c r="HV95" s="51"/>
      <c r="HW95" s="51"/>
      <c r="HX95" s="51"/>
      <c r="HY95" s="51"/>
      <c r="HZ95" s="51"/>
      <c r="IA95" s="51"/>
      <c r="IB95" s="51"/>
      <c r="IC95" s="51"/>
      <c r="ID95" s="51"/>
      <c r="IE95" s="51"/>
    </row>
    <row r="98" spans="1:239" x14ac:dyDescent="0.3">
      <c r="A98" s="58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79"/>
      <c r="Z98" s="79"/>
      <c r="AA98" s="79"/>
      <c r="AB98" s="79"/>
      <c r="AC98" s="79"/>
      <c r="AD98" s="79"/>
      <c r="AE98" s="79"/>
      <c r="AF98" s="79"/>
      <c r="AG98" s="79"/>
      <c r="AH98" s="79"/>
      <c r="AK98" s="79"/>
      <c r="AM98" s="79"/>
      <c r="AN98" s="79"/>
      <c r="AO98" s="79"/>
      <c r="AP98" s="79"/>
      <c r="AQ98" s="79"/>
      <c r="AR98" s="79"/>
      <c r="AS98" s="79"/>
      <c r="AT98" s="79"/>
      <c r="AU98" s="79"/>
      <c r="AV98" s="79"/>
      <c r="AW98" s="79"/>
      <c r="AX98" s="79"/>
      <c r="AY98" s="79"/>
      <c r="AZ98" s="79"/>
      <c r="BA98" s="79"/>
      <c r="BB98" s="79"/>
      <c r="BC98" s="79"/>
      <c r="BD98" s="79"/>
      <c r="BE98" s="79"/>
      <c r="BF98" s="79"/>
      <c r="BG98" s="79"/>
      <c r="BH98" s="79"/>
      <c r="BI98" s="79"/>
      <c r="BJ98" s="79"/>
      <c r="BK98" s="79"/>
      <c r="BL98" s="79"/>
      <c r="BM98" s="79"/>
      <c r="BN98" s="79"/>
      <c r="BO98" s="79"/>
      <c r="BP98" s="79"/>
      <c r="BQ98" s="79"/>
      <c r="BR98" s="79"/>
      <c r="BS98" s="79"/>
      <c r="BT98" s="79"/>
      <c r="BU98" s="79"/>
      <c r="BV98" s="79"/>
      <c r="BW98" s="79"/>
      <c r="BX98" s="79"/>
      <c r="BY98" s="79"/>
      <c r="BZ98" s="79"/>
      <c r="CA98" s="79"/>
      <c r="CB98" s="79"/>
      <c r="CC98" s="79"/>
      <c r="CD98" s="79"/>
      <c r="CE98" s="79"/>
      <c r="CF98" s="79"/>
      <c r="CG98" s="79"/>
      <c r="CH98" s="79"/>
      <c r="CI98" s="79"/>
      <c r="CJ98" s="79"/>
      <c r="CK98" s="79"/>
      <c r="CL98" s="79"/>
      <c r="CM98" s="79"/>
      <c r="CN98" s="79"/>
      <c r="CO98" s="79"/>
      <c r="CP98" s="79"/>
      <c r="CQ98" s="79"/>
      <c r="CR98" s="79"/>
      <c r="CS98" s="79"/>
      <c r="CT98" s="79"/>
      <c r="CU98" s="79"/>
      <c r="CV98" s="79"/>
      <c r="CW98" s="79"/>
      <c r="CX98" s="79"/>
      <c r="CY98" s="79"/>
      <c r="CZ98" s="79"/>
      <c r="DA98" s="79"/>
      <c r="DB98" s="79"/>
      <c r="DC98" s="79"/>
      <c r="DD98" s="79"/>
      <c r="DE98" s="79"/>
      <c r="DF98" s="79"/>
      <c r="DG98" s="79"/>
      <c r="DH98" s="79"/>
      <c r="DI98" s="79"/>
      <c r="DJ98" s="79"/>
      <c r="DK98" s="79"/>
      <c r="DL98" s="79"/>
      <c r="DM98" s="79"/>
      <c r="DN98" s="79"/>
      <c r="DO98" s="79"/>
      <c r="DP98" s="79"/>
      <c r="DQ98" s="79"/>
      <c r="DR98" s="79"/>
      <c r="DS98" s="79"/>
      <c r="DT98" s="79"/>
      <c r="DU98" s="79"/>
      <c r="DV98" s="79"/>
      <c r="DW98" s="79"/>
      <c r="DX98" s="79"/>
      <c r="DY98" s="79"/>
      <c r="DZ98" s="79"/>
      <c r="EA98" s="79"/>
      <c r="EB98" s="79"/>
      <c r="EC98" s="79"/>
      <c r="ED98" s="79"/>
      <c r="EE98" s="79"/>
      <c r="EF98" s="79"/>
      <c r="EG98" s="79"/>
      <c r="EH98" s="79"/>
      <c r="EI98" s="79"/>
      <c r="EJ98" s="79"/>
      <c r="EK98" s="79"/>
      <c r="EL98" s="79"/>
      <c r="EM98" s="79"/>
      <c r="EN98" s="79"/>
      <c r="EO98" s="79"/>
      <c r="EP98" s="79"/>
      <c r="EQ98" s="79"/>
      <c r="ER98" s="79"/>
      <c r="ES98" s="79"/>
      <c r="ET98" s="79"/>
      <c r="EU98" s="79"/>
      <c r="EV98" s="79"/>
      <c r="EW98" s="79"/>
      <c r="EX98" s="79"/>
      <c r="EY98" s="79"/>
      <c r="EZ98" s="79"/>
      <c r="FA98" s="79"/>
      <c r="FB98" s="79"/>
      <c r="FC98" s="79"/>
      <c r="FD98" s="79"/>
      <c r="FE98" s="79"/>
      <c r="FF98" s="79"/>
      <c r="FG98" s="79"/>
      <c r="FH98" s="79"/>
      <c r="FI98" s="79"/>
      <c r="FJ98" s="79"/>
      <c r="FK98" s="79"/>
      <c r="FL98" s="79"/>
      <c r="FM98" s="79"/>
      <c r="FN98" s="79"/>
      <c r="FO98" s="79"/>
      <c r="FP98" s="79"/>
      <c r="FQ98" s="79"/>
      <c r="FR98" s="79"/>
      <c r="FS98" s="79"/>
      <c r="FT98" s="79"/>
      <c r="FU98" s="79"/>
      <c r="FV98" s="79"/>
      <c r="FW98" s="79"/>
      <c r="FX98" s="79"/>
      <c r="FY98" s="79"/>
      <c r="FZ98" s="79"/>
      <c r="GA98" s="79"/>
      <c r="GB98" s="79"/>
      <c r="GC98" s="79"/>
      <c r="GD98" s="79"/>
      <c r="GE98" s="79"/>
      <c r="GF98" s="79"/>
      <c r="GG98" s="79"/>
      <c r="GH98" s="79"/>
      <c r="GI98" s="79"/>
      <c r="GJ98" s="79"/>
      <c r="GK98" s="79"/>
      <c r="GL98" s="79"/>
      <c r="GM98" s="79"/>
      <c r="GN98" s="79"/>
      <c r="GO98" s="79"/>
      <c r="GP98" s="79"/>
      <c r="GQ98" s="79"/>
      <c r="GR98" s="79"/>
      <c r="GS98" s="79"/>
      <c r="GT98" s="79"/>
      <c r="GU98" s="79"/>
      <c r="GV98" s="79"/>
      <c r="GW98" s="79"/>
      <c r="GX98" s="79"/>
      <c r="GY98" s="79"/>
      <c r="GZ98" s="79"/>
      <c r="HA98" s="79"/>
      <c r="HB98" s="79"/>
      <c r="HC98" s="79"/>
      <c r="HD98" s="79"/>
      <c r="HE98" s="79"/>
      <c r="HF98" s="79"/>
      <c r="HG98" s="79"/>
      <c r="HH98" s="79"/>
      <c r="HI98" s="79"/>
      <c r="HJ98" s="79"/>
      <c r="HK98" s="79"/>
      <c r="HL98" s="79"/>
      <c r="HM98" s="79"/>
      <c r="HN98" s="79"/>
      <c r="HO98" s="79"/>
      <c r="HP98" s="79"/>
      <c r="HQ98" s="79"/>
      <c r="HR98" s="79"/>
      <c r="HS98" s="79"/>
      <c r="HT98" s="79"/>
      <c r="HU98" s="79"/>
      <c r="HV98" s="79"/>
      <c r="HW98" s="79"/>
      <c r="HX98" s="79"/>
      <c r="HY98" s="79"/>
      <c r="HZ98" s="79"/>
      <c r="IA98" s="79"/>
      <c r="IB98" s="79"/>
      <c r="IC98" s="79"/>
      <c r="ID98" s="79"/>
      <c r="IE98" s="79"/>
    </row>
    <row r="99" spans="1:239" x14ac:dyDescent="0.3">
      <c r="A99" s="58"/>
      <c r="B99" s="100"/>
      <c r="C99" s="51"/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X99" s="51"/>
      <c r="Y99" s="51"/>
      <c r="Z99" s="51"/>
      <c r="AA99" s="51"/>
      <c r="AB99" s="51"/>
      <c r="AC99" s="51"/>
      <c r="AD99" s="51"/>
      <c r="AE99" s="51"/>
      <c r="AF99" s="51"/>
      <c r="AG99" s="51"/>
      <c r="AH99" s="51"/>
      <c r="AK99" s="51"/>
      <c r="AM99" s="51"/>
      <c r="AN99" s="51"/>
      <c r="AO99" s="51"/>
      <c r="AP99" s="51"/>
      <c r="AQ99" s="51"/>
      <c r="AR99" s="51"/>
      <c r="AS99" s="51"/>
      <c r="AT99" s="51"/>
      <c r="AU99" s="51"/>
      <c r="AV99" s="51"/>
      <c r="AW99" s="51"/>
      <c r="AX99" s="51"/>
      <c r="AY99" s="51"/>
      <c r="AZ99" s="51"/>
      <c r="BA99" s="51"/>
      <c r="BB99" s="51"/>
      <c r="BC99" s="51"/>
      <c r="BD99" s="51"/>
      <c r="BE99" s="51"/>
      <c r="BF99" s="51"/>
      <c r="BG99" s="51"/>
      <c r="BH99" s="51"/>
      <c r="BI99" s="51"/>
      <c r="BJ99" s="51"/>
      <c r="BK99" s="51"/>
      <c r="BL99" s="51"/>
      <c r="BM99" s="51"/>
      <c r="BN99" s="51"/>
      <c r="BO99" s="51"/>
      <c r="BP99" s="51"/>
      <c r="BQ99" s="51"/>
      <c r="BR99" s="51"/>
      <c r="BS99" s="51"/>
      <c r="BT99" s="51"/>
      <c r="BU99" s="51"/>
      <c r="BV99" s="51"/>
      <c r="BW99" s="51"/>
      <c r="BX99" s="51"/>
      <c r="BY99" s="51"/>
      <c r="BZ99" s="51"/>
      <c r="CA99" s="51"/>
      <c r="CB99" s="51"/>
      <c r="CC99" s="51"/>
      <c r="CD99" s="51"/>
      <c r="CE99" s="51"/>
      <c r="CF99" s="51"/>
      <c r="CG99" s="51"/>
      <c r="CH99" s="51"/>
      <c r="CI99" s="51"/>
      <c r="CJ99" s="51"/>
      <c r="CK99" s="51"/>
      <c r="CL99" s="51"/>
      <c r="CM99" s="51"/>
      <c r="CN99" s="51"/>
      <c r="CO99" s="51"/>
      <c r="CP99" s="51"/>
      <c r="CQ99" s="51"/>
      <c r="CR99" s="51"/>
      <c r="CS99" s="51"/>
      <c r="CT99" s="51"/>
      <c r="CU99" s="51"/>
      <c r="CV99" s="51"/>
      <c r="CW99" s="51"/>
      <c r="CX99" s="51"/>
      <c r="CY99" s="51"/>
      <c r="CZ99" s="51"/>
      <c r="DA99" s="51"/>
      <c r="DB99" s="51"/>
      <c r="DC99" s="51"/>
      <c r="DD99" s="51"/>
      <c r="DE99" s="51"/>
      <c r="DF99" s="51"/>
      <c r="DG99" s="51"/>
      <c r="DH99" s="51"/>
      <c r="DI99" s="51"/>
      <c r="DJ99" s="51"/>
      <c r="DK99" s="51"/>
      <c r="DL99" s="51"/>
      <c r="DM99" s="51"/>
      <c r="DN99" s="51"/>
      <c r="DO99" s="51"/>
      <c r="DP99" s="51"/>
      <c r="DQ99" s="51"/>
      <c r="DR99" s="51"/>
      <c r="DS99" s="51"/>
      <c r="DT99" s="51"/>
      <c r="DU99" s="51"/>
      <c r="DV99" s="51"/>
      <c r="DW99" s="51"/>
      <c r="DX99" s="51"/>
      <c r="DY99" s="51"/>
      <c r="DZ99" s="51"/>
      <c r="EA99" s="51"/>
      <c r="EB99" s="51"/>
      <c r="EC99" s="51"/>
      <c r="ED99" s="51"/>
      <c r="EE99" s="51"/>
      <c r="EF99" s="51"/>
      <c r="EG99" s="51"/>
      <c r="EH99" s="51"/>
      <c r="EI99" s="51"/>
      <c r="EJ99" s="51"/>
      <c r="EK99" s="51"/>
      <c r="EL99" s="51"/>
      <c r="EM99" s="51"/>
      <c r="EN99" s="51"/>
      <c r="EO99" s="51"/>
      <c r="EP99" s="51"/>
      <c r="EQ99" s="51"/>
      <c r="ER99" s="51"/>
      <c r="ES99" s="51"/>
      <c r="ET99" s="51"/>
      <c r="EU99" s="51"/>
      <c r="EV99" s="51"/>
      <c r="EW99" s="51"/>
      <c r="EX99" s="51"/>
      <c r="EY99" s="51"/>
      <c r="EZ99" s="51"/>
      <c r="FA99" s="51"/>
      <c r="FB99" s="51"/>
      <c r="FC99" s="51"/>
      <c r="FD99" s="51"/>
      <c r="FE99" s="51"/>
      <c r="FF99" s="51"/>
      <c r="FG99" s="51"/>
      <c r="FH99" s="51"/>
      <c r="FI99" s="51"/>
      <c r="FJ99" s="51"/>
      <c r="FK99" s="51"/>
      <c r="FL99" s="51"/>
      <c r="FM99" s="51"/>
      <c r="FN99" s="51"/>
      <c r="FO99" s="51"/>
      <c r="FP99" s="51"/>
      <c r="FQ99" s="51"/>
      <c r="FR99" s="51"/>
      <c r="FS99" s="51"/>
      <c r="FT99" s="51"/>
      <c r="FU99" s="51"/>
      <c r="FV99" s="51"/>
      <c r="FW99" s="51"/>
      <c r="FX99" s="51"/>
      <c r="FY99" s="51"/>
      <c r="FZ99" s="51"/>
      <c r="GA99" s="51"/>
      <c r="GB99" s="51"/>
      <c r="GC99" s="51"/>
      <c r="GD99" s="51"/>
      <c r="GE99" s="51"/>
      <c r="GF99" s="51"/>
      <c r="GG99" s="51"/>
      <c r="GH99" s="51"/>
      <c r="GI99" s="51"/>
      <c r="GJ99" s="51"/>
      <c r="GK99" s="51"/>
      <c r="GL99" s="51"/>
      <c r="GM99" s="51"/>
      <c r="GN99" s="51"/>
      <c r="GO99" s="51"/>
      <c r="GP99" s="51"/>
      <c r="GQ99" s="51"/>
      <c r="GR99" s="51"/>
      <c r="GS99" s="51"/>
      <c r="GT99" s="51"/>
      <c r="GU99" s="51"/>
      <c r="GV99" s="51"/>
      <c r="GW99" s="51"/>
      <c r="GX99" s="51"/>
      <c r="GY99" s="51"/>
      <c r="GZ99" s="51"/>
      <c r="HA99" s="51"/>
      <c r="HB99" s="51"/>
      <c r="HC99" s="51"/>
      <c r="HD99" s="51"/>
      <c r="HE99" s="51"/>
      <c r="HF99" s="51"/>
      <c r="HG99" s="51"/>
      <c r="HH99" s="51"/>
      <c r="HI99" s="51"/>
      <c r="HJ99" s="51"/>
      <c r="HK99" s="51"/>
      <c r="HL99" s="51"/>
      <c r="HM99" s="51"/>
      <c r="HN99" s="51"/>
      <c r="HO99" s="51"/>
      <c r="HP99" s="51"/>
      <c r="HQ99" s="51"/>
      <c r="HR99" s="51"/>
      <c r="HS99" s="51"/>
      <c r="HT99" s="51"/>
      <c r="HU99" s="51"/>
      <c r="HV99" s="51"/>
      <c r="HW99" s="51"/>
      <c r="HX99" s="51"/>
      <c r="HY99" s="51"/>
      <c r="HZ99" s="51"/>
      <c r="IA99" s="51"/>
      <c r="IB99" s="51"/>
      <c r="IC99" s="51"/>
      <c r="ID99" s="51"/>
      <c r="IE99" s="51"/>
    </row>
    <row r="100" spans="1:239" x14ac:dyDescent="0.3">
      <c r="A100" s="58"/>
      <c r="B100" s="100"/>
      <c r="C100" s="90"/>
      <c r="D100" s="90"/>
      <c r="E100" s="90"/>
      <c r="F100" s="90"/>
      <c r="G100" s="90"/>
      <c r="H100" s="90"/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K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79"/>
      <c r="AY100" s="79"/>
      <c r="AZ100" s="79"/>
      <c r="BA100" s="51"/>
      <c r="BB100" s="79"/>
      <c r="BC100" s="79"/>
      <c r="BD100" s="79"/>
      <c r="BE100" s="79"/>
      <c r="BF100" s="79"/>
      <c r="BG100" s="79"/>
      <c r="BH100" s="79"/>
      <c r="BI100" s="79"/>
      <c r="BJ100" s="79"/>
      <c r="BK100" s="79"/>
      <c r="BL100" s="79"/>
      <c r="BM100" s="79"/>
      <c r="BN100" s="79"/>
      <c r="BO100" s="79"/>
      <c r="BP100" s="79"/>
      <c r="BQ100" s="79"/>
      <c r="BR100" s="79"/>
      <c r="BS100" s="79"/>
      <c r="BT100" s="79"/>
      <c r="BU100" s="79"/>
      <c r="BV100" s="79"/>
      <c r="BW100" s="79"/>
      <c r="BX100" s="79"/>
      <c r="BY100" s="79"/>
      <c r="BZ100" s="79"/>
      <c r="CA100" s="79"/>
      <c r="CB100" s="79"/>
      <c r="CC100" s="79"/>
      <c r="CD100" s="79"/>
      <c r="CE100" s="79"/>
      <c r="CF100" s="79"/>
      <c r="CG100" s="79"/>
      <c r="CH100" s="79"/>
      <c r="CI100" s="79"/>
      <c r="CJ100" s="79"/>
      <c r="CK100" s="79"/>
      <c r="CL100" s="79"/>
      <c r="CM100" s="79"/>
      <c r="CN100" s="79"/>
      <c r="CO100" s="79"/>
      <c r="CP100" s="79"/>
      <c r="CQ100" s="79"/>
      <c r="CR100" s="79"/>
      <c r="CS100" s="79"/>
      <c r="CT100" s="79"/>
      <c r="CU100" s="79"/>
      <c r="CV100" s="79"/>
      <c r="CW100" s="79"/>
      <c r="CX100" s="79"/>
      <c r="CY100" s="79"/>
      <c r="CZ100" s="79"/>
      <c r="DA100" s="79"/>
      <c r="DB100" s="79"/>
      <c r="DC100" s="79"/>
      <c r="DD100" s="79"/>
      <c r="DE100" s="79"/>
      <c r="DF100" s="79"/>
      <c r="DG100" s="79"/>
      <c r="DH100" s="79"/>
      <c r="DI100" s="79"/>
      <c r="DJ100" s="79"/>
      <c r="DK100" s="79"/>
      <c r="DL100" s="79"/>
      <c r="DM100" s="79"/>
      <c r="DN100" s="79"/>
      <c r="DO100" s="79"/>
      <c r="DP100" s="79"/>
      <c r="DQ100" s="79"/>
      <c r="DR100" s="79"/>
      <c r="DS100" s="79"/>
      <c r="DT100" s="79"/>
      <c r="DU100" s="79"/>
      <c r="DV100" s="79"/>
      <c r="DW100" s="79"/>
      <c r="DX100" s="79"/>
      <c r="DY100" s="79"/>
      <c r="DZ100" s="79"/>
      <c r="EA100" s="79"/>
      <c r="EB100" s="79"/>
      <c r="EC100" s="79"/>
      <c r="ED100" s="79"/>
      <c r="EE100" s="79"/>
      <c r="EF100" s="79"/>
      <c r="EG100" s="79"/>
      <c r="EH100" s="79"/>
      <c r="EI100" s="79"/>
      <c r="EJ100" s="79"/>
      <c r="EK100" s="79"/>
      <c r="EL100" s="79"/>
      <c r="EM100" s="79"/>
      <c r="EN100" s="79"/>
      <c r="EO100" s="79"/>
      <c r="EP100" s="79"/>
      <c r="EQ100" s="79"/>
      <c r="ER100" s="79"/>
      <c r="ES100" s="79"/>
      <c r="ET100" s="79"/>
      <c r="EU100" s="79"/>
      <c r="EV100" s="79"/>
      <c r="EW100" s="79"/>
      <c r="EX100" s="79"/>
      <c r="EY100" s="79"/>
      <c r="EZ100" s="79"/>
      <c r="FA100" s="79"/>
      <c r="FB100" s="79"/>
      <c r="FC100" s="79"/>
      <c r="FD100" s="79"/>
      <c r="FE100" s="79"/>
      <c r="FF100" s="79"/>
      <c r="FG100" s="79"/>
      <c r="FH100" s="79"/>
      <c r="FI100" s="79"/>
      <c r="FJ100" s="79"/>
      <c r="FK100" s="79"/>
      <c r="FL100" s="79"/>
      <c r="FM100" s="79"/>
      <c r="FN100" s="79"/>
      <c r="FO100" s="79"/>
      <c r="FP100" s="79"/>
      <c r="FQ100" s="79"/>
      <c r="FR100" s="79"/>
      <c r="FS100" s="79"/>
      <c r="FT100" s="79"/>
      <c r="FU100" s="79"/>
      <c r="FV100" s="79"/>
      <c r="FW100" s="79"/>
      <c r="FX100" s="79"/>
      <c r="FY100" s="79"/>
      <c r="FZ100" s="79"/>
      <c r="GA100" s="79"/>
      <c r="GB100" s="79"/>
      <c r="GC100" s="79"/>
      <c r="GD100" s="79"/>
      <c r="GE100" s="79"/>
      <c r="GF100" s="79"/>
      <c r="GG100" s="79"/>
      <c r="GH100" s="79"/>
      <c r="GI100" s="79"/>
      <c r="GJ100" s="79"/>
      <c r="GK100" s="79"/>
      <c r="GL100" s="79"/>
      <c r="GM100" s="79"/>
      <c r="GN100" s="79"/>
      <c r="GO100" s="79"/>
      <c r="GP100" s="79"/>
      <c r="GQ100" s="79"/>
      <c r="GR100" s="79"/>
      <c r="GS100" s="79"/>
      <c r="GT100" s="79"/>
      <c r="GU100" s="79"/>
      <c r="GV100" s="79"/>
      <c r="GW100" s="79"/>
      <c r="GX100" s="79"/>
      <c r="GY100" s="79"/>
      <c r="GZ100" s="79"/>
      <c r="HA100" s="79"/>
      <c r="HB100" s="79"/>
      <c r="HC100" s="79"/>
      <c r="HD100" s="79"/>
      <c r="HE100" s="79"/>
      <c r="HF100" s="79"/>
      <c r="HG100" s="79"/>
      <c r="HH100" s="79"/>
      <c r="HI100" s="79"/>
      <c r="HJ100" s="79"/>
      <c r="HK100" s="79"/>
      <c r="HL100" s="79"/>
      <c r="HM100" s="79"/>
      <c r="HN100" s="79"/>
      <c r="HO100" s="79"/>
      <c r="HP100" s="79"/>
      <c r="HQ100" s="79"/>
      <c r="HR100" s="79"/>
      <c r="HS100" s="79"/>
      <c r="HT100" s="79"/>
      <c r="HU100" s="79"/>
      <c r="HV100" s="79"/>
      <c r="HW100" s="79"/>
      <c r="HX100" s="79"/>
      <c r="HY100" s="79"/>
      <c r="HZ100" s="79"/>
      <c r="IA100" s="79"/>
      <c r="IB100" s="79"/>
      <c r="IC100" s="79"/>
      <c r="ID100" s="79"/>
      <c r="IE100" s="79"/>
    </row>
    <row r="101" spans="1:239" x14ac:dyDescent="0.3">
      <c r="A101" s="58"/>
      <c r="C101" s="90"/>
      <c r="D101" s="90"/>
      <c r="E101" s="90"/>
      <c r="F101" s="90"/>
      <c r="G101" s="90"/>
      <c r="H101" s="90"/>
      <c r="I101" s="90"/>
      <c r="J101" s="90"/>
      <c r="K101" s="90"/>
      <c r="L101" s="90"/>
      <c r="M101" s="90"/>
      <c r="N101" s="90"/>
      <c r="O101" s="90"/>
      <c r="P101" s="90"/>
      <c r="Q101" s="90"/>
      <c r="R101" s="90"/>
      <c r="S101" s="90"/>
      <c r="T101" s="90"/>
      <c r="U101" s="90"/>
      <c r="V101" s="90"/>
      <c r="W101" s="90"/>
      <c r="X101" s="90"/>
      <c r="Y101" s="90"/>
      <c r="Z101" s="90"/>
      <c r="AA101" s="90"/>
      <c r="AB101" s="90"/>
      <c r="AC101" s="90"/>
      <c r="AD101" s="90"/>
      <c r="AE101" s="90"/>
      <c r="AF101" s="90"/>
      <c r="AG101" s="90"/>
      <c r="AH101" s="90"/>
      <c r="AK101" s="79"/>
      <c r="AM101" s="79"/>
      <c r="AN101" s="79"/>
      <c r="AO101" s="79"/>
      <c r="AP101" s="79"/>
      <c r="AQ101" s="79"/>
      <c r="AR101" s="79"/>
      <c r="AS101" s="79"/>
      <c r="AT101" s="79"/>
      <c r="AU101" s="79"/>
      <c r="AV101" s="79"/>
      <c r="AW101" s="79"/>
      <c r="AX101" s="79"/>
      <c r="AY101" s="79"/>
      <c r="AZ101" s="79"/>
      <c r="BA101" s="51"/>
      <c r="BB101" s="79"/>
      <c r="BC101" s="79"/>
      <c r="BD101" s="79"/>
      <c r="BE101" s="79"/>
      <c r="BF101" s="79"/>
      <c r="BG101" s="79"/>
      <c r="BH101" s="79"/>
      <c r="BI101" s="79"/>
      <c r="BJ101" s="79"/>
      <c r="BK101" s="79"/>
      <c r="BL101" s="79"/>
      <c r="BM101" s="79"/>
      <c r="BN101" s="79"/>
      <c r="BO101" s="79"/>
      <c r="BP101" s="79"/>
      <c r="BQ101" s="79"/>
      <c r="BR101" s="79"/>
      <c r="BS101" s="79"/>
      <c r="BT101" s="79"/>
      <c r="BU101" s="79"/>
      <c r="BV101" s="79"/>
      <c r="BW101" s="79"/>
      <c r="BX101" s="79"/>
      <c r="BY101" s="79"/>
      <c r="BZ101" s="79"/>
      <c r="CA101" s="79"/>
      <c r="CB101" s="79"/>
      <c r="CC101" s="79"/>
      <c r="CD101" s="79"/>
      <c r="CE101" s="79"/>
      <c r="CF101" s="79"/>
      <c r="CG101" s="79"/>
      <c r="CH101" s="79"/>
      <c r="CI101" s="79"/>
      <c r="CJ101" s="79"/>
      <c r="CK101" s="79"/>
      <c r="CL101" s="79"/>
      <c r="CM101" s="79"/>
      <c r="CN101" s="79"/>
      <c r="CO101" s="79"/>
      <c r="CP101" s="79"/>
      <c r="CQ101" s="79"/>
      <c r="CR101" s="79"/>
      <c r="CS101" s="79"/>
      <c r="CT101" s="79"/>
      <c r="CU101" s="79"/>
      <c r="CV101" s="79"/>
      <c r="CW101" s="79"/>
      <c r="CX101" s="79"/>
      <c r="CY101" s="79"/>
      <c r="CZ101" s="79"/>
      <c r="DA101" s="79"/>
      <c r="DB101" s="79"/>
      <c r="DC101" s="79"/>
      <c r="DD101" s="79"/>
      <c r="DE101" s="79"/>
      <c r="DF101" s="79"/>
      <c r="DG101" s="79"/>
      <c r="DH101" s="79"/>
      <c r="DI101" s="79"/>
      <c r="DJ101" s="79"/>
      <c r="DK101" s="79"/>
      <c r="DL101" s="79"/>
      <c r="DM101" s="79"/>
      <c r="DN101" s="79"/>
      <c r="DO101" s="79"/>
      <c r="DP101" s="79"/>
      <c r="DQ101" s="79"/>
      <c r="DR101" s="79"/>
      <c r="DS101" s="79"/>
      <c r="DT101" s="79"/>
      <c r="DU101" s="79"/>
      <c r="DV101" s="79"/>
      <c r="DW101" s="79"/>
      <c r="DX101" s="79"/>
      <c r="DY101" s="79"/>
      <c r="DZ101" s="79"/>
      <c r="EA101" s="79"/>
      <c r="EB101" s="79"/>
      <c r="EC101" s="79"/>
      <c r="ED101" s="79"/>
      <c r="EE101" s="79"/>
      <c r="EF101" s="79"/>
      <c r="EG101" s="79"/>
      <c r="EH101" s="79"/>
      <c r="EI101" s="79"/>
      <c r="EJ101" s="79"/>
      <c r="EK101" s="79"/>
      <c r="EL101" s="79"/>
      <c r="EM101" s="79"/>
      <c r="EN101" s="79"/>
      <c r="EO101" s="79"/>
      <c r="EP101" s="79"/>
      <c r="EQ101" s="79"/>
      <c r="ER101" s="79"/>
      <c r="ES101" s="79"/>
      <c r="ET101" s="79"/>
      <c r="EU101" s="79"/>
      <c r="EV101" s="79"/>
      <c r="EW101" s="79"/>
      <c r="EX101" s="79"/>
      <c r="EY101" s="79"/>
      <c r="EZ101" s="79"/>
      <c r="FA101" s="79"/>
      <c r="FB101" s="79"/>
      <c r="FC101" s="79"/>
      <c r="FD101" s="79"/>
      <c r="FE101" s="79"/>
      <c r="FF101" s="79"/>
      <c r="FG101" s="79"/>
      <c r="FH101" s="79"/>
      <c r="FI101" s="79"/>
      <c r="FJ101" s="79"/>
      <c r="FK101" s="79"/>
      <c r="FL101" s="79"/>
      <c r="FM101" s="79"/>
      <c r="FN101" s="79"/>
      <c r="FO101" s="79"/>
      <c r="FP101" s="79"/>
      <c r="FQ101" s="79"/>
      <c r="FR101" s="79"/>
      <c r="FS101" s="79"/>
      <c r="FT101" s="79"/>
      <c r="FU101" s="79"/>
      <c r="FV101" s="79"/>
      <c r="FW101" s="79"/>
      <c r="FX101" s="79"/>
      <c r="FY101" s="79"/>
      <c r="FZ101" s="79"/>
      <c r="GA101" s="79"/>
      <c r="GB101" s="79"/>
      <c r="GC101" s="79"/>
      <c r="GD101" s="79"/>
      <c r="GE101" s="79"/>
      <c r="GF101" s="79"/>
      <c r="GG101" s="79"/>
      <c r="GH101" s="79"/>
      <c r="GI101" s="79"/>
      <c r="GJ101" s="79"/>
      <c r="GK101" s="79"/>
      <c r="GL101" s="79"/>
      <c r="GM101" s="79"/>
      <c r="GN101" s="79"/>
      <c r="GO101" s="79"/>
      <c r="GP101" s="79"/>
      <c r="GQ101" s="79"/>
      <c r="GR101" s="79"/>
      <c r="GS101" s="79"/>
      <c r="GT101" s="79"/>
      <c r="GU101" s="79"/>
      <c r="GV101" s="79"/>
      <c r="GW101" s="79"/>
      <c r="GX101" s="79"/>
      <c r="GY101" s="79"/>
      <c r="GZ101" s="79"/>
      <c r="HA101" s="79"/>
      <c r="HB101" s="79"/>
      <c r="HC101" s="79"/>
      <c r="HD101" s="79"/>
      <c r="HE101" s="79"/>
      <c r="HF101" s="79"/>
      <c r="HG101" s="79"/>
      <c r="HH101" s="79"/>
      <c r="HI101" s="79"/>
      <c r="HJ101" s="79"/>
      <c r="HK101" s="79"/>
      <c r="HL101" s="79"/>
      <c r="HM101" s="79"/>
      <c r="HN101" s="79"/>
      <c r="HO101" s="79"/>
      <c r="HP101" s="79"/>
      <c r="HQ101" s="79"/>
      <c r="HR101" s="79"/>
      <c r="HS101" s="79"/>
      <c r="HT101" s="79"/>
      <c r="HU101" s="79"/>
      <c r="HV101" s="79"/>
      <c r="HW101" s="79"/>
      <c r="HX101" s="79"/>
      <c r="HY101" s="79"/>
      <c r="HZ101" s="79"/>
      <c r="IA101" s="79"/>
      <c r="IB101" s="79"/>
      <c r="IC101" s="79"/>
      <c r="ID101" s="79"/>
      <c r="IE101" s="79"/>
    </row>
    <row r="102" spans="1:239" x14ac:dyDescent="0.3">
      <c r="A102" s="58"/>
      <c r="C102" s="90"/>
      <c r="D102" s="90"/>
      <c r="E102" s="90"/>
      <c r="F102" s="90"/>
      <c r="G102" s="90"/>
      <c r="H102" s="90"/>
      <c r="I102" s="90"/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0"/>
      <c r="U102" s="90"/>
      <c r="V102" s="90"/>
      <c r="W102" s="90"/>
      <c r="X102" s="90"/>
      <c r="Y102" s="90"/>
      <c r="Z102" s="90"/>
      <c r="AA102" s="90"/>
      <c r="AB102" s="90"/>
      <c r="AC102" s="90"/>
      <c r="AD102" s="90"/>
      <c r="AE102" s="90"/>
      <c r="AF102" s="90"/>
      <c r="AG102" s="90"/>
      <c r="AH102" s="90"/>
      <c r="AK102" s="79"/>
      <c r="AM102" s="79"/>
      <c r="AN102" s="79"/>
      <c r="AO102" s="79"/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51"/>
      <c r="BB102" s="79"/>
      <c r="BC102" s="79"/>
      <c r="BD102" s="79"/>
      <c r="BE102" s="79"/>
      <c r="BF102" s="79"/>
      <c r="BG102" s="79"/>
      <c r="BH102" s="79"/>
      <c r="BI102" s="79"/>
      <c r="BJ102" s="79"/>
      <c r="BK102" s="79"/>
      <c r="BL102" s="79"/>
      <c r="BM102" s="79"/>
      <c r="BN102" s="79"/>
      <c r="BO102" s="79"/>
      <c r="BP102" s="79"/>
      <c r="BQ102" s="79"/>
      <c r="BR102" s="79"/>
      <c r="BS102" s="79"/>
      <c r="BT102" s="79"/>
      <c r="BU102" s="79"/>
      <c r="BV102" s="79"/>
      <c r="BW102" s="79"/>
      <c r="BX102" s="79"/>
      <c r="BY102" s="79"/>
      <c r="BZ102" s="79"/>
      <c r="CA102" s="79"/>
      <c r="CB102" s="79"/>
      <c r="CC102" s="79"/>
      <c r="CD102" s="79"/>
      <c r="CE102" s="79"/>
      <c r="CF102" s="79"/>
      <c r="CG102" s="79"/>
      <c r="CH102" s="79"/>
      <c r="CI102" s="79"/>
      <c r="CJ102" s="79"/>
      <c r="CK102" s="79"/>
      <c r="CL102" s="79"/>
      <c r="CM102" s="79"/>
      <c r="CN102" s="79"/>
      <c r="CO102" s="79"/>
      <c r="CP102" s="79"/>
      <c r="CQ102" s="79"/>
      <c r="CR102" s="79"/>
      <c r="CS102" s="79"/>
      <c r="CT102" s="79"/>
      <c r="CU102" s="79"/>
      <c r="CV102" s="79"/>
      <c r="CW102" s="79"/>
      <c r="CX102" s="79"/>
      <c r="CY102" s="79"/>
      <c r="CZ102" s="79"/>
      <c r="DA102" s="79"/>
      <c r="DB102" s="79"/>
      <c r="DC102" s="79"/>
      <c r="DD102" s="79"/>
      <c r="DE102" s="79"/>
      <c r="DF102" s="79"/>
      <c r="DG102" s="79"/>
      <c r="DH102" s="79"/>
      <c r="DI102" s="79"/>
      <c r="DJ102" s="79"/>
      <c r="DK102" s="79"/>
      <c r="DL102" s="79"/>
      <c r="DM102" s="79"/>
      <c r="DN102" s="79"/>
      <c r="DO102" s="79"/>
      <c r="DP102" s="79"/>
      <c r="DQ102" s="79"/>
      <c r="DR102" s="79"/>
      <c r="DS102" s="79"/>
      <c r="DT102" s="79"/>
      <c r="DU102" s="79"/>
      <c r="DV102" s="79"/>
      <c r="DW102" s="79"/>
      <c r="DX102" s="79"/>
      <c r="DY102" s="79"/>
      <c r="DZ102" s="79"/>
      <c r="EA102" s="79"/>
      <c r="EB102" s="79"/>
      <c r="EC102" s="79"/>
      <c r="ED102" s="79"/>
      <c r="EE102" s="79"/>
      <c r="EF102" s="79"/>
      <c r="EG102" s="79"/>
      <c r="EH102" s="79"/>
      <c r="EI102" s="79"/>
      <c r="EJ102" s="79"/>
      <c r="EK102" s="79"/>
      <c r="EL102" s="79"/>
      <c r="EM102" s="79"/>
      <c r="EN102" s="79"/>
      <c r="EO102" s="79"/>
      <c r="EP102" s="79"/>
      <c r="EQ102" s="79"/>
      <c r="ER102" s="79"/>
      <c r="ES102" s="79"/>
      <c r="ET102" s="79"/>
      <c r="EU102" s="79"/>
      <c r="EV102" s="79"/>
      <c r="EW102" s="79"/>
      <c r="EX102" s="79"/>
      <c r="EY102" s="79"/>
      <c r="EZ102" s="79"/>
      <c r="FA102" s="79"/>
      <c r="FB102" s="79"/>
      <c r="FC102" s="79"/>
      <c r="FD102" s="79"/>
      <c r="FE102" s="79"/>
      <c r="FF102" s="79"/>
      <c r="FG102" s="79"/>
      <c r="FH102" s="79"/>
      <c r="FI102" s="79"/>
      <c r="FJ102" s="79"/>
      <c r="FK102" s="79"/>
      <c r="FL102" s="79"/>
      <c r="FM102" s="79"/>
      <c r="FN102" s="79"/>
      <c r="FO102" s="79"/>
      <c r="FP102" s="79"/>
      <c r="FQ102" s="79"/>
      <c r="FR102" s="79"/>
      <c r="FS102" s="79"/>
      <c r="FT102" s="79"/>
      <c r="FU102" s="79"/>
      <c r="FV102" s="79"/>
      <c r="FW102" s="79"/>
      <c r="FX102" s="79"/>
      <c r="FY102" s="79"/>
      <c r="FZ102" s="79"/>
      <c r="GA102" s="79"/>
      <c r="GB102" s="79"/>
      <c r="GC102" s="79"/>
      <c r="GD102" s="79"/>
      <c r="GE102" s="79"/>
      <c r="GF102" s="79"/>
      <c r="GG102" s="79"/>
      <c r="GH102" s="79"/>
      <c r="GI102" s="79"/>
      <c r="GJ102" s="79"/>
      <c r="GK102" s="79"/>
      <c r="GL102" s="79"/>
      <c r="GM102" s="79"/>
      <c r="GN102" s="79"/>
      <c r="GO102" s="79"/>
      <c r="GP102" s="79"/>
      <c r="GQ102" s="79"/>
      <c r="GR102" s="79"/>
      <c r="GS102" s="79"/>
      <c r="GT102" s="79"/>
      <c r="GU102" s="79"/>
      <c r="GV102" s="79"/>
      <c r="GW102" s="79"/>
      <c r="GX102" s="79"/>
      <c r="GY102" s="79"/>
      <c r="GZ102" s="79"/>
      <c r="HA102" s="79"/>
      <c r="HB102" s="79"/>
      <c r="HC102" s="79"/>
      <c r="HD102" s="79"/>
      <c r="HE102" s="79"/>
      <c r="HF102" s="79"/>
      <c r="HG102" s="79"/>
      <c r="HH102" s="79"/>
      <c r="HI102" s="79"/>
      <c r="HJ102" s="79"/>
      <c r="HK102" s="79"/>
      <c r="HL102" s="79"/>
      <c r="HM102" s="79"/>
      <c r="HN102" s="79"/>
      <c r="HO102" s="79"/>
      <c r="HP102" s="79"/>
      <c r="HQ102" s="79"/>
      <c r="HR102" s="79"/>
      <c r="HS102" s="79"/>
      <c r="HT102" s="79"/>
      <c r="HU102" s="79"/>
      <c r="HV102" s="79"/>
      <c r="HW102" s="79"/>
      <c r="HX102" s="79"/>
      <c r="HY102" s="79"/>
      <c r="HZ102" s="79"/>
      <c r="IA102" s="79"/>
      <c r="IB102" s="79"/>
      <c r="IC102" s="79"/>
      <c r="ID102" s="79"/>
      <c r="IE102" s="79"/>
    </row>
    <row r="103" spans="1:239" x14ac:dyDescent="0.3">
      <c r="A103" s="58"/>
      <c r="C103" s="90"/>
      <c r="D103" s="90"/>
      <c r="E103" s="90"/>
      <c r="F103" s="90"/>
      <c r="G103" s="90"/>
      <c r="H103" s="90"/>
      <c r="I103" s="90"/>
      <c r="J103" s="90"/>
      <c r="K103" s="90"/>
      <c r="L103" s="90"/>
      <c r="M103" s="90"/>
      <c r="N103" s="90"/>
      <c r="O103" s="90"/>
      <c r="P103" s="90"/>
      <c r="Q103" s="90"/>
      <c r="R103" s="90"/>
      <c r="S103" s="90"/>
      <c r="T103" s="90"/>
      <c r="U103" s="90"/>
      <c r="V103" s="90"/>
      <c r="W103" s="90"/>
      <c r="X103" s="90"/>
      <c r="Y103" s="90"/>
      <c r="Z103" s="90"/>
      <c r="AA103" s="90"/>
      <c r="AB103" s="90"/>
      <c r="AC103" s="90"/>
      <c r="AD103" s="90"/>
      <c r="AE103" s="90"/>
      <c r="AF103" s="90"/>
      <c r="AG103" s="90"/>
      <c r="AH103" s="90"/>
      <c r="AK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79"/>
      <c r="GM103" s="79"/>
      <c r="GN103" s="79"/>
      <c r="GO103" s="79"/>
      <c r="GP103" s="79"/>
      <c r="GQ103" s="79"/>
      <c r="GR103" s="79"/>
      <c r="GS103" s="79"/>
      <c r="GT103" s="79"/>
      <c r="GU103" s="79"/>
      <c r="GV103" s="79"/>
      <c r="GW103" s="79"/>
      <c r="GX103" s="79"/>
      <c r="GY103" s="79"/>
      <c r="GZ103" s="79"/>
      <c r="HA103" s="79"/>
      <c r="HB103" s="79"/>
      <c r="HC103" s="79"/>
      <c r="HD103" s="79"/>
      <c r="HE103" s="79"/>
      <c r="HF103" s="79"/>
      <c r="HG103" s="79"/>
      <c r="HH103" s="79"/>
      <c r="HI103" s="79"/>
      <c r="HJ103" s="79"/>
      <c r="HK103" s="79"/>
      <c r="HL103" s="79"/>
      <c r="HM103" s="79"/>
      <c r="HN103" s="79"/>
      <c r="HO103" s="79"/>
      <c r="HP103" s="79"/>
      <c r="HQ103" s="79"/>
      <c r="HR103" s="79"/>
      <c r="HS103" s="79"/>
      <c r="HT103" s="79"/>
      <c r="HU103" s="79"/>
      <c r="HV103" s="79"/>
      <c r="HW103" s="79"/>
      <c r="HX103" s="79"/>
      <c r="HY103" s="79"/>
      <c r="HZ103" s="79"/>
      <c r="IA103" s="79"/>
      <c r="IB103" s="79"/>
      <c r="IC103" s="79"/>
      <c r="ID103" s="79"/>
      <c r="IE103" s="79"/>
    </row>
    <row r="104" spans="1:239" x14ac:dyDescent="0.3">
      <c r="A104" s="58"/>
      <c r="C104" s="90"/>
      <c r="D104" s="90"/>
      <c r="E104" s="90"/>
      <c r="F104" s="90"/>
      <c r="G104" s="90"/>
      <c r="H104" s="90"/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0"/>
      <c r="AF104" s="90"/>
      <c r="AG104" s="90"/>
      <c r="AH104" s="90"/>
      <c r="AK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79"/>
      <c r="GM104" s="79"/>
      <c r="GN104" s="79"/>
      <c r="GO104" s="79"/>
      <c r="GP104" s="79"/>
      <c r="GQ104" s="79"/>
      <c r="GR104" s="79"/>
      <c r="GS104" s="79"/>
      <c r="GT104" s="79"/>
      <c r="GU104" s="79"/>
      <c r="GV104" s="79"/>
      <c r="GW104" s="79"/>
      <c r="GX104" s="79"/>
      <c r="GY104" s="79"/>
      <c r="GZ104" s="79"/>
      <c r="HA104" s="79"/>
      <c r="HB104" s="79"/>
      <c r="HC104" s="79"/>
      <c r="HD104" s="79"/>
      <c r="HE104" s="79"/>
      <c r="HF104" s="79"/>
      <c r="HG104" s="79"/>
      <c r="HH104" s="79"/>
      <c r="HI104" s="79"/>
      <c r="HJ104" s="79"/>
      <c r="HK104" s="79"/>
      <c r="HL104" s="79"/>
      <c r="HM104" s="79"/>
      <c r="HN104" s="79"/>
      <c r="HO104" s="79"/>
      <c r="HP104" s="79"/>
      <c r="HQ104" s="79"/>
      <c r="HR104" s="79"/>
      <c r="HS104" s="79"/>
      <c r="HT104" s="79"/>
      <c r="HU104" s="79"/>
      <c r="HV104" s="79"/>
      <c r="HW104" s="79"/>
      <c r="HX104" s="79"/>
      <c r="HY104" s="79"/>
      <c r="HZ104" s="79"/>
      <c r="IA104" s="79"/>
      <c r="IB104" s="79"/>
      <c r="IC104" s="79"/>
      <c r="ID104" s="79"/>
      <c r="IE104" s="79"/>
    </row>
    <row r="105" spans="1:239" x14ac:dyDescent="0.3">
      <c r="A105" s="58"/>
      <c r="C105" s="51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  <c r="V105" s="51"/>
      <c r="W105" s="51"/>
      <c r="X105" s="51"/>
      <c r="Y105" s="51"/>
      <c r="Z105" s="51"/>
      <c r="AA105" s="51"/>
      <c r="AB105" s="51"/>
      <c r="AC105" s="51"/>
      <c r="AD105" s="51"/>
      <c r="AE105" s="51"/>
      <c r="AF105" s="51"/>
      <c r="AG105" s="51"/>
      <c r="AH105" s="51"/>
      <c r="AK105" s="51"/>
      <c r="AM105" s="51"/>
      <c r="AN105" s="51"/>
      <c r="AO105" s="51"/>
      <c r="AP105" s="51"/>
      <c r="AQ105" s="51"/>
      <c r="AR105" s="51"/>
      <c r="AS105" s="51"/>
      <c r="AT105" s="51"/>
      <c r="AU105" s="51"/>
      <c r="AV105" s="51"/>
      <c r="AW105" s="51"/>
      <c r="AX105" s="51"/>
      <c r="AY105" s="51"/>
      <c r="AZ105" s="51"/>
      <c r="BA105" s="51"/>
      <c r="BB105" s="51"/>
      <c r="BC105" s="51"/>
      <c r="BD105" s="51"/>
      <c r="BE105" s="51"/>
      <c r="BF105" s="51"/>
      <c r="BG105" s="51"/>
      <c r="BH105" s="51"/>
      <c r="BI105" s="51"/>
      <c r="BJ105" s="51"/>
      <c r="BK105" s="51"/>
      <c r="BL105" s="51"/>
      <c r="BM105" s="51"/>
      <c r="BN105" s="51"/>
      <c r="BO105" s="51"/>
      <c r="BP105" s="51"/>
      <c r="BQ105" s="51"/>
      <c r="BR105" s="51"/>
      <c r="BS105" s="51"/>
      <c r="BT105" s="51"/>
      <c r="BU105" s="51"/>
      <c r="BV105" s="51"/>
      <c r="BW105" s="51"/>
      <c r="BX105" s="51"/>
      <c r="BY105" s="51"/>
      <c r="BZ105" s="51"/>
      <c r="CA105" s="51"/>
      <c r="CB105" s="51"/>
      <c r="CC105" s="51"/>
      <c r="CD105" s="51"/>
      <c r="CE105" s="51"/>
      <c r="CF105" s="51"/>
      <c r="CG105" s="51"/>
      <c r="CH105" s="51"/>
      <c r="CI105" s="51"/>
      <c r="CJ105" s="51"/>
      <c r="CK105" s="51"/>
      <c r="CL105" s="51"/>
      <c r="CM105" s="51"/>
      <c r="CN105" s="51"/>
      <c r="CO105" s="51"/>
      <c r="CP105" s="51"/>
      <c r="CQ105" s="51"/>
      <c r="CR105" s="51"/>
      <c r="CS105" s="51"/>
      <c r="CT105" s="51"/>
      <c r="CU105" s="51"/>
      <c r="CV105" s="51"/>
      <c r="CW105" s="51"/>
      <c r="CX105" s="51"/>
      <c r="CY105" s="51"/>
      <c r="CZ105" s="51"/>
      <c r="DA105" s="51"/>
      <c r="DB105" s="51"/>
      <c r="DC105" s="51"/>
      <c r="DD105" s="51"/>
      <c r="DE105" s="51"/>
      <c r="DF105" s="51"/>
      <c r="DG105" s="51"/>
      <c r="DH105" s="51"/>
      <c r="DI105" s="51"/>
      <c r="DJ105" s="51"/>
      <c r="DK105" s="51"/>
      <c r="DL105" s="51"/>
      <c r="DM105" s="51"/>
      <c r="DN105" s="51"/>
      <c r="DO105" s="51"/>
      <c r="DP105" s="51"/>
      <c r="DQ105" s="51"/>
      <c r="DR105" s="51"/>
      <c r="DS105" s="51"/>
      <c r="DT105" s="51"/>
      <c r="DU105" s="51"/>
      <c r="DV105" s="51"/>
      <c r="DW105" s="51"/>
      <c r="DX105" s="51"/>
      <c r="DY105" s="51"/>
      <c r="DZ105" s="51"/>
      <c r="EA105" s="51"/>
      <c r="EB105" s="51"/>
      <c r="EC105" s="51"/>
      <c r="ED105" s="51"/>
      <c r="EE105" s="51"/>
      <c r="EF105" s="51"/>
      <c r="EG105" s="51"/>
      <c r="EH105" s="51"/>
      <c r="EI105" s="51"/>
      <c r="EJ105" s="51"/>
      <c r="EK105" s="51"/>
      <c r="EL105" s="51"/>
      <c r="EM105" s="51"/>
      <c r="EN105" s="51"/>
      <c r="EO105" s="51"/>
      <c r="EP105" s="51"/>
      <c r="EQ105" s="51"/>
      <c r="ER105" s="51"/>
      <c r="ES105" s="51"/>
      <c r="ET105" s="51"/>
      <c r="EU105" s="51"/>
      <c r="EV105" s="51"/>
      <c r="EW105" s="51"/>
      <c r="EX105" s="51"/>
      <c r="EY105" s="51"/>
      <c r="EZ105" s="51"/>
      <c r="FA105" s="51"/>
      <c r="FB105" s="51"/>
      <c r="FC105" s="51"/>
      <c r="FD105" s="51"/>
      <c r="FE105" s="51"/>
      <c r="FF105" s="51"/>
      <c r="FG105" s="51"/>
      <c r="FH105" s="51"/>
      <c r="FI105" s="51"/>
      <c r="FJ105" s="51"/>
      <c r="FK105" s="51"/>
      <c r="FL105" s="51"/>
      <c r="FM105" s="51"/>
      <c r="FN105" s="51"/>
      <c r="FO105" s="51"/>
      <c r="FP105" s="51"/>
      <c r="FQ105" s="51"/>
      <c r="FR105" s="51"/>
      <c r="FS105" s="51"/>
      <c r="FT105" s="51"/>
      <c r="FU105" s="51"/>
      <c r="FV105" s="51"/>
      <c r="FW105" s="51"/>
      <c r="FX105" s="51"/>
      <c r="FY105" s="51"/>
      <c r="FZ105" s="51"/>
      <c r="GA105" s="51"/>
      <c r="GB105" s="51"/>
      <c r="GC105" s="51"/>
      <c r="GD105" s="51"/>
      <c r="GE105" s="51"/>
      <c r="GF105" s="51"/>
      <c r="GG105" s="51"/>
      <c r="GH105" s="51"/>
      <c r="GI105" s="51"/>
      <c r="GJ105" s="51"/>
      <c r="GK105" s="51"/>
      <c r="GL105" s="51"/>
      <c r="GM105" s="51"/>
      <c r="GN105" s="51"/>
      <c r="GO105" s="51"/>
      <c r="GP105" s="51"/>
      <c r="GQ105" s="51"/>
      <c r="GR105" s="51"/>
      <c r="GS105" s="51"/>
      <c r="GT105" s="51"/>
      <c r="GU105" s="51"/>
      <c r="GV105" s="51"/>
      <c r="GW105" s="51"/>
      <c r="GX105" s="51"/>
      <c r="GY105" s="51"/>
      <c r="GZ105" s="51"/>
      <c r="HA105" s="51"/>
      <c r="HB105" s="51"/>
      <c r="HC105" s="51"/>
      <c r="HD105" s="51"/>
      <c r="HE105" s="51"/>
      <c r="HF105" s="51"/>
      <c r="HG105" s="51"/>
      <c r="HH105" s="51"/>
      <c r="HI105" s="51"/>
      <c r="HJ105" s="51"/>
      <c r="HK105" s="51"/>
      <c r="HL105" s="51"/>
      <c r="HM105" s="51"/>
      <c r="HN105" s="51"/>
      <c r="HO105" s="51"/>
      <c r="HP105" s="51"/>
      <c r="HQ105" s="51"/>
      <c r="HR105" s="51"/>
      <c r="HS105" s="51"/>
      <c r="HT105" s="51"/>
      <c r="HU105" s="51"/>
      <c r="HV105" s="51"/>
      <c r="HW105" s="51"/>
      <c r="HX105" s="51"/>
      <c r="HY105" s="51"/>
      <c r="HZ105" s="51"/>
      <c r="IA105" s="51"/>
      <c r="IB105" s="51"/>
      <c r="IC105" s="51"/>
      <c r="ID105" s="51"/>
      <c r="IE105" s="51"/>
    </row>
    <row r="200" spans="2:2" ht="14.5" x14ac:dyDescent="0.35">
      <c r="B200" s="172"/>
    </row>
  </sheetData>
  <conditionalFormatting sqref="AI9:AJ9 D9:W9 BS9:BU9 DH9:DI9 HY9 Z9:AG9 IA9:IC9 GJ9:GM9 EU9:EX9">
    <cfRule type="containsErrors" dxfId="472" priority="473">
      <formula>ISERROR(D9)</formula>
    </cfRule>
  </conditionalFormatting>
  <conditionalFormatting sqref="C73 Y1:AD1 C1:W1">
    <cfRule type="cellIs" dxfId="471" priority="472" operator="notEqual">
      <formula>0</formula>
    </cfRule>
  </conditionalFormatting>
  <conditionalFormatting sqref="C74">
    <cfRule type="cellIs" dxfId="470" priority="471" operator="notEqual">
      <formula>0</formula>
    </cfRule>
  </conditionalFormatting>
  <conditionalFormatting sqref="AJ73">
    <cfRule type="cellIs" dxfId="469" priority="470" operator="notEqual">
      <formula>0</formula>
    </cfRule>
  </conditionalFormatting>
  <conditionalFormatting sqref="AJ74">
    <cfRule type="cellIs" dxfId="468" priority="469" operator="notEqual">
      <formula>0</formula>
    </cfRule>
  </conditionalFormatting>
  <conditionalFormatting sqref="BX73">
    <cfRule type="cellIs" dxfId="467" priority="468" operator="notEqual">
      <formula>0</formula>
    </cfRule>
  </conditionalFormatting>
  <conditionalFormatting sqref="BX74">
    <cfRule type="cellIs" dxfId="466" priority="467" operator="notEqual">
      <formula>0</formula>
    </cfRule>
  </conditionalFormatting>
  <conditionalFormatting sqref="DL73">
    <cfRule type="cellIs" dxfId="465" priority="466" operator="notEqual">
      <formula>0</formula>
    </cfRule>
  </conditionalFormatting>
  <conditionalFormatting sqref="DL74">
    <cfRule type="cellIs" dxfId="464" priority="465" operator="notEqual">
      <formula>0</formula>
    </cfRule>
  </conditionalFormatting>
  <conditionalFormatting sqref="FA73">
    <cfRule type="cellIs" dxfId="463" priority="464" operator="notEqual">
      <formula>0</formula>
    </cfRule>
  </conditionalFormatting>
  <conditionalFormatting sqref="FA74">
    <cfRule type="cellIs" dxfId="462" priority="463" operator="notEqual">
      <formula>0</formula>
    </cfRule>
  </conditionalFormatting>
  <conditionalFormatting sqref="GP73">
    <cfRule type="cellIs" dxfId="461" priority="462" operator="notEqual">
      <formula>0</formula>
    </cfRule>
  </conditionalFormatting>
  <conditionalFormatting sqref="GP74">
    <cfRule type="cellIs" dxfId="460" priority="461" operator="notEqual">
      <formula>0</formula>
    </cfRule>
  </conditionalFormatting>
  <conditionalFormatting sqref="IE73">
    <cfRule type="cellIs" dxfId="459" priority="460" operator="notEqual">
      <formula>0</formula>
    </cfRule>
  </conditionalFormatting>
  <conditionalFormatting sqref="IE74">
    <cfRule type="cellIs" dxfId="458" priority="459" operator="notEqual">
      <formula>0</formula>
    </cfRule>
  </conditionalFormatting>
  <conditionalFormatting sqref="C9">
    <cfRule type="containsErrors" dxfId="457" priority="458">
      <formula>ISERROR(C9)</formula>
    </cfRule>
  </conditionalFormatting>
  <conditionalFormatting sqref="AK9:BE9 BO9:BP9 BG9:BK9">
    <cfRule type="containsErrors" dxfId="456" priority="457">
      <formula>ISERROR(AK9)</formula>
    </cfRule>
  </conditionalFormatting>
  <conditionalFormatting sqref="BY9:CC9 DC9:DE9 CV9:CW9 CI9 CY9">
    <cfRule type="containsErrors" dxfId="455" priority="456">
      <formula>ISERROR(BY9)</formula>
    </cfRule>
  </conditionalFormatting>
  <conditionalFormatting sqref="DM9 ER9 EJ9:EM9 DP9:DQ9 DW9 EA9">
    <cfRule type="containsErrors" dxfId="454" priority="455">
      <formula>ISERROR(DM9)</formula>
    </cfRule>
  </conditionalFormatting>
  <conditionalFormatting sqref="FB9 GF9:GH9 FY9:FZ9 FE9:FG9 FI9:FL9 GB9">
    <cfRule type="containsErrors" dxfId="453" priority="454">
      <formula>ISERROR(FB9)</formula>
    </cfRule>
  </conditionalFormatting>
  <conditionalFormatting sqref="GQ9 HU9:HW9 HN9:HQ9 GT9:GU9 HA9">
    <cfRule type="containsErrors" dxfId="452" priority="453">
      <formula>ISERROR(GQ9)</formula>
    </cfRule>
  </conditionalFormatting>
  <conditionalFormatting sqref="F1">
    <cfRule type="cellIs" dxfId="451" priority="452" operator="notEqual">
      <formula>0</formula>
    </cfRule>
  </conditionalFormatting>
  <conditionalFormatting sqref="AH9">
    <cfRule type="containsErrors" dxfId="450" priority="451">
      <formula>ISERROR(AH9)</formula>
    </cfRule>
  </conditionalFormatting>
  <conditionalFormatting sqref="BV9">
    <cfRule type="containsErrors" dxfId="449" priority="450">
      <formula>ISERROR(BV9)</formula>
    </cfRule>
  </conditionalFormatting>
  <conditionalFormatting sqref="EY9">
    <cfRule type="containsErrors" dxfId="448" priority="449">
      <formula>ISERROR(EY9)</formula>
    </cfRule>
  </conditionalFormatting>
  <conditionalFormatting sqref="GN9">
    <cfRule type="containsErrors" dxfId="447" priority="448">
      <formula>ISERROR(GN9)</formula>
    </cfRule>
  </conditionalFormatting>
  <conditionalFormatting sqref="AO1">
    <cfRule type="cellIs" dxfId="446" priority="447" operator="notEqual">
      <formula>0</formula>
    </cfRule>
  </conditionalFormatting>
  <conditionalFormatting sqref="H1">
    <cfRule type="cellIs" dxfId="445" priority="446" operator="notEqual">
      <formula>0</formula>
    </cfRule>
  </conditionalFormatting>
  <conditionalFormatting sqref="G1">
    <cfRule type="cellIs" dxfId="444" priority="445" operator="notEqual">
      <formula>0</formula>
    </cfRule>
  </conditionalFormatting>
  <conditionalFormatting sqref="I1 L1 V1:W1 AM1:AN1">
    <cfRule type="cellIs" dxfId="443" priority="444" operator="notEqual">
      <formula>0</formula>
    </cfRule>
  </conditionalFormatting>
  <conditionalFormatting sqref="AS1 BI1 BW1:BX1">
    <cfRule type="cellIs" dxfId="442" priority="443" operator="notEqual">
      <formula>0</formula>
    </cfRule>
  </conditionalFormatting>
  <conditionalFormatting sqref="AB1">
    <cfRule type="cellIs" dxfId="441" priority="442" operator="notEqual">
      <formula>0</formula>
    </cfRule>
  </conditionalFormatting>
  <conditionalFormatting sqref="C1">
    <cfRule type="cellIs" dxfId="440" priority="441" operator="notEqual">
      <formula>0</formula>
    </cfRule>
  </conditionalFormatting>
  <conditionalFormatting sqref="D1:E1">
    <cfRule type="cellIs" dxfId="439" priority="440" operator="notEqual">
      <formula>0</formula>
    </cfRule>
  </conditionalFormatting>
  <conditionalFormatting sqref="Z1:AA1">
    <cfRule type="cellIs" dxfId="438" priority="439" operator="notEqual">
      <formula>0</formula>
    </cfRule>
  </conditionalFormatting>
  <conditionalFormatting sqref="AI1:AJ1">
    <cfRule type="cellIs" dxfId="437" priority="438" operator="notEqual">
      <formula>0</formula>
    </cfRule>
  </conditionalFormatting>
  <conditionalFormatting sqref="BG1:BH1">
    <cfRule type="cellIs" dxfId="436" priority="437" operator="notEqual">
      <formula>0</formula>
    </cfRule>
  </conditionalFormatting>
  <conditionalFormatting sqref="BU1">
    <cfRule type="cellIs" dxfId="435" priority="436" operator="notEqual">
      <formula>0</formula>
    </cfRule>
  </conditionalFormatting>
  <conditionalFormatting sqref="AK1:AL1">
    <cfRule type="cellIs" dxfId="434" priority="435" operator="notEqual">
      <formula>0</formula>
    </cfRule>
  </conditionalFormatting>
  <conditionalFormatting sqref="N1">
    <cfRule type="cellIs" dxfId="433" priority="434" operator="notEqual">
      <formula>0</formula>
    </cfRule>
  </conditionalFormatting>
  <conditionalFormatting sqref="Y1">
    <cfRule type="cellIs" dxfId="432" priority="433" operator="notEqual">
      <formula>0</formula>
    </cfRule>
  </conditionalFormatting>
  <conditionalFormatting sqref="BF1">
    <cfRule type="cellIs" dxfId="431" priority="432" operator="notEqual">
      <formula>0</formula>
    </cfRule>
  </conditionalFormatting>
  <conditionalFormatting sqref="J1">
    <cfRule type="cellIs" dxfId="430" priority="431" operator="notEqual">
      <formula>0</formula>
    </cfRule>
  </conditionalFormatting>
  <conditionalFormatting sqref="K1">
    <cfRule type="cellIs" dxfId="429" priority="430" operator="notEqual">
      <formula>0</formula>
    </cfRule>
  </conditionalFormatting>
  <conditionalFormatting sqref="M1">
    <cfRule type="cellIs" dxfId="428" priority="429" operator="notEqual">
      <formula>0</formula>
    </cfRule>
  </conditionalFormatting>
  <conditionalFormatting sqref="O1">
    <cfRule type="cellIs" dxfId="427" priority="428" operator="notEqual">
      <formula>0</formula>
    </cfRule>
  </conditionalFormatting>
  <conditionalFormatting sqref="P1">
    <cfRule type="cellIs" dxfId="426" priority="427" operator="notEqual">
      <formula>0</formula>
    </cfRule>
  </conditionalFormatting>
  <conditionalFormatting sqref="Q1">
    <cfRule type="cellIs" dxfId="425" priority="426" operator="notEqual">
      <formula>0</formula>
    </cfRule>
  </conditionalFormatting>
  <conditionalFormatting sqref="R1">
    <cfRule type="cellIs" dxfId="424" priority="425" operator="notEqual">
      <formula>0</formula>
    </cfRule>
  </conditionalFormatting>
  <conditionalFormatting sqref="S1">
    <cfRule type="cellIs" dxfId="423" priority="424" operator="notEqual">
      <formula>0</formula>
    </cfRule>
  </conditionalFormatting>
  <conditionalFormatting sqref="T1">
    <cfRule type="cellIs" dxfId="422" priority="423" operator="notEqual">
      <formula>0</formula>
    </cfRule>
  </conditionalFormatting>
  <conditionalFormatting sqref="U1">
    <cfRule type="cellIs" dxfId="421" priority="422" operator="notEqual">
      <formula>0</formula>
    </cfRule>
  </conditionalFormatting>
  <conditionalFormatting sqref="AC1">
    <cfRule type="cellIs" dxfId="420" priority="421" operator="notEqual">
      <formula>0</formula>
    </cfRule>
  </conditionalFormatting>
  <conditionalFormatting sqref="AH1">
    <cfRule type="cellIs" dxfId="419" priority="420" operator="notEqual">
      <formula>0</formula>
    </cfRule>
  </conditionalFormatting>
  <conditionalFormatting sqref="BF1:BK1 BT1:CA1 CC1 CV1:CW1 DH1:DI1 DQ1 EH1 EJ1:EM1 FF1:FG1 FW1 FY1:FZ1 GU1 HL1 HN1:HQ1 HY1 AF1:BD1 CI1 CY1 DK1:DM1 DW1 EA1 FI1:FL1 GB1 HA1 IA1:IE1 GJ1:GQ1 EU1:FB1">
    <cfRule type="cellIs" dxfId="418" priority="419" operator="notEqual">
      <formula>0</formula>
    </cfRule>
  </conditionalFormatting>
  <conditionalFormatting sqref="AP1">
    <cfRule type="cellIs" dxfId="417" priority="418" operator="notEqual">
      <formula>0</formula>
    </cfRule>
  </conditionalFormatting>
  <conditionalFormatting sqref="AQ1">
    <cfRule type="cellIs" dxfId="416" priority="417" operator="notEqual">
      <formula>0</formula>
    </cfRule>
  </conditionalFormatting>
  <conditionalFormatting sqref="AR1">
    <cfRule type="cellIs" dxfId="415" priority="416" operator="notEqual">
      <formula>0</formula>
    </cfRule>
  </conditionalFormatting>
  <conditionalFormatting sqref="AT1">
    <cfRule type="cellIs" dxfId="414" priority="415" operator="notEqual">
      <formula>0</formula>
    </cfRule>
  </conditionalFormatting>
  <conditionalFormatting sqref="AU1">
    <cfRule type="cellIs" dxfId="413" priority="414" operator="notEqual">
      <formula>0</formula>
    </cfRule>
  </conditionalFormatting>
  <conditionalFormatting sqref="AV1">
    <cfRule type="cellIs" dxfId="412" priority="413" operator="notEqual">
      <formula>0</formula>
    </cfRule>
  </conditionalFormatting>
  <conditionalFormatting sqref="AW1">
    <cfRule type="cellIs" dxfId="411" priority="412" operator="notEqual">
      <formula>0</formula>
    </cfRule>
  </conditionalFormatting>
  <conditionalFormatting sqref="AX1">
    <cfRule type="cellIs" dxfId="410" priority="411" operator="notEqual">
      <formula>0</formula>
    </cfRule>
  </conditionalFormatting>
  <conditionalFormatting sqref="AY1">
    <cfRule type="cellIs" dxfId="409" priority="410" operator="notEqual">
      <formula>0</formula>
    </cfRule>
  </conditionalFormatting>
  <conditionalFormatting sqref="AZ1">
    <cfRule type="cellIs" dxfId="408" priority="409" operator="notEqual">
      <formula>0</formula>
    </cfRule>
  </conditionalFormatting>
  <conditionalFormatting sqref="BA1">
    <cfRule type="cellIs" dxfId="407" priority="408" operator="notEqual">
      <formula>0</formula>
    </cfRule>
  </conditionalFormatting>
  <conditionalFormatting sqref="BB1">
    <cfRule type="cellIs" dxfId="406" priority="407" operator="notEqual">
      <formula>0</formula>
    </cfRule>
  </conditionalFormatting>
  <conditionalFormatting sqref="BC1">
    <cfRule type="cellIs" dxfId="405" priority="406" operator="notEqual">
      <formula>0</formula>
    </cfRule>
  </conditionalFormatting>
  <conditionalFormatting sqref="BD1">
    <cfRule type="cellIs" dxfId="404" priority="405" operator="notEqual">
      <formula>0</formula>
    </cfRule>
  </conditionalFormatting>
  <conditionalFormatting sqref="BJ1">
    <cfRule type="cellIs" dxfId="403" priority="404" operator="notEqual">
      <formula>0</formula>
    </cfRule>
  </conditionalFormatting>
  <conditionalFormatting sqref="BK1">
    <cfRule type="cellIs" dxfId="402" priority="403" operator="notEqual">
      <formula>0</formula>
    </cfRule>
  </conditionalFormatting>
  <conditionalFormatting sqref="BV1">
    <cfRule type="cellIs" dxfId="401" priority="402" operator="notEqual">
      <formula>0</formula>
    </cfRule>
  </conditionalFormatting>
  <conditionalFormatting sqref="AG1">
    <cfRule type="cellIs" dxfId="400" priority="401" operator="notEqual">
      <formula>0</formula>
    </cfRule>
  </conditionalFormatting>
  <conditionalFormatting sqref="CA1">
    <cfRule type="cellIs" dxfId="399" priority="400" operator="notEqual">
      <formula>0</formula>
    </cfRule>
  </conditionalFormatting>
  <conditionalFormatting sqref="CC1">
    <cfRule type="cellIs" dxfId="398" priority="399" operator="notEqual">
      <formula>0</formula>
    </cfRule>
  </conditionalFormatting>
  <conditionalFormatting sqref="HO1">
    <cfRule type="cellIs" dxfId="397" priority="366" operator="notEqual">
      <formula>0</formula>
    </cfRule>
  </conditionalFormatting>
  <conditionalFormatting sqref="CW1">
    <cfRule type="cellIs" dxfId="396" priority="398" operator="notEqual">
      <formula>0</formula>
    </cfRule>
  </conditionalFormatting>
  <conditionalFormatting sqref="BY1:BZ1">
    <cfRule type="cellIs" dxfId="395" priority="397" operator="notEqual">
      <formula>0</formula>
    </cfRule>
  </conditionalFormatting>
  <conditionalFormatting sqref="CV1">
    <cfRule type="cellIs" dxfId="394" priority="396" operator="notEqual">
      <formula>0</formula>
    </cfRule>
  </conditionalFormatting>
  <conditionalFormatting sqref="DK1:DL1">
    <cfRule type="cellIs" dxfId="393" priority="395" operator="notEqual">
      <formula>0</formula>
    </cfRule>
  </conditionalFormatting>
  <conditionalFormatting sqref="CI1">
    <cfRule type="cellIs" dxfId="392" priority="394" operator="notEqual">
      <formula>0</formula>
    </cfRule>
  </conditionalFormatting>
  <conditionalFormatting sqref="CY1">
    <cfRule type="cellIs" dxfId="391" priority="393" operator="notEqual">
      <formula>0</formula>
    </cfRule>
  </conditionalFormatting>
  <conditionalFormatting sqref="DH1:DI1">
    <cfRule type="cellIs" dxfId="390" priority="392" operator="notEqual">
      <formula>0</formula>
    </cfRule>
  </conditionalFormatting>
  <conditionalFormatting sqref="DQ1">
    <cfRule type="cellIs" dxfId="389" priority="391" operator="notEqual">
      <formula>0</formula>
    </cfRule>
  </conditionalFormatting>
  <conditionalFormatting sqref="EK1">
    <cfRule type="cellIs" dxfId="388" priority="390" operator="notEqual">
      <formula>0</formula>
    </cfRule>
  </conditionalFormatting>
  <conditionalFormatting sqref="DM1">
    <cfRule type="cellIs" dxfId="387" priority="389" operator="notEqual">
      <formula>0</formula>
    </cfRule>
  </conditionalFormatting>
  <conditionalFormatting sqref="EJ1">
    <cfRule type="cellIs" dxfId="386" priority="388" operator="notEqual">
      <formula>0</formula>
    </cfRule>
  </conditionalFormatting>
  <conditionalFormatting sqref="EZ1:FA1">
    <cfRule type="cellIs" dxfId="385" priority="387" operator="notEqual">
      <formula>0</formula>
    </cfRule>
  </conditionalFormatting>
  <conditionalFormatting sqref="DW1">
    <cfRule type="cellIs" dxfId="384" priority="386" operator="notEqual">
      <formula>0</formula>
    </cfRule>
  </conditionalFormatting>
  <conditionalFormatting sqref="EH1">
    <cfRule type="cellIs" dxfId="383" priority="385" operator="notEqual">
      <formula>0</formula>
    </cfRule>
  </conditionalFormatting>
  <conditionalFormatting sqref="EA1">
    <cfRule type="cellIs" dxfId="382" priority="384" operator="notEqual">
      <formula>0</formula>
    </cfRule>
  </conditionalFormatting>
  <conditionalFormatting sqref="EL1">
    <cfRule type="cellIs" dxfId="381" priority="383" operator="notEqual">
      <formula>0</formula>
    </cfRule>
  </conditionalFormatting>
  <conditionalFormatting sqref="EY1">
    <cfRule type="cellIs" dxfId="380" priority="382" operator="notEqual">
      <formula>0</formula>
    </cfRule>
  </conditionalFormatting>
  <conditionalFormatting sqref="EM1">
    <cfRule type="cellIs" dxfId="379" priority="381" operator="notEqual">
      <formula>0</formula>
    </cfRule>
  </conditionalFormatting>
  <conditionalFormatting sqref="EV1">
    <cfRule type="cellIs" dxfId="378" priority="380" operator="notEqual">
      <formula>0</formula>
    </cfRule>
  </conditionalFormatting>
  <conditionalFormatting sqref="FF1">
    <cfRule type="cellIs" dxfId="377" priority="379" operator="notEqual">
      <formula>0</formula>
    </cfRule>
  </conditionalFormatting>
  <conditionalFormatting sqref="FG1 FJ1">
    <cfRule type="cellIs" dxfId="376" priority="378" operator="notEqual">
      <formula>0</formula>
    </cfRule>
  </conditionalFormatting>
  <conditionalFormatting sqref="FZ1">
    <cfRule type="cellIs" dxfId="375" priority="377" operator="notEqual">
      <formula>0</formula>
    </cfRule>
  </conditionalFormatting>
  <conditionalFormatting sqref="FB1">
    <cfRule type="cellIs" dxfId="374" priority="376" operator="notEqual">
      <formula>0</formula>
    </cfRule>
  </conditionalFormatting>
  <conditionalFormatting sqref="FY1">
    <cfRule type="cellIs" dxfId="373" priority="375" operator="notEqual">
      <formula>0</formula>
    </cfRule>
  </conditionalFormatting>
  <conditionalFormatting sqref="GO1:GP1">
    <cfRule type="cellIs" dxfId="372" priority="374" operator="notEqual">
      <formula>0</formula>
    </cfRule>
  </conditionalFormatting>
  <conditionalFormatting sqref="FL1">
    <cfRule type="cellIs" dxfId="371" priority="373" operator="notEqual">
      <formula>0</formula>
    </cfRule>
  </conditionalFormatting>
  <conditionalFormatting sqref="FW1">
    <cfRule type="cellIs" dxfId="370" priority="372" operator="notEqual">
      <formula>0</formula>
    </cfRule>
  </conditionalFormatting>
  <conditionalFormatting sqref="FI1">
    <cfRule type="cellIs" dxfId="369" priority="371" operator="notEqual">
      <formula>0</formula>
    </cfRule>
  </conditionalFormatting>
  <conditionalFormatting sqref="FK1">
    <cfRule type="cellIs" dxfId="368" priority="370" operator="notEqual">
      <formula>0</formula>
    </cfRule>
  </conditionalFormatting>
  <conditionalFormatting sqref="GN1">
    <cfRule type="cellIs" dxfId="367" priority="369" operator="notEqual">
      <formula>0</formula>
    </cfRule>
  </conditionalFormatting>
  <conditionalFormatting sqref="GK1">
    <cfRule type="cellIs" dxfId="366" priority="368" operator="notEqual">
      <formula>0</formula>
    </cfRule>
  </conditionalFormatting>
  <conditionalFormatting sqref="GU1">
    <cfRule type="cellIs" dxfId="365" priority="367" operator="notEqual">
      <formula>0</formula>
    </cfRule>
  </conditionalFormatting>
  <conditionalFormatting sqref="HP1">
    <cfRule type="cellIs" dxfId="364" priority="360" operator="notEqual">
      <formula>0</formula>
    </cfRule>
  </conditionalFormatting>
  <conditionalFormatting sqref="GQ1">
    <cfRule type="cellIs" dxfId="363" priority="365" operator="notEqual">
      <formula>0</formula>
    </cfRule>
  </conditionalFormatting>
  <conditionalFormatting sqref="HN1">
    <cfRule type="cellIs" dxfId="362" priority="364" operator="notEqual">
      <formula>0</formula>
    </cfRule>
  </conditionalFormatting>
  <conditionalFormatting sqref="ID1:IE1">
    <cfRule type="cellIs" dxfId="361" priority="363" operator="notEqual">
      <formula>0</formula>
    </cfRule>
  </conditionalFormatting>
  <conditionalFormatting sqref="HA1">
    <cfRule type="cellIs" dxfId="360" priority="362" operator="notEqual">
      <formula>0</formula>
    </cfRule>
  </conditionalFormatting>
  <conditionalFormatting sqref="HL1">
    <cfRule type="cellIs" dxfId="359" priority="361" operator="notEqual">
      <formula>0</formula>
    </cfRule>
  </conditionalFormatting>
  <conditionalFormatting sqref="IC1">
    <cfRule type="cellIs" dxfId="358" priority="359" operator="notEqual">
      <formula>0</formula>
    </cfRule>
  </conditionalFormatting>
  <conditionalFormatting sqref="GB1">
    <cfRule type="cellIs" dxfId="357" priority="358" operator="notEqual">
      <formula>0</formula>
    </cfRule>
  </conditionalFormatting>
  <conditionalFormatting sqref="HQ1">
    <cfRule type="cellIs" dxfId="356" priority="357" operator="notEqual">
      <formula>0</formula>
    </cfRule>
  </conditionalFormatting>
  <conditionalFormatting sqref="BT1">
    <cfRule type="cellIs" dxfId="355" priority="356" operator="notEqual">
      <formula>0</formula>
    </cfRule>
  </conditionalFormatting>
  <conditionalFormatting sqref="BL9">
    <cfRule type="containsErrors" dxfId="354" priority="355">
      <formula>ISERROR(BL9)</formula>
    </cfRule>
  </conditionalFormatting>
  <conditionalFormatting sqref="EQ9">
    <cfRule type="containsErrors" dxfId="353" priority="354">
      <formula>ISERROR(EQ9)</formula>
    </cfRule>
  </conditionalFormatting>
  <conditionalFormatting sqref="ES9">
    <cfRule type="containsErrors" dxfId="352" priority="353">
      <formula>ISERROR(ES9)</formula>
    </cfRule>
  </conditionalFormatting>
  <conditionalFormatting sqref="BS3 DH3:DI3 D3:AH3 IA3:IC3 GK3:GM3 EV3:EX3 BU3:BV3">
    <cfRule type="containsText" dxfId="351" priority="352" operator="containsText" text="CHECK NEEDED">
      <formula>NOT(ISERROR(SEARCH("CHECK NEEDED",D3)))</formula>
    </cfRule>
  </conditionalFormatting>
  <conditionalFormatting sqref="AK3:BJ3 BO3:BP3 BL3">
    <cfRule type="containsText" dxfId="350" priority="351" operator="containsText" text="CHECK NEEDED">
      <formula>NOT(ISERROR(SEARCH("CHECK NEEDED",AK3)))</formula>
    </cfRule>
  </conditionalFormatting>
  <conditionalFormatting sqref="BY3:CB3 CI3 CV3:CW3">
    <cfRule type="containsText" dxfId="349" priority="350" operator="containsText" text="CHECK NEEDED">
      <formula>NOT(ISERROR(SEARCH("CHECK NEEDED",BY3)))</formula>
    </cfRule>
  </conditionalFormatting>
  <conditionalFormatting sqref="DM3 EQ3 DP3 DW3 EA3 EH3 EJ3:EL3">
    <cfRule type="containsText" dxfId="348" priority="349" operator="containsText" text="CHECK NEEDED">
      <formula>NOT(ISERROR(SEARCH("CHECK NEEDED",DM3)))</formula>
    </cfRule>
  </conditionalFormatting>
  <conditionalFormatting sqref="FB3 GF3 FE3 FI3:FL3 FW3 FY3:FZ3 FG3">
    <cfRule type="containsText" dxfId="347" priority="348" operator="containsText" text="CHECK NEEDED">
      <formula>NOT(ISERROR(SEARCH("CHECK NEEDED",FB3)))</formula>
    </cfRule>
  </conditionalFormatting>
  <conditionalFormatting sqref="GQ3 HU3 GT3 HA3 HL3 HN3:HP3">
    <cfRule type="containsText" dxfId="346" priority="347" operator="containsText" text="CHECK NEEDED">
      <formula>NOT(ISERROR(SEARCH("CHECK NEEDED",GQ3)))</formula>
    </cfRule>
  </conditionalFormatting>
  <conditionalFormatting sqref="B6">
    <cfRule type="cellIs" dxfId="345" priority="346" operator="equal">
      <formula>"NEEDS ATTENTION!!!"</formula>
    </cfRule>
  </conditionalFormatting>
  <conditionalFormatting sqref="X1">
    <cfRule type="cellIs" dxfId="344" priority="345" operator="notEqual">
      <formula>0</formula>
    </cfRule>
  </conditionalFormatting>
  <conditionalFormatting sqref="X1">
    <cfRule type="cellIs" dxfId="343" priority="344" operator="notEqual">
      <formula>0</formula>
    </cfRule>
  </conditionalFormatting>
  <conditionalFormatting sqref="X9">
    <cfRule type="containsErrors" dxfId="342" priority="343">
      <formula>ISERROR(X9)</formula>
    </cfRule>
  </conditionalFormatting>
  <conditionalFormatting sqref="G1">
    <cfRule type="cellIs" dxfId="341" priority="342" operator="notEqual">
      <formula>0</formula>
    </cfRule>
  </conditionalFormatting>
  <conditionalFormatting sqref="CB1">
    <cfRule type="cellIs" dxfId="340" priority="341" operator="notEqual">
      <formula>0</formula>
    </cfRule>
  </conditionalFormatting>
  <conditionalFormatting sqref="CB1">
    <cfRule type="cellIs" dxfId="339" priority="340" operator="notEqual">
      <formula>0</formula>
    </cfRule>
  </conditionalFormatting>
  <conditionalFormatting sqref="DP1">
    <cfRule type="cellIs" dxfId="338" priority="339" operator="notEqual">
      <formula>0</formula>
    </cfRule>
  </conditionalFormatting>
  <conditionalFormatting sqref="DP1">
    <cfRule type="cellIs" dxfId="337" priority="338" operator="notEqual">
      <formula>0</formula>
    </cfRule>
  </conditionalFormatting>
  <conditionalFormatting sqref="FE1">
    <cfRule type="cellIs" dxfId="336" priority="337" operator="notEqual">
      <formula>0</formula>
    </cfRule>
  </conditionalFormatting>
  <conditionalFormatting sqref="FE1">
    <cfRule type="cellIs" dxfId="335" priority="336" operator="notEqual">
      <formula>0</formula>
    </cfRule>
  </conditionalFormatting>
  <conditionalFormatting sqref="GT1">
    <cfRule type="cellIs" dxfId="334" priority="335" operator="notEqual">
      <formula>0</formula>
    </cfRule>
  </conditionalFormatting>
  <conditionalFormatting sqref="GT1">
    <cfRule type="cellIs" dxfId="333" priority="334" operator="notEqual">
      <formula>0</formula>
    </cfRule>
  </conditionalFormatting>
  <conditionalFormatting sqref="BQ9:BR9">
    <cfRule type="containsErrors" dxfId="332" priority="333">
      <formula>ISERROR(BQ9)</formula>
    </cfRule>
  </conditionalFormatting>
  <conditionalFormatting sqref="BQ3:BR3">
    <cfRule type="containsText" dxfId="331" priority="332" operator="containsText" text="CHECK NEEDED">
      <formula>NOT(ISERROR(SEARCH("CHECK NEEDED",BQ3)))</formula>
    </cfRule>
  </conditionalFormatting>
  <conditionalFormatting sqref="BO1">
    <cfRule type="cellIs" dxfId="330" priority="323" operator="notEqual">
      <formula>0</formula>
    </cfRule>
  </conditionalFormatting>
  <conditionalFormatting sqref="DF9">
    <cfRule type="containsErrors" dxfId="329" priority="331">
      <formula>ISERROR(DF9)</formula>
    </cfRule>
  </conditionalFormatting>
  <conditionalFormatting sqref="BP1">
    <cfRule type="cellIs" dxfId="328" priority="320" operator="notEqual">
      <formula>0</formula>
    </cfRule>
  </conditionalFormatting>
  <conditionalFormatting sqref="BQ1">
    <cfRule type="cellIs" dxfId="327" priority="319" operator="notEqual">
      <formula>0</formula>
    </cfRule>
  </conditionalFormatting>
  <conditionalFormatting sqref="DF3">
    <cfRule type="containsText" dxfId="326" priority="330" operator="containsText" text="CHECK NEEDED">
      <formula>NOT(ISERROR(SEARCH("CHECK NEEDED",DF3)))</formula>
    </cfRule>
  </conditionalFormatting>
  <conditionalFormatting sqref="ET9">
    <cfRule type="containsErrors" dxfId="325" priority="329">
      <formula>ISERROR(ET9)</formula>
    </cfRule>
  </conditionalFormatting>
  <conditionalFormatting sqref="BR1">
    <cfRule type="cellIs" dxfId="324" priority="316" operator="notEqual">
      <formula>0</formula>
    </cfRule>
  </conditionalFormatting>
  <conditionalFormatting sqref="DC1">
    <cfRule type="cellIs" dxfId="323" priority="315" operator="notEqual">
      <formula>0</formula>
    </cfRule>
  </conditionalFormatting>
  <conditionalFormatting sqref="ET3">
    <cfRule type="containsText" dxfId="322" priority="328" operator="containsText" text="CHECK NEEDED">
      <formula>NOT(ISERROR(SEARCH("CHECK NEEDED",ET3)))</formula>
    </cfRule>
  </conditionalFormatting>
  <conditionalFormatting sqref="GI9">
    <cfRule type="containsErrors" dxfId="321" priority="327">
      <formula>ISERROR(GI9)</formula>
    </cfRule>
  </conditionalFormatting>
  <conditionalFormatting sqref="GI3">
    <cfRule type="containsText" dxfId="320" priority="326" operator="containsText" text="CHECK NEEDED">
      <formula>NOT(ISERROR(SEARCH("CHECK NEEDED",GI3)))</formula>
    </cfRule>
  </conditionalFormatting>
  <conditionalFormatting sqref="HX9">
    <cfRule type="containsErrors" dxfId="319" priority="325">
      <formula>ISERROR(HX9)</formula>
    </cfRule>
  </conditionalFormatting>
  <conditionalFormatting sqref="HX3">
    <cfRule type="containsText" dxfId="318" priority="324" operator="containsText" text="CHECK NEEDED">
      <formula>NOT(ISERROR(SEARCH("CHECK NEEDED",HX3)))</formula>
    </cfRule>
  </conditionalFormatting>
  <conditionalFormatting sqref="ET1">
    <cfRule type="cellIs" dxfId="317" priority="301" operator="notEqual">
      <formula>0</formula>
    </cfRule>
  </conditionalFormatting>
  <conditionalFormatting sqref="ET1">
    <cfRule type="cellIs" dxfId="316" priority="300" operator="notEqual">
      <formula>0</formula>
    </cfRule>
  </conditionalFormatting>
  <conditionalFormatting sqref="BO1">
    <cfRule type="cellIs" dxfId="315" priority="322" operator="notEqual">
      <formula>0</formula>
    </cfRule>
  </conditionalFormatting>
  <conditionalFormatting sqref="BP1">
    <cfRule type="cellIs" dxfId="314" priority="321" operator="notEqual">
      <formula>0</formula>
    </cfRule>
  </conditionalFormatting>
  <conditionalFormatting sqref="BQ1">
    <cfRule type="cellIs" dxfId="313" priority="318" operator="notEqual">
      <formula>0</formula>
    </cfRule>
  </conditionalFormatting>
  <conditionalFormatting sqref="BR1">
    <cfRule type="cellIs" dxfId="312" priority="317" operator="notEqual">
      <formula>0</formula>
    </cfRule>
  </conditionalFormatting>
  <conditionalFormatting sqref="DC1">
    <cfRule type="cellIs" dxfId="311" priority="314" operator="notEqual">
      <formula>0</formula>
    </cfRule>
  </conditionalFormatting>
  <conditionalFormatting sqref="DD1">
    <cfRule type="cellIs" dxfId="310" priority="313" operator="notEqual">
      <formula>0</formula>
    </cfRule>
  </conditionalFormatting>
  <conditionalFormatting sqref="DD1">
    <cfRule type="cellIs" dxfId="309" priority="312" operator="notEqual">
      <formula>0</formula>
    </cfRule>
  </conditionalFormatting>
  <conditionalFormatting sqref="DE1">
    <cfRule type="cellIs" dxfId="308" priority="311" operator="notEqual">
      <formula>0</formula>
    </cfRule>
  </conditionalFormatting>
  <conditionalFormatting sqref="DE1">
    <cfRule type="cellIs" dxfId="307" priority="310" operator="notEqual">
      <formula>0</formula>
    </cfRule>
  </conditionalFormatting>
  <conditionalFormatting sqref="DF1">
    <cfRule type="cellIs" dxfId="306" priority="309" operator="notEqual">
      <formula>0</formula>
    </cfRule>
  </conditionalFormatting>
  <conditionalFormatting sqref="DF1">
    <cfRule type="cellIs" dxfId="305" priority="308" operator="notEqual">
      <formula>0</formula>
    </cfRule>
  </conditionalFormatting>
  <conditionalFormatting sqref="EQ1">
    <cfRule type="cellIs" dxfId="304" priority="307" operator="notEqual">
      <formula>0</formula>
    </cfRule>
  </conditionalFormatting>
  <conditionalFormatting sqref="EQ1">
    <cfRule type="cellIs" dxfId="303" priority="306" operator="notEqual">
      <formula>0</formula>
    </cfRule>
  </conditionalFormatting>
  <conditionalFormatting sqref="ER1">
    <cfRule type="cellIs" dxfId="302" priority="305" operator="notEqual">
      <formula>0</formula>
    </cfRule>
  </conditionalFormatting>
  <conditionalFormatting sqref="ER1">
    <cfRule type="cellIs" dxfId="301" priority="304" operator="notEqual">
      <formula>0</formula>
    </cfRule>
  </conditionalFormatting>
  <conditionalFormatting sqref="ES1">
    <cfRule type="cellIs" dxfId="300" priority="303" operator="notEqual">
      <formula>0</formula>
    </cfRule>
  </conditionalFormatting>
  <conditionalFormatting sqref="ES1">
    <cfRule type="cellIs" dxfId="299" priority="302" operator="notEqual">
      <formula>0</formula>
    </cfRule>
  </conditionalFormatting>
  <conditionalFormatting sqref="GI1">
    <cfRule type="cellIs" dxfId="298" priority="293" operator="notEqual">
      <formula>0</formula>
    </cfRule>
  </conditionalFormatting>
  <conditionalFormatting sqref="GI1">
    <cfRule type="cellIs" dxfId="297" priority="292" operator="notEqual">
      <formula>0</formula>
    </cfRule>
  </conditionalFormatting>
  <conditionalFormatting sqref="GF1">
    <cfRule type="cellIs" dxfId="296" priority="299" operator="notEqual">
      <formula>0</formula>
    </cfRule>
  </conditionalFormatting>
  <conditionalFormatting sqref="GF1">
    <cfRule type="cellIs" dxfId="295" priority="298" operator="notEqual">
      <formula>0</formula>
    </cfRule>
  </conditionalFormatting>
  <conditionalFormatting sqref="GG1">
    <cfRule type="cellIs" dxfId="294" priority="297" operator="notEqual">
      <formula>0</formula>
    </cfRule>
  </conditionalFormatting>
  <conditionalFormatting sqref="GG1">
    <cfRule type="cellIs" dxfId="293" priority="296" operator="notEqual">
      <formula>0</formula>
    </cfRule>
  </conditionalFormatting>
  <conditionalFormatting sqref="GH1">
    <cfRule type="cellIs" dxfId="292" priority="295" operator="notEqual">
      <formula>0</formula>
    </cfRule>
  </conditionalFormatting>
  <conditionalFormatting sqref="GH1">
    <cfRule type="cellIs" dxfId="291" priority="294" operator="notEqual">
      <formula>0</formula>
    </cfRule>
  </conditionalFormatting>
  <conditionalFormatting sqref="HX1">
    <cfRule type="cellIs" dxfId="290" priority="285" operator="notEqual">
      <formula>0</formula>
    </cfRule>
  </conditionalFormatting>
  <conditionalFormatting sqref="HX1">
    <cfRule type="cellIs" dxfId="289" priority="284" operator="notEqual">
      <formula>0</formula>
    </cfRule>
  </conditionalFormatting>
  <conditionalFormatting sqref="HU1">
    <cfRule type="cellIs" dxfId="288" priority="291" operator="notEqual">
      <formula>0</formula>
    </cfRule>
  </conditionalFormatting>
  <conditionalFormatting sqref="HU1">
    <cfRule type="cellIs" dxfId="287" priority="290" operator="notEqual">
      <formula>0</formula>
    </cfRule>
  </conditionalFormatting>
  <conditionalFormatting sqref="HV1">
    <cfRule type="cellIs" dxfId="286" priority="289" operator="notEqual">
      <formula>0</formula>
    </cfRule>
  </conditionalFormatting>
  <conditionalFormatting sqref="HV1">
    <cfRule type="cellIs" dxfId="285" priority="288" operator="notEqual">
      <formula>0</formula>
    </cfRule>
  </conditionalFormatting>
  <conditionalFormatting sqref="HW1">
    <cfRule type="cellIs" dxfId="284" priority="287" operator="notEqual">
      <formula>0</formula>
    </cfRule>
  </conditionalFormatting>
  <conditionalFormatting sqref="HW1">
    <cfRule type="cellIs" dxfId="283" priority="286" operator="notEqual">
      <formula>0</formula>
    </cfRule>
  </conditionalFormatting>
  <conditionalFormatting sqref="BE1">
    <cfRule type="cellIs" dxfId="282" priority="283" operator="notEqual">
      <formula>0</formula>
    </cfRule>
  </conditionalFormatting>
  <conditionalFormatting sqref="BE1">
    <cfRule type="cellIs" dxfId="281" priority="282" operator="notEqual">
      <formula>0</formula>
    </cfRule>
  </conditionalFormatting>
  <conditionalFormatting sqref="BM9:BN9">
    <cfRule type="containsErrors" dxfId="280" priority="281">
      <formula>ISERROR(BM9)</formula>
    </cfRule>
  </conditionalFormatting>
  <conditionalFormatting sqref="BM3:BN3">
    <cfRule type="containsText" dxfId="279" priority="280" operator="containsText" text="CHECK NEEDED">
      <formula>NOT(ISERROR(SEARCH("CHECK NEEDED",BM3)))</formula>
    </cfRule>
  </conditionalFormatting>
  <conditionalFormatting sqref="DA9:DB9">
    <cfRule type="containsErrors" dxfId="278" priority="279">
      <formula>ISERROR(DA9)</formula>
    </cfRule>
  </conditionalFormatting>
  <conditionalFormatting sqref="DA3:DB3">
    <cfRule type="containsText" dxfId="277" priority="278" operator="containsText" text="CHECK NEEDED">
      <formula>NOT(ISERROR(SEARCH("CHECK NEEDED",DA3)))</formula>
    </cfRule>
  </conditionalFormatting>
  <conditionalFormatting sqref="EO9:EP9">
    <cfRule type="containsErrors" dxfId="276" priority="277">
      <formula>ISERROR(EO9)</formula>
    </cfRule>
  </conditionalFormatting>
  <conditionalFormatting sqref="EO3:EP3">
    <cfRule type="containsText" dxfId="275" priority="276" operator="containsText" text="CHECK NEEDED">
      <formula>NOT(ISERROR(SEARCH("CHECK NEEDED",EO3)))</formula>
    </cfRule>
  </conditionalFormatting>
  <conditionalFormatting sqref="GD9:GE9">
    <cfRule type="containsErrors" dxfId="274" priority="275">
      <formula>ISERROR(GD9)</formula>
    </cfRule>
  </conditionalFormatting>
  <conditionalFormatting sqref="GD3:GE3">
    <cfRule type="containsText" dxfId="273" priority="274" operator="containsText" text="CHECK NEEDED">
      <formula>NOT(ISERROR(SEARCH("CHECK NEEDED",GD3)))</formula>
    </cfRule>
  </conditionalFormatting>
  <conditionalFormatting sqref="HS9:HT9">
    <cfRule type="containsErrors" dxfId="272" priority="273">
      <formula>ISERROR(HS9)</formula>
    </cfRule>
  </conditionalFormatting>
  <conditionalFormatting sqref="HS3:HT3">
    <cfRule type="containsText" dxfId="271" priority="272" operator="containsText" text="CHECK NEEDED">
      <formula>NOT(ISERROR(SEARCH("CHECK NEEDED",HS3)))</formula>
    </cfRule>
  </conditionalFormatting>
  <conditionalFormatting sqref="BM1">
    <cfRule type="cellIs" dxfId="270" priority="271" operator="notEqual">
      <formula>0</formula>
    </cfRule>
  </conditionalFormatting>
  <conditionalFormatting sqref="BM1">
    <cfRule type="cellIs" dxfId="269" priority="270" operator="notEqual">
      <formula>0</formula>
    </cfRule>
  </conditionalFormatting>
  <conditionalFormatting sqref="HT1">
    <cfRule type="cellIs" dxfId="268" priority="261" operator="notEqual">
      <formula>0</formula>
    </cfRule>
  </conditionalFormatting>
  <conditionalFormatting sqref="HT1">
    <cfRule type="cellIs" dxfId="267" priority="260" operator="notEqual">
      <formula>0</formula>
    </cfRule>
  </conditionalFormatting>
  <conditionalFormatting sqref="GE1">
    <cfRule type="cellIs" dxfId="266" priority="263" operator="notEqual">
      <formula>0</formula>
    </cfRule>
  </conditionalFormatting>
  <conditionalFormatting sqref="GE1">
    <cfRule type="cellIs" dxfId="265" priority="262" operator="notEqual">
      <formula>0</formula>
    </cfRule>
  </conditionalFormatting>
  <conditionalFormatting sqref="BN1">
    <cfRule type="cellIs" dxfId="264" priority="269" operator="notEqual">
      <formula>0</formula>
    </cfRule>
  </conditionalFormatting>
  <conditionalFormatting sqref="BN1">
    <cfRule type="cellIs" dxfId="263" priority="268" operator="notEqual">
      <formula>0</formula>
    </cfRule>
  </conditionalFormatting>
  <conditionalFormatting sqref="DB1">
    <cfRule type="cellIs" dxfId="262" priority="267" operator="notEqual">
      <formula>0</formula>
    </cfRule>
  </conditionalFormatting>
  <conditionalFormatting sqref="DB1">
    <cfRule type="cellIs" dxfId="261" priority="266" operator="notEqual">
      <formula>0</formula>
    </cfRule>
  </conditionalFormatting>
  <conditionalFormatting sqref="EP1">
    <cfRule type="cellIs" dxfId="260" priority="265" operator="notEqual">
      <formula>0</formula>
    </cfRule>
  </conditionalFormatting>
  <conditionalFormatting sqref="EP1">
    <cfRule type="cellIs" dxfId="259" priority="264" operator="notEqual">
      <formula>0</formula>
    </cfRule>
  </conditionalFormatting>
  <conditionalFormatting sqref="EH9">
    <cfRule type="containsErrors" dxfId="258" priority="259">
      <formula>ISERROR(EH9)</formula>
    </cfRule>
  </conditionalFormatting>
  <conditionalFormatting sqref="FW9">
    <cfRule type="containsErrors" dxfId="257" priority="258">
      <formula>ISERROR(FW9)</formula>
    </cfRule>
  </conditionalFormatting>
  <conditionalFormatting sqref="HL9">
    <cfRule type="containsErrors" dxfId="256" priority="257">
      <formula>ISERROR(HL9)</formula>
    </cfRule>
  </conditionalFormatting>
  <conditionalFormatting sqref="BF9">
    <cfRule type="containsErrors" dxfId="255" priority="256">
      <formula>ISERROR(BF9)</formula>
    </cfRule>
  </conditionalFormatting>
  <conditionalFormatting sqref="Y9">
    <cfRule type="containsErrors" dxfId="254" priority="255">
      <formula>ISERROR(Y9)</formula>
    </cfRule>
  </conditionalFormatting>
  <conditionalFormatting sqref="DA1">
    <cfRule type="cellIs" dxfId="253" priority="254" operator="notEqual">
      <formula>0</formula>
    </cfRule>
  </conditionalFormatting>
  <conditionalFormatting sqref="DA1">
    <cfRule type="cellIs" dxfId="252" priority="253" operator="notEqual">
      <formula>0</formula>
    </cfRule>
  </conditionalFormatting>
  <conditionalFormatting sqref="EO1">
    <cfRule type="cellIs" dxfId="251" priority="252" operator="notEqual">
      <formula>0</formula>
    </cfRule>
  </conditionalFormatting>
  <conditionalFormatting sqref="EO1">
    <cfRule type="cellIs" dxfId="250" priority="251" operator="notEqual">
      <formula>0</formula>
    </cfRule>
  </conditionalFormatting>
  <conditionalFormatting sqref="GD1">
    <cfRule type="cellIs" dxfId="249" priority="250" operator="notEqual">
      <formula>0</formula>
    </cfRule>
  </conditionalFormatting>
  <conditionalFormatting sqref="GD1">
    <cfRule type="cellIs" dxfId="248" priority="249" operator="notEqual">
      <formula>0</formula>
    </cfRule>
  </conditionalFormatting>
  <conditionalFormatting sqref="HS1">
    <cfRule type="cellIs" dxfId="247" priority="248" operator="notEqual">
      <formula>0</formula>
    </cfRule>
  </conditionalFormatting>
  <conditionalFormatting sqref="HS1">
    <cfRule type="cellIs" dxfId="246" priority="247" operator="notEqual">
      <formula>0</formula>
    </cfRule>
  </conditionalFormatting>
  <conditionalFormatting sqref="Z2">
    <cfRule type="cellIs" dxfId="245" priority="246" operator="notEqual">
      <formula>0</formula>
    </cfRule>
  </conditionalFormatting>
  <conditionalFormatting sqref="Z2">
    <cfRule type="cellIs" dxfId="244" priority="245" operator="notEqual">
      <formula>0</formula>
    </cfRule>
  </conditionalFormatting>
  <conditionalFormatting sqref="CD9:CH9">
    <cfRule type="containsErrors" dxfId="243" priority="244">
      <formula>ISERROR(CD9)</formula>
    </cfRule>
  </conditionalFormatting>
  <conditionalFormatting sqref="CD1:CH1">
    <cfRule type="cellIs" dxfId="242" priority="243" operator="notEqual">
      <formula>0</formula>
    </cfRule>
  </conditionalFormatting>
  <conditionalFormatting sqref="CD1:CH1">
    <cfRule type="cellIs" dxfId="241" priority="242" operator="notEqual">
      <formula>0</formula>
    </cfRule>
  </conditionalFormatting>
  <conditionalFormatting sqref="CD3:CH3">
    <cfRule type="containsText" dxfId="240" priority="241" operator="containsText" text="CHECK NEEDED">
      <formula>NOT(ISERROR(SEARCH("CHECK NEEDED",CD3)))</formula>
    </cfRule>
  </conditionalFormatting>
  <conditionalFormatting sqref="CJ9:CU9">
    <cfRule type="containsErrors" dxfId="239" priority="240">
      <formula>ISERROR(CJ9)</formula>
    </cfRule>
  </conditionalFormatting>
  <conditionalFormatting sqref="CJ1:CU1">
    <cfRule type="cellIs" dxfId="238" priority="239" operator="notEqual">
      <formula>0</formula>
    </cfRule>
  </conditionalFormatting>
  <conditionalFormatting sqref="CJ1:CU1">
    <cfRule type="cellIs" dxfId="237" priority="238" operator="notEqual">
      <formula>0</formula>
    </cfRule>
  </conditionalFormatting>
  <conditionalFormatting sqref="CJ3:CU3">
    <cfRule type="containsText" dxfId="236" priority="237" operator="containsText" text="CHECK NEEDED">
      <formula>NOT(ISERROR(SEARCH("CHECK NEEDED",CJ3)))</formula>
    </cfRule>
  </conditionalFormatting>
  <conditionalFormatting sqref="CX9">
    <cfRule type="containsErrors" dxfId="235" priority="236">
      <formula>ISERROR(CX9)</formula>
    </cfRule>
  </conditionalFormatting>
  <conditionalFormatting sqref="CX1">
    <cfRule type="cellIs" dxfId="234" priority="235" operator="notEqual">
      <formula>0</formula>
    </cfRule>
  </conditionalFormatting>
  <conditionalFormatting sqref="CX1">
    <cfRule type="cellIs" dxfId="233" priority="234" operator="notEqual">
      <formula>0</formula>
    </cfRule>
  </conditionalFormatting>
  <conditionalFormatting sqref="CX3">
    <cfRule type="containsText" dxfId="232" priority="233" operator="containsText" text="CHECK NEEDED">
      <formula>NOT(ISERROR(SEARCH("CHECK NEEDED",CX3)))</formula>
    </cfRule>
  </conditionalFormatting>
  <conditionalFormatting sqref="CZ9">
    <cfRule type="containsErrors" dxfId="231" priority="232">
      <formula>ISERROR(CZ9)</formula>
    </cfRule>
  </conditionalFormatting>
  <conditionalFormatting sqref="CZ3">
    <cfRule type="containsText" dxfId="230" priority="231" operator="containsText" text="CHECK NEEDED">
      <formula>NOT(ISERROR(SEARCH("CHECK NEEDED",CZ3)))</formula>
    </cfRule>
  </conditionalFormatting>
  <conditionalFormatting sqref="DG9">
    <cfRule type="containsErrors" dxfId="229" priority="230">
      <formula>ISERROR(DG9)</formula>
    </cfRule>
  </conditionalFormatting>
  <conditionalFormatting sqref="DG1">
    <cfRule type="cellIs" dxfId="228" priority="229" operator="notEqual">
      <formula>0</formula>
    </cfRule>
  </conditionalFormatting>
  <conditionalFormatting sqref="DG1">
    <cfRule type="cellIs" dxfId="227" priority="228" operator="notEqual">
      <formula>0</formula>
    </cfRule>
  </conditionalFormatting>
  <conditionalFormatting sqref="DG3">
    <cfRule type="containsText" dxfId="226" priority="227" operator="containsText" text="CHECK NEEDED">
      <formula>NOT(ISERROR(SEARCH("CHECK NEEDED",DG3)))</formula>
    </cfRule>
  </conditionalFormatting>
  <conditionalFormatting sqref="DJ9">
    <cfRule type="containsErrors" dxfId="225" priority="226">
      <formula>ISERROR(DJ9)</formula>
    </cfRule>
  </conditionalFormatting>
  <conditionalFormatting sqref="DJ1">
    <cfRule type="cellIs" dxfId="224" priority="225" operator="notEqual">
      <formula>0</formula>
    </cfRule>
  </conditionalFormatting>
  <conditionalFormatting sqref="DJ1">
    <cfRule type="cellIs" dxfId="223" priority="224" operator="notEqual">
      <formula>0</formula>
    </cfRule>
  </conditionalFormatting>
  <conditionalFormatting sqref="DJ3">
    <cfRule type="containsText" dxfId="222" priority="223" operator="containsText" text="CHECK NEEDED">
      <formula>NOT(ISERROR(SEARCH("CHECK NEEDED",DJ3)))</formula>
    </cfRule>
  </conditionalFormatting>
  <conditionalFormatting sqref="DN9:DO9">
    <cfRule type="containsErrors" dxfId="221" priority="222">
      <formula>ISERROR(DN9)</formula>
    </cfRule>
  </conditionalFormatting>
  <conditionalFormatting sqref="DN1:DO1">
    <cfRule type="cellIs" dxfId="220" priority="221" operator="notEqual">
      <formula>0</formula>
    </cfRule>
  </conditionalFormatting>
  <conditionalFormatting sqref="DN1:DO1">
    <cfRule type="cellIs" dxfId="219" priority="220" operator="notEqual">
      <formula>0</formula>
    </cfRule>
  </conditionalFormatting>
  <conditionalFormatting sqref="DN3:DO3">
    <cfRule type="containsText" dxfId="218" priority="219" operator="containsText" text="CHECK NEEDED">
      <formula>NOT(ISERROR(SEARCH("CHECK NEEDED",DN3)))</formula>
    </cfRule>
  </conditionalFormatting>
  <conditionalFormatting sqref="DR9:DV9">
    <cfRule type="containsErrors" dxfId="217" priority="218">
      <formula>ISERROR(DR9)</formula>
    </cfRule>
  </conditionalFormatting>
  <conditionalFormatting sqref="DR1:DV1">
    <cfRule type="cellIs" dxfId="216" priority="217" operator="notEqual">
      <formula>0</formula>
    </cfRule>
  </conditionalFormatting>
  <conditionalFormatting sqref="DR1:DV1">
    <cfRule type="cellIs" dxfId="215" priority="216" operator="notEqual">
      <formula>0</formula>
    </cfRule>
  </conditionalFormatting>
  <conditionalFormatting sqref="DR3:DV3">
    <cfRule type="containsText" dxfId="214" priority="215" operator="containsText" text="CHECK NEEDED">
      <formula>NOT(ISERROR(SEARCH("CHECK NEEDED",DR3)))</formula>
    </cfRule>
  </conditionalFormatting>
  <conditionalFormatting sqref="DX9:DZ9">
    <cfRule type="containsErrors" dxfId="213" priority="214">
      <formula>ISERROR(DX9)</formula>
    </cfRule>
  </conditionalFormatting>
  <conditionalFormatting sqref="DX1:DZ1">
    <cfRule type="cellIs" dxfId="212" priority="213" operator="notEqual">
      <formula>0</formula>
    </cfRule>
  </conditionalFormatting>
  <conditionalFormatting sqref="DX1:DZ1">
    <cfRule type="cellIs" dxfId="211" priority="212" operator="notEqual">
      <formula>0</formula>
    </cfRule>
  </conditionalFormatting>
  <conditionalFormatting sqref="DX3:DZ3">
    <cfRule type="containsText" dxfId="210" priority="211" operator="containsText" text="CHECK NEEDED">
      <formula>NOT(ISERROR(SEARCH("CHECK NEEDED",DX3)))</formula>
    </cfRule>
  </conditionalFormatting>
  <conditionalFormatting sqref="EB9:EG9">
    <cfRule type="containsErrors" dxfId="209" priority="210">
      <formula>ISERROR(EB9)</formula>
    </cfRule>
  </conditionalFormatting>
  <conditionalFormatting sqref="EB1:EG1">
    <cfRule type="cellIs" dxfId="208" priority="209" operator="notEqual">
      <formula>0</formula>
    </cfRule>
  </conditionalFormatting>
  <conditionalFormatting sqref="EB1:EG1">
    <cfRule type="cellIs" dxfId="207" priority="208" operator="notEqual">
      <formula>0</formula>
    </cfRule>
  </conditionalFormatting>
  <conditionalFormatting sqref="EB3:EG3">
    <cfRule type="containsText" dxfId="206" priority="207" operator="containsText" text="CHECK NEEDED">
      <formula>NOT(ISERROR(SEARCH("CHECK NEEDED",EB3)))</formula>
    </cfRule>
  </conditionalFormatting>
  <conditionalFormatting sqref="EI9">
    <cfRule type="containsErrors" dxfId="205" priority="206">
      <formula>ISERROR(EI9)</formula>
    </cfRule>
  </conditionalFormatting>
  <conditionalFormatting sqref="EI1">
    <cfRule type="cellIs" dxfId="204" priority="205" operator="notEqual">
      <formula>0</formula>
    </cfRule>
  </conditionalFormatting>
  <conditionalFormatting sqref="EI1">
    <cfRule type="cellIs" dxfId="203" priority="204" operator="notEqual">
      <formula>0</formula>
    </cfRule>
  </conditionalFormatting>
  <conditionalFormatting sqref="EI3">
    <cfRule type="containsText" dxfId="202" priority="203" operator="containsText" text="CHECK NEEDED">
      <formula>NOT(ISERROR(SEARCH("CHECK NEEDED",EI3)))</formula>
    </cfRule>
  </conditionalFormatting>
  <conditionalFormatting sqref="EN9">
    <cfRule type="containsErrors" dxfId="201" priority="202">
      <formula>ISERROR(EN9)</formula>
    </cfRule>
  </conditionalFormatting>
  <conditionalFormatting sqref="EN3">
    <cfRule type="containsText" dxfId="200" priority="201" operator="containsText" text="CHECK NEEDED">
      <formula>NOT(ISERROR(SEARCH("CHECK NEEDED",EN3)))</formula>
    </cfRule>
  </conditionalFormatting>
  <conditionalFormatting sqref="FC9:FD9">
    <cfRule type="containsErrors" dxfId="199" priority="200">
      <formula>ISERROR(FC9)</formula>
    </cfRule>
  </conditionalFormatting>
  <conditionalFormatting sqref="FC1:FD1">
    <cfRule type="cellIs" dxfId="198" priority="199" operator="notEqual">
      <formula>0</formula>
    </cfRule>
  </conditionalFormatting>
  <conditionalFormatting sqref="FC1:FD1">
    <cfRule type="cellIs" dxfId="197" priority="198" operator="notEqual">
      <formula>0</formula>
    </cfRule>
  </conditionalFormatting>
  <conditionalFormatting sqref="FC3:FD3">
    <cfRule type="containsText" dxfId="196" priority="197" operator="containsText" text="CHECK NEEDED">
      <formula>NOT(ISERROR(SEARCH("CHECK NEEDED",FC3)))</formula>
    </cfRule>
  </conditionalFormatting>
  <conditionalFormatting sqref="FG9:FK9">
    <cfRule type="containsErrors" dxfId="195" priority="196">
      <formula>ISERROR(FG9)</formula>
    </cfRule>
  </conditionalFormatting>
  <conditionalFormatting sqref="FG1:FK1">
    <cfRule type="cellIs" dxfId="194" priority="195" operator="notEqual">
      <formula>0</formula>
    </cfRule>
  </conditionalFormatting>
  <conditionalFormatting sqref="FG1:FK1">
    <cfRule type="cellIs" dxfId="193" priority="194" operator="notEqual">
      <formula>0</formula>
    </cfRule>
  </conditionalFormatting>
  <conditionalFormatting sqref="FG3:FK3">
    <cfRule type="containsText" dxfId="192" priority="193" operator="containsText" text="CHECK NEEDED">
      <formula>NOT(ISERROR(SEARCH("CHECK NEEDED",FG3)))</formula>
    </cfRule>
  </conditionalFormatting>
  <conditionalFormatting sqref="FM9:FV9">
    <cfRule type="containsErrors" dxfId="191" priority="192">
      <formula>ISERROR(FM9)</formula>
    </cfRule>
  </conditionalFormatting>
  <conditionalFormatting sqref="FM1:FV1">
    <cfRule type="cellIs" dxfId="190" priority="191" operator="notEqual">
      <formula>0</formula>
    </cfRule>
  </conditionalFormatting>
  <conditionalFormatting sqref="FM1:FV1">
    <cfRule type="cellIs" dxfId="189" priority="190" operator="notEqual">
      <formula>0</formula>
    </cfRule>
  </conditionalFormatting>
  <conditionalFormatting sqref="FM3:FV3">
    <cfRule type="containsText" dxfId="188" priority="189" operator="containsText" text="CHECK NEEDED">
      <formula>NOT(ISERROR(SEARCH("CHECK NEEDED",FM3)))</formula>
    </cfRule>
  </conditionalFormatting>
  <conditionalFormatting sqref="FM9:FV9">
    <cfRule type="containsErrors" dxfId="187" priority="188">
      <formula>ISERROR(FM9)</formula>
    </cfRule>
  </conditionalFormatting>
  <conditionalFormatting sqref="FM1:FV1">
    <cfRule type="cellIs" dxfId="186" priority="187" operator="notEqual">
      <formula>0</formula>
    </cfRule>
  </conditionalFormatting>
  <conditionalFormatting sqref="FM1:FV1">
    <cfRule type="cellIs" dxfId="185" priority="186" operator="notEqual">
      <formula>0</formula>
    </cfRule>
  </conditionalFormatting>
  <conditionalFormatting sqref="FM3:FV3">
    <cfRule type="containsText" dxfId="184" priority="185" operator="containsText" text="CHECK NEEDED">
      <formula>NOT(ISERROR(SEARCH("CHECK NEEDED",FM3)))</formula>
    </cfRule>
  </conditionalFormatting>
  <conditionalFormatting sqref="FX9">
    <cfRule type="containsErrors" dxfId="183" priority="184">
      <formula>ISERROR(FX9)</formula>
    </cfRule>
  </conditionalFormatting>
  <conditionalFormatting sqref="FX1">
    <cfRule type="cellIs" dxfId="182" priority="183" operator="notEqual">
      <formula>0</formula>
    </cfRule>
  </conditionalFormatting>
  <conditionalFormatting sqref="FX1">
    <cfRule type="cellIs" dxfId="181" priority="182" operator="notEqual">
      <formula>0</formula>
    </cfRule>
  </conditionalFormatting>
  <conditionalFormatting sqref="FX3">
    <cfRule type="containsText" dxfId="180" priority="181" operator="containsText" text="CHECK NEEDED">
      <formula>NOT(ISERROR(SEARCH("CHECK NEEDED",FX3)))</formula>
    </cfRule>
  </conditionalFormatting>
  <conditionalFormatting sqref="FX9">
    <cfRule type="containsErrors" dxfId="179" priority="180">
      <formula>ISERROR(FX9)</formula>
    </cfRule>
  </conditionalFormatting>
  <conditionalFormatting sqref="FX1">
    <cfRule type="cellIs" dxfId="178" priority="179" operator="notEqual">
      <formula>0</formula>
    </cfRule>
  </conditionalFormatting>
  <conditionalFormatting sqref="FX1">
    <cfRule type="cellIs" dxfId="177" priority="178" operator="notEqual">
      <formula>0</formula>
    </cfRule>
  </conditionalFormatting>
  <conditionalFormatting sqref="FX3">
    <cfRule type="containsText" dxfId="176" priority="177" operator="containsText" text="CHECK NEEDED">
      <formula>NOT(ISERROR(SEARCH("CHECK NEEDED",FX3)))</formula>
    </cfRule>
  </conditionalFormatting>
  <conditionalFormatting sqref="GA9">
    <cfRule type="containsErrors" dxfId="175" priority="176">
      <formula>ISERROR(GA9)</formula>
    </cfRule>
  </conditionalFormatting>
  <conditionalFormatting sqref="GA1">
    <cfRule type="cellIs" dxfId="174" priority="175" operator="notEqual">
      <formula>0</formula>
    </cfRule>
  </conditionalFormatting>
  <conditionalFormatting sqref="GA1">
    <cfRule type="cellIs" dxfId="173" priority="174" operator="notEqual">
      <formula>0</formula>
    </cfRule>
  </conditionalFormatting>
  <conditionalFormatting sqref="GA3">
    <cfRule type="containsText" dxfId="172" priority="173" operator="containsText" text="CHECK NEEDED">
      <formula>NOT(ISERROR(SEARCH("CHECK NEEDED",GA3)))</formula>
    </cfRule>
  </conditionalFormatting>
  <conditionalFormatting sqref="GA9">
    <cfRule type="containsErrors" dxfId="171" priority="172">
      <formula>ISERROR(GA9)</formula>
    </cfRule>
  </conditionalFormatting>
  <conditionalFormatting sqref="GA1">
    <cfRule type="cellIs" dxfId="170" priority="171" operator="notEqual">
      <formula>0</formula>
    </cfRule>
  </conditionalFormatting>
  <conditionalFormatting sqref="GA1">
    <cfRule type="cellIs" dxfId="169" priority="170" operator="notEqual">
      <formula>0</formula>
    </cfRule>
  </conditionalFormatting>
  <conditionalFormatting sqref="GA3">
    <cfRule type="containsText" dxfId="168" priority="169" operator="containsText" text="CHECK NEEDED">
      <formula>NOT(ISERROR(SEARCH("CHECK NEEDED",GA3)))</formula>
    </cfRule>
  </conditionalFormatting>
  <conditionalFormatting sqref="GC9">
    <cfRule type="containsErrors" dxfId="167" priority="168">
      <formula>ISERROR(GC9)</formula>
    </cfRule>
  </conditionalFormatting>
  <conditionalFormatting sqref="GC3">
    <cfRule type="containsText" dxfId="166" priority="167" operator="containsText" text="CHECK NEEDED">
      <formula>NOT(ISERROR(SEARCH("CHECK NEEDED",GC3)))</formula>
    </cfRule>
  </conditionalFormatting>
  <conditionalFormatting sqref="GC9">
    <cfRule type="containsErrors" dxfId="165" priority="166">
      <formula>ISERROR(GC9)</formula>
    </cfRule>
  </conditionalFormatting>
  <conditionalFormatting sqref="GC3">
    <cfRule type="containsText" dxfId="164" priority="165" operator="containsText" text="CHECK NEEDED">
      <formula>NOT(ISERROR(SEARCH("CHECK NEEDED",GC3)))</formula>
    </cfRule>
  </conditionalFormatting>
  <conditionalFormatting sqref="GR9:GS9">
    <cfRule type="containsErrors" dxfId="163" priority="164">
      <formula>ISERROR(GR9)</formula>
    </cfRule>
  </conditionalFormatting>
  <conditionalFormatting sqref="GR1:GS1">
    <cfRule type="cellIs" dxfId="162" priority="163" operator="notEqual">
      <formula>0</formula>
    </cfRule>
  </conditionalFormatting>
  <conditionalFormatting sqref="GR1:GS1">
    <cfRule type="cellIs" dxfId="161" priority="162" operator="notEqual">
      <formula>0</formula>
    </cfRule>
  </conditionalFormatting>
  <conditionalFormatting sqref="GR3:GS3">
    <cfRule type="containsText" dxfId="160" priority="161" operator="containsText" text="CHECK NEEDED">
      <formula>NOT(ISERROR(SEARCH("CHECK NEEDED",GR3)))</formula>
    </cfRule>
  </conditionalFormatting>
  <conditionalFormatting sqref="GR9:GS9">
    <cfRule type="containsErrors" dxfId="159" priority="160">
      <formula>ISERROR(GR9)</formula>
    </cfRule>
  </conditionalFormatting>
  <conditionalFormatting sqref="GR1:GS1">
    <cfRule type="cellIs" dxfId="158" priority="159" operator="notEqual">
      <formula>0</formula>
    </cfRule>
  </conditionalFormatting>
  <conditionalFormatting sqref="GR1:GS1">
    <cfRule type="cellIs" dxfId="157" priority="158" operator="notEqual">
      <formula>0</formula>
    </cfRule>
  </conditionalFormatting>
  <conditionalFormatting sqref="GR3:GS3">
    <cfRule type="containsText" dxfId="156" priority="157" operator="containsText" text="CHECK NEEDED">
      <formula>NOT(ISERROR(SEARCH("CHECK NEEDED",GR3)))</formula>
    </cfRule>
  </conditionalFormatting>
  <conditionalFormatting sqref="GV9:GZ9">
    <cfRule type="containsErrors" dxfId="155" priority="156">
      <formula>ISERROR(GV9)</formula>
    </cfRule>
  </conditionalFormatting>
  <conditionalFormatting sqref="GV1:GZ1">
    <cfRule type="cellIs" dxfId="154" priority="155" operator="notEqual">
      <formula>0</formula>
    </cfRule>
  </conditionalFormatting>
  <conditionalFormatting sqref="GV1:GZ1">
    <cfRule type="cellIs" dxfId="153" priority="154" operator="notEqual">
      <formula>0</formula>
    </cfRule>
  </conditionalFormatting>
  <conditionalFormatting sqref="GV3:GZ3">
    <cfRule type="containsText" dxfId="152" priority="153" operator="containsText" text="CHECK NEEDED">
      <formula>NOT(ISERROR(SEARCH("CHECK NEEDED",GV3)))</formula>
    </cfRule>
  </conditionalFormatting>
  <conditionalFormatting sqref="GV9:GZ9">
    <cfRule type="containsErrors" dxfId="151" priority="152">
      <formula>ISERROR(GV9)</formula>
    </cfRule>
  </conditionalFormatting>
  <conditionalFormatting sqref="GV1:GZ1">
    <cfRule type="cellIs" dxfId="150" priority="151" operator="notEqual">
      <formula>0</formula>
    </cfRule>
  </conditionalFormatting>
  <conditionalFormatting sqref="GV1:GZ1">
    <cfRule type="cellIs" dxfId="149" priority="150" operator="notEqual">
      <formula>0</formula>
    </cfRule>
  </conditionalFormatting>
  <conditionalFormatting sqref="GV3:GZ3">
    <cfRule type="containsText" dxfId="148" priority="149" operator="containsText" text="CHECK NEEDED">
      <formula>NOT(ISERROR(SEARCH("CHECK NEEDED",GV3)))</formula>
    </cfRule>
  </conditionalFormatting>
  <conditionalFormatting sqref="HB9:HK9">
    <cfRule type="containsErrors" dxfId="147" priority="148">
      <formula>ISERROR(HB9)</formula>
    </cfRule>
  </conditionalFormatting>
  <conditionalFormatting sqref="HB1:HK1">
    <cfRule type="cellIs" dxfId="146" priority="147" operator="notEqual">
      <formula>0</formula>
    </cfRule>
  </conditionalFormatting>
  <conditionalFormatting sqref="HB1:HK1">
    <cfRule type="cellIs" dxfId="145" priority="146" operator="notEqual">
      <formula>0</formula>
    </cfRule>
  </conditionalFormatting>
  <conditionalFormatting sqref="HB3:HK3">
    <cfRule type="containsText" dxfId="144" priority="145" operator="containsText" text="CHECK NEEDED">
      <formula>NOT(ISERROR(SEARCH("CHECK NEEDED",HB3)))</formula>
    </cfRule>
  </conditionalFormatting>
  <conditionalFormatting sqref="HB9:HK9">
    <cfRule type="containsErrors" dxfId="143" priority="144">
      <formula>ISERROR(HB9)</formula>
    </cfRule>
  </conditionalFormatting>
  <conditionalFormatting sqref="HB1:HK1">
    <cfRule type="cellIs" dxfId="142" priority="143" operator="notEqual">
      <formula>0</formula>
    </cfRule>
  </conditionalFormatting>
  <conditionalFormatting sqref="HB1:HK1">
    <cfRule type="cellIs" dxfId="141" priority="142" operator="notEqual">
      <formula>0</formula>
    </cfRule>
  </conditionalFormatting>
  <conditionalFormatting sqref="HB3:HK3">
    <cfRule type="containsText" dxfId="140" priority="141" operator="containsText" text="CHECK NEEDED">
      <formula>NOT(ISERROR(SEARCH("CHECK NEEDED",HB3)))</formula>
    </cfRule>
  </conditionalFormatting>
  <conditionalFormatting sqref="HM9">
    <cfRule type="containsErrors" dxfId="139" priority="140">
      <formula>ISERROR(HM9)</formula>
    </cfRule>
  </conditionalFormatting>
  <conditionalFormatting sqref="HM1">
    <cfRule type="cellIs" dxfId="138" priority="139" operator="notEqual">
      <formula>0</formula>
    </cfRule>
  </conditionalFormatting>
  <conditionalFormatting sqref="HM1">
    <cfRule type="cellIs" dxfId="137" priority="138" operator="notEqual">
      <formula>0</formula>
    </cfRule>
  </conditionalFormatting>
  <conditionalFormatting sqref="HM3">
    <cfRule type="containsText" dxfId="136" priority="137" operator="containsText" text="CHECK NEEDED">
      <formula>NOT(ISERROR(SEARCH("CHECK NEEDED",HM3)))</formula>
    </cfRule>
  </conditionalFormatting>
  <conditionalFormatting sqref="HM9">
    <cfRule type="containsErrors" dxfId="135" priority="136">
      <formula>ISERROR(HM9)</formula>
    </cfRule>
  </conditionalFormatting>
  <conditionalFormatting sqref="HM1">
    <cfRule type="cellIs" dxfId="134" priority="135" operator="notEqual">
      <formula>0</formula>
    </cfRule>
  </conditionalFormatting>
  <conditionalFormatting sqref="HM1">
    <cfRule type="cellIs" dxfId="133" priority="134" operator="notEqual">
      <formula>0</formula>
    </cfRule>
  </conditionalFormatting>
  <conditionalFormatting sqref="HM3">
    <cfRule type="containsText" dxfId="132" priority="133" operator="containsText" text="CHECK NEEDED">
      <formula>NOT(ISERROR(SEARCH("CHECK NEEDED",HM3)))</formula>
    </cfRule>
  </conditionalFormatting>
  <conditionalFormatting sqref="HR9">
    <cfRule type="containsErrors" dxfId="131" priority="132">
      <formula>ISERROR(HR9)</formula>
    </cfRule>
  </conditionalFormatting>
  <conditionalFormatting sqref="HR3">
    <cfRule type="containsText" dxfId="130" priority="131" operator="containsText" text="CHECK NEEDED">
      <formula>NOT(ISERROR(SEARCH("CHECK NEEDED",HR3)))</formula>
    </cfRule>
  </conditionalFormatting>
  <conditionalFormatting sqref="HR9">
    <cfRule type="containsErrors" dxfId="129" priority="130">
      <formula>ISERROR(HR9)</formula>
    </cfRule>
  </conditionalFormatting>
  <conditionalFormatting sqref="HR3">
    <cfRule type="containsText" dxfId="128" priority="129" operator="containsText" text="CHECK NEEDED">
      <formula>NOT(ISERROR(SEARCH("CHECK NEEDED",HR3)))</formula>
    </cfRule>
  </conditionalFormatting>
  <conditionalFormatting sqref="HZ9">
    <cfRule type="containsErrors" dxfId="127" priority="128">
      <formula>ISERROR(HZ9)</formula>
    </cfRule>
  </conditionalFormatting>
  <conditionalFormatting sqref="HZ1">
    <cfRule type="cellIs" dxfId="126" priority="127" operator="notEqual">
      <formula>0</formula>
    </cfRule>
  </conditionalFormatting>
  <conditionalFormatting sqref="HZ1">
    <cfRule type="cellIs" dxfId="125" priority="126" operator="notEqual">
      <formula>0</formula>
    </cfRule>
  </conditionalFormatting>
  <conditionalFormatting sqref="HZ3">
    <cfRule type="containsText" dxfId="124" priority="125" operator="containsText" text="CHECK NEEDED">
      <formula>NOT(ISERROR(SEARCH("CHECK NEEDED",HZ3)))</formula>
    </cfRule>
  </conditionalFormatting>
  <conditionalFormatting sqref="HZ9">
    <cfRule type="containsErrors" dxfId="123" priority="124">
      <formula>ISERROR(HZ9)</formula>
    </cfRule>
  </conditionalFormatting>
  <conditionalFormatting sqref="HZ1">
    <cfRule type="cellIs" dxfId="122" priority="123" operator="notEqual">
      <formula>0</formula>
    </cfRule>
  </conditionalFormatting>
  <conditionalFormatting sqref="HZ1">
    <cfRule type="cellIs" dxfId="121" priority="122" operator="notEqual">
      <formula>0</formula>
    </cfRule>
  </conditionalFormatting>
  <conditionalFormatting sqref="HZ3">
    <cfRule type="containsText" dxfId="120" priority="121" operator="containsText" text="CHECK NEEDED">
      <formula>NOT(ISERROR(SEARCH("CHECK NEEDED",HZ3)))</formula>
    </cfRule>
  </conditionalFormatting>
  <conditionalFormatting sqref="Y2">
    <cfRule type="cellIs" dxfId="119" priority="120" operator="notEqual">
      <formula>0</formula>
    </cfRule>
  </conditionalFormatting>
  <conditionalFormatting sqref="Y2">
    <cfRule type="cellIs" dxfId="118" priority="119" operator="notEqual">
      <formula>0</formula>
    </cfRule>
  </conditionalFormatting>
  <conditionalFormatting sqref="AB2">
    <cfRule type="cellIs" dxfId="117" priority="118" operator="notEqual">
      <formula>0</formula>
    </cfRule>
  </conditionalFormatting>
  <conditionalFormatting sqref="AB2">
    <cfRule type="cellIs" dxfId="116" priority="117" operator="notEqual">
      <formula>0</formula>
    </cfRule>
  </conditionalFormatting>
  <conditionalFormatting sqref="AD2:AE2">
    <cfRule type="cellIs" dxfId="115" priority="116" operator="notEqual">
      <formula>0</formula>
    </cfRule>
  </conditionalFormatting>
  <conditionalFormatting sqref="AD2:AE2">
    <cfRule type="cellIs" dxfId="114" priority="115" operator="notEqual">
      <formula>0</formula>
    </cfRule>
  </conditionalFormatting>
  <conditionalFormatting sqref="AH2">
    <cfRule type="cellIs" dxfId="113" priority="114" operator="notEqual">
      <formula>0</formula>
    </cfRule>
  </conditionalFormatting>
  <conditionalFormatting sqref="AH2">
    <cfRule type="cellIs" dxfId="112" priority="113" operator="notEqual">
      <formula>0</formula>
    </cfRule>
  </conditionalFormatting>
  <conditionalFormatting sqref="AL2">
    <cfRule type="cellIs" dxfId="111" priority="112" operator="notEqual">
      <formula>0</formula>
    </cfRule>
  </conditionalFormatting>
  <conditionalFormatting sqref="AL2">
    <cfRule type="cellIs" dxfId="110" priority="111" operator="notEqual">
      <formula>0</formula>
    </cfRule>
  </conditionalFormatting>
  <conditionalFormatting sqref="AP2:AR2">
    <cfRule type="cellIs" dxfId="109" priority="110" operator="notEqual">
      <formula>0</formula>
    </cfRule>
  </conditionalFormatting>
  <conditionalFormatting sqref="AP2:AR2">
    <cfRule type="cellIs" dxfId="108" priority="109" operator="notEqual">
      <formula>0</formula>
    </cfRule>
  </conditionalFormatting>
  <conditionalFormatting sqref="AT2:AW2">
    <cfRule type="cellIs" dxfId="107" priority="108" operator="notEqual">
      <formula>0</formula>
    </cfRule>
  </conditionalFormatting>
  <conditionalFormatting sqref="AT2:AW2">
    <cfRule type="cellIs" dxfId="106" priority="107" operator="notEqual">
      <formula>0</formula>
    </cfRule>
  </conditionalFormatting>
  <conditionalFormatting sqref="AZ2">
    <cfRule type="cellIs" dxfId="105" priority="106" operator="notEqual">
      <formula>0</formula>
    </cfRule>
  </conditionalFormatting>
  <conditionalFormatting sqref="AZ2">
    <cfRule type="cellIs" dxfId="104" priority="105" operator="notEqual">
      <formula>0</formula>
    </cfRule>
  </conditionalFormatting>
  <conditionalFormatting sqref="BB2:BG2">
    <cfRule type="cellIs" dxfId="103" priority="104" operator="notEqual">
      <formula>0</formula>
    </cfRule>
  </conditionalFormatting>
  <conditionalFormatting sqref="BB2:BG2">
    <cfRule type="cellIs" dxfId="102" priority="103" operator="notEqual">
      <formula>0</formula>
    </cfRule>
  </conditionalFormatting>
  <conditionalFormatting sqref="BJ2">
    <cfRule type="cellIs" dxfId="101" priority="102" operator="notEqual">
      <formula>0</formula>
    </cfRule>
  </conditionalFormatting>
  <conditionalFormatting sqref="BJ2">
    <cfRule type="cellIs" dxfId="100" priority="101" operator="notEqual">
      <formula>0</formula>
    </cfRule>
  </conditionalFormatting>
  <conditionalFormatting sqref="BL2">
    <cfRule type="cellIs" dxfId="99" priority="100" operator="notEqual">
      <formula>0</formula>
    </cfRule>
  </conditionalFormatting>
  <conditionalFormatting sqref="BL2">
    <cfRule type="cellIs" dxfId="98" priority="99" operator="notEqual">
      <formula>0</formula>
    </cfRule>
  </conditionalFormatting>
  <conditionalFormatting sqref="BS2">
    <cfRule type="cellIs" dxfId="97" priority="98" operator="notEqual">
      <formula>0</formula>
    </cfRule>
  </conditionalFormatting>
  <conditionalFormatting sqref="BS2">
    <cfRule type="cellIs" dxfId="96" priority="97" operator="notEqual">
      <formula>0</formula>
    </cfRule>
  </conditionalFormatting>
  <conditionalFormatting sqref="BV2">
    <cfRule type="cellIs" dxfId="95" priority="96" operator="notEqual">
      <formula>0</formula>
    </cfRule>
  </conditionalFormatting>
  <conditionalFormatting sqref="BV2">
    <cfRule type="cellIs" dxfId="94" priority="95" operator="notEqual">
      <formula>0</formula>
    </cfRule>
  </conditionalFormatting>
  <conditionalFormatting sqref="BZ2:CA2">
    <cfRule type="cellIs" dxfId="93" priority="94" operator="notEqual">
      <formula>0</formula>
    </cfRule>
  </conditionalFormatting>
  <conditionalFormatting sqref="BZ2:CA2">
    <cfRule type="cellIs" dxfId="92" priority="93" operator="notEqual">
      <formula>0</formula>
    </cfRule>
  </conditionalFormatting>
  <conditionalFormatting sqref="CD2:CH2">
    <cfRule type="cellIs" dxfId="91" priority="92" operator="notEqual">
      <formula>0</formula>
    </cfRule>
  </conditionalFormatting>
  <conditionalFormatting sqref="CD2:CH2">
    <cfRule type="cellIs" dxfId="90" priority="91" operator="notEqual">
      <formula>0</formula>
    </cfRule>
  </conditionalFormatting>
  <conditionalFormatting sqref="CJ2:CU2">
    <cfRule type="cellIs" dxfId="89" priority="90" operator="notEqual">
      <formula>0</formula>
    </cfRule>
  </conditionalFormatting>
  <conditionalFormatting sqref="CJ2:CU2">
    <cfRule type="cellIs" dxfId="88" priority="89" operator="notEqual">
      <formula>0</formula>
    </cfRule>
  </conditionalFormatting>
  <conditionalFormatting sqref="CX2">
    <cfRule type="cellIs" dxfId="87" priority="88" operator="notEqual">
      <formula>0</formula>
    </cfRule>
  </conditionalFormatting>
  <conditionalFormatting sqref="CX2">
    <cfRule type="cellIs" dxfId="86" priority="87" operator="notEqual">
      <formula>0</formula>
    </cfRule>
  </conditionalFormatting>
  <conditionalFormatting sqref="CZ2">
    <cfRule type="cellIs" dxfId="85" priority="86" operator="notEqual">
      <formula>0</formula>
    </cfRule>
  </conditionalFormatting>
  <conditionalFormatting sqref="CZ2">
    <cfRule type="cellIs" dxfId="84" priority="85" operator="notEqual">
      <formula>0</formula>
    </cfRule>
  </conditionalFormatting>
  <conditionalFormatting sqref="DG2">
    <cfRule type="cellIs" dxfId="83" priority="84" operator="notEqual">
      <formula>0</formula>
    </cfRule>
  </conditionalFormatting>
  <conditionalFormatting sqref="DG2">
    <cfRule type="cellIs" dxfId="82" priority="83" operator="notEqual">
      <formula>0</formula>
    </cfRule>
  </conditionalFormatting>
  <conditionalFormatting sqref="DJ2">
    <cfRule type="cellIs" dxfId="81" priority="82" operator="notEqual">
      <formula>0</formula>
    </cfRule>
  </conditionalFormatting>
  <conditionalFormatting sqref="DJ2">
    <cfRule type="cellIs" dxfId="80" priority="81" operator="notEqual">
      <formula>0</formula>
    </cfRule>
  </conditionalFormatting>
  <conditionalFormatting sqref="DN2:DO2">
    <cfRule type="cellIs" dxfId="79" priority="80" operator="notEqual">
      <formula>0</formula>
    </cfRule>
  </conditionalFormatting>
  <conditionalFormatting sqref="DN2:DO2">
    <cfRule type="cellIs" dxfId="78" priority="79" operator="notEqual">
      <formula>0</formula>
    </cfRule>
  </conditionalFormatting>
  <conditionalFormatting sqref="DR2:DV2">
    <cfRule type="cellIs" dxfId="77" priority="78" operator="notEqual">
      <formula>0</formula>
    </cfRule>
  </conditionalFormatting>
  <conditionalFormatting sqref="DR2:DV2">
    <cfRule type="cellIs" dxfId="76" priority="77" operator="notEqual">
      <formula>0</formula>
    </cfRule>
  </conditionalFormatting>
  <conditionalFormatting sqref="DX2:DZ2">
    <cfRule type="cellIs" dxfId="75" priority="76" operator="notEqual">
      <formula>0</formula>
    </cfRule>
  </conditionalFormatting>
  <conditionalFormatting sqref="DX2:DZ2">
    <cfRule type="cellIs" dxfId="74" priority="75" operator="notEqual">
      <formula>0</formula>
    </cfRule>
  </conditionalFormatting>
  <conditionalFormatting sqref="EB2:EG2">
    <cfRule type="cellIs" dxfId="73" priority="74" operator="notEqual">
      <formula>0</formula>
    </cfRule>
  </conditionalFormatting>
  <conditionalFormatting sqref="EB2:EG2">
    <cfRule type="cellIs" dxfId="72" priority="73" operator="notEqual">
      <formula>0</formula>
    </cfRule>
  </conditionalFormatting>
  <conditionalFormatting sqref="EI2">
    <cfRule type="cellIs" dxfId="71" priority="72" operator="notEqual">
      <formula>0</formula>
    </cfRule>
  </conditionalFormatting>
  <conditionalFormatting sqref="EI2">
    <cfRule type="cellIs" dxfId="70" priority="71" operator="notEqual">
      <formula>0</formula>
    </cfRule>
  </conditionalFormatting>
  <conditionalFormatting sqref="EN2">
    <cfRule type="cellIs" dxfId="69" priority="70" operator="notEqual">
      <formula>0</formula>
    </cfRule>
  </conditionalFormatting>
  <conditionalFormatting sqref="EN2">
    <cfRule type="cellIs" dxfId="68" priority="69" operator="notEqual">
      <formula>0</formula>
    </cfRule>
  </conditionalFormatting>
  <conditionalFormatting sqref="FC2:FD2">
    <cfRule type="cellIs" dxfId="67" priority="68" operator="notEqual">
      <formula>0</formula>
    </cfRule>
  </conditionalFormatting>
  <conditionalFormatting sqref="FC2:FD2">
    <cfRule type="cellIs" dxfId="66" priority="67" operator="notEqual">
      <formula>0</formula>
    </cfRule>
  </conditionalFormatting>
  <conditionalFormatting sqref="FG2:FK2">
    <cfRule type="cellIs" dxfId="65" priority="66" operator="notEqual">
      <formula>0</formula>
    </cfRule>
  </conditionalFormatting>
  <conditionalFormatting sqref="FG2:FK2">
    <cfRule type="cellIs" dxfId="64" priority="65" operator="notEqual">
      <formula>0</formula>
    </cfRule>
  </conditionalFormatting>
  <conditionalFormatting sqref="FM2:FV2">
    <cfRule type="cellIs" dxfId="63" priority="64" operator="notEqual">
      <formula>0</formula>
    </cfRule>
  </conditionalFormatting>
  <conditionalFormatting sqref="FM2:FV2">
    <cfRule type="cellIs" dxfId="62" priority="63" operator="notEqual">
      <formula>0</formula>
    </cfRule>
  </conditionalFormatting>
  <conditionalFormatting sqref="FX2">
    <cfRule type="cellIs" dxfId="61" priority="62" operator="notEqual">
      <formula>0</formula>
    </cfRule>
  </conditionalFormatting>
  <conditionalFormatting sqref="FX2">
    <cfRule type="cellIs" dxfId="60" priority="61" operator="notEqual">
      <formula>0</formula>
    </cfRule>
  </conditionalFormatting>
  <conditionalFormatting sqref="GA2">
    <cfRule type="cellIs" dxfId="59" priority="60" operator="notEqual">
      <formula>0</formula>
    </cfRule>
  </conditionalFormatting>
  <conditionalFormatting sqref="GA2">
    <cfRule type="cellIs" dxfId="58" priority="59" operator="notEqual">
      <formula>0</formula>
    </cfRule>
  </conditionalFormatting>
  <conditionalFormatting sqref="GC2">
    <cfRule type="cellIs" dxfId="57" priority="58" operator="notEqual">
      <formula>0</formula>
    </cfRule>
  </conditionalFormatting>
  <conditionalFormatting sqref="GC2">
    <cfRule type="cellIs" dxfId="56" priority="57" operator="notEqual">
      <formula>0</formula>
    </cfRule>
  </conditionalFormatting>
  <conditionalFormatting sqref="GR2:GS2">
    <cfRule type="cellIs" dxfId="55" priority="56" operator="notEqual">
      <formula>0</formula>
    </cfRule>
  </conditionalFormatting>
  <conditionalFormatting sqref="GR2:GS2">
    <cfRule type="cellIs" dxfId="54" priority="55" operator="notEqual">
      <formula>0</formula>
    </cfRule>
  </conditionalFormatting>
  <conditionalFormatting sqref="GV2:GZ2">
    <cfRule type="cellIs" dxfId="53" priority="54" operator="notEqual">
      <formula>0</formula>
    </cfRule>
  </conditionalFormatting>
  <conditionalFormatting sqref="GV2:GZ2">
    <cfRule type="cellIs" dxfId="52" priority="53" operator="notEqual">
      <formula>0</formula>
    </cfRule>
  </conditionalFormatting>
  <conditionalFormatting sqref="HB2:HK2">
    <cfRule type="cellIs" dxfId="51" priority="52" operator="notEqual">
      <formula>0</formula>
    </cfRule>
  </conditionalFormatting>
  <conditionalFormatting sqref="HB2:HK2">
    <cfRule type="cellIs" dxfId="50" priority="51" operator="notEqual">
      <formula>0</formula>
    </cfRule>
  </conditionalFormatting>
  <conditionalFormatting sqref="HM2">
    <cfRule type="cellIs" dxfId="49" priority="50" operator="notEqual">
      <formula>0</formula>
    </cfRule>
  </conditionalFormatting>
  <conditionalFormatting sqref="HM2">
    <cfRule type="cellIs" dxfId="48" priority="49" operator="notEqual">
      <formula>0</formula>
    </cfRule>
  </conditionalFormatting>
  <conditionalFormatting sqref="HR2">
    <cfRule type="cellIs" dxfId="47" priority="48" operator="notEqual">
      <formula>0</formula>
    </cfRule>
  </conditionalFormatting>
  <conditionalFormatting sqref="HR2">
    <cfRule type="cellIs" dxfId="46" priority="47" operator="notEqual">
      <formula>0</formula>
    </cfRule>
  </conditionalFormatting>
  <conditionalFormatting sqref="HZ2">
    <cfRule type="cellIs" dxfId="45" priority="46" operator="notEqual">
      <formula>0</formula>
    </cfRule>
  </conditionalFormatting>
  <conditionalFormatting sqref="HZ2">
    <cfRule type="cellIs" dxfId="44" priority="45" operator="notEqual">
      <formula>0</formula>
    </cfRule>
  </conditionalFormatting>
  <conditionalFormatting sqref="AE1">
    <cfRule type="cellIs" dxfId="43" priority="44" operator="notEqual">
      <formula>0</formula>
    </cfRule>
  </conditionalFormatting>
  <conditionalFormatting sqref="EN1">
    <cfRule type="cellIs" dxfId="42" priority="43" operator="notEqual">
      <formula>0</formula>
    </cfRule>
  </conditionalFormatting>
  <conditionalFormatting sqref="EN1">
    <cfRule type="cellIs" dxfId="41" priority="42" operator="notEqual">
      <formula>0</formula>
    </cfRule>
  </conditionalFormatting>
  <conditionalFormatting sqref="GC1">
    <cfRule type="cellIs" dxfId="40" priority="41" operator="notEqual">
      <formula>0</formula>
    </cfRule>
  </conditionalFormatting>
  <conditionalFormatting sqref="GC1">
    <cfRule type="cellIs" dxfId="39" priority="40" operator="notEqual">
      <formula>0</formula>
    </cfRule>
  </conditionalFormatting>
  <conditionalFormatting sqref="GC1">
    <cfRule type="cellIs" dxfId="38" priority="39" operator="notEqual">
      <formula>0</formula>
    </cfRule>
  </conditionalFormatting>
  <conditionalFormatting sqref="GC1">
    <cfRule type="cellIs" dxfId="37" priority="38" operator="notEqual">
      <formula>0</formula>
    </cfRule>
  </conditionalFormatting>
  <conditionalFormatting sqref="I1">
    <cfRule type="cellIs" dxfId="36" priority="37" operator="notEqual">
      <formula>0</formula>
    </cfRule>
  </conditionalFormatting>
  <conditionalFormatting sqref="BL1">
    <cfRule type="cellIs" dxfId="35" priority="36" operator="notEqual">
      <formula>0</formula>
    </cfRule>
  </conditionalFormatting>
  <conditionalFormatting sqref="BL1">
    <cfRule type="cellIs" dxfId="34" priority="35" operator="notEqual">
      <formula>0</formula>
    </cfRule>
  </conditionalFormatting>
  <conditionalFormatting sqref="BS1">
    <cfRule type="cellIs" dxfId="33" priority="34" operator="notEqual">
      <formula>0</formula>
    </cfRule>
  </conditionalFormatting>
  <conditionalFormatting sqref="BS1">
    <cfRule type="cellIs" dxfId="32" priority="33" operator="notEqual">
      <formula>0</formula>
    </cfRule>
  </conditionalFormatting>
  <conditionalFormatting sqref="CZ1">
    <cfRule type="cellIs" dxfId="31" priority="32" operator="notEqual">
      <formula>0</formula>
    </cfRule>
  </conditionalFormatting>
  <conditionalFormatting sqref="CZ1">
    <cfRule type="cellIs" dxfId="30" priority="31" operator="notEqual">
      <formula>0</formula>
    </cfRule>
  </conditionalFormatting>
  <conditionalFormatting sqref="HR1">
    <cfRule type="cellIs" dxfId="29" priority="30" operator="notEqual">
      <formula>0</formula>
    </cfRule>
  </conditionalFormatting>
  <conditionalFormatting sqref="HR1">
    <cfRule type="cellIs" dxfId="28" priority="29" operator="notEqual">
      <formula>0</formula>
    </cfRule>
  </conditionalFormatting>
  <conditionalFormatting sqref="HR1">
    <cfRule type="cellIs" dxfId="27" priority="28" operator="notEqual">
      <formula>0</formula>
    </cfRule>
  </conditionalFormatting>
  <conditionalFormatting sqref="HR1">
    <cfRule type="cellIs" dxfId="26" priority="27" operator="notEqual">
      <formula>0</formula>
    </cfRule>
  </conditionalFormatting>
  <conditionalFormatting sqref="GL1">
    <cfRule type="cellIs" dxfId="25" priority="26" operator="notEqual">
      <formula>0</formula>
    </cfRule>
  </conditionalFormatting>
  <conditionalFormatting sqref="IA1:IB1">
    <cfRule type="cellIs" dxfId="24" priority="25" operator="notEqual">
      <formula>0</formula>
    </cfRule>
  </conditionalFormatting>
  <conditionalFormatting sqref="EW1">
    <cfRule type="cellIs" dxfId="23" priority="24" operator="notEqual">
      <formula>0</formula>
    </cfRule>
  </conditionalFormatting>
  <conditionalFormatting sqref="DD3">
    <cfRule type="containsText" dxfId="22" priority="23" operator="containsText" text="CHECK NEEDED">
      <formula>NOT(ISERROR(SEARCH("CHECK NEEDED",DD3)))</formula>
    </cfRule>
  </conditionalFormatting>
  <conditionalFormatting sqref="ER3">
    <cfRule type="containsText" dxfId="21" priority="22" operator="containsText" text="CHECK NEEDED">
      <formula>NOT(ISERROR(SEARCH("CHECK NEEDED",ER3)))</formula>
    </cfRule>
  </conditionalFormatting>
  <conditionalFormatting sqref="GG3:GH3">
    <cfRule type="containsText" dxfId="20" priority="21" operator="containsText" text="CHECK NEEDED">
      <formula>NOT(ISERROR(SEARCH("CHECK NEEDED",GG3)))</formula>
    </cfRule>
  </conditionalFormatting>
  <conditionalFormatting sqref="HV3:HW3">
    <cfRule type="containsText" dxfId="19" priority="20" operator="containsText" text="CHECK NEEDED">
      <formula>NOT(ISERROR(SEARCH("CHECK NEEDED",HV3)))</formula>
    </cfRule>
  </conditionalFormatting>
  <conditionalFormatting sqref="ES3">
    <cfRule type="containsText" dxfId="18" priority="19" operator="containsText" text="CHECK NEEDED">
      <formula>NOT(ISERROR(SEARCH("CHECK NEEDED",ES3)))</formula>
    </cfRule>
  </conditionalFormatting>
  <conditionalFormatting sqref="DE3">
    <cfRule type="containsText" dxfId="17" priority="18" operator="containsText" text="CHECK NEEDED">
      <formula>NOT(ISERROR(SEARCH("CHECK NEEDED",DE3)))</formula>
    </cfRule>
  </conditionalFormatting>
  <conditionalFormatting sqref="GM1">
    <cfRule type="cellIs" dxfId="16" priority="17" operator="notEqual">
      <formula>0</formula>
    </cfRule>
  </conditionalFormatting>
  <conditionalFormatting sqref="EX1">
    <cfRule type="cellIs" dxfId="15" priority="16" operator="notEqual">
      <formula>0</formula>
    </cfRule>
  </conditionalFormatting>
  <conditionalFormatting sqref="BK3">
    <cfRule type="containsText" dxfId="14" priority="15" operator="containsText" text="CHECK NEEDED">
      <formula>NOT(ISERROR(SEARCH("CHECK NEEDED",BK3)))</formula>
    </cfRule>
  </conditionalFormatting>
  <conditionalFormatting sqref="CY3">
    <cfRule type="containsText" dxfId="13" priority="14" operator="containsText" text="CHECK NEEDED">
      <formula>NOT(ISERROR(SEARCH("CHECK NEEDED",CY3)))</formula>
    </cfRule>
  </conditionalFormatting>
  <conditionalFormatting sqref="EM3">
    <cfRule type="containsText" dxfId="12" priority="13" operator="containsText" text="CHECK NEEDED">
      <formula>NOT(ISERROR(SEARCH("CHECK NEEDED",EM3)))</formula>
    </cfRule>
  </conditionalFormatting>
  <conditionalFormatting sqref="GB3">
    <cfRule type="containsText" dxfId="11" priority="12" operator="containsText" text="CHECK NEEDED">
      <formula>NOT(ISERROR(SEARCH("CHECK NEEDED",GB3)))</formula>
    </cfRule>
  </conditionalFormatting>
  <conditionalFormatting sqref="HQ3">
    <cfRule type="containsText" dxfId="10" priority="11" operator="containsText" text="CHECK NEEDED">
      <formula>NOT(ISERROR(SEARCH("CHECK NEEDED",HQ3)))</formula>
    </cfRule>
  </conditionalFormatting>
  <conditionalFormatting sqref="EU3">
    <cfRule type="containsText" dxfId="9" priority="10" operator="containsText" text="CHECK NEEDED">
      <formula>NOT(ISERROR(SEARCH("CHECK NEEDED",EU3)))</formula>
    </cfRule>
  </conditionalFormatting>
  <conditionalFormatting sqref="BT3">
    <cfRule type="containsText" dxfId="8" priority="9" operator="containsText" text="CHECK NEEDED">
      <formula>NOT(ISERROR(SEARCH("CHECK NEEDED",BT3)))</formula>
    </cfRule>
  </conditionalFormatting>
  <conditionalFormatting sqref="GJ3">
    <cfRule type="containsText" dxfId="7" priority="8" operator="containsText" text="CHECK NEEDED">
      <formula>NOT(ISERROR(SEARCH("CHECK NEEDED",GJ3)))</formula>
    </cfRule>
  </conditionalFormatting>
  <conditionalFormatting sqref="HY3">
    <cfRule type="containsText" dxfId="6" priority="7" operator="containsText" text="CHECK NEEDED">
      <formula>NOT(ISERROR(SEARCH("CHECK NEEDED",HY3)))</formula>
    </cfRule>
  </conditionalFormatting>
  <conditionalFormatting sqref="CC3">
    <cfRule type="containsText" dxfId="5" priority="6" operator="containsText" text="CHECK NEEDED">
      <formula>NOT(ISERROR(SEARCH("CHECK NEEDED",CC3)))</formula>
    </cfRule>
  </conditionalFormatting>
  <conditionalFormatting sqref="DQ3">
    <cfRule type="containsText" dxfId="4" priority="5" operator="containsText" text="CHECK NEEDED">
      <formula>NOT(ISERROR(SEARCH("CHECK NEEDED",DQ3)))</formula>
    </cfRule>
  </conditionalFormatting>
  <conditionalFormatting sqref="FF3">
    <cfRule type="containsText" dxfId="3" priority="4" operator="containsText" text="CHECK NEEDED">
      <formula>NOT(ISERROR(SEARCH("CHECK NEEDED",FF3)))</formula>
    </cfRule>
  </conditionalFormatting>
  <conditionalFormatting sqref="GU3">
    <cfRule type="containsText" dxfId="2" priority="3" operator="containsText" text="CHECK NEEDED">
      <formula>NOT(ISERROR(SEARCH("CHECK NEEDED",GU3)))</formula>
    </cfRule>
  </conditionalFormatting>
  <conditionalFormatting sqref="GN3">
    <cfRule type="containsText" dxfId="1" priority="2" operator="containsText" text="CHECK NEEDED">
      <formula>NOT(ISERROR(SEARCH("CHECK NEEDED",GN3)))</formula>
    </cfRule>
  </conditionalFormatting>
  <conditionalFormatting sqref="EY3">
    <cfRule type="containsText" dxfId="0" priority="1" operator="containsText" text="CHECK NEEDED">
      <formula>NOT(ISERROR(SEARCH("CHECK NEEDED",EY3)))</formula>
    </cfRule>
  </conditionalFormatting>
  <pageMargins left="0.7" right="0.7" top="0.75" bottom="0.75" header="0.3" footer="0.3"/>
  <pageSetup scale="54" fitToWidth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71FED-B4BE-4F62-B6A9-95071D039E3C}">
  <dimension ref="A1:M60"/>
  <sheetViews>
    <sheetView zoomScale="130" zoomScaleNormal="130" workbookViewId="0"/>
  </sheetViews>
  <sheetFormatPr defaultRowHeight="13" x14ac:dyDescent="0.3"/>
  <cols>
    <col min="1" max="2" width="2.08984375" style="1" customWidth="1"/>
    <col min="3" max="3" width="16.36328125" style="1" customWidth="1"/>
    <col min="4" max="4" width="2.453125" style="1" customWidth="1"/>
    <col min="5" max="8" width="13.81640625" style="1" customWidth="1"/>
    <col min="9" max="9" width="2.08984375" style="1" customWidth="1"/>
    <col min="10" max="11" width="8.7265625" style="1"/>
    <col min="12" max="12" width="15.453125" style="1" customWidth="1"/>
    <col min="13" max="16384" width="8.7265625" style="1"/>
  </cols>
  <sheetData>
    <row r="1" spans="1:13" x14ac:dyDescent="0.3">
      <c r="A1" s="1" t="s">
        <v>654</v>
      </c>
    </row>
    <row r="2" spans="1:13" x14ac:dyDescent="0.3">
      <c r="A2" s="1" t="s">
        <v>1086</v>
      </c>
    </row>
    <row r="6" spans="1:13" x14ac:dyDescent="0.3">
      <c r="D6" s="27"/>
      <c r="E6" s="26"/>
      <c r="F6" s="26"/>
      <c r="G6" s="26"/>
      <c r="H6" s="26"/>
      <c r="I6" s="25"/>
    </row>
    <row r="7" spans="1:13" x14ac:dyDescent="0.3">
      <c r="D7" s="22"/>
      <c r="E7" s="194"/>
      <c r="F7" s="196" t="s">
        <v>407</v>
      </c>
      <c r="G7" s="196" t="s">
        <v>408</v>
      </c>
      <c r="H7" s="196" t="s">
        <v>409</v>
      </c>
      <c r="I7" s="193"/>
    </row>
    <row r="8" spans="1:13" x14ac:dyDescent="0.3">
      <c r="D8" s="22"/>
      <c r="E8" s="195" t="s">
        <v>653</v>
      </c>
      <c r="F8" s="194">
        <f>+-(F31+E31)</f>
        <v>1010.2148071246386</v>
      </c>
      <c r="G8" s="194">
        <f>-G31</f>
        <v>6132.2211458583915</v>
      </c>
      <c r="H8" s="194">
        <f>-H31</f>
        <v>5926.3157094514081</v>
      </c>
      <c r="I8" s="193"/>
      <c r="L8" s="1" t="s">
        <v>652</v>
      </c>
      <c r="M8" s="1">
        <f>+'Exh. BGM-3 (1)'!AJ4</f>
        <v>0.752355</v>
      </c>
    </row>
    <row r="9" spans="1:13" x14ac:dyDescent="0.3">
      <c r="D9" s="22"/>
      <c r="E9" s="195" t="s">
        <v>19</v>
      </c>
      <c r="F9" s="192">
        <f>+E24+F24+E39+F39+E60+F60</f>
        <v>-28460.195967537478</v>
      </c>
      <c r="G9" s="192">
        <f>+G24+G39+G60</f>
        <v>-158860.2275719686</v>
      </c>
      <c r="H9" s="192">
        <f>+H24+H39+H60</f>
        <v>-146529.30270657243</v>
      </c>
      <c r="I9" s="193"/>
      <c r="L9" s="1" t="s">
        <v>16</v>
      </c>
      <c r="M9" s="32">
        <f>+'Exh. BGM-4 (1)'!$AJ$5</f>
        <v>0.21</v>
      </c>
    </row>
    <row r="10" spans="1:13" x14ac:dyDescent="0.3">
      <c r="D10" s="22"/>
      <c r="E10" s="195" t="s">
        <v>651</v>
      </c>
      <c r="F10" s="194">
        <f>+(F$9*$M$10-F$8*(1-$M$9))/$M$8</f>
        <v>-3784.3887623411333</v>
      </c>
      <c r="G10" s="194">
        <f>+(G$9*$M$10-G$8*(1-$M$9))/$M$8</f>
        <v>-21641.899223650897</v>
      </c>
      <c r="H10" s="194">
        <f>+(H$9*$M$10-H$8*(1-$M$9))/$M$8</f>
        <v>-20245.627669570655</v>
      </c>
      <c r="I10" s="193"/>
      <c r="L10" s="1" t="s">
        <v>650</v>
      </c>
      <c r="M10" s="28">
        <f>+'Exh. BGM-4 (1)'!$AL$16</f>
        <v>7.2000000000000008E-2</v>
      </c>
    </row>
    <row r="11" spans="1:13" x14ac:dyDescent="0.3">
      <c r="D11" s="20"/>
      <c r="E11" s="192"/>
      <c r="F11" s="192"/>
      <c r="G11" s="192"/>
      <c r="H11" s="192"/>
      <c r="I11" s="24"/>
    </row>
    <row r="12" spans="1:13" x14ac:dyDescent="0.3">
      <c r="E12" s="3"/>
    </row>
    <row r="15" spans="1:13" x14ac:dyDescent="0.3">
      <c r="B15" s="191" t="s">
        <v>649</v>
      </c>
      <c r="E15" s="190">
        <v>2022</v>
      </c>
      <c r="F15" s="190">
        <v>2023</v>
      </c>
      <c r="G15" s="190">
        <v>2024</v>
      </c>
      <c r="H15" s="190">
        <v>2025</v>
      </c>
    </row>
    <row r="16" spans="1:13" x14ac:dyDescent="0.3">
      <c r="E16" s="3"/>
    </row>
    <row r="17" spans="2:8" x14ac:dyDescent="0.3">
      <c r="B17" s="7" t="s">
        <v>648</v>
      </c>
      <c r="E17" s="3"/>
    </row>
    <row r="18" spans="2:8" ht="5.5" customHeight="1" x14ac:dyDescent="0.3">
      <c r="B18" s="7"/>
      <c r="E18" s="3"/>
      <c r="F18" s="3"/>
      <c r="G18" s="3"/>
      <c r="H18" s="3"/>
    </row>
    <row r="19" spans="2:8" x14ac:dyDescent="0.3">
      <c r="B19" s="7"/>
      <c r="C19" s="1" t="s">
        <v>647</v>
      </c>
      <c r="E19" s="186">
        <f>+'[25]Table 3'!H17</f>
        <v>76199.656924893381</v>
      </c>
      <c r="F19" s="186">
        <f>+'[25]Table 3'!I17</f>
        <v>-207451.8918947262</v>
      </c>
      <c r="G19" s="186">
        <f>+'[25]Table 3'!J17</f>
        <v>-126729.09698039049</v>
      </c>
      <c r="H19" s="186">
        <f>+'[25]Table 3'!K17</f>
        <v>-196230.88718589873</v>
      </c>
    </row>
    <row r="20" spans="2:8" x14ac:dyDescent="0.3">
      <c r="B20" s="7"/>
      <c r="C20" s="1" t="s">
        <v>646</v>
      </c>
      <c r="E20" s="3">
        <f>+E19</f>
        <v>76199.656924893381</v>
      </c>
      <c r="F20" s="3">
        <f>+E20+F19</f>
        <v>-131252.23496983282</v>
      </c>
      <c r="G20" s="3">
        <f>+F20+G19</f>
        <v>-257981.33195022331</v>
      </c>
      <c r="H20" s="3">
        <f>+G20+H19</f>
        <v>-454212.21913612203</v>
      </c>
    </row>
    <row r="21" spans="2:8" ht="5.5" customHeight="1" x14ac:dyDescent="0.3">
      <c r="B21" s="7"/>
      <c r="E21" s="3"/>
      <c r="F21" s="3"/>
      <c r="G21" s="3"/>
      <c r="H21" s="3"/>
    </row>
    <row r="22" spans="2:8" x14ac:dyDescent="0.3">
      <c r="B22" s="7"/>
      <c r="C22" s="1" t="s">
        <v>645</v>
      </c>
      <c r="E22" s="3">
        <f>+E20/2</f>
        <v>38099.828462446691</v>
      </c>
      <c r="F22" s="3">
        <f>+E20+F19/2</f>
        <v>-27526.289022469718</v>
      </c>
      <c r="G22" s="3">
        <f>+F20+G19/2</f>
        <v>-194616.78346002806</v>
      </c>
      <c r="H22" s="3">
        <f>+G20+H19/2</f>
        <v>-356096.77554317267</v>
      </c>
    </row>
    <row r="23" spans="2:8" ht="5.5" customHeight="1" x14ac:dyDescent="0.3">
      <c r="B23" s="7"/>
      <c r="C23" s="185"/>
      <c r="E23" s="189"/>
      <c r="F23" s="189"/>
      <c r="G23" s="189"/>
      <c r="H23" s="189"/>
    </row>
    <row r="24" spans="2:8" x14ac:dyDescent="0.3">
      <c r="B24" s="7"/>
      <c r="C24" s="185" t="s">
        <v>644</v>
      </c>
      <c r="E24" s="5">
        <f>+E22</f>
        <v>38099.828462446691</v>
      </c>
      <c r="F24" s="5">
        <f>+F22-E22</f>
        <v>-65626.117484916409</v>
      </c>
      <c r="G24" s="5">
        <f>+G22-F22</f>
        <v>-167090.49443755834</v>
      </c>
      <c r="H24" s="5">
        <f>+H22-G22</f>
        <v>-161479.99208314461</v>
      </c>
    </row>
    <row r="25" spans="2:8" x14ac:dyDescent="0.3">
      <c r="B25" s="7"/>
    </row>
    <row r="26" spans="2:8" x14ac:dyDescent="0.3">
      <c r="B26" s="7"/>
    </row>
    <row r="27" spans="2:8" x14ac:dyDescent="0.3">
      <c r="B27" s="7"/>
    </row>
    <row r="28" spans="2:8" x14ac:dyDescent="0.3">
      <c r="B28" s="7"/>
      <c r="C28" s="1" t="s">
        <v>643</v>
      </c>
    </row>
    <row r="29" spans="2:8" x14ac:dyDescent="0.3">
      <c r="B29" s="7"/>
      <c r="C29" s="28">
        <v>3.6700000000000003E-2</v>
      </c>
      <c r="E29" s="3">
        <f>+E22*$C29</f>
        <v>1398.2637045717936</v>
      </c>
      <c r="F29" s="3">
        <f>+F22*$C29</f>
        <v>-1010.2148071246388</v>
      </c>
      <c r="G29" s="3">
        <f>+G22*$C29</f>
        <v>-7142.4359529830308</v>
      </c>
      <c r="H29" s="3">
        <f>+H22*$C29</f>
        <v>-13068.751662434439</v>
      </c>
    </row>
    <row r="30" spans="2:8" ht="5.5" customHeight="1" x14ac:dyDescent="0.3">
      <c r="B30" s="7"/>
      <c r="C30" s="185"/>
      <c r="E30" s="186"/>
      <c r="F30" s="186"/>
      <c r="G30" s="186"/>
      <c r="H30" s="186"/>
    </row>
    <row r="31" spans="2:8" x14ac:dyDescent="0.3">
      <c r="B31" s="7"/>
      <c r="C31" s="185" t="s">
        <v>635</v>
      </c>
      <c r="E31" s="5">
        <f>+E29</f>
        <v>1398.2637045717936</v>
      </c>
      <c r="F31" s="3">
        <f>+F29-E29</f>
        <v>-2408.4785116964322</v>
      </c>
      <c r="G31" s="3">
        <f>+G29-F29</f>
        <v>-6132.2211458583915</v>
      </c>
      <c r="H31" s="3">
        <f>+H29-G29</f>
        <v>-5926.3157094514081</v>
      </c>
    </row>
    <row r="32" spans="2:8" x14ac:dyDescent="0.3">
      <c r="B32" s="7"/>
    </row>
    <row r="33" spans="2:8" x14ac:dyDescent="0.3">
      <c r="B33" s="7"/>
    </row>
    <row r="34" spans="2:8" x14ac:dyDescent="0.3">
      <c r="B34" s="7"/>
    </row>
    <row r="35" spans="2:8" x14ac:dyDescent="0.3">
      <c r="B35" s="7" t="s">
        <v>642</v>
      </c>
      <c r="E35" s="3"/>
      <c r="F35" s="3"/>
      <c r="G35" s="3"/>
      <c r="H35" s="3"/>
    </row>
    <row r="36" spans="2:8" ht="5.5" customHeight="1" x14ac:dyDescent="0.3">
      <c r="B36" s="7"/>
      <c r="E36" s="3"/>
      <c r="F36" s="3"/>
      <c r="G36" s="3"/>
      <c r="H36" s="3"/>
    </row>
    <row r="37" spans="2:8" x14ac:dyDescent="0.3">
      <c r="B37" s="7"/>
      <c r="C37" s="1" t="s">
        <v>641</v>
      </c>
      <c r="E37" s="3">
        <f>-E29</f>
        <v>-1398.2637045717936</v>
      </c>
      <c r="F37" s="3">
        <f>+E37-F29</f>
        <v>-388.04889744715479</v>
      </c>
      <c r="G37" s="3">
        <f>+F37-G29</f>
        <v>6754.3870555358762</v>
      </c>
      <c r="H37" s="3">
        <f>+G37-H29</f>
        <v>19823.138717970316</v>
      </c>
    </row>
    <row r="38" spans="2:8" ht="5.5" customHeight="1" x14ac:dyDescent="0.3">
      <c r="B38" s="7"/>
      <c r="C38" s="185"/>
      <c r="E38" s="186"/>
      <c r="F38" s="186"/>
      <c r="G38" s="186"/>
      <c r="H38" s="186"/>
    </row>
    <row r="39" spans="2:8" x14ac:dyDescent="0.3">
      <c r="B39" s="7"/>
      <c r="C39" s="185" t="s">
        <v>635</v>
      </c>
      <c r="E39" s="3">
        <f>+E37</f>
        <v>-1398.2637045717936</v>
      </c>
      <c r="F39" s="3">
        <f>+F37-E37</f>
        <v>1010.2148071246388</v>
      </c>
      <c r="G39" s="3">
        <f>+G37-F37</f>
        <v>7142.4359529830308</v>
      </c>
      <c r="H39" s="3">
        <f>+H37-G37</f>
        <v>13068.751662434439</v>
      </c>
    </row>
    <row r="40" spans="2:8" x14ac:dyDescent="0.3">
      <c r="B40" s="7"/>
    </row>
    <row r="41" spans="2:8" x14ac:dyDescent="0.3">
      <c r="B41" s="7"/>
    </row>
    <row r="42" spans="2:8" x14ac:dyDescent="0.3">
      <c r="B42" s="7"/>
    </row>
    <row r="43" spans="2:8" x14ac:dyDescent="0.3">
      <c r="B43" s="7" t="s">
        <v>640</v>
      </c>
    </row>
    <row r="44" spans="2:8" ht="5.5" customHeight="1" x14ac:dyDescent="0.3">
      <c r="B44" s="7"/>
    </row>
    <row r="45" spans="2:8" x14ac:dyDescent="0.3">
      <c r="B45" s="7"/>
      <c r="C45" s="1" t="s">
        <v>639</v>
      </c>
    </row>
    <row r="46" spans="2:8" x14ac:dyDescent="0.3">
      <c r="B46" s="7"/>
      <c r="C46" s="1">
        <v>2022</v>
      </c>
      <c r="E46" s="28">
        <v>3.7499999999999999E-2</v>
      </c>
      <c r="F46" s="28">
        <v>7.2190000000000004E-2</v>
      </c>
      <c r="G46" s="28">
        <v>6.6669999999999993E-2</v>
      </c>
      <c r="H46" s="28">
        <v>6.1769999999999999E-2</v>
      </c>
    </row>
    <row r="47" spans="2:8" x14ac:dyDescent="0.3">
      <c r="B47" s="7"/>
      <c r="C47" s="1">
        <v>2023</v>
      </c>
      <c r="E47" s="28"/>
      <c r="F47" s="28">
        <v>3.7499999999999999E-2</v>
      </c>
      <c r="G47" s="28">
        <v>7.2190000000000004E-2</v>
      </c>
      <c r="H47" s="28">
        <v>6.6669999999999993E-2</v>
      </c>
    </row>
    <row r="48" spans="2:8" x14ac:dyDescent="0.3">
      <c r="B48" s="7"/>
      <c r="C48" s="1">
        <v>2024</v>
      </c>
      <c r="E48" s="28"/>
      <c r="F48" s="28"/>
      <c r="G48" s="28">
        <v>3.7499999999999999E-2</v>
      </c>
      <c r="H48" s="28">
        <v>7.2190000000000004E-2</v>
      </c>
    </row>
    <row r="49" spans="2:8" x14ac:dyDescent="0.3">
      <c r="B49" s="7"/>
      <c r="C49" s="1">
        <v>2025</v>
      </c>
      <c r="E49" s="28"/>
      <c r="F49" s="28"/>
      <c r="G49" s="28"/>
      <c r="H49" s="28">
        <v>3.7499999999999999E-2</v>
      </c>
    </row>
    <row r="50" spans="2:8" ht="5.5" customHeight="1" x14ac:dyDescent="0.3">
      <c r="B50" s="7"/>
    </row>
    <row r="51" spans="2:8" x14ac:dyDescent="0.3">
      <c r="B51" s="7"/>
      <c r="C51" s="1" t="s">
        <v>638</v>
      </c>
    </row>
    <row r="52" spans="2:8" x14ac:dyDescent="0.3">
      <c r="B52" s="7"/>
      <c r="C52" s="1">
        <v>2022</v>
      </c>
      <c r="E52" s="187">
        <f>+($C$29-E46)*E$19*0.21</f>
        <v>-12.80154236338201</v>
      </c>
      <c r="F52" s="187">
        <f>+($C$29-F46)*$E$19*0.21</f>
        <v>-567.90842309553784</v>
      </c>
      <c r="G52" s="187">
        <f>+($C$29-G46)*$E$19*0.21</f>
        <v>-479.57778078820132</v>
      </c>
      <c r="H52" s="187">
        <f>+($C$29-H46)*$E$19*0.21</f>
        <v>-401.16833381248608</v>
      </c>
    </row>
    <row r="53" spans="2:8" x14ac:dyDescent="0.3">
      <c r="B53" s="7"/>
      <c r="C53" s="1">
        <v>2023</v>
      </c>
      <c r="F53" s="187">
        <f>+($C$29-F47)*$F$19*0.21</f>
        <v>34.851917838313788</v>
      </c>
      <c r="G53" s="187">
        <f>+($C$29-G47)*$F$19*0.21</f>
        <v>1546.1182051022047</v>
      </c>
      <c r="H53" s="187">
        <f>+($C$29-H47)*$F$19*0.21</f>
        <v>1305.6399720178379</v>
      </c>
    </row>
    <row r="54" spans="2:8" x14ac:dyDescent="0.3">
      <c r="B54" s="7"/>
      <c r="C54" s="1">
        <v>2024</v>
      </c>
      <c r="G54" s="187">
        <f>+($C$29-G48)*$G$19*0.21</f>
        <v>21.290488292705472</v>
      </c>
      <c r="H54" s="187">
        <f>+($C$29-H48)*$G$19*0.21</f>
        <v>944.49928688515229</v>
      </c>
    </row>
    <row r="55" spans="2:8" x14ac:dyDescent="0.3">
      <c r="B55" s="7"/>
      <c r="C55" s="1">
        <v>2025</v>
      </c>
      <c r="E55" s="41"/>
      <c r="F55" s="41"/>
      <c r="G55" s="41"/>
      <c r="H55" s="188">
        <f>+($C$29-H49)*$H$19*0.21</f>
        <v>32.966789047230783</v>
      </c>
    </row>
    <row r="56" spans="2:8" x14ac:dyDescent="0.3">
      <c r="B56" s="7"/>
      <c r="C56" s="1" t="s">
        <v>637</v>
      </c>
      <c r="E56" s="187">
        <f>+SUM(E52:E55)</f>
        <v>-12.80154236338201</v>
      </c>
      <c r="F56" s="187">
        <f>+SUM(F52:F55)</f>
        <v>-533.0565052572241</v>
      </c>
      <c r="G56" s="187">
        <f>+SUM(G52:G55)</f>
        <v>1087.8309126067088</v>
      </c>
      <c r="H56" s="187">
        <f>+SUM(H52:H55)</f>
        <v>1881.9377141377349</v>
      </c>
    </row>
    <row r="57" spans="2:8" ht="5.5" customHeight="1" x14ac:dyDescent="0.3">
      <c r="B57" s="7"/>
      <c r="E57" s="187"/>
      <c r="F57" s="187"/>
      <c r="G57" s="187"/>
      <c r="H57" s="187"/>
    </row>
    <row r="58" spans="2:8" x14ac:dyDescent="0.3">
      <c r="B58" s="7"/>
      <c r="C58" s="1" t="s">
        <v>636</v>
      </c>
      <c r="E58" s="187">
        <f>+E56</f>
        <v>-12.80154236338201</v>
      </c>
      <c r="F58" s="187">
        <f>+F56+E58</f>
        <v>-545.85804762060616</v>
      </c>
      <c r="G58" s="187">
        <f>+G56+F58</f>
        <v>541.97286498610265</v>
      </c>
      <c r="H58" s="187">
        <f>+H56+G58</f>
        <v>2423.9105791238376</v>
      </c>
    </row>
    <row r="59" spans="2:8" ht="5.5" customHeight="1" x14ac:dyDescent="0.3">
      <c r="B59" s="7"/>
      <c r="C59" s="185"/>
      <c r="E59" s="186"/>
      <c r="F59" s="186"/>
      <c r="G59" s="186"/>
      <c r="H59" s="186"/>
    </row>
    <row r="60" spans="2:8" x14ac:dyDescent="0.3">
      <c r="B60" s="7"/>
      <c r="C60" s="185" t="s">
        <v>635</v>
      </c>
      <c r="E60" s="3">
        <f>+E58</f>
        <v>-12.80154236338201</v>
      </c>
      <c r="F60" s="3">
        <f>+F58-E58</f>
        <v>-533.0565052572241</v>
      </c>
      <c r="G60" s="3">
        <f>+G58-F58</f>
        <v>1087.8309126067088</v>
      </c>
      <c r="H60" s="3">
        <f>+H58-G58</f>
        <v>1881.9377141377349</v>
      </c>
    </row>
  </sheetData>
  <pageMargins left="0.7" right="0.7" top="0.75" bottom="0.75" header="0.3" footer="0.3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DB93B-2AB3-4776-AB5A-B7D6AC2BFBD0}">
  <dimension ref="A1:M60"/>
  <sheetViews>
    <sheetView workbookViewId="0"/>
  </sheetViews>
  <sheetFormatPr defaultRowHeight="13" x14ac:dyDescent="0.3"/>
  <cols>
    <col min="1" max="2" width="2.08984375" style="1" customWidth="1"/>
    <col min="3" max="3" width="16.36328125" style="1" customWidth="1"/>
    <col min="4" max="4" width="2.453125" style="1" customWidth="1"/>
    <col min="5" max="8" width="13.81640625" style="1" customWidth="1"/>
    <col min="9" max="9" width="2.08984375" style="1" customWidth="1"/>
    <col min="10" max="11" width="8.7265625" style="1"/>
    <col min="12" max="12" width="15.453125" style="1" customWidth="1"/>
    <col min="13" max="16384" width="8.7265625" style="1"/>
  </cols>
  <sheetData>
    <row r="1" spans="1:13" x14ac:dyDescent="0.3">
      <c r="A1" s="1" t="s">
        <v>657</v>
      </c>
    </row>
    <row r="2" spans="1:13" x14ac:dyDescent="0.3">
      <c r="A2" s="1" t="s">
        <v>1086</v>
      </c>
    </row>
    <row r="6" spans="1:13" x14ac:dyDescent="0.3">
      <c r="D6" s="27"/>
      <c r="E6" s="26"/>
      <c r="F6" s="26"/>
      <c r="G6" s="26"/>
      <c r="H6" s="26"/>
      <c r="I6" s="25"/>
    </row>
    <row r="7" spans="1:13" x14ac:dyDescent="0.3">
      <c r="D7" s="22"/>
      <c r="E7" s="194"/>
      <c r="F7" s="196" t="s">
        <v>407</v>
      </c>
      <c r="G7" s="196" t="s">
        <v>408</v>
      </c>
      <c r="H7" s="196" t="s">
        <v>409</v>
      </c>
      <c r="I7" s="193"/>
    </row>
    <row r="8" spans="1:13" x14ac:dyDescent="0.3">
      <c r="D8" s="22"/>
      <c r="E8" s="195" t="s">
        <v>653</v>
      </c>
      <c r="F8" s="194">
        <f>+-(F31+E31)</f>
        <v>1559.7816081350109</v>
      </c>
      <c r="G8" s="194">
        <f>-G31</f>
        <v>1986.1014990216138</v>
      </c>
      <c r="H8" s="194">
        <f>-H31</f>
        <v>842.8566680062213</v>
      </c>
      <c r="I8" s="193"/>
      <c r="L8" s="1" t="s">
        <v>652</v>
      </c>
      <c r="M8" s="1">
        <f>+'Exh. BGM-4 (1)'!$AJ$4</f>
        <v>0.75480100000000006</v>
      </c>
    </row>
    <row r="9" spans="1:13" x14ac:dyDescent="0.3">
      <c r="D9" s="22"/>
      <c r="E9" s="195" t="s">
        <v>19</v>
      </c>
      <c r="F9" s="192">
        <f>+E24+F24+E39+F39+E60+F60</f>
        <v>-46704.633628442643</v>
      </c>
      <c r="G9" s="192">
        <f>+G24+G39+G60</f>
        <v>-57080.533805762818</v>
      </c>
      <c r="H9" s="192">
        <f>+H24+H39+H60</f>
        <v>-20780.939231190096</v>
      </c>
      <c r="I9" s="193"/>
      <c r="L9" s="1" t="s">
        <v>16</v>
      </c>
      <c r="M9" s="32">
        <f>+'Exh. BGM-4 (1)'!$AJ$5</f>
        <v>0.21</v>
      </c>
    </row>
    <row r="10" spans="1:13" x14ac:dyDescent="0.3">
      <c r="D10" s="22"/>
      <c r="E10" s="195" t="s">
        <v>651</v>
      </c>
      <c r="F10" s="194">
        <f>+(F$9*$M$10-F$8*(1-$M$9))/$M$8</f>
        <v>-6087.6457393068231</v>
      </c>
      <c r="G10" s="194">
        <f>+(G$9*$M$10-G$8*(1-$M$9))/$M$8</f>
        <v>-7523.5971047229632</v>
      </c>
      <c r="H10" s="194">
        <f>+(H$9*$M$10-H$8*(1-$M$9))/$M$8</f>
        <v>-2864.4429357812214</v>
      </c>
      <c r="I10" s="193"/>
      <c r="L10" s="1" t="s">
        <v>650</v>
      </c>
      <c r="M10" s="28">
        <f>+'Exh. BGM-4 (1)'!$AL$16</f>
        <v>7.2000000000000008E-2</v>
      </c>
    </row>
    <row r="11" spans="1:13" x14ac:dyDescent="0.3">
      <c r="D11" s="20"/>
      <c r="E11" s="192"/>
      <c r="F11" s="192"/>
      <c r="G11" s="192"/>
      <c r="H11" s="192"/>
      <c r="I11" s="24"/>
    </row>
    <row r="12" spans="1:13" x14ac:dyDescent="0.3">
      <c r="E12" s="3"/>
    </row>
    <row r="15" spans="1:13" x14ac:dyDescent="0.3">
      <c r="B15" s="191" t="s">
        <v>649</v>
      </c>
      <c r="E15" s="190">
        <v>2022</v>
      </c>
      <c r="F15" s="190">
        <v>2023</v>
      </c>
      <c r="G15" s="190">
        <v>2024</v>
      </c>
      <c r="H15" s="190">
        <v>2025</v>
      </c>
    </row>
    <row r="16" spans="1:13" x14ac:dyDescent="0.3">
      <c r="E16" s="3"/>
    </row>
    <row r="17" spans="2:8" x14ac:dyDescent="0.3">
      <c r="B17" s="7" t="s">
        <v>656</v>
      </c>
      <c r="E17" s="3"/>
    </row>
    <row r="18" spans="2:8" ht="5.5" customHeight="1" x14ac:dyDescent="0.3">
      <c r="B18" s="7"/>
      <c r="E18" s="3"/>
      <c r="F18" s="3"/>
      <c r="G18" s="3"/>
      <c r="H18" s="3"/>
    </row>
    <row r="19" spans="2:8" x14ac:dyDescent="0.3">
      <c r="B19" s="7"/>
      <c r="C19" s="1" t="s">
        <v>647</v>
      </c>
      <c r="E19" s="186">
        <f>+'[25]Table 3'!H18</f>
        <v>3389.3603164912201</v>
      </c>
      <c r="F19" s="186">
        <f>+'[25]Table 3'!I18</f>
        <v>-103359.62516146607</v>
      </c>
      <c r="G19" s="186">
        <f>+'[25]Table 3'!J18</f>
        <v>-19618.795830584306</v>
      </c>
      <c r="H19" s="186">
        <f>+'[25]Table 3'!K18</f>
        <v>-32570.471538221987</v>
      </c>
    </row>
    <row r="20" spans="2:8" x14ac:dyDescent="0.3">
      <c r="B20" s="7"/>
      <c r="C20" s="1" t="s">
        <v>646</v>
      </c>
      <c r="E20" s="3">
        <f>+E19</f>
        <v>3389.3603164912201</v>
      </c>
      <c r="F20" s="3">
        <f>+E20+F19</f>
        <v>-99970.264844974852</v>
      </c>
      <c r="G20" s="3">
        <f>+F20+G19</f>
        <v>-119589.06067555916</v>
      </c>
      <c r="H20" s="3">
        <f>+G20+H19</f>
        <v>-152159.53221378115</v>
      </c>
    </row>
    <row r="21" spans="2:8" ht="5.5" customHeight="1" x14ac:dyDescent="0.3">
      <c r="B21" s="7"/>
      <c r="E21" s="3"/>
      <c r="F21" s="3"/>
      <c r="G21" s="3"/>
      <c r="H21" s="3"/>
    </row>
    <row r="22" spans="2:8" x14ac:dyDescent="0.3">
      <c r="B22" s="7"/>
      <c r="C22" s="1" t="s">
        <v>645</v>
      </c>
      <c r="E22" s="3">
        <f>+E20/2</f>
        <v>1694.6801582456101</v>
      </c>
      <c r="F22" s="3">
        <f>+E20+F19/2</f>
        <v>-48290.452264241816</v>
      </c>
      <c r="G22" s="3">
        <f>+F20+G19/2</f>
        <v>-109779.66276026701</v>
      </c>
      <c r="H22" s="3">
        <f>+G20+H19/2</f>
        <v>-135874.29644467015</v>
      </c>
    </row>
    <row r="23" spans="2:8" ht="5.5" customHeight="1" x14ac:dyDescent="0.3">
      <c r="B23" s="7"/>
      <c r="C23" s="185"/>
      <c r="E23" s="189"/>
      <c r="F23" s="189"/>
      <c r="G23" s="189"/>
      <c r="H23" s="189"/>
    </row>
    <row r="24" spans="2:8" x14ac:dyDescent="0.3">
      <c r="B24" s="7"/>
      <c r="C24" s="185" t="s">
        <v>644</v>
      </c>
      <c r="E24" s="5">
        <f>+E22</f>
        <v>1694.6801582456101</v>
      </c>
      <c r="F24" s="5">
        <f>+F22-E22</f>
        <v>-49985.132422487426</v>
      </c>
      <c r="G24" s="5">
        <f>+G22-F22</f>
        <v>-61489.210496025189</v>
      </c>
      <c r="H24" s="5">
        <f>+H22-G22</f>
        <v>-26094.633684403147</v>
      </c>
    </row>
    <row r="25" spans="2:8" x14ac:dyDescent="0.3">
      <c r="B25" s="7"/>
    </row>
    <row r="26" spans="2:8" x14ac:dyDescent="0.3">
      <c r="B26" s="7"/>
    </row>
    <row r="27" spans="2:8" x14ac:dyDescent="0.3">
      <c r="B27" s="7"/>
    </row>
    <row r="28" spans="2:8" x14ac:dyDescent="0.3">
      <c r="B28" s="7"/>
      <c r="C28" s="1" t="s">
        <v>655</v>
      </c>
    </row>
    <row r="29" spans="2:8" x14ac:dyDescent="0.3">
      <c r="B29" s="7"/>
      <c r="C29" s="28">
        <v>3.2300000000000002E-2</v>
      </c>
      <c r="E29" s="3">
        <f>+E22*$C29</f>
        <v>54.738169111333207</v>
      </c>
      <c r="F29" s="3">
        <f>+F22*$C29</f>
        <v>-1559.7816081350109</v>
      </c>
      <c r="G29" s="3">
        <f>+G22*$C29</f>
        <v>-3545.8831071566246</v>
      </c>
      <c r="H29" s="3">
        <f>+H22*$C29</f>
        <v>-4388.7397751628459</v>
      </c>
    </row>
    <row r="30" spans="2:8" ht="5.5" customHeight="1" x14ac:dyDescent="0.3">
      <c r="B30" s="7"/>
      <c r="C30" s="185"/>
      <c r="E30" s="186"/>
      <c r="F30" s="186"/>
      <c r="G30" s="186"/>
      <c r="H30" s="186"/>
    </row>
    <row r="31" spans="2:8" x14ac:dyDescent="0.3">
      <c r="B31" s="7"/>
      <c r="C31" s="185" t="s">
        <v>635</v>
      </c>
      <c r="E31" s="5">
        <f>+E29</f>
        <v>54.738169111333207</v>
      </c>
      <c r="F31" s="3">
        <f>+F29-E29</f>
        <v>-1614.5197772463441</v>
      </c>
      <c r="G31" s="3">
        <f>+G29-F29</f>
        <v>-1986.1014990216138</v>
      </c>
      <c r="H31" s="3">
        <f>+H29-G29</f>
        <v>-842.8566680062213</v>
      </c>
    </row>
    <row r="32" spans="2:8" x14ac:dyDescent="0.3">
      <c r="B32" s="7"/>
    </row>
    <row r="33" spans="2:8" x14ac:dyDescent="0.3">
      <c r="B33" s="7"/>
    </row>
    <row r="34" spans="2:8" x14ac:dyDescent="0.3">
      <c r="B34" s="7"/>
    </row>
    <row r="35" spans="2:8" x14ac:dyDescent="0.3">
      <c r="B35" s="7" t="s">
        <v>642</v>
      </c>
      <c r="E35" s="3"/>
      <c r="F35" s="3"/>
      <c r="G35" s="3"/>
      <c r="H35" s="3"/>
    </row>
    <row r="36" spans="2:8" ht="5.5" customHeight="1" x14ac:dyDescent="0.3">
      <c r="B36" s="7"/>
      <c r="E36" s="3"/>
      <c r="F36" s="3"/>
      <c r="G36" s="3"/>
      <c r="H36" s="3"/>
    </row>
    <row r="37" spans="2:8" x14ac:dyDescent="0.3">
      <c r="B37" s="7"/>
      <c r="C37" s="1" t="s">
        <v>641</v>
      </c>
      <c r="E37" s="3">
        <f>-E29</f>
        <v>-54.738169111333207</v>
      </c>
      <c r="F37" s="3">
        <f>+E37-F29</f>
        <v>1505.0434390236776</v>
      </c>
      <c r="G37" s="3">
        <f>+F37-G29</f>
        <v>5050.9265461803025</v>
      </c>
      <c r="H37" s="3">
        <f>+G37-H29</f>
        <v>9439.6663213431493</v>
      </c>
    </row>
    <row r="38" spans="2:8" ht="5.5" customHeight="1" x14ac:dyDescent="0.3">
      <c r="B38" s="7"/>
      <c r="C38" s="185"/>
      <c r="E38" s="186"/>
      <c r="F38" s="186"/>
      <c r="G38" s="186"/>
      <c r="H38" s="186"/>
    </row>
    <row r="39" spans="2:8" x14ac:dyDescent="0.3">
      <c r="B39" s="7"/>
      <c r="C39" s="185" t="s">
        <v>635</v>
      </c>
      <c r="E39" s="3">
        <f>+E37</f>
        <v>-54.738169111333207</v>
      </c>
      <c r="F39" s="3">
        <f>+F37-E37</f>
        <v>1559.7816081350109</v>
      </c>
      <c r="G39" s="3">
        <f>+G37-F37</f>
        <v>3545.8831071566246</v>
      </c>
      <c r="H39" s="3">
        <f>+H37-G37</f>
        <v>4388.7397751628469</v>
      </c>
    </row>
    <row r="40" spans="2:8" x14ac:dyDescent="0.3">
      <c r="B40" s="7"/>
    </row>
    <row r="41" spans="2:8" x14ac:dyDescent="0.3">
      <c r="B41" s="7"/>
    </row>
    <row r="42" spans="2:8" x14ac:dyDescent="0.3">
      <c r="B42" s="7"/>
    </row>
    <row r="43" spans="2:8" x14ac:dyDescent="0.3">
      <c r="B43" s="7" t="s">
        <v>640</v>
      </c>
    </row>
    <row r="44" spans="2:8" ht="5.5" customHeight="1" x14ac:dyDescent="0.3">
      <c r="B44" s="7"/>
    </row>
    <row r="45" spans="2:8" x14ac:dyDescent="0.3">
      <c r="B45" s="7"/>
      <c r="C45" s="1" t="s">
        <v>639</v>
      </c>
    </row>
    <row r="46" spans="2:8" x14ac:dyDescent="0.3">
      <c r="B46" s="7"/>
      <c r="C46" s="1">
        <v>2022</v>
      </c>
      <c r="E46" s="28">
        <v>3.7499999999999999E-2</v>
      </c>
      <c r="F46" s="28">
        <v>7.2190000000000004E-2</v>
      </c>
      <c r="G46" s="28">
        <v>6.6669999999999993E-2</v>
      </c>
      <c r="H46" s="28">
        <v>6.1769999999999999E-2</v>
      </c>
    </row>
    <row r="47" spans="2:8" x14ac:dyDescent="0.3">
      <c r="B47" s="7"/>
      <c r="C47" s="1">
        <v>2023</v>
      </c>
      <c r="E47" s="28"/>
      <c r="F47" s="28">
        <v>3.7499999999999999E-2</v>
      </c>
      <c r="G47" s="28">
        <v>7.2190000000000004E-2</v>
      </c>
      <c r="H47" s="28">
        <v>6.6669999999999993E-2</v>
      </c>
    </row>
    <row r="48" spans="2:8" x14ac:dyDescent="0.3">
      <c r="B48" s="7"/>
      <c r="C48" s="1">
        <v>2024</v>
      </c>
      <c r="E48" s="28"/>
      <c r="F48" s="28"/>
      <c r="G48" s="28">
        <v>3.7499999999999999E-2</v>
      </c>
      <c r="H48" s="28">
        <v>7.2190000000000004E-2</v>
      </c>
    </row>
    <row r="49" spans="2:8" x14ac:dyDescent="0.3">
      <c r="B49" s="7"/>
      <c r="C49" s="1">
        <v>2025</v>
      </c>
      <c r="E49" s="28"/>
      <c r="F49" s="28"/>
      <c r="G49" s="28"/>
      <c r="H49" s="28">
        <v>3.7499999999999999E-2</v>
      </c>
    </row>
    <row r="50" spans="2:8" ht="5.5" customHeight="1" x14ac:dyDescent="0.3">
      <c r="B50" s="7"/>
    </row>
    <row r="51" spans="2:8" x14ac:dyDescent="0.3">
      <c r="B51" s="7"/>
      <c r="C51" s="1" t="s">
        <v>638</v>
      </c>
    </row>
    <row r="52" spans="2:8" x14ac:dyDescent="0.3">
      <c r="B52" s="7"/>
      <c r="C52" s="1">
        <v>2022</v>
      </c>
      <c r="E52" s="187">
        <f>+($C$29-E46)*E$19*0.21</f>
        <v>-3.7011814656084097</v>
      </c>
      <c r="F52" s="187">
        <f>+($C$29-F46)*$E$19*0.21</f>
        <v>-28.392332435215302</v>
      </c>
      <c r="G52" s="187">
        <f>+($C$29-G46)*$E$19*0.21</f>
        <v>-24.463385956338673</v>
      </c>
      <c r="H52" s="187">
        <f>+($C$29-H46)*$E$19*0.21</f>
        <v>-20.975734190669211</v>
      </c>
    </row>
    <row r="53" spans="2:8" x14ac:dyDescent="0.3">
      <c r="B53" s="7"/>
      <c r="C53" s="1">
        <v>2023</v>
      </c>
      <c r="F53" s="187">
        <f>+($C$29-F47)*$F$19*0.21</f>
        <v>112.86871067632087</v>
      </c>
      <c r="G53" s="187">
        <f>+($C$29-G47)*$F$19*0.21</f>
        <v>865.83324401508514</v>
      </c>
      <c r="H53" s="187">
        <f>+($C$29-H47)*$F$19*0.21</f>
        <v>746.0187665279135</v>
      </c>
    </row>
    <row r="54" spans="2:8" x14ac:dyDescent="0.3">
      <c r="B54" s="7"/>
      <c r="C54" s="1">
        <v>2024</v>
      </c>
      <c r="G54" s="187">
        <f>+($C$29-G48)*$G$19*0.21</f>
        <v>21.423725046998044</v>
      </c>
      <c r="H54" s="187">
        <f>+($C$29-H48)*$G$19*0.21</f>
        <v>164.34469079322167</v>
      </c>
    </row>
    <row r="55" spans="2:8" x14ac:dyDescent="0.3">
      <c r="B55" s="7"/>
      <c r="C55" s="1">
        <v>2025</v>
      </c>
      <c r="E55" s="41"/>
      <c r="F55" s="41"/>
      <c r="G55" s="41"/>
      <c r="H55" s="188">
        <f>+($C$29-H49)*$H$19*0.21</f>
        <v>35.566954919738379</v>
      </c>
    </row>
    <row r="56" spans="2:8" x14ac:dyDescent="0.3">
      <c r="B56" s="7"/>
      <c r="C56" s="1" t="s">
        <v>637</v>
      </c>
      <c r="E56" s="187">
        <f>+SUM(E52:E55)</f>
        <v>-3.7011814656084097</v>
      </c>
      <c r="F56" s="187">
        <f>+SUM(F52:F55)</f>
        <v>84.476378241105579</v>
      </c>
      <c r="G56" s="187">
        <f>+SUM(G52:G55)</f>
        <v>862.79358310574446</v>
      </c>
      <c r="H56" s="187">
        <f>+SUM(H52:H55)</f>
        <v>924.95467805020428</v>
      </c>
    </row>
    <row r="57" spans="2:8" ht="5.5" customHeight="1" x14ac:dyDescent="0.3">
      <c r="B57" s="7"/>
      <c r="E57" s="187"/>
      <c r="F57" s="187"/>
      <c r="G57" s="187"/>
      <c r="H57" s="187"/>
    </row>
    <row r="58" spans="2:8" x14ac:dyDescent="0.3">
      <c r="B58" s="7"/>
      <c r="C58" s="1" t="s">
        <v>636</v>
      </c>
      <c r="E58" s="187">
        <f>+E56</f>
        <v>-3.7011814656084097</v>
      </c>
      <c r="F58" s="187">
        <f>+F56+E58</f>
        <v>80.775196775497164</v>
      </c>
      <c r="G58" s="187">
        <f>+G56+F58</f>
        <v>943.56877988124165</v>
      </c>
      <c r="H58" s="187">
        <f>+H56+G58</f>
        <v>1868.523457931446</v>
      </c>
    </row>
    <row r="59" spans="2:8" ht="5.5" customHeight="1" x14ac:dyDescent="0.3">
      <c r="B59" s="7"/>
      <c r="C59" s="185"/>
      <c r="E59" s="186"/>
      <c r="F59" s="186"/>
      <c r="G59" s="186"/>
      <c r="H59" s="186"/>
    </row>
    <row r="60" spans="2:8" x14ac:dyDescent="0.3">
      <c r="B60" s="7"/>
      <c r="C60" s="185" t="s">
        <v>635</v>
      </c>
      <c r="E60" s="3">
        <f>+E58</f>
        <v>-3.7011814656084097</v>
      </c>
      <c r="F60" s="3">
        <f>+F58-E58</f>
        <v>84.476378241105579</v>
      </c>
      <c r="G60" s="3">
        <f>+G58-F58</f>
        <v>862.79358310574446</v>
      </c>
      <c r="H60" s="3">
        <f>+H58-G58</f>
        <v>924.95467805020439</v>
      </c>
    </row>
  </sheetData>
  <pageMargins left="0.7" right="0.7" top="0.75" bottom="0.75" header="0.3" footer="0.3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95DD0-9AF6-4880-BA73-5CB833FD2BB5}">
  <dimension ref="A1:AF39"/>
  <sheetViews>
    <sheetView workbookViewId="0"/>
  </sheetViews>
  <sheetFormatPr defaultRowHeight="14" x14ac:dyDescent="0.3"/>
  <cols>
    <col min="1" max="2" width="8.7265625" style="275"/>
    <col min="3" max="4" width="1.7265625" style="275" customWidth="1"/>
    <col min="5" max="5" width="15.453125" style="275" customWidth="1"/>
    <col min="6" max="8" width="1.7265625" style="275" customWidth="1"/>
    <col min="9" max="9" width="10" style="275" bestFit="1" customWidth="1"/>
    <col min="10" max="12" width="1.7265625" style="275" customWidth="1"/>
    <col min="13" max="13" width="10" style="275" bestFit="1" customWidth="1"/>
    <col min="14" max="14" width="1.7265625" style="275" customWidth="1"/>
    <col min="15" max="15" width="10" style="275" bestFit="1" customWidth="1"/>
    <col min="16" max="16" width="1.7265625" style="275" customWidth="1"/>
    <col min="17" max="17" width="10" style="275" bestFit="1" customWidth="1"/>
    <col min="18" max="18" width="1.7265625" style="275" customWidth="1"/>
    <col min="19" max="20" width="8.7265625" style="275"/>
    <col min="21" max="22" width="2.54296875" style="275" customWidth="1"/>
    <col min="23" max="23" width="13.453125" style="275" customWidth="1"/>
    <col min="24" max="26" width="9.90625" style="275" customWidth="1"/>
    <col min="27" max="27" width="2.54296875" style="275" customWidth="1"/>
    <col min="28" max="16384" width="8.7265625" style="275"/>
  </cols>
  <sheetData>
    <row r="1" spans="1:26" x14ac:dyDescent="0.3">
      <c r="A1" s="1" t="s">
        <v>1087</v>
      </c>
    </row>
    <row r="2" spans="1:26" x14ac:dyDescent="0.3">
      <c r="A2" s="1" t="s">
        <v>1088</v>
      </c>
    </row>
    <row r="5" spans="1:26" x14ac:dyDescent="0.3">
      <c r="W5" s="275" t="s">
        <v>1025</v>
      </c>
      <c r="Y5" s="275" t="s">
        <v>1044</v>
      </c>
    </row>
    <row r="6" spans="1:26" ht="5.5" customHeight="1" x14ac:dyDescent="0.3">
      <c r="C6" s="305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3"/>
    </row>
    <row r="7" spans="1:26" x14ac:dyDescent="0.3">
      <c r="C7" s="298"/>
      <c r="D7" s="297"/>
      <c r="E7" s="297"/>
      <c r="F7" s="297"/>
      <c r="G7" s="297"/>
      <c r="H7" s="297"/>
      <c r="I7" s="300" t="s">
        <v>1043</v>
      </c>
      <c r="J7" s="297"/>
      <c r="K7" s="297"/>
      <c r="L7" s="297"/>
      <c r="M7" s="300">
        <v>2023</v>
      </c>
      <c r="N7" s="302"/>
      <c r="O7" s="300">
        <v>2024</v>
      </c>
      <c r="P7" s="302"/>
      <c r="Q7" s="300">
        <v>2025</v>
      </c>
      <c r="R7" s="295"/>
      <c r="W7" s="301" t="s">
        <v>1042</v>
      </c>
      <c r="X7" s="300">
        <v>2023</v>
      </c>
      <c r="Y7" s="300">
        <v>2024</v>
      </c>
      <c r="Z7" s="300">
        <v>2025</v>
      </c>
    </row>
    <row r="8" spans="1:26" x14ac:dyDescent="0.3">
      <c r="C8" s="298"/>
      <c r="D8" s="297" t="s">
        <v>634</v>
      </c>
      <c r="E8" s="297"/>
      <c r="F8" s="297"/>
      <c r="G8" s="297"/>
      <c r="H8" s="297"/>
      <c r="I8" s="297"/>
      <c r="J8" s="297"/>
      <c r="K8" s="297"/>
      <c r="L8" s="297"/>
      <c r="M8" s="297"/>
      <c r="N8" s="297"/>
      <c r="O8" s="297"/>
      <c r="P8" s="297"/>
      <c r="Q8" s="297"/>
      <c r="R8" s="295"/>
    </row>
    <row r="9" spans="1:26" x14ac:dyDescent="0.3">
      <c r="C9" s="298"/>
      <c r="D9" s="297"/>
      <c r="E9" s="297" t="s">
        <v>1041</v>
      </c>
      <c r="F9" s="297"/>
      <c r="G9" s="297"/>
      <c r="H9" s="297"/>
      <c r="I9" s="296">
        <f>+M9/$M$11*I11</f>
        <v>437847.70443439297</v>
      </c>
      <c r="J9" s="297"/>
      <c r="K9" s="297"/>
      <c r="L9" s="297"/>
      <c r="M9" s="296">
        <v>663842</v>
      </c>
      <c r="N9" s="296"/>
      <c r="O9" s="296">
        <v>663842</v>
      </c>
      <c r="P9" s="296"/>
      <c r="Q9" s="296">
        <v>663842</v>
      </c>
      <c r="R9" s="295"/>
      <c r="T9" s="275" t="s">
        <v>1041</v>
      </c>
      <c r="W9" s="290">
        <f>+(I9+I14)/2</f>
        <v>222643.04331864222</v>
      </c>
      <c r="X9" s="290">
        <f>+$W$9-M9-M14</f>
        <v>-506134.95668135781</v>
      </c>
      <c r="Y9" s="290">
        <f>+$W$9-O9-O14</f>
        <v>-506620.95668135781</v>
      </c>
      <c r="Z9" s="290">
        <f>+$W$9-Q9-Q14</f>
        <v>-507116.95668135781</v>
      </c>
    </row>
    <row r="10" spans="1:26" x14ac:dyDescent="0.3">
      <c r="C10" s="298"/>
      <c r="D10" s="297"/>
      <c r="E10" s="297" t="s">
        <v>1038</v>
      </c>
      <c r="F10" s="297"/>
      <c r="G10" s="297"/>
      <c r="H10" s="297"/>
      <c r="I10" s="299">
        <f>+M10/$M$11*I11</f>
        <v>222567.29556560708</v>
      </c>
      <c r="J10" s="297"/>
      <c r="K10" s="297"/>
      <c r="L10" s="297"/>
      <c r="M10" s="299">
        <v>337445</v>
      </c>
      <c r="N10" s="296"/>
      <c r="O10" s="299">
        <v>337445</v>
      </c>
      <c r="P10" s="296"/>
      <c r="Q10" s="299">
        <v>337445</v>
      </c>
      <c r="R10" s="295"/>
    </row>
    <row r="11" spans="1:26" x14ac:dyDescent="0.3">
      <c r="C11" s="298"/>
      <c r="D11" s="297"/>
      <c r="E11" s="297" t="s">
        <v>1037</v>
      </c>
      <c r="F11" s="297"/>
      <c r="G11" s="297"/>
      <c r="H11" s="297"/>
      <c r="I11" s="296">
        <v>660415</v>
      </c>
      <c r="J11" s="297"/>
      <c r="K11" s="297"/>
      <c r="L11" s="297"/>
      <c r="M11" s="296">
        <f>+SUM(M9:M10)</f>
        <v>1001287</v>
      </c>
      <c r="N11" s="297"/>
      <c r="O11" s="296">
        <f>+SUM(O9:O10)</f>
        <v>1001287</v>
      </c>
      <c r="P11" s="297"/>
      <c r="Q11" s="296">
        <f>+SUM(Q9:Q10)</f>
        <v>1001287</v>
      </c>
      <c r="R11" s="295"/>
      <c r="T11" s="275" t="s">
        <v>635</v>
      </c>
      <c r="X11" s="290">
        <f>+X9</f>
        <v>-506134.95668135781</v>
      </c>
      <c r="Y11" s="290">
        <f>+Y9-X9</f>
        <v>-486</v>
      </c>
      <c r="Z11" s="290">
        <f>+Z9-Y9</f>
        <v>-496</v>
      </c>
    </row>
    <row r="12" spans="1:26" ht="5.5" customHeight="1" x14ac:dyDescent="0.3">
      <c r="C12" s="298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5"/>
    </row>
    <row r="13" spans="1:26" x14ac:dyDescent="0.3">
      <c r="C13" s="298"/>
      <c r="D13" s="297" t="s">
        <v>1040</v>
      </c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5"/>
    </row>
    <row r="14" spans="1:26" x14ac:dyDescent="0.3">
      <c r="C14" s="298"/>
      <c r="D14" s="297"/>
      <c r="E14" s="297" t="s">
        <v>1039</v>
      </c>
      <c r="F14" s="297"/>
      <c r="G14" s="297"/>
      <c r="H14" s="297"/>
      <c r="I14" s="296">
        <f>+M14/$M$16*I16</f>
        <v>7438.3822028914483</v>
      </c>
      <c r="J14" s="297"/>
      <c r="K14" s="297"/>
      <c r="L14" s="297"/>
      <c r="M14" s="296">
        <v>64936</v>
      </c>
      <c r="N14" s="297"/>
      <c r="O14" s="296">
        <v>65422</v>
      </c>
      <c r="P14" s="297"/>
      <c r="Q14" s="296">
        <v>65918</v>
      </c>
      <c r="R14" s="295"/>
      <c r="T14" s="275" t="s">
        <v>1038</v>
      </c>
      <c r="W14" s="290">
        <f>+(I10+I15)/2</f>
        <v>113174.17168135782</v>
      </c>
      <c r="X14" s="290">
        <f>+$W$14-M10-M15</f>
        <v>-257278.82831864216</v>
      </c>
      <c r="Y14" s="290">
        <f>+$W$14-O10-O15</f>
        <v>-257526.82831864216</v>
      </c>
      <c r="Z14" s="290">
        <f>+$W$14-Q10-Q15</f>
        <v>-257778.82831864216</v>
      </c>
    </row>
    <row r="15" spans="1:26" x14ac:dyDescent="0.3">
      <c r="C15" s="298"/>
      <c r="D15" s="297"/>
      <c r="E15" s="297" t="s">
        <v>1038</v>
      </c>
      <c r="F15" s="297"/>
      <c r="G15" s="297"/>
      <c r="H15" s="297"/>
      <c r="I15" s="299">
        <f>+M15/$M$16*I16</f>
        <v>3781.047797108552</v>
      </c>
      <c r="J15" s="297"/>
      <c r="K15" s="297"/>
      <c r="L15" s="297"/>
      <c r="M15" s="299">
        <v>33008</v>
      </c>
      <c r="N15" s="297"/>
      <c r="O15" s="299">
        <v>33256</v>
      </c>
      <c r="P15" s="297"/>
      <c r="Q15" s="299">
        <v>33508</v>
      </c>
      <c r="R15" s="295"/>
    </row>
    <row r="16" spans="1:26" x14ac:dyDescent="0.3">
      <c r="C16" s="298"/>
      <c r="D16" s="297"/>
      <c r="E16" s="297" t="s">
        <v>1037</v>
      </c>
      <c r="F16" s="297"/>
      <c r="G16" s="297"/>
      <c r="H16" s="297"/>
      <c r="I16" s="296">
        <v>11219.43</v>
      </c>
      <c r="J16" s="297"/>
      <c r="K16" s="297"/>
      <c r="L16" s="297"/>
      <c r="M16" s="296">
        <f>+SUM(M14:M15)</f>
        <v>97944</v>
      </c>
      <c r="N16" s="297"/>
      <c r="O16" s="296">
        <f>+SUM(O14:O15)</f>
        <v>98678</v>
      </c>
      <c r="P16" s="297"/>
      <c r="Q16" s="296">
        <f>+SUM(Q14:Q15)</f>
        <v>99426</v>
      </c>
      <c r="R16" s="295"/>
      <c r="T16" s="275" t="s">
        <v>635</v>
      </c>
      <c r="X16" s="290">
        <f>+X14</f>
        <v>-257278.82831864216</v>
      </c>
      <c r="Y16" s="290">
        <f>+Y14-X14</f>
        <v>-248</v>
      </c>
      <c r="Z16" s="290">
        <f>+Z14-Y14</f>
        <v>-252</v>
      </c>
    </row>
    <row r="17" spans="3:32" x14ac:dyDescent="0.3">
      <c r="C17" s="298"/>
      <c r="D17" s="297"/>
      <c r="E17" s="297"/>
      <c r="F17" s="297"/>
      <c r="G17" s="297"/>
      <c r="H17" s="297"/>
      <c r="I17" s="296"/>
      <c r="J17" s="297"/>
      <c r="K17" s="297"/>
      <c r="L17" s="297"/>
      <c r="M17" s="296"/>
      <c r="N17" s="297"/>
      <c r="O17" s="296"/>
      <c r="P17" s="297"/>
      <c r="Q17" s="296"/>
      <c r="R17" s="295"/>
    </row>
    <row r="18" spans="3:32" x14ac:dyDescent="0.3">
      <c r="C18" s="298"/>
      <c r="D18" s="297" t="s">
        <v>1036</v>
      </c>
      <c r="E18" s="297"/>
      <c r="F18" s="297"/>
      <c r="G18" s="297"/>
      <c r="H18" s="297"/>
      <c r="I18" s="296">
        <f>+I11+I16</f>
        <v>671634.43</v>
      </c>
      <c r="J18" s="297"/>
      <c r="K18" s="297"/>
      <c r="L18" s="297"/>
      <c r="M18" s="296">
        <f>+M11+M16</f>
        <v>1099231</v>
      </c>
      <c r="N18" s="297"/>
      <c r="O18" s="296">
        <f>+O11+O16</f>
        <v>1099965</v>
      </c>
      <c r="P18" s="297"/>
      <c r="Q18" s="296">
        <f>+Q11+Q16</f>
        <v>1100713</v>
      </c>
      <c r="R18" s="295"/>
    </row>
    <row r="19" spans="3:32" ht="5.5" customHeight="1" x14ac:dyDescent="0.3">
      <c r="C19" s="294"/>
      <c r="D19" s="293"/>
      <c r="E19" s="293"/>
      <c r="F19" s="293"/>
      <c r="G19" s="293"/>
      <c r="H19" s="293"/>
      <c r="I19" s="293"/>
      <c r="J19" s="293"/>
      <c r="K19" s="293"/>
      <c r="L19" s="293"/>
      <c r="M19" s="293"/>
      <c r="N19" s="293"/>
      <c r="O19" s="293"/>
      <c r="P19" s="293"/>
      <c r="Q19" s="293"/>
      <c r="R19" s="292"/>
    </row>
    <row r="23" spans="3:32" x14ac:dyDescent="0.3">
      <c r="M23" s="291"/>
    </row>
    <row r="25" spans="3:32" x14ac:dyDescent="0.3">
      <c r="M25" s="290"/>
    </row>
    <row r="26" spans="3:32" x14ac:dyDescent="0.3">
      <c r="M26" s="290"/>
    </row>
    <row r="27" spans="3:32" x14ac:dyDescent="0.3">
      <c r="M27" s="290"/>
    </row>
    <row r="29" spans="3:32" ht="5.5" customHeight="1" x14ac:dyDescent="0.3">
      <c r="U29" s="289"/>
      <c r="V29" s="288"/>
      <c r="W29" s="288"/>
      <c r="X29" s="288"/>
      <c r="Y29" s="288"/>
      <c r="Z29" s="288"/>
      <c r="AA29" s="287"/>
      <c r="AB29" s="164"/>
      <c r="AC29" s="164"/>
      <c r="AD29" s="164"/>
      <c r="AE29" s="164"/>
    </row>
    <row r="30" spans="3:32" x14ac:dyDescent="0.3">
      <c r="U30" s="283"/>
      <c r="V30" s="282"/>
      <c r="W30" s="284"/>
      <c r="X30" s="286" t="s">
        <v>407</v>
      </c>
      <c r="Y30" s="286" t="s">
        <v>408</v>
      </c>
      <c r="Z30" s="286" t="s">
        <v>409</v>
      </c>
      <c r="AA30" s="281"/>
      <c r="AB30" s="164"/>
      <c r="AC30" s="164"/>
      <c r="AD30" s="164"/>
      <c r="AE30" s="164"/>
    </row>
    <row r="31" spans="3:32" x14ac:dyDescent="0.3">
      <c r="U31" s="283"/>
      <c r="V31" s="282" t="s">
        <v>631</v>
      </c>
      <c r="W31" s="282"/>
      <c r="X31" s="284"/>
      <c r="Y31" s="284"/>
      <c r="Z31" s="284"/>
      <c r="AA31" s="281"/>
      <c r="AB31" s="164"/>
      <c r="AC31" s="164"/>
      <c r="AD31" s="164"/>
      <c r="AE31" s="164"/>
    </row>
    <row r="32" spans="3:32" x14ac:dyDescent="0.3">
      <c r="U32" s="283"/>
      <c r="V32" s="282"/>
      <c r="W32" s="282" t="s">
        <v>653</v>
      </c>
      <c r="X32" s="348">
        <f>-X11</f>
        <v>506134.95668135781</v>
      </c>
      <c r="Y32" s="348">
        <f>-Y11</f>
        <v>486</v>
      </c>
      <c r="Z32" s="348">
        <f>-Z11</f>
        <v>496</v>
      </c>
      <c r="AA32" s="281"/>
      <c r="AB32" s="164"/>
      <c r="AC32" s="164"/>
      <c r="AD32" s="164" t="s">
        <v>690</v>
      </c>
      <c r="AE32" s="164">
        <f>+'Exh. BGM-4 (1)'!$AJ$4</f>
        <v>0.75480100000000006</v>
      </c>
      <c r="AF32" s="275">
        <f>+'Exh. BGM-3 (1)'!AJ4</f>
        <v>0.752355</v>
      </c>
    </row>
    <row r="33" spans="21:32" x14ac:dyDescent="0.3">
      <c r="U33" s="283"/>
      <c r="V33" s="282"/>
      <c r="W33" s="282" t="s">
        <v>651</v>
      </c>
      <c r="X33" s="342">
        <f>+X32*(1-$AE$33)/$AF$32</f>
        <v>531460.03652301466</v>
      </c>
      <c r="Y33" s="342">
        <f t="shared" ref="Y33:Z33" si="0">+Y32*(1-$AE$33)/$AF$32</f>
        <v>510.31760272743583</v>
      </c>
      <c r="Z33" s="342">
        <f t="shared" si="0"/>
        <v>520.81796492347371</v>
      </c>
      <c r="AA33" s="281"/>
      <c r="AB33" s="164"/>
      <c r="AC33" s="164"/>
      <c r="AD33" s="164" t="s">
        <v>16</v>
      </c>
      <c r="AE33" s="285">
        <f>+'Exh. BGM-4 (1)'!$AJ$5</f>
        <v>0.21</v>
      </c>
      <c r="AF33" s="275">
        <f>+'Exh. BGM-4 (1)'!AJ4</f>
        <v>0.75480100000000006</v>
      </c>
    </row>
    <row r="34" spans="21:32" ht="5.5" customHeight="1" x14ac:dyDescent="0.3">
      <c r="U34" s="283"/>
      <c r="V34" s="282"/>
      <c r="W34" s="284"/>
      <c r="X34" s="284"/>
      <c r="Y34" s="284"/>
      <c r="Z34" s="284"/>
      <c r="AA34" s="281"/>
      <c r="AB34" s="164"/>
      <c r="AC34" s="164"/>
      <c r="AD34" s="164" t="s">
        <v>650</v>
      </c>
      <c r="AE34" s="280">
        <f>+'Exh. BGM-4 (1)'!$AL$16</f>
        <v>7.2000000000000008E-2</v>
      </c>
    </row>
    <row r="35" spans="21:32" x14ac:dyDescent="0.3">
      <c r="U35" s="283"/>
      <c r="V35" s="282" t="s">
        <v>630</v>
      </c>
      <c r="W35" s="282"/>
      <c r="X35" s="284"/>
      <c r="Y35" s="284"/>
      <c r="Z35" s="284"/>
      <c r="AA35" s="281"/>
      <c r="AB35" s="164"/>
      <c r="AC35" s="164"/>
      <c r="AD35" s="164"/>
      <c r="AE35" s="280"/>
    </row>
    <row r="36" spans="21:32" x14ac:dyDescent="0.3">
      <c r="U36" s="283"/>
      <c r="V36" s="282"/>
      <c r="W36" s="282" t="s">
        <v>653</v>
      </c>
      <c r="X36" s="348">
        <f>-X16</f>
        <v>257278.82831864216</v>
      </c>
      <c r="Y36" s="348">
        <f>-Y16</f>
        <v>248</v>
      </c>
      <c r="Z36" s="348">
        <f>-Z16</f>
        <v>252</v>
      </c>
      <c r="AA36" s="281"/>
      <c r="AB36" s="164"/>
      <c r="AC36" s="164"/>
      <c r="AD36" s="164"/>
      <c r="AE36" s="280"/>
    </row>
    <row r="37" spans="21:32" x14ac:dyDescent="0.3">
      <c r="U37" s="283"/>
      <c r="V37" s="282"/>
      <c r="W37" s="282" t="s">
        <v>651</v>
      </c>
      <c r="X37" s="342">
        <f>+X36*(1-$AE$33)/$AF$33</f>
        <v>269276.63632100023</v>
      </c>
      <c r="Y37" s="342">
        <f>+Y36*(1-$AE$33)/$AE$32</f>
        <v>259.56510391480668</v>
      </c>
      <c r="Z37" s="342">
        <f>+Z36*(1-$AE$33)/$AE$32</f>
        <v>263.75163784891646</v>
      </c>
      <c r="AA37" s="281"/>
      <c r="AB37" s="164"/>
      <c r="AC37" s="164"/>
      <c r="AD37" s="164"/>
      <c r="AE37" s="280"/>
    </row>
    <row r="38" spans="21:32" ht="5.5" customHeight="1" x14ac:dyDescent="0.3">
      <c r="U38" s="279"/>
      <c r="V38" s="278"/>
      <c r="W38" s="277"/>
      <c r="X38" s="277"/>
      <c r="Y38" s="277"/>
      <c r="Z38" s="277"/>
      <c r="AA38" s="276"/>
      <c r="AB38" s="164"/>
      <c r="AC38" s="164"/>
    </row>
    <row r="39" spans="21:32" x14ac:dyDescent="0.3">
      <c r="AB39" s="164"/>
      <c r="AC39" s="164"/>
      <c r="AD39" s="164"/>
      <c r="AE39" s="164"/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143AE-3678-47E9-ABEC-E413B81CC448}">
  <dimension ref="A1:M59"/>
  <sheetViews>
    <sheetView workbookViewId="0"/>
  </sheetViews>
  <sheetFormatPr defaultRowHeight="13" x14ac:dyDescent="0.3"/>
  <cols>
    <col min="1" max="2" width="2.08984375" style="1" customWidth="1"/>
    <col min="3" max="3" width="16.36328125" style="1" customWidth="1"/>
    <col min="4" max="4" width="2.453125" style="1" customWidth="1"/>
    <col min="5" max="8" width="13.81640625" style="1" customWidth="1"/>
    <col min="9" max="9" width="2.08984375" style="1" customWidth="1"/>
    <col min="10" max="11" width="8.7265625" style="1"/>
    <col min="12" max="12" width="15.453125" style="1" customWidth="1"/>
    <col min="13" max="16384" width="8.7265625" style="1"/>
  </cols>
  <sheetData>
    <row r="1" spans="1:13" x14ac:dyDescent="0.3">
      <c r="A1" s="1" t="s">
        <v>657</v>
      </c>
    </row>
    <row r="2" spans="1:13" x14ac:dyDescent="0.3">
      <c r="A2" s="1" t="s">
        <v>1089</v>
      </c>
    </row>
    <row r="6" spans="1:13" x14ac:dyDescent="0.3">
      <c r="D6" s="27"/>
      <c r="E6" s="26"/>
      <c r="F6" s="26"/>
      <c r="G6" s="26"/>
      <c r="H6" s="26"/>
      <c r="I6" s="25"/>
    </row>
    <row r="7" spans="1:13" x14ac:dyDescent="0.3">
      <c r="D7" s="22"/>
      <c r="E7" s="194"/>
      <c r="F7" s="196" t="s">
        <v>407</v>
      </c>
      <c r="G7" s="196" t="s">
        <v>408</v>
      </c>
      <c r="H7" s="196" t="s">
        <v>409</v>
      </c>
      <c r="I7" s="193"/>
    </row>
    <row r="8" spans="1:13" x14ac:dyDescent="0.3">
      <c r="D8" s="22"/>
      <c r="E8" s="195" t="s">
        <v>653</v>
      </c>
      <c r="F8" s="194">
        <f>+-(F30+E30)</f>
        <v>3873.7996810696382</v>
      </c>
      <c r="G8" s="194">
        <f>-G30</f>
        <v>1386.1538018918159</v>
      </c>
      <c r="H8" s="194">
        <f>-H30</f>
        <v>1161.261790404551</v>
      </c>
      <c r="I8" s="193"/>
      <c r="L8" s="1" t="s">
        <v>652</v>
      </c>
      <c r="M8" s="1">
        <f>+'Exh. BGM-4 (1)'!$AJ$4</f>
        <v>0.75480100000000006</v>
      </c>
    </row>
    <row r="9" spans="1:13" x14ac:dyDescent="0.3">
      <c r="D9" s="22"/>
      <c r="E9" s="195" t="s">
        <v>19</v>
      </c>
      <c r="F9" s="192">
        <f>+E23+F23+E38+F38+E59+F59</f>
        <v>-132660.59774585313</v>
      </c>
      <c r="G9" s="192">
        <f>+G23+G38+G59</f>
        <v>-43466.823943392621</v>
      </c>
      <c r="H9" s="192">
        <f>+H23+H38+H59</f>
        <v>-33887.36714122384</v>
      </c>
      <c r="I9" s="193"/>
      <c r="L9" s="1" t="s">
        <v>16</v>
      </c>
      <c r="M9" s="32">
        <f>+'Exh. BGM-4 (1)'!$AJ$5</f>
        <v>0.21</v>
      </c>
    </row>
    <row r="10" spans="1:13" x14ac:dyDescent="0.3">
      <c r="D10" s="22"/>
      <c r="E10" s="195" t="s">
        <v>651</v>
      </c>
      <c r="F10" s="194">
        <f>+(F$9*$M$10-F$8*(1-$M$9))/$M$8</f>
        <v>-16708.860727193576</v>
      </c>
      <c r="G10" s="194">
        <f>+(G$9*$M$10-G$8*(1-$M$9))/$M$8</f>
        <v>-5597.0684026899844</v>
      </c>
      <c r="H10" s="194">
        <f>+(H$9*$M$10-H$8*(1-$M$9))/$M$8</f>
        <v>-4447.9104407489021</v>
      </c>
      <c r="I10" s="193"/>
      <c r="L10" s="1" t="s">
        <v>650</v>
      </c>
      <c r="M10" s="28">
        <f>+'Exh. BGM-4 (1)'!$AL$16</f>
        <v>7.2000000000000008E-2</v>
      </c>
    </row>
    <row r="11" spans="1:13" x14ac:dyDescent="0.3">
      <c r="D11" s="20"/>
      <c r="E11" s="192"/>
      <c r="F11" s="192"/>
      <c r="G11" s="192"/>
      <c r="H11" s="192"/>
      <c r="I11" s="24"/>
    </row>
    <row r="12" spans="1:13" x14ac:dyDescent="0.3">
      <c r="E12" s="3"/>
    </row>
    <row r="15" spans="1:13" x14ac:dyDescent="0.3">
      <c r="B15" s="191" t="s">
        <v>649</v>
      </c>
      <c r="E15" s="190">
        <v>2022</v>
      </c>
      <c r="F15" s="190">
        <v>2023</v>
      </c>
      <c r="G15" s="190">
        <v>2024</v>
      </c>
      <c r="H15" s="190">
        <v>2025</v>
      </c>
    </row>
    <row r="16" spans="1:13" x14ac:dyDescent="0.3">
      <c r="E16" s="3"/>
    </row>
    <row r="17" spans="2:12" x14ac:dyDescent="0.3">
      <c r="B17" s="7" t="s">
        <v>648</v>
      </c>
      <c r="E17" s="3"/>
    </row>
    <row r="18" spans="2:12" ht="5.5" customHeight="1" x14ac:dyDescent="0.3">
      <c r="B18" s="7"/>
      <c r="E18" s="3"/>
      <c r="F18" s="3"/>
      <c r="G18" s="3"/>
      <c r="H18" s="3"/>
    </row>
    <row r="19" spans="2:12" ht="5.5" customHeight="1" x14ac:dyDescent="0.3">
      <c r="B19" s="7"/>
      <c r="E19" s="3"/>
      <c r="F19" s="3"/>
      <c r="G19" s="3"/>
      <c r="H19" s="3"/>
    </row>
    <row r="20" spans="2:12" x14ac:dyDescent="0.3">
      <c r="B20" s="7"/>
      <c r="C20" s="1" t="s">
        <v>659</v>
      </c>
      <c r="E20" s="3">
        <v>-81693.349538666778</v>
      </c>
      <c r="F20" s="3">
        <v>-58155.014398865285</v>
      </c>
      <c r="G20" s="3">
        <v>-50041.653497899504</v>
      </c>
      <c r="H20" s="3">
        <v>-41922.808317853793</v>
      </c>
      <c r="L20" s="1" t="s">
        <v>1085</v>
      </c>
    </row>
    <row r="21" spans="2:12" x14ac:dyDescent="0.3">
      <c r="B21" s="7"/>
      <c r="C21" s="1" t="s">
        <v>645</v>
      </c>
      <c r="E21" s="3">
        <v>-81693.349538666778</v>
      </c>
      <c r="F21" s="3">
        <v>-139848.36393753206</v>
      </c>
      <c r="G21" s="3">
        <v>-189890.01743543157</v>
      </c>
      <c r="H21" s="3">
        <v>-231812.82575328537</v>
      </c>
    </row>
    <row r="22" spans="2:12" ht="5.5" customHeight="1" x14ac:dyDescent="0.3">
      <c r="B22" s="7"/>
      <c r="C22" s="185"/>
      <c r="E22" s="189"/>
      <c r="F22" s="189"/>
      <c r="G22" s="189"/>
      <c r="H22" s="189"/>
    </row>
    <row r="23" spans="2:12" x14ac:dyDescent="0.3">
      <c r="B23" s="7"/>
      <c r="C23" s="185" t="s">
        <v>644</v>
      </c>
      <c r="E23" s="5">
        <f>+E21</f>
        <v>-81693.349538666778</v>
      </c>
      <c r="F23" s="5">
        <f>+F21-E21</f>
        <v>-58155.014398865285</v>
      </c>
      <c r="G23" s="5">
        <f>+G21-F21</f>
        <v>-50041.653497899504</v>
      </c>
      <c r="H23" s="5">
        <f>+H21-G21</f>
        <v>-41922.808317853807</v>
      </c>
    </row>
    <row r="24" spans="2:12" x14ac:dyDescent="0.3">
      <c r="B24" s="7"/>
    </row>
    <row r="25" spans="2:12" x14ac:dyDescent="0.3">
      <c r="B25" s="7"/>
    </row>
    <row r="26" spans="2:12" x14ac:dyDescent="0.3">
      <c r="B26" s="7"/>
    </row>
    <row r="27" spans="2:12" x14ac:dyDescent="0.3">
      <c r="B27" s="7"/>
      <c r="C27" s="1" t="s">
        <v>658</v>
      </c>
    </row>
    <row r="28" spans="2:12" x14ac:dyDescent="0.3">
      <c r="B28" s="7"/>
      <c r="C28" s="28">
        <v>2.7699999999999999E-2</v>
      </c>
      <c r="E28" s="3">
        <f>+E21*$C28</f>
        <v>-2262.9057822210698</v>
      </c>
      <c r="F28" s="3">
        <f>+F21*$C28</f>
        <v>-3873.7996810696382</v>
      </c>
      <c r="G28" s="3">
        <f>+G21*$C28</f>
        <v>-5259.953482961454</v>
      </c>
      <c r="H28" s="3">
        <f>+H21*$C28</f>
        <v>-6421.215273366005</v>
      </c>
    </row>
    <row r="29" spans="2:12" ht="5.5" customHeight="1" x14ac:dyDescent="0.3">
      <c r="B29" s="7"/>
      <c r="C29" s="185"/>
      <c r="E29" s="186"/>
      <c r="F29" s="186"/>
      <c r="G29" s="186"/>
      <c r="H29" s="186"/>
    </row>
    <row r="30" spans="2:12" x14ac:dyDescent="0.3">
      <c r="B30" s="7"/>
      <c r="C30" s="185" t="s">
        <v>635</v>
      </c>
      <c r="E30" s="5">
        <f>+E28</f>
        <v>-2262.9057822210698</v>
      </c>
      <c r="F30" s="3">
        <f>+F28-E28</f>
        <v>-1610.8938988485684</v>
      </c>
      <c r="G30" s="3">
        <f>+G28-F28</f>
        <v>-1386.1538018918159</v>
      </c>
      <c r="H30" s="3">
        <f>+H28-G28</f>
        <v>-1161.261790404551</v>
      </c>
    </row>
    <row r="31" spans="2:12" x14ac:dyDescent="0.3">
      <c r="B31" s="7"/>
    </row>
    <row r="32" spans="2:12" x14ac:dyDescent="0.3">
      <c r="B32" s="7"/>
    </row>
    <row r="33" spans="2:8" x14ac:dyDescent="0.3">
      <c r="B33" s="7"/>
    </row>
    <row r="34" spans="2:8" x14ac:dyDescent="0.3">
      <c r="B34" s="7" t="s">
        <v>642</v>
      </c>
      <c r="E34" s="3"/>
      <c r="F34" s="3"/>
      <c r="G34" s="3"/>
      <c r="H34" s="3"/>
    </row>
    <row r="35" spans="2:8" ht="5.5" customHeight="1" x14ac:dyDescent="0.3">
      <c r="B35" s="7"/>
      <c r="E35" s="3"/>
      <c r="F35" s="3"/>
      <c r="G35" s="3"/>
      <c r="H35" s="3"/>
    </row>
    <row r="36" spans="2:8" x14ac:dyDescent="0.3">
      <c r="B36" s="7"/>
      <c r="C36" s="1" t="s">
        <v>641</v>
      </c>
      <c r="E36" s="3">
        <f>-E28</f>
        <v>2262.9057822210698</v>
      </c>
      <c r="F36" s="3">
        <f>+E36-F28</f>
        <v>6136.7054632907075</v>
      </c>
      <c r="G36" s="3">
        <f>+F36-G28</f>
        <v>11396.658946252162</v>
      </c>
      <c r="H36" s="3">
        <f>+G36-H28</f>
        <v>17817.874219618167</v>
      </c>
    </row>
    <row r="37" spans="2:8" ht="5.5" customHeight="1" x14ac:dyDescent="0.3">
      <c r="B37" s="7"/>
      <c r="C37" s="185"/>
      <c r="E37" s="186"/>
      <c r="F37" s="186"/>
      <c r="G37" s="186"/>
      <c r="H37" s="186"/>
    </row>
    <row r="38" spans="2:8" x14ac:dyDescent="0.3">
      <c r="B38" s="7"/>
      <c r="C38" s="185" t="s">
        <v>635</v>
      </c>
      <c r="E38" s="3">
        <f>+E36</f>
        <v>2262.9057822210698</v>
      </c>
      <c r="F38" s="3">
        <f>+F36-E36</f>
        <v>3873.7996810696377</v>
      </c>
      <c r="G38" s="3">
        <f>+G36-F36</f>
        <v>5259.9534829614549</v>
      </c>
      <c r="H38" s="3">
        <f>+H36-G36</f>
        <v>6421.2152733660041</v>
      </c>
    </row>
    <row r="39" spans="2:8" x14ac:dyDescent="0.3">
      <c r="B39" s="7"/>
    </row>
    <row r="40" spans="2:8" x14ac:dyDescent="0.3">
      <c r="B40" s="7"/>
    </row>
    <row r="41" spans="2:8" x14ac:dyDescent="0.3">
      <c r="B41" s="7"/>
    </row>
    <row r="42" spans="2:8" x14ac:dyDescent="0.3">
      <c r="B42" s="7" t="s">
        <v>640</v>
      </c>
    </row>
    <row r="43" spans="2:8" ht="5.5" customHeight="1" x14ac:dyDescent="0.3">
      <c r="B43" s="7"/>
    </row>
    <row r="44" spans="2:8" x14ac:dyDescent="0.3">
      <c r="B44" s="7"/>
      <c r="C44" s="1" t="s">
        <v>639</v>
      </c>
    </row>
    <row r="45" spans="2:8" x14ac:dyDescent="0.3">
      <c r="B45" s="7"/>
      <c r="C45" s="1">
        <v>2022</v>
      </c>
      <c r="E45" s="28">
        <v>3.7499999999999999E-2</v>
      </c>
      <c r="F45" s="28">
        <v>7.2190000000000004E-2</v>
      </c>
      <c r="G45" s="28">
        <v>6.6669999999999993E-2</v>
      </c>
      <c r="H45" s="28">
        <v>6.1769999999999999E-2</v>
      </c>
    </row>
    <row r="46" spans="2:8" x14ac:dyDescent="0.3">
      <c r="B46" s="7"/>
      <c r="C46" s="1">
        <v>2023</v>
      </c>
      <c r="E46" s="28"/>
      <c r="F46" s="28">
        <v>3.7499999999999999E-2</v>
      </c>
      <c r="G46" s="28">
        <v>7.2190000000000004E-2</v>
      </c>
      <c r="H46" s="28">
        <v>6.6669999999999993E-2</v>
      </c>
    </row>
    <row r="47" spans="2:8" x14ac:dyDescent="0.3">
      <c r="B47" s="7"/>
      <c r="C47" s="1">
        <v>2024</v>
      </c>
      <c r="E47" s="28"/>
      <c r="F47" s="28"/>
      <c r="G47" s="28">
        <v>3.7499999999999999E-2</v>
      </c>
      <c r="H47" s="28">
        <v>7.2190000000000004E-2</v>
      </c>
    </row>
    <row r="48" spans="2:8" x14ac:dyDescent="0.3">
      <c r="B48" s="7"/>
      <c r="C48" s="1">
        <v>2025</v>
      </c>
      <c r="E48" s="28"/>
      <c r="F48" s="28"/>
      <c r="G48" s="28"/>
      <c r="H48" s="28">
        <v>3.7499999999999999E-2</v>
      </c>
    </row>
    <row r="49" spans="2:8" ht="5.5" customHeight="1" x14ac:dyDescent="0.3">
      <c r="B49" s="7"/>
    </row>
    <row r="50" spans="2:8" x14ac:dyDescent="0.3">
      <c r="B50" s="7"/>
      <c r="C50" s="1" t="s">
        <v>638</v>
      </c>
    </row>
    <row r="51" spans="2:8" x14ac:dyDescent="0.3">
      <c r="B51" s="7"/>
      <c r="C51" s="1">
        <v>2022</v>
      </c>
      <c r="E51" s="187">
        <f>+($C$28-E45)*$E$20*0.21</f>
        <v>168.12491335057621</v>
      </c>
      <c r="F51" s="187">
        <f>+($C$28-F45)*$E$20*0.21</f>
        <v>763.25279540480983</v>
      </c>
      <c r="G51" s="187">
        <f>+($C$28-G45)*$E$20*0.21</f>
        <v>668.55386461958722</v>
      </c>
      <c r="H51" s="187">
        <f>+($C$28-H45)*$E$20*0.21</f>
        <v>584.49140794429923</v>
      </c>
    </row>
    <row r="52" spans="2:8" x14ac:dyDescent="0.3">
      <c r="B52" s="7"/>
      <c r="C52" s="1">
        <v>2023</v>
      </c>
      <c r="F52" s="187">
        <f>+($C$28-F46)*$F$20*0.21</f>
        <v>119.68301963286476</v>
      </c>
      <c r="G52" s="187">
        <f>+($C$28-G46)*$F$20*0.21</f>
        <v>543.33648402715846</v>
      </c>
      <c r="H52" s="187">
        <f>+($C$28-H46)*$F$20*0.21</f>
        <v>475.92319133599375</v>
      </c>
    </row>
    <row r="53" spans="2:8" x14ac:dyDescent="0.3">
      <c r="B53" s="7"/>
      <c r="C53" s="1">
        <v>2024</v>
      </c>
      <c r="G53" s="187">
        <f>+($C$28-G47)*$G$20*0.21</f>
        <v>102.98572289867718</v>
      </c>
      <c r="H53" s="187">
        <f>+($C$28-H47)*$G$20*0.21</f>
        <v>467.53416446552529</v>
      </c>
    </row>
    <row r="54" spans="2:8" x14ac:dyDescent="0.3">
      <c r="B54" s="7"/>
      <c r="C54" s="1">
        <v>2025</v>
      </c>
      <c r="E54" s="41"/>
      <c r="F54" s="41"/>
      <c r="G54" s="41"/>
      <c r="H54" s="188">
        <f>+($C$28-H48)*$H$20*0.21</f>
        <v>86.277139518143102</v>
      </c>
    </row>
    <row r="55" spans="2:8" x14ac:dyDescent="0.3">
      <c r="B55" s="7"/>
      <c r="C55" s="1" t="s">
        <v>637</v>
      </c>
      <c r="E55" s="187">
        <f>+SUM(E51:E54)</f>
        <v>168.12491335057621</v>
      </c>
      <c r="F55" s="187">
        <f>+SUM(F51:F54)</f>
        <v>882.93581503767462</v>
      </c>
      <c r="G55" s="187">
        <f>+SUM(G51:G54)</f>
        <v>1314.8760715454227</v>
      </c>
      <c r="H55" s="187">
        <f>+SUM(H51:H54)</f>
        <v>1614.2259032639613</v>
      </c>
    </row>
    <row r="56" spans="2:8" ht="5.5" customHeight="1" x14ac:dyDescent="0.3">
      <c r="B56" s="7"/>
      <c r="E56" s="187"/>
      <c r="F56" s="187"/>
      <c r="G56" s="187"/>
      <c r="H56" s="187"/>
    </row>
    <row r="57" spans="2:8" x14ac:dyDescent="0.3">
      <c r="B57" s="7"/>
      <c r="C57" s="1" t="s">
        <v>636</v>
      </c>
      <c r="E57" s="187">
        <f>+E55</f>
        <v>168.12491335057621</v>
      </c>
      <c r="F57" s="187">
        <f>+F55+E57</f>
        <v>1051.0607283882509</v>
      </c>
      <c r="G57" s="187">
        <f>+G55+F57</f>
        <v>2365.9367999336737</v>
      </c>
      <c r="H57" s="187">
        <f>+H55+G57</f>
        <v>3980.162703197635</v>
      </c>
    </row>
    <row r="58" spans="2:8" ht="5.5" customHeight="1" x14ac:dyDescent="0.3">
      <c r="B58" s="7"/>
      <c r="C58" s="185"/>
      <c r="E58" s="186"/>
      <c r="F58" s="186"/>
      <c r="G58" s="186"/>
      <c r="H58" s="186"/>
    </row>
    <row r="59" spans="2:8" x14ac:dyDescent="0.3">
      <c r="B59" s="7"/>
      <c r="C59" s="185" t="s">
        <v>635</v>
      </c>
      <c r="E59" s="3">
        <f>+E57</f>
        <v>168.12491335057621</v>
      </c>
      <c r="F59" s="3">
        <f>+F57-E57</f>
        <v>882.93581503767473</v>
      </c>
      <c r="G59" s="3">
        <f>+G57-F57</f>
        <v>1314.8760715454227</v>
      </c>
      <c r="H59" s="3">
        <f>+H57-G57</f>
        <v>1614.2259032639613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CFB9C-9393-4A93-AD8E-C98B0993692F}">
  <dimension ref="A1:M67"/>
  <sheetViews>
    <sheetView workbookViewId="0"/>
  </sheetViews>
  <sheetFormatPr defaultRowHeight="13" x14ac:dyDescent="0.3"/>
  <cols>
    <col min="1" max="2" width="2.08984375" style="1" customWidth="1"/>
    <col min="3" max="3" width="19.81640625" style="1" customWidth="1"/>
    <col min="4" max="4" width="2.453125" style="1" customWidth="1"/>
    <col min="5" max="8" width="13.81640625" style="1" customWidth="1"/>
    <col min="9" max="9" width="2.08984375" style="1" customWidth="1"/>
    <col min="10" max="11" width="8.7265625" style="1"/>
    <col min="12" max="12" width="15.453125" style="1" customWidth="1"/>
    <col min="13" max="16384" width="8.7265625" style="1"/>
  </cols>
  <sheetData>
    <row r="1" spans="1:13" x14ac:dyDescent="0.3">
      <c r="A1" s="1" t="s">
        <v>657</v>
      </c>
    </row>
    <row r="2" spans="1:13" x14ac:dyDescent="0.3">
      <c r="A2" s="1" t="s">
        <v>1090</v>
      </c>
    </row>
    <row r="6" spans="1:13" ht="9" customHeight="1" x14ac:dyDescent="0.3">
      <c r="B6" s="27"/>
      <c r="C6" s="26"/>
      <c r="D6" s="26"/>
      <c r="E6" s="26"/>
      <c r="F6" s="26"/>
      <c r="G6" s="26"/>
      <c r="H6" s="26"/>
      <c r="I6" s="25"/>
    </row>
    <row r="7" spans="1:13" x14ac:dyDescent="0.3">
      <c r="B7" s="22"/>
      <c r="C7" s="194"/>
      <c r="D7" s="194"/>
      <c r="E7" s="196" t="s">
        <v>632</v>
      </c>
      <c r="F7" s="196" t="s">
        <v>407</v>
      </c>
      <c r="G7" s="196" t="s">
        <v>408</v>
      </c>
      <c r="H7" s="196" t="s">
        <v>409</v>
      </c>
      <c r="I7" s="193"/>
    </row>
    <row r="8" spans="1:13" x14ac:dyDescent="0.3">
      <c r="B8" s="22"/>
      <c r="C8" s="344" t="s">
        <v>1092</v>
      </c>
      <c r="D8" s="195"/>
      <c r="E8" s="194"/>
      <c r="F8" s="194"/>
      <c r="G8" s="194"/>
      <c r="H8" s="194"/>
      <c r="I8" s="193"/>
    </row>
    <row r="9" spans="1:13" x14ac:dyDescent="0.3">
      <c r="B9" s="22"/>
      <c r="C9" s="343" t="s">
        <v>653</v>
      </c>
      <c r="D9" s="195"/>
      <c r="E9" s="194">
        <v>0</v>
      </c>
      <c r="F9" s="194">
        <f>+-(F38+E38)</f>
        <v>5099.5000799999998</v>
      </c>
      <c r="G9" s="194">
        <f>-G38</f>
        <v>0</v>
      </c>
      <c r="H9" s="194">
        <f>-H38</f>
        <v>0</v>
      </c>
      <c r="I9" s="193"/>
      <c r="L9" s="1" t="s">
        <v>652</v>
      </c>
      <c r="M9" s="1">
        <f>+'Exh. BGM-4 (1)'!$AJ$4</f>
        <v>0.75480100000000006</v>
      </c>
    </row>
    <row r="10" spans="1:13" x14ac:dyDescent="0.3">
      <c r="B10" s="22"/>
      <c r="C10" s="343" t="s">
        <v>19</v>
      </c>
      <c r="D10" s="195"/>
      <c r="E10" s="192">
        <v>0</v>
      </c>
      <c r="F10" s="192">
        <f>+E31+F31+E46+F46+E67+F67</f>
        <v>-225135.81086702092</v>
      </c>
      <c r="G10" s="192">
        <f>+G31+G46+G67</f>
        <v>7380.5567547316914</v>
      </c>
      <c r="H10" s="192">
        <f>+H31+H46+H67</f>
        <v>7134.2006232106878</v>
      </c>
      <c r="I10" s="193"/>
      <c r="L10" s="1" t="s">
        <v>16</v>
      </c>
      <c r="M10" s="32">
        <f>+'Exh. BGM-4 (1)'!$AJ$5</f>
        <v>0.21</v>
      </c>
    </row>
    <row r="11" spans="1:13" x14ac:dyDescent="0.3">
      <c r="B11" s="22"/>
      <c r="C11" s="343" t="s">
        <v>651</v>
      </c>
      <c r="D11" s="195"/>
      <c r="E11" s="194">
        <v>0</v>
      </c>
      <c r="F11" s="194">
        <f>+(F$10*$M$11-F$9*(1-$M$10))/$M$9</f>
        <v>-26812.873122353449</v>
      </c>
      <c r="G11" s="194">
        <f>+(G$10*$M$11-G$9*(1-$M$10))/$M$9</f>
        <v>704.02673862472591</v>
      </c>
      <c r="H11" s="194">
        <f>+(H$10*$M$11-H$9*(1-$M$10))/$M$9</f>
        <v>680.52697978827473</v>
      </c>
      <c r="I11" s="193"/>
      <c r="L11" s="1" t="s">
        <v>650</v>
      </c>
      <c r="M11" s="28">
        <f>+'Exh. BGM-4 (1)'!$AL$16</f>
        <v>7.2000000000000008E-2</v>
      </c>
    </row>
    <row r="12" spans="1:13" ht="9" customHeight="1" x14ac:dyDescent="0.3">
      <c r="B12" s="22"/>
      <c r="C12" s="342"/>
      <c r="D12" s="342"/>
      <c r="E12" s="342"/>
      <c r="F12" s="342"/>
      <c r="G12" s="342"/>
      <c r="H12" s="342"/>
      <c r="I12" s="193"/>
    </row>
    <row r="13" spans="1:13" x14ac:dyDescent="0.3">
      <c r="B13" s="22"/>
      <c r="C13" s="346" t="s">
        <v>1094</v>
      </c>
      <c r="D13" s="342"/>
      <c r="E13" s="342"/>
      <c r="F13" s="342"/>
      <c r="G13" s="342"/>
      <c r="H13" s="342"/>
      <c r="I13" s="193"/>
    </row>
    <row r="14" spans="1:13" x14ac:dyDescent="0.3">
      <c r="B14" s="22"/>
      <c r="C14" s="347" t="s">
        <v>1095</v>
      </c>
      <c r="D14" s="342"/>
      <c r="E14" s="342">
        <f>+'LEAD Gas'!H17</f>
        <v>-2829.0003017005747</v>
      </c>
      <c r="F14" s="342">
        <f>+'LEAD Gas'!J17</f>
        <v>-2298.6728400229467</v>
      </c>
      <c r="G14" s="342">
        <f>+'LEAD Gas'!K17</f>
        <v>40.434588013200688</v>
      </c>
      <c r="H14" s="342">
        <f>+'LEAD Gas'!L17</f>
        <v>40.434588013200717</v>
      </c>
      <c r="I14" s="193"/>
    </row>
    <row r="15" spans="1:13" x14ac:dyDescent="0.3">
      <c r="B15" s="22"/>
      <c r="C15" s="347" t="s">
        <v>1096</v>
      </c>
      <c r="D15" s="342"/>
      <c r="E15" s="342">
        <v>0</v>
      </c>
      <c r="F15" s="342">
        <f>+'LEAD Gas'!J18</f>
        <v>-8789.8164110416164</v>
      </c>
      <c r="G15" s="342">
        <f>+'LEAD Gas'!K18</f>
        <v>199.94044614980092</v>
      </c>
      <c r="H15" s="342">
        <f>+'LEAD Gas'!L18</f>
        <v>199.94044614980072</v>
      </c>
      <c r="I15" s="193"/>
    </row>
    <row r="16" spans="1:13" ht="9" customHeight="1" x14ac:dyDescent="0.3">
      <c r="B16" s="22"/>
      <c r="C16" s="342"/>
      <c r="D16" s="342"/>
      <c r="E16" s="192"/>
      <c r="F16" s="192"/>
      <c r="G16" s="192"/>
      <c r="H16" s="192"/>
      <c r="I16" s="193"/>
    </row>
    <row r="17" spans="2:9" x14ac:dyDescent="0.3">
      <c r="B17" s="22"/>
      <c r="C17" s="345" t="s">
        <v>1093</v>
      </c>
      <c r="D17" s="345"/>
      <c r="E17" s="345">
        <f>+SUM(E11:E15)</f>
        <v>-2829.0003017005747</v>
      </c>
      <c r="F17" s="345">
        <f>+SUM(F11:F15)</f>
        <v>-37901.362373418015</v>
      </c>
      <c r="G17" s="345">
        <f>+SUM(G11:G15)</f>
        <v>944.40177278772751</v>
      </c>
      <c r="H17" s="345">
        <f>+SUM(H11:H15)</f>
        <v>920.9020139512761</v>
      </c>
      <c r="I17" s="193"/>
    </row>
    <row r="18" spans="2:9" ht="9" customHeight="1" x14ac:dyDescent="0.3">
      <c r="B18" s="20"/>
      <c r="C18" s="192"/>
      <c r="D18" s="192"/>
      <c r="E18" s="192"/>
      <c r="F18" s="192"/>
      <c r="G18" s="192"/>
      <c r="H18" s="192"/>
      <c r="I18" s="24"/>
    </row>
    <row r="19" spans="2:9" x14ac:dyDescent="0.3">
      <c r="E19" s="3"/>
    </row>
    <row r="22" spans="2:9" x14ac:dyDescent="0.3">
      <c r="B22" s="191" t="s">
        <v>649</v>
      </c>
      <c r="E22" s="190">
        <v>2022</v>
      </c>
      <c r="F22" s="190">
        <v>2023</v>
      </c>
      <c r="G22" s="190">
        <v>2024</v>
      </c>
      <c r="H22" s="190">
        <v>2025</v>
      </c>
    </row>
    <row r="23" spans="2:9" x14ac:dyDescent="0.3">
      <c r="E23" s="3"/>
    </row>
    <row r="24" spans="2:9" x14ac:dyDescent="0.3">
      <c r="B24" s="7" t="s">
        <v>648</v>
      </c>
      <c r="E24" s="3"/>
    </row>
    <row r="25" spans="2:9" ht="5.5" customHeight="1" x14ac:dyDescent="0.3">
      <c r="B25" s="7"/>
      <c r="E25" s="3"/>
      <c r="F25" s="3"/>
      <c r="G25" s="3"/>
      <c r="H25" s="3"/>
    </row>
    <row r="26" spans="2:9" x14ac:dyDescent="0.3">
      <c r="B26" s="7"/>
      <c r="C26" s="1" t="s">
        <v>647</v>
      </c>
      <c r="E26" s="186">
        <v>-239413.15016618394</v>
      </c>
      <c r="F26" s="186">
        <v>0</v>
      </c>
      <c r="G26" s="186">
        <v>0</v>
      </c>
      <c r="H26" s="186">
        <v>0</v>
      </c>
    </row>
    <row r="27" spans="2:9" x14ac:dyDescent="0.3">
      <c r="B27" s="7"/>
      <c r="C27" s="1" t="s">
        <v>646</v>
      </c>
      <c r="E27" s="3">
        <f>+E26</f>
        <v>-239413.15016618394</v>
      </c>
      <c r="F27" s="3">
        <f>+E27+F26</f>
        <v>-239413.15016618394</v>
      </c>
      <c r="G27" s="3">
        <f>+F27+G26</f>
        <v>-239413.15016618394</v>
      </c>
      <c r="H27" s="3">
        <f>+G27+H26</f>
        <v>-239413.15016618394</v>
      </c>
    </row>
    <row r="28" spans="2:9" ht="5.5" customHeight="1" x14ac:dyDescent="0.3">
      <c r="B28" s="7"/>
      <c r="E28" s="3"/>
      <c r="F28" s="3"/>
      <c r="G28" s="3"/>
      <c r="H28" s="3"/>
    </row>
    <row r="29" spans="2:9" x14ac:dyDescent="0.3">
      <c r="B29" s="7"/>
      <c r="C29" s="1" t="s">
        <v>645</v>
      </c>
      <c r="E29" s="3">
        <f>+E27*11.5/12</f>
        <v>-229437.60224259296</v>
      </c>
      <c r="F29" s="3">
        <f>+E27+F26/2</f>
        <v>-239413.15016618394</v>
      </c>
      <c r="G29" s="3">
        <f>+F27+G26/2</f>
        <v>-239413.15016618394</v>
      </c>
      <c r="H29" s="3">
        <f>+G27+H26/2</f>
        <v>-239413.15016618394</v>
      </c>
    </row>
    <row r="30" spans="2:9" ht="5.5" customHeight="1" x14ac:dyDescent="0.3">
      <c r="B30" s="7"/>
      <c r="C30" s="185"/>
      <c r="E30" s="189"/>
      <c r="F30" s="189"/>
      <c r="G30" s="189"/>
      <c r="H30" s="189"/>
    </row>
    <row r="31" spans="2:9" x14ac:dyDescent="0.3">
      <c r="B31" s="7"/>
      <c r="C31" s="185" t="s">
        <v>644</v>
      </c>
      <c r="E31" s="5">
        <f>+E29</f>
        <v>-229437.60224259296</v>
      </c>
      <c r="F31" s="5">
        <f>+F29-E29</f>
        <v>-9975.5479235909879</v>
      </c>
      <c r="G31" s="5">
        <f>+G29-F29</f>
        <v>0</v>
      </c>
      <c r="H31" s="5">
        <f>+H29-G29</f>
        <v>0</v>
      </c>
    </row>
    <row r="32" spans="2:9" x14ac:dyDescent="0.3">
      <c r="B32" s="7"/>
    </row>
    <row r="33" spans="2:8" x14ac:dyDescent="0.3">
      <c r="B33" s="7"/>
    </row>
    <row r="34" spans="2:8" x14ac:dyDescent="0.3">
      <c r="B34" s="7"/>
    </row>
    <row r="35" spans="2:8" x14ac:dyDescent="0.3">
      <c r="B35" s="7"/>
      <c r="C35" s="1" t="s">
        <v>1027</v>
      </c>
    </row>
    <row r="36" spans="2:8" x14ac:dyDescent="0.3">
      <c r="B36" s="7"/>
      <c r="C36" s="28">
        <f>+F36/F29</f>
        <v>2.1299999922561822E-2</v>
      </c>
      <c r="E36" s="3">
        <v>-5804.7712799999999</v>
      </c>
      <c r="F36" s="3">
        <v>-5099.5000799999998</v>
      </c>
      <c r="G36" s="3">
        <v>-5099.5000799999998</v>
      </c>
      <c r="H36" s="3">
        <v>-5099.5000799999998</v>
      </c>
    </row>
    <row r="37" spans="2:8" ht="5.5" customHeight="1" x14ac:dyDescent="0.3">
      <c r="B37" s="7"/>
      <c r="C37" s="185"/>
      <c r="E37" s="186"/>
      <c r="F37" s="186"/>
      <c r="G37" s="186"/>
      <c r="H37" s="186"/>
    </row>
    <row r="38" spans="2:8" x14ac:dyDescent="0.3">
      <c r="B38" s="7"/>
      <c r="C38" s="185" t="s">
        <v>635</v>
      </c>
      <c r="E38" s="5">
        <f>+E36</f>
        <v>-5804.7712799999999</v>
      </c>
      <c r="F38" s="3">
        <f>+F36-E36</f>
        <v>705.27120000000014</v>
      </c>
      <c r="G38" s="3">
        <f>+G36-F36</f>
        <v>0</v>
      </c>
      <c r="H38" s="3">
        <f>+H36-G36</f>
        <v>0</v>
      </c>
    </row>
    <row r="39" spans="2:8" x14ac:dyDescent="0.3">
      <c r="B39" s="7"/>
    </row>
    <row r="40" spans="2:8" x14ac:dyDescent="0.3">
      <c r="B40" s="7"/>
    </row>
    <row r="41" spans="2:8" x14ac:dyDescent="0.3">
      <c r="B41" s="7"/>
    </row>
    <row r="42" spans="2:8" x14ac:dyDescent="0.3">
      <c r="B42" s="7" t="s">
        <v>642</v>
      </c>
      <c r="E42" s="3"/>
      <c r="F42" s="3"/>
      <c r="G42" s="3"/>
      <c r="H42" s="3"/>
    </row>
    <row r="43" spans="2:8" ht="5.5" customHeight="1" x14ac:dyDescent="0.3">
      <c r="B43" s="7"/>
      <c r="E43" s="3"/>
      <c r="F43" s="3"/>
      <c r="G43" s="3"/>
      <c r="H43" s="3"/>
    </row>
    <row r="44" spans="2:8" x14ac:dyDescent="0.3">
      <c r="B44" s="7"/>
      <c r="C44" s="1" t="s">
        <v>641</v>
      </c>
      <c r="E44" s="3">
        <f>-E36</f>
        <v>5804.7712799999999</v>
      </c>
      <c r="F44" s="3">
        <f>+E44-F36</f>
        <v>10904.271359999999</v>
      </c>
      <c r="G44" s="3">
        <f>+F44-G36</f>
        <v>16003.771439999999</v>
      </c>
      <c r="H44" s="3">
        <f>+G44-H36</f>
        <v>21103.271519999998</v>
      </c>
    </row>
    <row r="45" spans="2:8" ht="5.5" customHeight="1" x14ac:dyDescent="0.3">
      <c r="B45" s="7"/>
      <c r="C45" s="185"/>
      <c r="E45" s="186"/>
      <c r="F45" s="186"/>
      <c r="G45" s="186"/>
      <c r="H45" s="186"/>
    </row>
    <row r="46" spans="2:8" x14ac:dyDescent="0.3">
      <c r="B46" s="7"/>
      <c r="C46" s="185" t="s">
        <v>635</v>
      </c>
      <c r="E46" s="3">
        <f>+E44</f>
        <v>5804.7712799999999</v>
      </c>
      <c r="F46" s="3">
        <f>+F44-E44</f>
        <v>5099.5000799999989</v>
      </c>
      <c r="G46" s="3">
        <f>+G44-F44</f>
        <v>5099.5000799999998</v>
      </c>
      <c r="H46" s="3">
        <f>+H44-G44</f>
        <v>5099.5000799999998</v>
      </c>
    </row>
    <row r="47" spans="2:8" x14ac:dyDescent="0.3">
      <c r="B47" s="7"/>
    </row>
    <row r="48" spans="2:8" x14ac:dyDescent="0.3">
      <c r="B48" s="7"/>
    </row>
    <row r="49" spans="2:8" x14ac:dyDescent="0.3">
      <c r="B49" s="7"/>
    </row>
    <row r="50" spans="2:8" x14ac:dyDescent="0.3">
      <c r="B50" s="7" t="s">
        <v>640</v>
      </c>
    </row>
    <row r="51" spans="2:8" ht="5.5" customHeight="1" x14ac:dyDescent="0.3">
      <c r="B51" s="7"/>
    </row>
    <row r="52" spans="2:8" x14ac:dyDescent="0.3">
      <c r="B52" s="7"/>
      <c r="C52" s="1" t="s">
        <v>639</v>
      </c>
    </row>
    <row r="53" spans="2:8" x14ac:dyDescent="0.3">
      <c r="B53" s="7"/>
      <c r="C53" s="1">
        <v>2022</v>
      </c>
      <c r="E53" s="28">
        <v>3.7499999999999999E-2</v>
      </c>
      <c r="F53" s="28">
        <v>7.2190000000000004E-2</v>
      </c>
      <c r="G53" s="28">
        <v>6.6669999999999993E-2</v>
      </c>
      <c r="H53" s="28">
        <v>6.1769999999999999E-2</v>
      </c>
    </row>
    <row r="54" spans="2:8" x14ac:dyDescent="0.3">
      <c r="B54" s="7"/>
      <c r="C54" s="1">
        <v>2023</v>
      </c>
      <c r="E54" s="28"/>
      <c r="F54" s="28">
        <v>3.7499999999999999E-2</v>
      </c>
      <c r="G54" s="28">
        <v>7.2190000000000004E-2</v>
      </c>
      <c r="H54" s="28">
        <v>6.6669999999999993E-2</v>
      </c>
    </row>
    <row r="55" spans="2:8" x14ac:dyDescent="0.3">
      <c r="B55" s="7"/>
      <c r="C55" s="1">
        <v>2024</v>
      </c>
      <c r="E55" s="28"/>
      <c r="F55" s="28"/>
      <c r="G55" s="28">
        <v>3.7499999999999999E-2</v>
      </c>
      <c r="H55" s="28">
        <v>7.2190000000000004E-2</v>
      </c>
    </row>
    <row r="56" spans="2:8" x14ac:dyDescent="0.3">
      <c r="B56" s="7"/>
      <c r="C56" s="1">
        <v>2025</v>
      </c>
      <c r="E56" s="28"/>
      <c r="F56" s="28"/>
      <c r="G56" s="28"/>
      <c r="H56" s="28">
        <v>3.7499999999999999E-2</v>
      </c>
    </row>
    <row r="57" spans="2:8" ht="5.5" customHeight="1" x14ac:dyDescent="0.3">
      <c r="B57" s="7"/>
    </row>
    <row r="58" spans="2:8" x14ac:dyDescent="0.3">
      <c r="B58" s="7"/>
      <c r="C58" s="1" t="s">
        <v>638</v>
      </c>
    </row>
    <row r="59" spans="2:8" x14ac:dyDescent="0.3">
      <c r="B59" s="7"/>
      <c r="C59" s="1">
        <v>2022</v>
      </c>
      <c r="E59" s="187">
        <f>+($C$36-E53)*E$26*0.21</f>
        <v>814.4835407586985</v>
      </c>
      <c r="F59" s="187">
        <f>+($C$36-F53)*$E$26*0.21</f>
        <v>2558.5843984043322</v>
      </c>
      <c r="G59" s="187">
        <f>+($C$36-G53)*$E$26*0.21</f>
        <v>2281.0566747316911</v>
      </c>
      <c r="H59" s="187">
        <f>+($C$36-H53)*$E$26*0.21</f>
        <v>2034.700543210688</v>
      </c>
    </row>
    <row r="60" spans="2:8" x14ac:dyDescent="0.3">
      <c r="B60" s="7"/>
      <c r="C60" s="1">
        <v>2023</v>
      </c>
      <c r="F60" s="187">
        <f>+($C$36-F54)*$F$26*0.21</f>
        <v>0</v>
      </c>
      <c r="G60" s="187">
        <f>+($C$36-G54)*$F$26*0.21</f>
        <v>0</v>
      </c>
      <c r="H60" s="187">
        <f>+($C$36-H54)*$F$26*0.21</f>
        <v>0</v>
      </c>
    </row>
    <row r="61" spans="2:8" x14ac:dyDescent="0.3">
      <c r="B61" s="7"/>
      <c r="C61" s="1">
        <v>2024</v>
      </c>
      <c r="G61" s="187">
        <f>+($C$36-G55)*$G$26*0.21</f>
        <v>0</v>
      </c>
      <c r="H61" s="187">
        <f>+($C$36-H55)*$G$26*0.21</f>
        <v>0</v>
      </c>
    </row>
    <row r="62" spans="2:8" x14ac:dyDescent="0.3">
      <c r="B62" s="7"/>
      <c r="C62" s="1">
        <v>2025</v>
      </c>
      <c r="E62" s="41"/>
      <c r="F62" s="41"/>
      <c r="G62" s="41"/>
      <c r="H62" s="188">
        <f>+($C$36-H56)*$H$26*0.21</f>
        <v>0</v>
      </c>
    </row>
    <row r="63" spans="2:8" x14ac:dyDescent="0.3">
      <c r="B63" s="7"/>
      <c r="C63" s="1" t="s">
        <v>637</v>
      </c>
      <c r="E63" s="187">
        <f>+SUM(E59:E62)</f>
        <v>814.4835407586985</v>
      </c>
      <c r="F63" s="187">
        <f>+SUM(F59:F62)</f>
        <v>2558.5843984043322</v>
      </c>
      <c r="G63" s="187">
        <f>+SUM(G59:G62)</f>
        <v>2281.0566747316911</v>
      </c>
      <c r="H63" s="187">
        <f>+SUM(H59:H62)</f>
        <v>2034.700543210688</v>
      </c>
    </row>
    <row r="64" spans="2:8" ht="5.5" customHeight="1" x14ac:dyDescent="0.3">
      <c r="B64" s="7"/>
      <c r="E64" s="187"/>
      <c r="F64" s="187"/>
      <c r="G64" s="187"/>
      <c r="H64" s="187"/>
    </row>
    <row r="65" spans="2:8" x14ac:dyDescent="0.3">
      <c r="B65" s="7"/>
      <c r="C65" s="1" t="s">
        <v>636</v>
      </c>
      <c r="E65" s="187">
        <f>+E63</f>
        <v>814.4835407586985</v>
      </c>
      <c r="F65" s="187">
        <f>+F63+E65</f>
        <v>3373.0679391630306</v>
      </c>
      <c r="G65" s="187">
        <f>+G63+F65</f>
        <v>5654.1246138947217</v>
      </c>
      <c r="H65" s="187">
        <f>+H63+G65</f>
        <v>7688.8251571054097</v>
      </c>
    </row>
    <row r="66" spans="2:8" ht="5.5" customHeight="1" x14ac:dyDescent="0.3">
      <c r="B66" s="7"/>
      <c r="C66" s="185"/>
      <c r="E66" s="186"/>
      <c r="F66" s="186"/>
      <c r="G66" s="186"/>
      <c r="H66" s="186"/>
    </row>
    <row r="67" spans="2:8" x14ac:dyDescent="0.3">
      <c r="B67" s="7"/>
      <c r="C67" s="185" t="s">
        <v>635</v>
      </c>
      <c r="E67" s="3">
        <f>+E65</f>
        <v>814.4835407586985</v>
      </c>
      <c r="F67" s="3">
        <f>+F65-E65</f>
        <v>2558.5843984043322</v>
      </c>
      <c r="G67" s="3">
        <f>+G65-F65</f>
        <v>2281.0566747316911</v>
      </c>
      <c r="H67" s="3">
        <f>+H65-G65</f>
        <v>2034.700543210688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2514D-0BD4-40EA-B37E-C9D52CAFD288}">
  <dimension ref="A1:M60"/>
  <sheetViews>
    <sheetView workbookViewId="0"/>
  </sheetViews>
  <sheetFormatPr defaultRowHeight="13" x14ac:dyDescent="0.3"/>
  <cols>
    <col min="1" max="2" width="2.08984375" style="1" customWidth="1"/>
    <col min="3" max="3" width="16.36328125" style="1" customWidth="1"/>
    <col min="4" max="4" width="2.453125" style="1" customWidth="1"/>
    <col min="5" max="8" width="13.81640625" style="1" customWidth="1"/>
    <col min="9" max="9" width="2.08984375" style="1" customWidth="1"/>
    <col min="10" max="11" width="8.7265625" style="1"/>
    <col min="12" max="12" width="15.453125" style="1" customWidth="1"/>
    <col min="13" max="16384" width="8.7265625" style="1"/>
  </cols>
  <sheetData>
    <row r="1" spans="1:13" x14ac:dyDescent="0.3">
      <c r="A1" s="1" t="s">
        <v>654</v>
      </c>
    </row>
    <row r="2" spans="1:13" x14ac:dyDescent="0.3">
      <c r="A2" s="1" t="s">
        <v>1091</v>
      </c>
    </row>
    <row r="6" spans="1:13" x14ac:dyDescent="0.3">
      <c r="D6" s="27"/>
      <c r="E6" s="26"/>
      <c r="F6" s="26"/>
      <c r="G6" s="26"/>
      <c r="H6" s="26"/>
      <c r="I6" s="25"/>
    </row>
    <row r="7" spans="1:13" x14ac:dyDescent="0.3">
      <c r="D7" s="22"/>
      <c r="E7" s="194"/>
      <c r="F7" s="196" t="s">
        <v>407</v>
      </c>
      <c r="G7" s="196" t="s">
        <v>408</v>
      </c>
      <c r="H7" s="196" t="s">
        <v>409</v>
      </c>
      <c r="I7" s="193"/>
    </row>
    <row r="8" spans="1:13" x14ac:dyDescent="0.3">
      <c r="D8" s="22"/>
      <c r="E8" s="195" t="s">
        <v>653</v>
      </c>
      <c r="F8" s="194">
        <f>+-(F31+E31)</f>
        <v>782.26559999999995</v>
      </c>
      <c r="G8" s="194">
        <f>-G31</f>
        <v>1711.5419100000001</v>
      </c>
      <c r="H8" s="194">
        <f>-H31</f>
        <v>4172.0069100000001</v>
      </c>
      <c r="I8" s="193"/>
      <c r="L8" s="1" t="s">
        <v>652</v>
      </c>
      <c r="M8" s="1">
        <v>0.752355</v>
      </c>
    </row>
    <row r="9" spans="1:13" x14ac:dyDescent="0.3">
      <c r="D9" s="22"/>
      <c r="E9" s="195" t="s">
        <v>19</v>
      </c>
      <c r="F9" s="192">
        <f>+E24+F24+E39+F39+E60+F60</f>
        <v>-37706.088709822485</v>
      </c>
      <c r="G9" s="192">
        <f>+G24+G39+G60</f>
        <v>-67354.820361097969</v>
      </c>
      <c r="H9" s="192">
        <f>+H24+H39+H60</f>
        <v>-168125.19515767967</v>
      </c>
      <c r="I9" s="193"/>
      <c r="L9" s="1" t="s">
        <v>16</v>
      </c>
      <c r="M9" s="32">
        <f>+'Exh. BGM-4 (1)'!$AJ$5</f>
        <v>0.21</v>
      </c>
    </row>
    <row r="10" spans="1:13" x14ac:dyDescent="0.3">
      <c r="D10" s="22"/>
      <c r="E10" s="195" t="s">
        <v>651</v>
      </c>
      <c r="F10" s="194">
        <f>+(F$9*$M$10-F$8*(1-$M$9))/$M$8</f>
        <v>-4429.8611840251206</v>
      </c>
      <c r="G10" s="194">
        <f>+(G$9*$M$10-G$8*(1-$M$9))/$M$8</f>
        <v>-8243.0038677207631</v>
      </c>
      <c r="H10" s="194">
        <f>+(H$9*$M$10-H$8*(1-$M$9))/$M$8</f>
        <v>-20470.256076257803</v>
      </c>
      <c r="I10" s="193"/>
      <c r="L10" s="1" t="s">
        <v>650</v>
      </c>
      <c r="M10" s="28">
        <f>+'Exh. BGM-4 (1)'!$AL$16</f>
        <v>7.2000000000000008E-2</v>
      </c>
    </row>
    <row r="11" spans="1:13" x14ac:dyDescent="0.3">
      <c r="D11" s="20"/>
      <c r="E11" s="192"/>
      <c r="F11" s="192"/>
      <c r="G11" s="192"/>
      <c r="H11" s="192"/>
      <c r="I11" s="24"/>
    </row>
    <row r="12" spans="1:13" x14ac:dyDescent="0.3">
      <c r="E12" s="3"/>
    </row>
    <row r="15" spans="1:13" x14ac:dyDescent="0.3">
      <c r="B15" s="191" t="s">
        <v>649</v>
      </c>
      <c r="E15" s="190">
        <v>2022</v>
      </c>
      <c r="F15" s="190">
        <v>2023</v>
      </c>
      <c r="G15" s="190">
        <v>2024</v>
      </c>
      <c r="H15" s="190">
        <v>2025</v>
      </c>
    </row>
    <row r="16" spans="1:13" x14ac:dyDescent="0.3">
      <c r="E16" s="3"/>
    </row>
    <row r="17" spans="2:8" x14ac:dyDescent="0.3">
      <c r="B17" s="7" t="s">
        <v>648</v>
      </c>
      <c r="E17" s="3"/>
    </row>
    <row r="18" spans="2:8" ht="5.5" customHeight="1" x14ac:dyDescent="0.3">
      <c r="B18" s="7"/>
      <c r="E18" s="3"/>
      <c r="F18" s="3"/>
      <c r="G18" s="3"/>
      <c r="H18" s="3"/>
    </row>
    <row r="19" spans="2:8" x14ac:dyDescent="0.3">
      <c r="B19" s="7"/>
      <c r="C19" s="1" t="s">
        <v>647</v>
      </c>
      <c r="E19" s="186">
        <v>-40119.811454329101</v>
      </c>
      <c r="F19" s="186">
        <v>0</v>
      </c>
      <c r="G19" s="186">
        <v>-256428.722377442</v>
      </c>
      <c r="H19" s="186">
        <v>254.41705022740601</v>
      </c>
    </row>
    <row r="20" spans="2:8" x14ac:dyDescent="0.3">
      <c r="B20" s="7"/>
      <c r="C20" s="1" t="s">
        <v>646</v>
      </c>
      <c r="E20" s="3">
        <f>+E19</f>
        <v>-40119.811454329101</v>
      </c>
      <c r="F20" s="3">
        <f>+E20+F19</f>
        <v>-40119.811454329101</v>
      </c>
      <c r="G20" s="3">
        <f>+F20+G19</f>
        <v>-296548.53383177111</v>
      </c>
      <c r="H20" s="3">
        <f>+G20+H19</f>
        <v>-296294.11678154371</v>
      </c>
    </row>
    <row r="21" spans="2:8" ht="5.5" customHeight="1" x14ac:dyDescent="0.3">
      <c r="B21" s="7"/>
      <c r="E21" s="3"/>
      <c r="F21" s="3"/>
      <c r="G21" s="3"/>
      <c r="H21" s="3"/>
    </row>
    <row r="22" spans="2:8" x14ac:dyDescent="0.3">
      <c r="B22" s="7"/>
      <c r="C22" s="1" t="s">
        <v>645</v>
      </c>
      <c r="E22" s="3">
        <v>-1671.65881059705</v>
      </c>
      <c r="F22" s="3">
        <v>-40119.811450000001</v>
      </c>
      <c r="G22" s="3">
        <v>-114752.69121999999</v>
      </c>
      <c r="H22" s="3">
        <v>-296675.74232000002</v>
      </c>
    </row>
    <row r="23" spans="2:8" ht="5.5" customHeight="1" x14ac:dyDescent="0.3">
      <c r="B23" s="7"/>
      <c r="C23" s="185"/>
      <c r="E23" s="189"/>
      <c r="F23" s="189"/>
      <c r="G23" s="189"/>
      <c r="H23" s="189"/>
    </row>
    <row r="24" spans="2:8" x14ac:dyDescent="0.3">
      <c r="B24" s="7"/>
      <c r="C24" s="185" t="s">
        <v>644</v>
      </c>
      <c r="E24" s="5">
        <f>+E22</f>
        <v>-1671.65881059705</v>
      </c>
      <c r="F24" s="5">
        <f>+F22-E22</f>
        <v>-38448.15263940295</v>
      </c>
      <c r="G24" s="5">
        <f>+G22-F22</f>
        <v>-74632.87977</v>
      </c>
      <c r="H24" s="5">
        <f>+H22-G22</f>
        <v>-181923.05110000004</v>
      </c>
    </row>
    <row r="25" spans="2:8" x14ac:dyDescent="0.3">
      <c r="B25" s="7"/>
    </row>
    <row r="26" spans="2:8" x14ac:dyDescent="0.3">
      <c r="B26" s="7"/>
    </row>
    <row r="27" spans="2:8" x14ac:dyDescent="0.3">
      <c r="B27" s="7"/>
    </row>
    <row r="28" spans="2:8" x14ac:dyDescent="0.3">
      <c r="B28" s="7"/>
      <c r="C28" s="1" t="s">
        <v>1027</v>
      </c>
    </row>
    <row r="29" spans="2:8" x14ac:dyDescent="0.3">
      <c r="B29" s="7"/>
      <c r="C29" s="28">
        <f>+-SUM(E29:H29)/SUM(E22:H22)</f>
        <v>-2.2021595645523924E-2</v>
      </c>
      <c r="E29" s="3">
        <v>-38.737929999999999</v>
      </c>
      <c r="F29" s="3">
        <v>-782.26559999999995</v>
      </c>
      <c r="G29" s="3">
        <v>-2493.8075100000001</v>
      </c>
      <c r="H29" s="3">
        <v>-6665.8144199999997</v>
      </c>
    </row>
    <row r="30" spans="2:8" ht="5.5" customHeight="1" x14ac:dyDescent="0.3">
      <c r="B30" s="7"/>
      <c r="C30" s="185"/>
      <c r="E30" s="186"/>
      <c r="F30" s="186"/>
      <c r="G30" s="186"/>
      <c r="H30" s="186"/>
    </row>
    <row r="31" spans="2:8" x14ac:dyDescent="0.3">
      <c r="B31" s="7"/>
      <c r="C31" s="185" t="s">
        <v>635</v>
      </c>
      <c r="E31" s="5">
        <f>+E29</f>
        <v>-38.737929999999999</v>
      </c>
      <c r="F31" s="3">
        <f>+F29-E29</f>
        <v>-743.52766999999994</v>
      </c>
      <c r="G31" s="3">
        <f>+G29-F29</f>
        <v>-1711.5419100000001</v>
      </c>
      <c r="H31" s="3">
        <f>+H29-G29</f>
        <v>-4172.0069100000001</v>
      </c>
    </row>
    <row r="32" spans="2:8" x14ac:dyDescent="0.3">
      <c r="B32" s="7"/>
    </row>
    <row r="33" spans="2:8" x14ac:dyDescent="0.3">
      <c r="B33" s="7"/>
    </row>
    <row r="34" spans="2:8" x14ac:dyDescent="0.3">
      <c r="B34" s="7"/>
    </row>
    <row r="35" spans="2:8" x14ac:dyDescent="0.3">
      <c r="B35" s="7" t="s">
        <v>642</v>
      </c>
      <c r="E35" s="3"/>
      <c r="F35" s="3"/>
      <c r="G35" s="3"/>
      <c r="H35" s="3"/>
    </row>
    <row r="36" spans="2:8" ht="5.5" customHeight="1" x14ac:dyDescent="0.3">
      <c r="B36" s="7"/>
      <c r="E36" s="3"/>
      <c r="F36" s="3"/>
      <c r="G36" s="3"/>
      <c r="H36" s="3"/>
    </row>
    <row r="37" spans="2:8" x14ac:dyDescent="0.3">
      <c r="B37" s="7"/>
      <c r="C37" s="1" t="s">
        <v>641</v>
      </c>
      <c r="E37" s="3">
        <f>-E29</f>
        <v>38.737929999999999</v>
      </c>
      <c r="F37" s="3">
        <f>+E37-F29</f>
        <v>821.00352999999996</v>
      </c>
      <c r="G37" s="3">
        <f>+F37-G29</f>
        <v>3314.81104</v>
      </c>
      <c r="H37" s="3">
        <f>+G37-H29</f>
        <v>9980.6254599999993</v>
      </c>
    </row>
    <row r="38" spans="2:8" ht="5.5" customHeight="1" x14ac:dyDescent="0.3">
      <c r="B38" s="7"/>
      <c r="C38" s="185"/>
      <c r="E38" s="186"/>
      <c r="F38" s="186"/>
      <c r="G38" s="186"/>
      <c r="H38" s="186"/>
    </row>
    <row r="39" spans="2:8" x14ac:dyDescent="0.3">
      <c r="B39" s="7"/>
      <c r="C39" s="185" t="s">
        <v>635</v>
      </c>
      <c r="E39" s="3">
        <f>+E37</f>
        <v>38.737929999999999</v>
      </c>
      <c r="F39" s="3">
        <f>+F37-E37</f>
        <v>782.26559999999995</v>
      </c>
      <c r="G39" s="3">
        <f>+G37-F37</f>
        <v>2493.8075100000001</v>
      </c>
      <c r="H39" s="3">
        <f>+H37-G37</f>
        <v>6665.8144199999988</v>
      </c>
    </row>
    <row r="40" spans="2:8" x14ac:dyDescent="0.3">
      <c r="B40" s="7"/>
    </row>
    <row r="41" spans="2:8" x14ac:dyDescent="0.3">
      <c r="B41" s="7"/>
    </row>
    <row r="42" spans="2:8" x14ac:dyDescent="0.3">
      <c r="B42" s="7"/>
    </row>
    <row r="43" spans="2:8" x14ac:dyDescent="0.3">
      <c r="B43" s="7" t="s">
        <v>640</v>
      </c>
    </row>
    <row r="44" spans="2:8" ht="5.5" customHeight="1" x14ac:dyDescent="0.3">
      <c r="B44" s="7"/>
    </row>
    <row r="45" spans="2:8" x14ac:dyDescent="0.3">
      <c r="B45" s="7"/>
      <c r="C45" s="1" t="s">
        <v>1032</v>
      </c>
    </row>
    <row r="46" spans="2:8" x14ac:dyDescent="0.3">
      <c r="B46" s="7"/>
      <c r="C46" s="1">
        <v>2022</v>
      </c>
      <c r="E46" s="28">
        <v>0.05</v>
      </c>
      <c r="F46" s="28">
        <v>9.5000000000000001E-2</v>
      </c>
      <c r="G46" s="28">
        <v>8.5500000000000007E-2</v>
      </c>
      <c r="H46" s="28">
        <v>7.6999999999999999E-2</v>
      </c>
    </row>
    <row r="47" spans="2:8" x14ac:dyDescent="0.3">
      <c r="B47" s="7"/>
      <c r="C47" s="1">
        <v>2023</v>
      </c>
      <c r="E47" s="28"/>
      <c r="F47" s="28">
        <v>0.05</v>
      </c>
      <c r="G47" s="28">
        <v>9.5000000000000001E-2</v>
      </c>
      <c r="H47" s="28">
        <v>8.5500000000000007E-2</v>
      </c>
    </row>
    <row r="48" spans="2:8" x14ac:dyDescent="0.3">
      <c r="B48" s="7"/>
      <c r="C48" s="1">
        <v>2024</v>
      </c>
      <c r="E48" s="28"/>
      <c r="F48" s="28"/>
      <c r="G48" s="28">
        <v>0.05</v>
      </c>
      <c r="H48" s="28">
        <v>9.5000000000000001E-2</v>
      </c>
    </row>
    <row r="49" spans="2:8" x14ac:dyDescent="0.3">
      <c r="B49" s="7"/>
      <c r="C49" s="1">
        <v>2025</v>
      </c>
      <c r="E49" s="28"/>
      <c r="F49" s="28"/>
      <c r="G49" s="28"/>
      <c r="H49" s="28">
        <v>0.05</v>
      </c>
    </row>
    <row r="50" spans="2:8" ht="5.5" customHeight="1" x14ac:dyDescent="0.3">
      <c r="B50" s="7"/>
    </row>
    <row r="51" spans="2:8" x14ac:dyDescent="0.3">
      <c r="B51" s="7"/>
      <c r="C51" s="1" t="s">
        <v>638</v>
      </c>
    </row>
    <row r="52" spans="2:8" x14ac:dyDescent="0.3">
      <c r="B52" s="7"/>
      <c r="C52" s="1">
        <v>2022</v>
      </c>
      <c r="E52" s="187">
        <f>+($C$29-E46)*E$19*0.21</f>
        <v>606.79349596705345</v>
      </c>
      <c r="F52" s="187">
        <f>+($C$29-F46)*$E$19*0.21</f>
        <v>985.9257142104633</v>
      </c>
      <c r="G52" s="187">
        <f>+($C$29-G46)*$E$19*0.21</f>
        <v>905.88669035907697</v>
      </c>
      <c r="H52" s="187">
        <f>+($C$29-H46)*$E$19*0.21</f>
        <v>834.27282691309949</v>
      </c>
    </row>
    <row r="53" spans="2:8" x14ac:dyDescent="0.3">
      <c r="B53" s="7"/>
      <c r="C53" s="1">
        <v>2023</v>
      </c>
      <c r="F53" s="187">
        <f>+($C$29-F47)*$F$19*0.21</f>
        <v>0</v>
      </c>
      <c r="G53" s="187">
        <f>+($C$29-G47)*$F$19*0.21</f>
        <v>0</v>
      </c>
      <c r="H53" s="187">
        <f>+($C$29-H47)*$F$19*0.21</f>
        <v>0</v>
      </c>
    </row>
    <row r="54" spans="2:8" x14ac:dyDescent="0.3">
      <c r="B54" s="7"/>
      <c r="C54" s="1">
        <v>2024</v>
      </c>
      <c r="G54" s="187">
        <f>+($C$29-G48)*$G$19*0.21</f>
        <v>3878.365208542953</v>
      </c>
      <c r="H54" s="187">
        <f>+($C$29-H48)*$G$19*0.21</f>
        <v>6301.6166350097792</v>
      </c>
    </row>
    <row r="55" spans="2:8" x14ac:dyDescent="0.3">
      <c r="B55" s="7"/>
      <c r="C55" s="1">
        <v>2025</v>
      </c>
      <c r="E55" s="41"/>
      <c r="F55" s="41"/>
      <c r="G55" s="41"/>
      <c r="H55" s="188">
        <f>+($C$29-H49)*$H$19*0.21</f>
        <v>-3.8479396025290891</v>
      </c>
    </row>
    <row r="56" spans="2:8" x14ac:dyDescent="0.3">
      <c r="B56" s="7"/>
      <c r="C56" s="1" t="s">
        <v>637</v>
      </c>
      <c r="E56" s="187">
        <f>+SUM(E52:E55)</f>
        <v>606.79349596705345</v>
      </c>
      <c r="F56" s="187">
        <f>+SUM(F52:F55)</f>
        <v>985.9257142104633</v>
      </c>
      <c r="G56" s="187">
        <f>+SUM(G52:G55)</f>
        <v>4784.25189890203</v>
      </c>
      <c r="H56" s="187">
        <f>+SUM(H52:H55)</f>
        <v>7132.0415223203499</v>
      </c>
    </row>
    <row r="57" spans="2:8" ht="5.5" customHeight="1" x14ac:dyDescent="0.3">
      <c r="B57" s="7"/>
      <c r="E57" s="187"/>
      <c r="F57" s="187"/>
      <c r="G57" s="187"/>
      <c r="H57" s="187"/>
    </row>
    <row r="58" spans="2:8" x14ac:dyDescent="0.3">
      <c r="B58" s="7"/>
      <c r="C58" s="1" t="s">
        <v>636</v>
      </c>
      <c r="E58" s="187">
        <f>+E56</f>
        <v>606.79349596705345</v>
      </c>
      <c r="F58" s="187">
        <f>+F56+E58</f>
        <v>1592.7192101775167</v>
      </c>
      <c r="G58" s="187">
        <f>+G56+F58</f>
        <v>6376.9711090795463</v>
      </c>
      <c r="H58" s="187">
        <f>+H56+G58</f>
        <v>13509.012631399895</v>
      </c>
    </row>
    <row r="59" spans="2:8" ht="5.5" customHeight="1" x14ac:dyDescent="0.3">
      <c r="B59" s="7"/>
      <c r="C59" s="185"/>
      <c r="E59" s="186"/>
      <c r="F59" s="186"/>
      <c r="G59" s="186"/>
      <c r="H59" s="186"/>
    </row>
    <row r="60" spans="2:8" x14ac:dyDescent="0.3">
      <c r="B60" s="7"/>
      <c r="C60" s="185" t="s">
        <v>635</v>
      </c>
      <c r="E60" s="3">
        <f>+E58</f>
        <v>606.79349596705345</v>
      </c>
      <c r="F60" s="3">
        <f>+F58-E58</f>
        <v>985.9257142104633</v>
      </c>
      <c r="G60" s="3">
        <f>+G58-F58</f>
        <v>4784.25189890203</v>
      </c>
      <c r="H60" s="3">
        <f>+H58-G58</f>
        <v>7132.041522320349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FBC736-ACBD-46BE-A445-FF3AB5014C61}">
  <dimension ref="A1:M60"/>
  <sheetViews>
    <sheetView workbookViewId="0"/>
  </sheetViews>
  <sheetFormatPr defaultRowHeight="13" x14ac:dyDescent="0.3"/>
  <cols>
    <col min="1" max="2" width="2.08984375" style="1" customWidth="1"/>
    <col min="3" max="3" width="16.36328125" style="1" customWidth="1"/>
    <col min="4" max="4" width="2.453125" style="1" customWidth="1"/>
    <col min="5" max="8" width="13.81640625" style="1" customWidth="1"/>
    <col min="9" max="9" width="2.08984375" style="1" customWidth="1"/>
    <col min="10" max="11" width="8.7265625" style="1"/>
    <col min="12" max="12" width="15.453125" style="1" customWidth="1"/>
    <col min="13" max="16384" width="8.7265625" style="1"/>
  </cols>
  <sheetData>
    <row r="1" spans="1:13" x14ac:dyDescent="0.3">
      <c r="A1" s="1" t="s">
        <v>654</v>
      </c>
    </row>
    <row r="2" spans="1:13" x14ac:dyDescent="0.3">
      <c r="A2" s="1" t="s">
        <v>1097</v>
      </c>
    </row>
    <row r="6" spans="1:13" x14ac:dyDescent="0.3">
      <c r="D6" s="27"/>
      <c r="E6" s="26"/>
      <c r="F6" s="26"/>
      <c r="G6" s="26"/>
      <c r="H6" s="26"/>
      <c r="I6" s="25"/>
    </row>
    <row r="7" spans="1:13" x14ac:dyDescent="0.3">
      <c r="D7" s="22"/>
      <c r="E7" s="194"/>
      <c r="F7" s="196" t="s">
        <v>407</v>
      </c>
      <c r="G7" s="196" t="s">
        <v>408</v>
      </c>
      <c r="H7" s="196" t="s">
        <v>409</v>
      </c>
      <c r="I7" s="193"/>
    </row>
    <row r="8" spans="1:13" x14ac:dyDescent="0.3">
      <c r="D8" s="22"/>
      <c r="E8" s="195" t="s">
        <v>653</v>
      </c>
      <c r="F8" s="194">
        <f>+-(F31+E31)</f>
        <v>0</v>
      </c>
      <c r="G8" s="194">
        <f>-G31</f>
        <v>0</v>
      </c>
      <c r="H8" s="194">
        <f>-H31</f>
        <v>298.24766</v>
      </c>
      <c r="I8" s="193"/>
      <c r="L8" s="1" t="s">
        <v>652</v>
      </c>
      <c r="M8" s="1">
        <v>0.752355</v>
      </c>
    </row>
    <row r="9" spans="1:13" x14ac:dyDescent="0.3">
      <c r="D9" s="22"/>
      <c r="E9" s="195" t="s">
        <v>19</v>
      </c>
      <c r="F9" s="192">
        <f>+E24+F24+E39+F39+E60+F60</f>
        <v>0</v>
      </c>
      <c r="G9" s="192">
        <f>+G24+G39+G60</f>
        <v>0</v>
      </c>
      <c r="H9" s="192">
        <f>+H24+H39+H60</f>
        <v>-15524.67823173475</v>
      </c>
      <c r="I9" s="193"/>
      <c r="L9" s="1" t="s">
        <v>16</v>
      </c>
      <c r="M9" s="32">
        <f>+'Exh. BGM-4 (1)'!$AJ$5</f>
        <v>0.21</v>
      </c>
    </row>
    <row r="10" spans="1:13" x14ac:dyDescent="0.3">
      <c r="D10" s="22"/>
      <c r="E10" s="195" t="s">
        <v>651</v>
      </c>
      <c r="F10" s="194">
        <f>+(F$9*$M$10-F$8*(1-$M$9))/$M$8</f>
        <v>0</v>
      </c>
      <c r="G10" s="194">
        <f>+(G$9*$M$10-G$8*(1-$M$9))/$M$8</f>
        <v>0</v>
      </c>
      <c r="H10" s="194">
        <f>+(H$9*$M$10-H$8*(1-$M$9))/$M$8</f>
        <v>-1798.8748450995899</v>
      </c>
      <c r="I10" s="193"/>
      <c r="L10" s="1" t="s">
        <v>650</v>
      </c>
      <c r="M10" s="28">
        <f>+'Exh. BGM-4 (1)'!$AL$16</f>
        <v>7.2000000000000008E-2</v>
      </c>
    </row>
    <row r="11" spans="1:13" x14ac:dyDescent="0.3">
      <c r="D11" s="20"/>
      <c r="E11" s="192"/>
      <c r="F11" s="192"/>
      <c r="G11" s="192"/>
      <c r="H11" s="192"/>
      <c r="I11" s="24"/>
    </row>
    <row r="12" spans="1:13" x14ac:dyDescent="0.3">
      <c r="E12" s="3"/>
    </row>
    <row r="15" spans="1:13" x14ac:dyDescent="0.3">
      <c r="B15" s="191" t="s">
        <v>649</v>
      </c>
      <c r="E15" s="190">
        <v>2022</v>
      </c>
      <c r="F15" s="190">
        <v>2023</v>
      </c>
      <c r="G15" s="190">
        <v>2024</v>
      </c>
      <c r="H15" s="190">
        <v>2025</v>
      </c>
    </row>
    <row r="16" spans="1:13" x14ac:dyDescent="0.3">
      <c r="E16" s="3"/>
    </row>
    <row r="17" spans="2:8" x14ac:dyDescent="0.3">
      <c r="B17" s="7" t="s">
        <v>648</v>
      </c>
      <c r="E17" s="3"/>
    </row>
    <row r="18" spans="2:8" ht="5.5" customHeight="1" x14ac:dyDescent="0.3">
      <c r="B18" s="7"/>
      <c r="E18" s="3"/>
      <c r="F18" s="3"/>
      <c r="G18" s="3"/>
      <c r="H18" s="3"/>
    </row>
    <row r="19" spans="2:8" x14ac:dyDescent="0.3">
      <c r="B19" s="7"/>
      <c r="C19" s="1" t="s">
        <v>647</v>
      </c>
      <c r="E19" s="186">
        <v>0</v>
      </c>
      <c r="F19" s="186">
        <v>0</v>
      </c>
      <c r="G19" s="186">
        <v>0</v>
      </c>
      <c r="H19" s="186">
        <v>-436459.99177780648</v>
      </c>
    </row>
    <row r="20" spans="2:8" x14ac:dyDescent="0.3">
      <c r="B20" s="7"/>
      <c r="C20" s="1" t="s">
        <v>646</v>
      </c>
      <c r="E20" s="3">
        <f>+E19</f>
        <v>0</v>
      </c>
      <c r="F20" s="3">
        <f>+E20+F19</f>
        <v>0</v>
      </c>
      <c r="G20" s="3">
        <f>+F20+G19</f>
        <v>0</v>
      </c>
      <c r="H20" s="3">
        <f>+G20+H19</f>
        <v>-436459.99177780648</v>
      </c>
    </row>
    <row r="21" spans="2:8" ht="5.5" customHeight="1" x14ac:dyDescent="0.3">
      <c r="B21" s="7"/>
      <c r="E21" s="3"/>
      <c r="F21" s="3"/>
      <c r="G21" s="3"/>
      <c r="H21" s="3"/>
    </row>
    <row r="22" spans="2:8" x14ac:dyDescent="0.3">
      <c r="B22" s="7"/>
      <c r="C22" s="1" t="s">
        <v>645</v>
      </c>
      <c r="E22" s="3">
        <v>0</v>
      </c>
      <c r="F22" s="3">
        <v>0</v>
      </c>
      <c r="G22" s="3">
        <v>0</v>
      </c>
      <c r="H22" s="3">
        <f>-18185832.99/1000</f>
        <v>-18185.832989999999</v>
      </c>
    </row>
    <row r="23" spans="2:8" ht="5.5" customHeight="1" x14ac:dyDescent="0.3">
      <c r="B23" s="7"/>
      <c r="C23" s="185"/>
      <c r="E23" s="189"/>
      <c r="F23" s="189"/>
      <c r="G23" s="189"/>
      <c r="H23" s="189"/>
    </row>
    <row r="24" spans="2:8" x14ac:dyDescent="0.3">
      <c r="B24" s="7"/>
      <c r="C24" s="185" t="s">
        <v>644</v>
      </c>
      <c r="E24" s="5">
        <f>+E22</f>
        <v>0</v>
      </c>
      <c r="F24" s="5">
        <f>+F22-E22</f>
        <v>0</v>
      </c>
      <c r="G24" s="5">
        <f>+G22-F22</f>
        <v>0</v>
      </c>
      <c r="H24" s="5">
        <f>+H22-G22</f>
        <v>-18185.832989999999</v>
      </c>
    </row>
    <row r="25" spans="2:8" x14ac:dyDescent="0.3">
      <c r="B25" s="7"/>
    </row>
    <row r="26" spans="2:8" x14ac:dyDescent="0.3">
      <c r="B26" s="7"/>
    </row>
    <row r="27" spans="2:8" x14ac:dyDescent="0.3">
      <c r="B27" s="7"/>
    </row>
    <row r="28" spans="2:8" x14ac:dyDescent="0.3">
      <c r="B28" s="7"/>
      <c r="C28" s="1" t="s">
        <v>1027</v>
      </c>
    </row>
    <row r="29" spans="2:8" x14ac:dyDescent="0.3">
      <c r="B29" s="7"/>
      <c r="C29" s="28">
        <f>+-SUM(E29:H29)/SUM(E22:H22)</f>
        <v>-1.6399999943032581E-2</v>
      </c>
      <c r="E29" s="3">
        <v>0</v>
      </c>
      <c r="F29" s="3">
        <v>0</v>
      </c>
      <c r="G29" s="3">
        <v>0</v>
      </c>
      <c r="H29" s="3">
        <f>-298247.66/1000</f>
        <v>-298.24766</v>
      </c>
    </row>
    <row r="30" spans="2:8" ht="5.5" customHeight="1" x14ac:dyDescent="0.3">
      <c r="B30" s="7"/>
      <c r="C30" s="185"/>
      <c r="E30" s="186"/>
      <c r="F30" s="186"/>
      <c r="G30" s="186"/>
      <c r="H30" s="186"/>
    </row>
    <row r="31" spans="2:8" x14ac:dyDescent="0.3">
      <c r="B31" s="7"/>
      <c r="C31" s="185" t="s">
        <v>635</v>
      </c>
      <c r="E31" s="5">
        <f>+E29</f>
        <v>0</v>
      </c>
      <c r="F31" s="3">
        <f>+F29-E29</f>
        <v>0</v>
      </c>
      <c r="G31" s="3">
        <f>+G29-F29</f>
        <v>0</v>
      </c>
      <c r="H31" s="3">
        <f>+H29-G29</f>
        <v>-298.24766</v>
      </c>
    </row>
    <row r="32" spans="2:8" x14ac:dyDescent="0.3">
      <c r="B32" s="7"/>
    </row>
    <row r="33" spans="2:8" x14ac:dyDescent="0.3">
      <c r="B33" s="7"/>
    </row>
    <row r="34" spans="2:8" x14ac:dyDescent="0.3">
      <c r="B34" s="7"/>
    </row>
    <row r="35" spans="2:8" x14ac:dyDescent="0.3">
      <c r="B35" s="7" t="s">
        <v>642</v>
      </c>
      <c r="E35" s="3"/>
      <c r="F35" s="3"/>
      <c r="G35" s="3"/>
      <c r="H35" s="3"/>
    </row>
    <row r="36" spans="2:8" ht="5.5" customHeight="1" x14ac:dyDescent="0.3">
      <c r="B36" s="7"/>
      <c r="E36" s="3"/>
      <c r="F36" s="3"/>
      <c r="G36" s="3"/>
      <c r="H36" s="3"/>
    </row>
    <row r="37" spans="2:8" x14ac:dyDescent="0.3">
      <c r="B37" s="7"/>
      <c r="C37" s="1" t="s">
        <v>641</v>
      </c>
      <c r="E37" s="3">
        <f>-E29</f>
        <v>0</v>
      </c>
      <c r="F37" s="3">
        <f>+E37-F29</f>
        <v>0</v>
      </c>
      <c r="G37" s="3">
        <f>+F37-G29</f>
        <v>0</v>
      </c>
      <c r="H37" s="3">
        <f>+G37-H29</f>
        <v>298.24766</v>
      </c>
    </row>
    <row r="38" spans="2:8" ht="5.5" customHeight="1" x14ac:dyDescent="0.3">
      <c r="B38" s="7"/>
      <c r="C38" s="185"/>
      <c r="E38" s="186"/>
      <c r="F38" s="186"/>
      <c r="G38" s="186"/>
      <c r="H38" s="186"/>
    </row>
    <row r="39" spans="2:8" x14ac:dyDescent="0.3">
      <c r="B39" s="7"/>
      <c r="C39" s="185" t="s">
        <v>635</v>
      </c>
      <c r="E39" s="3">
        <f>+E37</f>
        <v>0</v>
      </c>
      <c r="F39" s="3">
        <f>+F37-E37</f>
        <v>0</v>
      </c>
      <c r="G39" s="3">
        <f>+G37-F37</f>
        <v>0</v>
      </c>
      <c r="H39" s="3">
        <f>+H37-G37</f>
        <v>298.24766</v>
      </c>
    </row>
    <row r="40" spans="2:8" x14ac:dyDescent="0.3">
      <c r="B40" s="7"/>
    </row>
    <row r="41" spans="2:8" x14ac:dyDescent="0.3">
      <c r="B41" s="7"/>
    </row>
    <row r="42" spans="2:8" x14ac:dyDescent="0.3">
      <c r="B42" s="7"/>
    </row>
    <row r="43" spans="2:8" x14ac:dyDescent="0.3">
      <c r="B43" s="7" t="s">
        <v>640</v>
      </c>
    </row>
    <row r="44" spans="2:8" ht="5.5" customHeight="1" x14ac:dyDescent="0.3">
      <c r="B44" s="7"/>
    </row>
    <row r="45" spans="2:8" x14ac:dyDescent="0.3">
      <c r="B45" s="7"/>
      <c r="C45" s="1" t="s">
        <v>1033</v>
      </c>
    </row>
    <row r="46" spans="2:8" x14ac:dyDescent="0.3">
      <c r="B46" s="7"/>
      <c r="C46" s="1">
        <v>2022</v>
      </c>
      <c r="E46" s="28"/>
      <c r="F46" s="28"/>
      <c r="G46" s="28"/>
      <c r="H46" s="28"/>
    </row>
    <row r="47" spans="2:8" x14ac:dyDescent="0.3">
      <c r="B47" s="7"/>
      <c r="C47" s="1">
        <v>2023</v>
      </c>
      <c r="E47" s="28"/>
      <c r="F47" s="28"/>
      <c r="G47" s="28"/>
      <c r="H47" s="28"/>
    </row>
    <row r="48" spans="2:8" x14ac:dyDescent="0.3">
      <c r="B48" s="7"/>
      <c r="C48" s="1">
        <v>2024</v>
      </c>
      <c r="E48" s="28"/>
      <c r="F48" s="28"/>
      <c r="G48" s="28"/>
      <c r="H48" s="28"/>
    </row>
    <row r="49" spans="2:8" x14ac:dyDescent="0.3">
      <c r="B49" s="7"/>
      <c r="C49" s="1">
        <v>2025</v>
      </c>
      <c r="E49" s="28"/>
      <c r="F49" s="28"/>
      <c r="G49" s="28"/>
      <c r="H49" s="273">
        <v>9.3799999999999994E-3</v>
      </c>
    </row>
    <row r="50" spans="2:8" ht="5.5" customHeight="1" x14ac:dyDescent="0.3">
      <c r="B50" s="7"/>
    </row>
    <row r="51" spans="2:8" x14ac:dyDescent="0.3">
      <c r="B51" s="7"/>
      <c r="C51" s="1" t="s">
        <v>638</v>
      </c>
    </row>
    <row r="52" spans="2:8" x14ac:dyDescent="0.3">
      <c r="B52" s="7"/>
      <c r="C52" s="1">
        <v>2022</v>
      </c>
      <c r="E52" s="187">
        <f>+($C$29-E46)*E$19*0.21</f>
        <v>0</v>
      </c>
      <c r="F52" s="187">
        <f>+($C$29-F46)*$E$19*0.21</f>
        <v>0</v>
      </c>
      <c r="G52" s="187">
        <f>+($C$29-G46)*$E$19*0.21</f>
        <v>0</v>
      </c>
      <c r="H52" s="187">
        <f>+($C$29-H46)*$E$19*0.21</f>
        <v>0</v>
      </c>
    </row>
    <row r="53" spans="2:8" x14ac:dyDescent="0.3">
      <c r="B53" s="7"/>
      <c r="C53" s="1">
        <v>2023</v>
      </c>
      <c r="F53" s="187">
        <f>+($C$29-F47)*$F$19*0.21</f>
        <v>0</v>
      </c>
      <c r="G53" s="187">
        <f>+($C$29-G47)*$F$19*0.21</f>
        <v>0</v>
      </c>
      <c r="H53" s="187">
        <f>+($C$29-H47)*$F$19*0.21</f>
        <v>0</v>
      </c>
    </row>
    <row r="54" spans="2:8" x14ac:dyDescent="0.3">
      <c r="B54" s="7"/>
      <c r="C54" s="1">
        <v>2024</v>
      </c>
      <c r="G54" s="187">
        <f>+($C$29-G48)*$G$19*0.21</f>
        <v>0</v>
      </c>
      <c r="H54" s="187">
        <f>+($C$29-H48)*$G$19*0.21</f>
        <v>0</v>
      </c>
    </row>
    <row r="55" spans="2:8" x14ac:dyDescent="0.3">
      <c r="B55" s="7"/>
      <c r="C55" s="1">
        <v>2025</v>
      </c>
      <c r="E55" s="41"/>
      <c r="F55" s="41"/>
      <c r="G55" s="41"/>
      <c r="H55" s="188">
        <f>+($C$29-H49)*$H$19*0.21</f>
        <v>2362.9070982652488</v>
      </c>
    </row>
    <row r="56" spans="2:8" x14ac:dyDescent="0.3">
      <c r="B56" s="7"/>
      <c r="C56" s="1" t="s">
        <v>637</v>
      </c>
      <c r="E56" s="187">
        <f>+SUM(E52:E55)</f>
        <v>0</v>
      </c>
      <c r="F56" s="187">
        <f>+SUM(F52:F55)</f>
        <v>0</v>
      </c>
      <c r="G56" s="187">
        <f>+SUM(G52:G55)</f>
        <v>0</v>
      </c>
      <c r="H56" s="187">
        <f>+SUM(H52:H55)</f>
        <v>2362.9070982652488</v>
      </c>
    </row>
    <row r="57" spans="2:8" ht="5.5" customHeight="1" x14ac:dyDescent="0.3">
      <c r="B57" s="7"/>
      <c r="E57" s="187"/>
      <c r="F57" s="187"/>
      <c r="G57" s="187"/>
      <c r="H57" s="187"/>
    </row>
    <row r="58" spans="2:8" x14ac:dyDescent="0.3">
      <c r="B58" s="7"/>
      <c r="C58" s="1" t="s">
        <v>636</v>
      </c>
      <c r="E58" s="187">
        <f>+E56</f>
        <v>0</v>
      </c>
      <c r="F58" s="187">
        <f>+F56+E58</f>
        <v>0</v>
      </c>
      <c r="G58" s="187">
        <f>+G56+F58</f>
        <v>0</v>
      </c>
      <c r="H58" s="187">
        <f>+H56+G58</f>
        <v>2362.9070982652488</v>
      </c>
    </row>
    <row r="59" spans="2:8" ht="5.5" customHeight="1" x14ac:dyDescent="0.3">
      <c r="B59" s="7"/>
      <c r="C59" s="185"/>
      <c r="E59" s="186"/>
      <c r="F59" s="186"/>
      <c r="G59" s="186"/>
      <c r="H59" s="186"/>
    </row>
    <row r="60" spans="2:8" x14ac:dyDescent="0.3">
      <c r="B60" s="7"/>
      <c r="C60" s="185" t="s">
        <v>635</v>
      </c>
      <c r="E60" s="3">
        <f>+E58</f>
        <v>0</v>
      </c>
      <c r="F60" s="3">
        <f>+F58-E58</f>
        <v>0</v>
      </c>
      <c r="G60" s="3">
        <f>+G58-F58</f>
        <v>0</v>
      </c>
      <c r="H60" s="3">
        <f>+H58-G58</f>
        <v>2362.9070982652488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0C5B27E5DFE5A42B5D94F605CB10C32" ma:contentTypeVersion="28" ma:contentTypeDescription="" ma:contentTypeScope="" ma:versionID="fc80ea6e72d900639d1ddbebee804e9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2022-01-31T08:00:00+00:00</OpenedDate>
    <SignificantOrder xmlns="dc463f71-b30c-4ab2-9473-d307f9d35888">false</SignificantOrder>
    <Date1 xmlns="dc463f71-b30c-4ab2-9473-d307f9d35888">2022-07-28T07:00:00+00:00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220066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C1725BDC-E1C3-41C4-A47E-A3D028111D4E}"/>
</file>

<file path=customXml/itemProps2.xml><?xml version="1.0" encoding="utf-8"?>
<ds:datastoreItem xmlns:ds="http://schemas.openxmlformats.org/officeDocument/2006/customXml" ds:itemID="{343B9CEF-80BC-49B0-B1CE-27751EB03F20}"/>
</file>

<file path=customXml/itemProps3.xml><?xml version="1.0" encoding="utf-8"?>
<ds:datastoreItem xmlns:ds="http://schemas.openxmlformats.org/officeDocument/2006/customXml" ds:itemID="{A93B1C3E-9439-4F6A-8A8F-7E46FB9379CB}"/>
</file>

<file path=customXml/itemProps4.xml><?xml version="1.0" encoding="utf-8"?>
<ds:datastoreItem xmlns:ds="http://schemas.openxmlformats.org/officeDocument/2006/customXml" ds:itemID="{017BB625-CDC3-4836-8142-CA79E7090C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8</vt:i4>
      </vt:variant>
    </vt:vector>
  </HeadingPairs>
  <TitlesOfParts>
    <vt:vector size="21" baseType="lpstr">
      <vt:lpstr>LEAD Elect.</vt:lpstr>
      <vt:lpstr>LEAD Gas</vt:lpstr>
      <vt:lpstr>Exh. BGM-3 (1)</vt:lpstr>
      <vt:lpstr>Exh. BGM-3 (2)</vt:lpstr>
      <vt:lpstr>Exh. BGM-4 (1)</vt:lpstr>
      <vt:lpstr>Exh. BGM-4 (2)</vt:lpstr>
      <vt:lpstr>A1 (Elect. Adj.)</vt:lpstr>
      <vt:lpstr>A1 (Gas Adj.)</vt:lpstr>
      <vt:lpstr>A2 (Dir. Fees)</vt:lpstr>
      <vt:lpstr>11.32 (Gas Line Ext. Adj.)</vt:lpstr>
      <vt:lpstr>11.33 (Tacoma LNG)</vt:lpstr>
      <vt:lpstr>6.33 (EESD)</vt:lpstr>
      <vt:lpstr>6.33 (LWR BKR)</vt:lpstr>
      <vt:lpstr>'Exh. BGM-3 (1)'!Print_Area</vt:lpstr>
      <vt:lpstr>'Exh. BGM-3 (2)'!Print_Area</vt:lpstr>
      <vt:lpstr>'Exh. BGM-4 (1)'!Print_Area</vt:lpstr>
      <vt:lpstr>'Exh. BGM-4 (2)'!Print_Area</vt:lpstr>
      <vt:lpstr>'Exh. BGM-3 (1)'!Print_Titles</vt:lpstr>
      <vt:lpstr>'Exh. BGM-3 (2)'!Print_Titles</vt:lpstr>
      <vt:lpstr>'Exh. BGM-4 (1)'!Print_Titles</vt:lpstr>
      <vt:lpstr>'Exh. BGM-4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Mullins</dc:creator>
  <cp:lastModifiedBy>Bradley Mullins</cp:lastModifiedBy>
  <cp:lastPrinted>2022-07-27T17:25:18Z</cp:lastPrinted>
  <dcterms:created xsi:type="dcterms:W3CDTF">2022-07-07T02:34:08Z</dcterms:created>
  <dcterms:modified xsi:type="dcterms:W3CDTF">2022-07-28T07:25:38Z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0x0101006E56B4D1795A2E4DB2F0B01679ED314A00A0C5B27E5DFE5A42B5D94F605CB10C32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