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customProperty19.bin" ContentType="application/vnd.openxmlformats-officedocument.spreadsheetml.customProperty"/>
  <Override PartName="/xl/customProperty20.bin" ContentType="application/vnd.openxmlformats-officedocument.spreadsheetml.customProperty"/>
  <Override PartName="/xl/customProperty21.bin" ContentType="application/vnd.openxmlformats-officedocument.spreadsheetml.customProperty"/>
  <Override PartName="/xl/customProperty22.bin" ContentType="application/vnd.openxmlformats-officedocument.spreadsheetml.customProperty"/>
  <Override PartName="/xl/customProperty23.bin" ContentType="application/vnd.openxmlformats-officedocument.spreadsheetml.customProperty"/>
  <Override PartName="/docProps/app.xml" ContentType="application/vnd.openxmlformats-officedocument.extended-properties+xml"/>
  <Override PartName="/xl/customProperty25.bin" ContentType="application/vnd.openxmlformats-officedocument.spreadsheetml.customProperty"/>
  <Override PartName="/xl/customProperty24.bin" ContentType="application/vnd.openxmlformats-officedocument.spreadsheetml.customProperty"/>
  <Override PartName="/xl/customProperty27.bin" ContentType="application/vnd.openxmlformats-officedocument.spreadsheetml.customProperty"/>
  <Override PartName="/xl/customProperty28.bin" ContentType="application/vnd.openxmlformats-officedocument.spreadsheetml.customProperty"/>
  <Override PartName="/xl/customProperty29.bin" ContentType="application/vnd.openxmlformats-officedocument.spreadsheetml.customProperty"/>
  <Override PartName="/xl/customProperty30.bin" ContentType="application/vnd.openxmlformats-officedocument.spreadsheetml.customProperty"/>
  <Override PartName="/xl/customProperty26.bin" ContentType="application/vnd.openxmlformats-officedocument.spreadsheetml.customProperty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ustomProperty31.bin" ContentType="application/vnd.openxmlformats-officedocument.spreadsheetml.customProperty"/>
  <Override PartName="/xl/customProperty32.bin" ContentType="application/vnd.openxmlformats-officedocument.spreadsheetml.customProperty"/>
  <Override PartName="/xl/customProperty33.bin" ContentType="application/vnd.openxmlformats-officedocument.spreadsheetml.customProperty"/>
  <Override PartName="/xl/customProperty34.bin" ContentType="application/vnd.openxmlformats-officedocument.spreadsheetml.customProperty"/>
  <Override PartName="/xl/customProperty35.bin" ContentType="application/vnd.openxmlformats-officedocument.spreadsheetml.customProperty"/>
  <Override PartName="/xl/customProperty36.bin" ContentType="application/vnd.openxmlformats-officedocument.spreadsheetml.customProperty"/>
  <Override PartName="/xl/customProperty37.bin" ContentType="application/vnd.openxmlformats-officedocument.spreadsheetml.customProperty"/>
  <Override PartName="/xl/customProperty38.bin" ContentType="application/vnd.openxmlformats-officedocument.spreadsheetml.customProperty"/>
  <Override PartName="/xl/customProperty39.bin" ContentType="application/vnd.openxmlformats-officedocument.spreadsheetml.customProperty"/>
  <Override PartName="/xl/customProperty40.bin" ContentType="application/vnd.openxmlformats-officedocument.spreadsheetml.customProperty"/>
  <Override PartName="/xl/customProperty41.bin" ContentType="application/vnd.openxmlformats-officedocument.spreadsheetml.customProperty"/>
  <Override PartName="/xl/customProperty42.bin" ContentType="application/vnd.openxmlformats-officedocument.spreadsheetml.customProperty"/>
  <Override PartName="/xl/customProperty43.bin" ContentType="application/vnd.openxmlformats-officedocument.spreadsheetml.customProperty"/>
  <Override PartName="/xl/customProperty44.bin" ContentType="application/vnd.openxmlformats-officedocument.spreadsheetml.customProperty"/>
  <Override PartName="/xl/customProperty45.bin" ContentType="application/vnd.openxmlformats-officedocument.spreadsheetml.customProperty"/>
  <Override PartName="/xl/customProperty46.bin" ContentType="application/vnd.openxmlformats-officedocument.spreadsheetml.customProperty"/>
  <Override PartName="/xl/customProperty47.bin" ContentType="application/vnd.openxmlformats-officedocument.spreadsheetml.customProperty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83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acadianconsulting.sharepoint.com/sites/ACGFS/Shared Documents/FS_Shared/Current/WA-PSE-RTC/Testimony-ACG/Direct/Drafts-Schedules and Exhibits/"/>
    </mc:Choice>
  </mc:AlternateContent>
  <xr:revisionPtr revIDLastSave="0" documentId="8_{FC530349-2133-4A65-A22B-747FF3D5C2A2}" xr6:coauthVersionLast="47" xr6:coauthVersionMax="47" xr10:uidLastSave="{00000000-0000-0000-0000-000000000000}"/>
  <bookViews>
    <workbookView xWindow="-120" yWindow="-120" windowWidth="29040" windowHeight="15720" tabRatio="946" xr2:uid="{00000000-000D-0000-FFFF-FFFF00000000}"/>
  </bookViews>
  <sheets>
    <sheet name="Exhibit DED-16" sheetId="113" r:id="rId1"/>
    <sheet name="Table of Contents" sheetId="112" r:id="rId2"/>
    <sheet name="Exhibits--&gt;" sheetId="111" r:id="rId3"/>
    <sheet name="Overall Rate Impacts --&gt;" sheetId="75" r:id="rId4"/>
    <sheet name="Exh CTM-8 (Rate Impacts_RY#1)" sheetId="72" r:id="rId5"/>
    <sheet name="Exh CTM-8 (Rate Impacts_RY#2)" sheetId="77" r:id="rId6"/>
    <sheet name="Exh CTM-8 (Avg Per kWh)" sheetId="88" r:id="rId7"/>
    <sheet name="Bill Impacts--&gt;" sheetId="83" r:id="rId8"/>
    <sheet name="Exh CTM-8 (Res Bill Summary)" sheetId="106" r:id="rId9"/>
    <sheet name="Exh CTM-8 Typical Res Bill RY#1" sheetId="84" r:id="rId10"/>
    <sheet name="Exh CTM-8 Typical Res Bill RY#2" sheetId="85" r:id="rId11"/>
    <sheet name="Exh CTM-8 (Schedule 24 Impacts)" sheetId="108" r:id="rId12"/>
    <sheet name="Exh CTM-8 (Schedule 25 Impacts)" sheetId="109" r:id="rId13"/>
    <sheet name="Exh CTM-8 (Schedule 26 Impacts)" sheetId="39" r:id="rId14"/>
    <sheet name="Exh CTM-8 (Schedule 29 Impacts)" sheetId="40" r:id="rId15"/>
    <sheet name="Exh CTM-8 (Schedule 31 Impacts)" sheetId="41" r:id="rId16"/>
    <sheet name="Exh CTM-8 (Schedule 46 Impacts)" sheetId="42" r:id="rId17"/>
    <sheet name="Exh CTM-8 (Schedule 49 Impacts)" sheetId="43" r:id="rId18"/>
    <sheet name="Workpapers --&gt;" sheetId="91" r:id="rId19"/>
    <sheet name="Summary Installation Count" sheetId="110" r:id="rId20"/>
    <sheet name="Revenue by Sch RY#1" sheetId="102" r:id="rId21"/>
    <sheet name="Revenue by Sch RY#2" sheetId="96" r:id="rId22"/>
    <sheet name="Revenue &amp; Rider Impacts--&gt;" sheetId="15" r:id="rId23"/>
    <sheet name="Sch 95" sheetId="62" r:id="rId24"/>
    <sheet name="Sch 95 Imbalance" sheetId="3" r:id="rId25"/>
    <sheet name="Sch 95a" sheetId="4" r:id="rId26"/>
    <sheet name="Sch 120" sheetId="13" r:id="rId27"/>
    <sheet name="Sch 129" sheetId="16" r:id="rId28"/>
    <sheet name="Sch 129D" sheetId="97" r:id="rId29"/>
    <sheet name="Sch 137" sheetId="19" r:id="rId30"/>
    <sheet name="Sch 139" sheetId="67" r:id="rId31"/>
    <sheet name="Sch 139 Supplemental" sheetId="98" r:id="rId32"/>
    <sheet name="Sch 140" sheetId="22" r:id="rId33"/>
    <sheet name="Sch 141" sheetId="23" r:id="rId34"/>
    <sheet name="Sch 141A" sheetId="95" r:id="rId35"/>
    <sheet name="Sch 141CEI" sheetId="68" r:id="rId36"/>
    <sheet name="Sch 141COL" sheetId="99" r:id="rId37"/>
    <sheet name="Sch 141N" sheetId="69" r:id="rId38"/>
    <sheet name="Sch 141R" sheetId="70" r:id="rId39"/>
    <sheet name="Sch 141TEP" sheetId="100" r:id="rId40"/>
    <sheet name="Sch 141X" sheetId="50" r:id="rId41"/>
    <sheet name="Sch 141Z" sheetId="59" r:id="rId42"/>
    <sheet name="Sch 142" sheetId="24" r:id="rId43"/>
    <sheet name="Sch 142 Supplemental" sheetId="101" r:id="rId44"/>
    <sheet name="Sch 194" sheetId="25" r:id="rId45"/>
    <sheet name="Sch 141CGR" sheetId="103" r:id="rId46"/>
    <sheet name="Sch 141DCARB" sheetId="105" r:id="rId47"/>
    <sheet name="Sch 141WFP" sheetId="104" r:id="rId48"/>
  </sheets>
  <definedNames>
    <definedName name="__________________six6" hidden="1">{#N/A,#N/A,FALSE,"CRPT";#N/A,#N/A,FALSE,"TREND";#N/A,#N/A,FALSE,"%Curve"}</definedName>
    <definedName name="__________________www1" hidden="1">{#N/A,#N/A,FALSE,"schA"}</definedName>
    <definedName name="_________________six6" hidden="1">{#N/A,#N/A,FALSE,"CRPT";#N/A,#N/A,FALSE,"TREND";#N/A,#N/A,FALSE,"%Curve"}</definedName>
    <definedName name="_________________www1" hidden="1">{#N/A,#N/A,FALSE,"schA"}</definedName>
    <definedName name="________________six6" hidden="1">{#N/A,#N/A,FALSE,"CRPT";#N/A,#N/A,FALSE,"TREND";#N/A,#N/A,FALSE,"%Curve"}</definedName>
    <definedName name="________________www1" hidden="1">{#N/A,#N/A,FALSE,"schA"}</definedName>
    <definedName name="_______________six6" hidden="1">{#N/A,#N/A,FALSE,"CRPT";#N/A,#N/A,FALSE,"TREND";#N/A,#N/A,FALSE,"%Curve"}</definedName>
    <definedName name="_______________www1" hidden="1">{#N/A,#N/A,FALSE,"schA"}</definedName>
    <definedName name="______________six6" hidden="1">{#N/A,#N/A,FALSE,"CRPT";#N/A,#N/A,FALSE,"TREND";#N/A,#N/A,FALSE,"%Curve"}</definedName>
    <definedName name="______________www1" hidden="1">{#N/A,#N/A,FALSE,"schA"}</definedName>
    <definedName name="_____________six6" hidden="1">{#N/A,#N/A,FALSE,"CRPT";#N/A,#N/A,FALSE,"TREND";#N/A,#N/A,FALSE,"%Curve"}</definedName>
    <definedName name="_____________www1" hidden="1">{#N/A,#N/A,FALSE,"schA"}</definedName>
    <definedName name="____________six6" hidden="1">{#N/A,#N/A,FALSE,"CRPT";#N/A,#N/A,FALSE,"TREND";#N/A,#N/A,FALSE,"%Curve"}</definedName>
    <definedName name="____________www1" hidden="1">{#N/A,#N/A,FALSE,"schA"}</definedName>
    <definedName name="___________six6" hidden="1">{#N/A,#N/A,FALSE,"CRPT";#N/A,#N/A,FALSE,"TREND";#N/A,#N/A,FALSE,"%Curve"}</definedName>
    <definedName name="___________www1" hidden="1">{#N/A,#N/A,FALSE,"schA"}</definedName>
    <definedName name="__________six6" hidden="1">{#N/A,#N/A,FALSE,"CRPT";#N/A,#N/A,FALSE,"TREND";#N/A,#N/A,FALSE,"%Curve"}</definedName>
    <definedName name="__________www1" hidden="1">{#N/A,#N/A,FALSE,"schA"}</definedName>
    <definedName name="_________six6" hidden="1">{#N/A,#N/A,FALSE,"CRPT";#N/A,#N/A,FALSE,"TREND";#N/A,#N/A,FALSE,"%Curve"}</definedName>
    <definedName name="_________www1" hidden="1">{#N/A,#N/A,FALSE,"schA"}</definedName>
    <definedName name="________six6" hidden="1">{#N/A,#N/A,FALSE,"CRPT";#N/A,#N/A,FALSE,"TREND";#N/A,#N/A,FALSE,"%Curve"}</definedName>
    <definedName name="________www1" hidden="1">{#N/A,#N/A,FALSE,"schA"}</definedName>
    <definedName name="_______ex1" hidden="1">{#N/A,#N/A,FALSE,"Summ";#N/A,#N/A,FALSE,"General"}</definedName>
    <definedName name="_______new1" hidden="1">{#N/A,#N/A,FALSE,"Summ";#N/A,#N/A,FALSE,"General"}</definedName>
    <definedName name="_______six6" hidden="1">{#N/A,#N/A,FALSE,"CRPT";#N/A,#N/A,FALSE,"TREND";#N/A,#N/A,FALSE,"%Curve"}</definedName>
    <definedName name="_______www1" hidden="1">{#N/A,#N/A,FALSE,"schA"}</definedName>
    <definedName name="______ex1" hidden="1">{#N/A,#N/A,FALSE,"Summ";#N/A,#N/A,FALSE,"General"}</definedName>
    <definedName name="______new1" hidden="1">{#N/A,#N/A,FALSE,"Summ";#N/A,#N/A,FALSE,"General"}</definedName>
    <definedName name="______six6" hidden="1">{#N/A,#N/A,FALSE,"CRPT";#N/A,#N/A,FALSE,"TREND";#N/A,#N/A,FALSE,"%Curve"}</definedName>
    <definedName name="______www1" hidden="1">{#N/A,#N/A,FALSE,"schA"}</definedName>
    <definedName name="_____ex1" hidden="1">{#N/A,#N/A,FALSE,"Summ";#N/A,#N/A,FALSE,"General"}</definedName>
    <definedName name="_____new1" hidden="1">{#N/A,#N/A,FALSE,"Summ";#N/A,#N/A,FALSE,"General"}</definedName>
    <definedName name="_____six6" hidden="1">{#N/A,#N/A,FALSE,"CRPT";#N/A,#N/A,FALSE,"TREND";#N/A,#N/A,FALSE,"%Curve"}</definedName>
    <definedName name="_____www1" hidden="1">{#N/A,#N/A,FALSE,"schA"}</definedName>
    <definedName name="____ex1" hidden="1">{#N/A,#N/A,FALSE,"Summ";#N/A,#N/A,FALSE,"General"}</definedName>
    <definedName name="____new1" hidden="1">{#N/A,#N/A,FALSE,"Summ";#N/A,#N/A,FALSE,"General"}</definedName>
    <definedName name="____six6" hidden="1">{#N/A,#N/A,FALSE,"CRPT";#N/A,#N/A,FALSE,"TREND";#N/A,#N/A,FALSE,"%Curve"}</definedName>
    <definedName name="____www1" hidden="1">{#N/A,#N/A,FALSE,"schA"}</definedName>
    <definedName name="___ex1" hidden="1">{#N/A,#N/A,FALSE,"Summ";#N/A,#N/A,FALSE,"General"}</definedName>
    <definedName name="___new1" hidden="1">{#N/A,#N/A,FALSE,"Summ";#N/A,#N/A,FALSE,"General"}</definedName>
    <definedName name="___six6" hidden="1">{#N/A,#N/A,FALSE,"CRPT";#N/A,#N/A,FALSE,"TREND";#N/A,#N/A,FALSE,"%Curve"}</definedName>
    <definedName name="___www1" hidden="1">{#N/A,#N/A,FALSE,"schA"}</definedName>
    <definedName name="__123Graph_A" hidden="1">#REF!</definedName>
    <definedName name="__123Graph_ABUDG6_DSCRPR" hidden="1">#REF!</definedName>
    <definedName name="__123Graph_ABUDG6_ESCRPR1" hidden="1">#REF!</definedName>
    <definedName name="__123Graph_B" hidden="1">#REF!</definedName>
    <definedName name="__123Graph_BBUDG6_DSCRPR" hidden="1">#REF!</definedName>
    <definedName name="__123Graph_BBUDG6_ESCRPR1" hidden="1">#REF!</definedName>
    <definedName name="__123Graph_D" hidden="1">#REF!</definedName>
    <definedName name="__123Graph_ECURRENT" hidden="1">#REF!</definedName>
    <definedName name="__123Graph_X" hidden="1">#REF!</definedName>
    <definedName name="__123Graph_XBUDG6_DSCRPR" hidden="1">#REF!</definedName>
    <definedName name="__123Graph_XBUDG6_ESCRPR1" hidden="1">#REF!</definedName>
    <definedName name="__ex1" hidden="1">{#N/A,#N/A,FALSE,"Summ";#N/A,#N/A,FALSE,"General"}</definedName>
    <definedName name="__new1" hidden="1">{#N/A,#N/A,FALSE,"Summ";#N/A,#N/A,FALSE,"General"}</definedName>
    <definedName name="__six6" hidden="1">{#N/A,#N/A,FALSE,"CRPT";#N/A,#N/A,FALSE,"TREND";#N/A,#N/A,FALSE,"%Curve"}</definedName>
    <definedName name="__www1" hidden="1">{#N/A,#N/A,FALSE,"schA"}</definedName>
    <definedName name="_1__123Graph_ABUDG6_D_ESCRPR" hidden="1">#REF!</definedName>
    <definedName name="_2__123Graph_ABUDG6_Dtons_inv" hidden="1">#REF!</definedName>
    <definedName name="_2011bcf">#REF!</definedName>
    <definedName name="_2011fx">#REF!</definedName>
    <definedName name="_2011s">#REF!</definedName>
    <definedName name="_2012bcf">#REF!</definedName>
    <definedName name="_2012fx">#REF!</definedName>
    <definedName name="_2012s">#REF!</definedName>
    <definedName name="_2013bcf">#REF!</definedName>
    <definedName name="_2013fx">#REF!</definedName>
    <definedName name="_2013s">#REF!</definedName>
    <definedName name="_2014bcf">#REF!</definedName>
    <definedName name="_2014fx">#REF!</definedName>
    <definedName name="_2014s">#REF!</definedName>
    <definedName name="_2015bcf">#REF!</definedName>
    <definedName name="_2015fx">#REF!</definedName>
    <definedName name="_2015s">#REF!</definedName>
    <definedName name="_2016bcf">#REF!</definedName>
    <definedName name="_2016fx">#REF!</definedName>
    <definedName name="_2016s">#REF!</definedName>
    <definedName name="_2017bcf">#REF!</definedName>
    <definedName name="_2017fx">#REF!</definedName>
    <definedName name="_2017s">#REF!</definedName>
    <definedName name="_2018bcf">#REF!</definedName>
    <definedName name="_2018fx">#REF!</definedName>
    <definedName name="_2018s">#REF!</definedName>
    <definedName name="_2019bcf">#REF!</definedName>
    <definedName name="_2019fx">#REF!</definedName>
    <definedName name="_2019s">#REF!</definedName>
    <definedName name="_3__123Graph_ABUDG6_Dtons_inv" hidden="1">#REF!</definedName>
    <definedName name="_3__123Graph_BBUDG6_D_ESCRPR" hidden="1">#REF!</definedName>
    <definedName name="_4__123Graph_ABUDG6_Dtons_inv" hidden="1">#REF!</definedName>
    <definedName name="_4__123Graph_BBUDG6_Dtons_inv" hidden="1">#REF!</definedName>
    <definedName name="_5__123Graph_CBUDG6_D_ESCRPR" hidden="1">#REF!</definedName>
    <definedName name="_6__123Graph_CBUDG6_D_ESCRPR" hidden="1">#REF!</definedName>
    <definedName name="_6__123Graph_DBUDG6_D_ESCRPR" hidden="1">#REF!</definedName>
    <definedName name="_7__123Graph_CBUDG6_D_ESCRPR" hidden="1">#REF!</definedName>
    <definedName name="_7__123Graph_DBUDG6_D_ESCRPR" hidden="1">#REF!</definedName>
    <definedName name="_7__123Graph_XBUDG6_D_ESCRPR" hidden="1">#REF!</definedName>
    <definedName name="_8__123Graph_DBUDG6_D_ESCRPR" hidden="1">#REF!</definedName>
    <definedName name="_8__123Graph_XBUDG6_Dtons_inv" hidden="1">#REF!</definedName>
    <definedName name="_ex1" hidden="1">{#N/A,#N/A,FALSE,"Summ";#N/A,#N/A,FALSE,"General"}</definedName>
    <definedName name="_Fill" hidden="1">#REF!</definedName>
    <definedName name="_Key1" hidden="1">#REF!</definedName>
    <definedName name="_Key2" hidden="1">#REF!</definedName>
    <definedName name="_new1" hidden="1">{#N/A,#N/A,FALSE,"Summ";#N/A,#N/A,FALSE,"General"}</definedName>
    <definedName name="_Parse_In" hidden="1">#REF!</definedName>
    <definedName name="_six6" hidden="1">{#N/A,#N/A,FALSE,"CRPT";#N/A,#N/A,FALSE,"TREND";#N/A,#N/A,FALSE,"%Curve"}</definedName>
    <definedName name="_Sort" hidden="1">#REF!</definedName>
    <definedName name="_www1" hidden="1">{#N/A,#N/A,FALSE,"schA"}</definedName>
    <definedName name="a" hidden="1">{#N/A,#N/A,FALSE,"Coversheet";#N/A,#N/A,FALSE,"QA"}</definedName>
    <definedName name="aaa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AAAAAAAAAAAAAA" hidden="1">{#N/A,#N/A,FALSE,"Coversheet";#N/A,#N/A,FALSE,"QA"}</definedName>
    <definedName name="anscount" hidden="1">1</definedName>
    <definedName name="b" hidden="1">{#N/A,#N/A,FALSE,"Coversheet";#N/A,#N/A,FALSE,"QA"}</definedName>
    <definedName name="Base1_Billing2">#REF!</definedName>
    <definedName name="BEm" hidden="1">#REF!</definedName>
    <definedName name="BEx0017DGUEDPCFJUPUZOOLJCS2B" hidden="1">#REF!</definedName>
    <definedName name="BEx001CNWHJ5RULCSFM36ZCGJ1UH" hidden="1">#REF!</definedName>
    <definedName name="BEx004791UAJIJSN57OT7YBLNP82" hidden="1">#REF!</definedName>
    <definedName name="BEx008P2NVFDLBHL7IZ5WTMVOQ1F" hidden="1">#REF!</definedName>
    <definedName name="BEx009G00IN0JUIAQ4WE9NHTMQE2" hidden="1">#REF!</definedName>
    <definedName name="BEx00DXTY2JDVGWQKV8H7FG4SV30" hidden="1">#REF!</definedName>
    <definedName name="BEx00GHLTYRH5N2S6P78YW1CD30N" hidden="1">#REF!</definedName>
    <definedName name="BEx00JC31DY11L45SEU4B10BIN6W" hidden="1">#REF!</definedName>
    <definedName name="BEx00KZHZBHP3TDV1YMX4B19B95O" hidden="1">#REF!</definedName>
    <definedName name="BEx00P11V7HA4MS6XYY3P4BPVXML" hidden="1">#REF!</definedName>
    <definedName name="BEx00PBV7V99V7M3LDYUTF31MUFJ" hidden="1">#REF!</definedName>
    <definedName name="BEx00SMIQJ55EVB7T24CORX0JWQO" hidden="1">#REF!</definedName>
    <definedName name="BEx010V7DB7O7Z9NHSX27HZK4H76" hidden="1">#REF!</definedName>
    <definedName name="BEx012IKS6YVHG9KTG2FAKRSMYLU" hidden="1">#REF!</definedName>
    <definedName name="BEx01HY6E3GJ66ABU5ABN26V6Q13" hidden="1">#REF!</definedName>
    <definedName name="BEx01PW5YQKEGAR8JDDI5OARYXDF" hidden="1">#REF!</definedName>
    <definedName name="BEx01QCB2ERCAYYOFDP3OQRWUU60" hidden="1">#REF!</definedName>
    <definedName name="BEx01U37NQSMTGJRU8EGTJORBJ6H" hidden="1">#REF!</definedName>
    <definedName name="BEx01XJ94SHJ1YQ7ORPW0RQGKI2H" hidden="1">#REF!</definedName>
    <definedName name="BEx028BOZCS2MQO9MODVS6F7NCA3" hidden="1">#REF!</definedName>
    <definedName name="BEx02DPUYNH76938V8GVORY8LRY1" hidden="1">#REF!</definedName>
    <definedName name="BEx02PEP6DY4K1JGB0HHS3B6QOGZ" hidden="1">#REF!</definedName>
    <definedName name="BEx02Q08R9G839Q4RFGG9026C7PX" hidden="1">#REF!</definedName>
    <definedName name="BEx02SEL3Z1QWGAHXDPUA9WLTTPS" hidden="1">#REF!</definedName>
    <definedName name="BEx02Y3KJZH5BGDM9QEZ1PVVI114" hidden="1">#REF!</definedName>
    <definedName name="BEx0313GRLLASDTVPW5DHTXHE74M" hidden="1">#REF!</definedName>
    <definedName name="BEx1F0SOZ3H5XUHXD7O01TCR8T6J" hidden="1">#REF!</definedName>
    <definedName name="BEx1F9HL824UCNCVZ2U62J4KZCX8" hidden="1">#REF!</definedName>
    <definedName name="BEx1FEVSJKTI1Q1Z874QZVFSJSVA" hidden="1">#REF!</definedName>
    <definedName name="BEx1FGDRUHHLI1GBHELT4PK0LY4V" hidden="1">#REF!</definedName>
    <definedName name="BEx1FJZ7GKO99IYTP6GGGF7EUL3Z" hidden="1">#REF!</definedName>
    <definedName name="BEx1FPDH0YKYQXDHUTFIQLIF34J8" hidden="1">#REF!</definedName>
    <definedName name="BEx1FQ9SZAGL2HEKRB046EOQDWOX" hidden="1">#REF!</definedName>
    <definedName name="BEx1FZV2CM77TBH1R6YYV9P06KA2" hidden="1">#REF!</definedName>
    <definedName name="BEx1G59AY8195JTUM6P18VXUFJ3E" hidden="1">#REF!</definedName>
    <definedName name="BEx1GKUDMCV60BOZT0SENCT0MD8L" hidden="1">#REF!</definedName>
    <definedName name="BEx1GUVQ5L0JCX3E4SROI4WBYVTO" hidden="1">#REF!</definedName>
    <definedName name="BEx1GVMRHFXUP6XYYY9NR12PV5TF" hidden="1">#REF!</definedName>
    <definedName name="BEx1H6KIT7BHUH6MDDWC935V9N47" hidden="1">#REF!</definedName>
    <definedName name="BEx1HA60AI3STEJQZAQ0RA3Q3AZV" hidden="1">#REF!</definedName>
    <definedName name="BEx1HB2DBVO5N6V2WX7BEHUFYTFU" hidden="1">#REF!</definedName>
    <definedName name="BEx1HDGOOJ3SKHYMWUZJ1P0RQZ9N" hidden="1">#REF!</definedName>
    <definedName name="BEx1HDM5ZXSJG6JQEMSFV52PZ10V" hidden="1">#REF!</definedName>
    <definedName name="BEx1HETBBZVN5F43LKOFMC4QB0CR" hidden="1">#REF!</definedName>
    <definedName name="BEx1HGWNWPLNXICOTP90TKQVVE4E" hidden="1">#REF!</definedName>
    <definedName name="BEx1HIPLJZABY0EMUOTZN0EQMDPU" hidden="1">#REF!</definedName>
    <definedName name="BEx1HO94JIRX219MPWMB5E5XZ04X" hidden="1">#REF!</definedName>
    <definedName name="BEx1HQNF6KHM21E3XLW0NMSSEI9S" hidden="1">#REF!</definedName>
    <definedName name="BEx1HSLNWIW4S97ZBYY7I7M5YVH4" hidden="1">#REF!</definedName>
    <definedName name="BEx1HZCBBWLB2BTNOXP319ZDEVOJ" hidden="1">#REF!</definedName>
    <definedName name="BEx1I4QKTILCKZUSOJCVZN7SNHL5" hidden="1">#REF!</definedName>
    <definedName name="BEx1IE0ZP7RIFM9FI24S9I6AAJ14" hidden="1">#REF!</definedName>
    <definedName name="BEx1IGQ5B697MNDOE06MVSR0H58E" hidden="1">#REF!</definedName>
    <definedName name="BEx1IKRPW8MLB9Y485M1TL2IT9SH" hidden="1">#REF!</definedName>
    <definedName name="BEx1IPKCFCT3TL9MSO1LSYJ2VJ2X" hidden="1">#REF!</definedName>
    <definedName name="BEx1IW5PQTTMD62XZ287XF2O3FBQ" hidden="1">#REF!</definedName>
    <definedName name="BEx1J0CSSHDJGBJUHVOEMCF2P4DL" hidden="1">#REF!</definedName>
    <definedName name="BEx1J0NL6D3ILC18B48AL0VNEN9A" hidden="1">#REF!</definedName>
    <definedName name="BEx1J7E8VCGLPYU82QXVUG5N3ZAI" hidden="1">#REF!</definedName>
    <definedName name="BEx1JGE2YQWH8S25USOY08XVGO0D" hidden="1">#REF!</definedName>
    <definedName name="BEx1JJJC9T1W7HY4V7HP1S1W4JO1" hidden="1">#REF!</definedName>
    <definedName name="BEx1JKKZSJ7DI4PTFVI9VVFMB1X2" hidden="1">#REF!</definedName>
    <definedName name="BEx1JUBQFRVMASSFK4B3V0AD7YP9" hidden="1">#REF!</definedName>
    <definedName name="BEx1JVTOATZGRJFXGXPJJLC4DOBE" hidden="1">#REF!</definedName>
    <definedName name="BEx1JXBM5W4YRWNQ0P95QQS6JWD6" hidden="1">#REF!</definedName>
    <definedName name="BEx1KGY9QEHZ9QSARMQUTQKRK4UX" hidden="1">#REF!</definedName>
    <definedName name="BEx1KIWH5MOLR00SBECT39NS3AJ1" hidden="1">#REF!</definedName>
    <definedName name="BEx1KKP1ELIF2UII2FWVGL7M1X7J" hidden="1">#REF!</definedName>
    <definedName name="BEx1KQJKIAPZKE9YDYH5HKXX52FM" hidden="1">#REF!</definedName>
    <definedName name="BEx1KUVWMB0QCWA3RBE4CADFVRIS" hidden="1">#REF!</definedName>
    <definedName name="BEx1L0AAH7PV8PPQQDBP5AI4TLYP" hidden="1">#REF!</definedName>
    <definedName name="BEx1L2OG1SDFK2TPXELJ77YP4NI2" hidden="1">#REF!</definedName>
    <definedName name="BEx1L6Q60MWRDJB4L20LK0XPA0Z2" hidden="1">#REF!</definedName>
    <definedName name="BEx1L7BSEFOLQDNZWMLUNBRO08T4" hidden="1">#REF!</definedName>
    <definedName name="BEx1LD63FP2Z4BR9TKSHOZW9KKZ5" hidden="1">#REF!</definedName>
    <definedName name="BEx1LDMB9RW982DUILM2WPT5VWQ3" hidden="1">#REF!</definedName>
    <definedName name="BEx1LFF2UQ13XL4X1I2WBD73NZ21" hidden="1">#REF!</definedName>
    <definedName name="BEx1LKTB33LO23ACTADIVRY7ZNFC" hidden="1">#REF!</definedName>
    <definedName name="BEx1LQNKVZAXGSEPDAM8AWU2FHHJ" hidden="1">#REF!</definedName>
    <definedName name="BEx1LRPGDQCOEMW8YT80J1XCDCIV" hidden="1">#REF!</definedName>
    <definedName name="BEx1LRUSJW4JG54X07QWD9R27WV9" hidden="1">#REF!</definedName>
    <definedName name="BEx1M1WBK5T0LP1AK2JYV6W87ID6" hidden="1">#REF!</definedName>
    <definedName name="BEx1M51HHDYGIT8PON7U8ICL2S95" hidden="1">#REF!</definedName>
    <definedName name="BEx1MP4FWKV0QYXE13PX9JSNA270" hidden="1">#REF!</definedName>
    <definedName name="BEx1MSV791FSS4CZQKG04NHT3F79" hidden="1">#REF!</definedName>
    <definedName name="BEx1MTRKKVCHOZ0YGID6HZ49LJTO" hidden="1">#REF!</definedName>
    <definedName name="BEx1N3CUJ3UX61X38ZAJVPEN4KMC" hidden="1">#REF!</definedName>
    <definedName name="BEx1N5R5IJ3CG6CL344F5KWPINEO" hidden="1">#REF!</definedName>
    <definedName name="BEx1NFCFVPBS7XURQ8Y0BZEGPBVP" hidden="1">#REF!</definedName>
    <definedName name="BEx1NM34KQTO1LDNSAFD1L82UZFG" hidden="1">#REF!</definedName>
    <definedName name="BEx1NO6TXZVOGCUWCCRTXRXWW0XL" hidden="1">#REF!</definedName>
    <definedName name="BEx1NS8EU5P9FQV3S0WRTXI5L361" hidden="1">#REF!</definedName>
    <definedName name="BEx1NUBX5VUYZFKQH69FN6BTLWCR" hidden="1">#REF!</definedName>
    <definedName name="BEx1NZ4K1L8UON80Y2A4RASKWGNP" hidden="1">#REF!</definedName>
    <definedName name="BEx1O24FB2CPATAGE3T7L1NBQQO1" hidden="1">#REF!</definedName>
    <definedName name="BEx1OLAZ915OGYWP0QP1QQWDLCRX" hidden="1">#REF!</definedName>
    <definedName name="BEx1OO5ER042IS6IC4TLDI75JNVH" hidden="1">#REF!</definedName>
    <definedName name="BEx1OTE54CBSUT8FWKRALEDCUWN4" hidden="1">#REF!</definedName>
    <definedName name="BEx1OVSMPADTX95QUOX34KZQ8EDY" hidden="1">#REF!</definedName>
    <definedName name="BEx1OWJJ0DP4628GCVVRQ9X0DRHQ" hidden="1">#REF!</definedName>
    <definedName name="BEx1OX544IO9FQJI7YYQGZCEHB3O" hidden="1">#REF!</definedName>
    <definedName name="BEx1OY6SVEUT2EQ26P7EKEND342G" hidden="1">#REF!</definedName>
    <definedName name="BEx1OYN1LPIPI12O9G6F7QAOS9T4" hidden="1">#REF!</definedName>
    <definedName name="BEx1P1HHKJA799O3YZXQAX6KFH58" hidden="1">#REF!</definedName>
    <definedName name="BEx1P34W467WGPOXPK292QFJIPHJ" hidden="1">#REF!</definedName>
    <definedName name="BEx1P76FRYAB1BWA5RJS4KOB3G9I" hidden="1">#REF!</definedName>
    <definedName name="BEx1P7S1J4TKGVJ43C2Q2R3M9WRB" hidden="1">#REF!</definedName>
    <definedName name="BEx1P8OF6WY3IH8SO71KQOU83V3Y" hidden="1">#REF!</definedName>
    <definedName name="BEx1PA11BLPVZM8RC5BL46WX8YB5" hidden="1">#REF!</definedName>
    <definedName name="BEx1PAMMMZTO2BTR6YLZ9ASMPS4N" hidden="1">#REF!</definedName>
    <definedName name="BEx1PBZ4BEFIPGMQXT9T8S4PZ2IM" hidden="1">#REF!</definedName>
    <definedName name="BEx1PJMAAUI73DAR3XUON2UMXTBS" hidden="1">#REF!</definedName>
    <definedName name="BEx1PLF2CFSXBZPVI6CJ534EIJDN" hidden="1">#REF!</definedName>
    <definedName name="BEx1PMWZB2DO6EM9BKLUICZJ65HD" hidden="1">#REF!</definedName>
    <definedName name="BEx1PU3X6U0EVLY9569KVBPAH7XU" hidden="1">#REF!</definedName>
    <definedName name="BEx1Q9OV5AOW28OUGRFCD3ZFVWC3" hidden="1">#REF!</definedName>
    <definedName name="BEx1QA54J2A4I7IBQR19BTY28ZMR" hidden="1">#REF!</definedName>
    <definedName name="BEx1QD50TNYYZ6YO943BWHPB9UD9" hidden="1">#REF!</definedName>
    <definedName name="BEx1QMQAHG3KQUK59DVM68SWKZIZ" hidden="1">#REF!</definedName>
    <definedName name="BEx1R9YFKJCMSEST8OVCAO5E47FO" hidden="1">#REF!</definedName>
    <definedName name="BEx1RBGC06B3T52OIC0EQ1KGVP1I" hidden="1">#REF!</definedName>
    <definedName name="BEx1RRC7X4NI1CU4EO5XYE2GVARJ" hidden="1">#REF!</definedName>
    <definedName name="BEx1RZA1NCGT832L7EMR7GMF588W" hidden="1">#REF!</definedName>
    <definedName name="BEx1S0XGIPUSZQUCSGWSK10GKW7Y" hidden="1">#REF!</definedName>
    <definedName name="BEx1S5VFNKIXHTTCWSV60UC50EZ8" hidden="1">#REF!</definedName>
    <definedName name="BEx1SK3U02H0RGKEYXW7ZMCEOF3V" hidden="1">#REF!</definedName>
    <definedName name="BEx1SSNEZINBJT29QVS62VS1THT4" hidden="1">#REF!</definedName>
    <definedName name="BEx1SVNCHNANBJIDIQVB8AFK4HAN" hidden="1">#REF!</definedName>
    <definedName name="BEx1SY74DYVEPAQ9TGGGXKJA025O" hidden="1">#REF!</definedName>
    <definedName name="BEx1TJ0WLS9O7KNSGIPWTYHDYI1D" hidden="1">#REF!</definedName>
    <definedName name="BEx1TUPQAYGAI13ZC7FU1FJXFAPM" hidden="1">#REF!</definedName>
    <definedName name="BEx1TY0F9W7EOF31FZXITWEYBSRT" hidden="1">#REF!</definedName>
    <definedName name="BEx1U7WFO8OZKB1EBF4H386JW91L" hidden="1">#REF!</definedName>
    <definedName name="BEx1U87938YR9N6HYI24KVBKLOS3" hidden="1">#REF!</definedName>
    <definedName name="BEx1U9P6VQWSVRICLZR9DYRMN61U" hidden="1">#REF!</definedName>
    <definedName name="BEx1UESH4KDWHYESQU2IE55RS3LI" hidden="1">#REF!</definedName>
    <definedName name="BEx1UI8N9KTCPSOJ7RDW0T8UEBNP" hidden="1">#REF!</definedName>
    <definedName name="BEx1UML0HHJFHA5TBOYQ24I3RV1W" hidden="1">#REF!</definedName>
    <definedName name="BEx1UO8ENOJNYCNX5Z95TBIJ3MKP" hidden="1">#REF!</definedName>
    <definedName name="BEx1UUDIQPZ23XQ79GUL0RAWRSCK" hidden="1">#REF!</definedName>
    <definedName name="BEx1V67SEV778NVW68J8W5SND1J7" hidden="1">#REF!</definedName>
    <definedName name="BEx1VIY9SQLRESD11CC4PHYT0XSG" hidden="1">#REF!</definedName>
    <definedName name="BEx1W3170EJU6QEJR4F8E2ULUU2U" hidden="1">#REF!</definedName>
    <definedName name="BEx1WC67EH10SC38QWX3WEA5KH3A" hidden="1">#REF!</definedName>
    <definedName name="BEx1WDTMC6W73PJPTY0JYLKOA883" hidden="1">#REF!</definedName>
    <definedName name="BEx1WGYTKZZIPM1577W5FEYKFH3V" hidden="1">#REF!</definedName>
    <definedName name="BEx1WHPURIV3D3PTJJ359H1OP7ZV" hidden="1">#REF!</definedName>
    <definedName name="BEx1WLBBR45RLDQX9FCLJWUUQX5R" hidden="1">#REF!</definedName>
    <definedName name="BEx1WLWY2CR1WRD694JJSWSDFAIR" hidden="1">#REF!</definedName>
    <definedName name="BEx1WMD1LWPWRIK6GGAJRJAHJM8I" hidden="1">#REF!</definedName>
    <definedName name="BEx1WR0D41MR174LBF3P9E3K0J51" hidden="1">#REF!</definedName>
    <definedName name="BEx1WT3VU2F7OSUQZHBIV4KTTFJ4" hidden="1">#REF!</definedName>
    <definedName name="BEx1WUB1FAS5PHU33TJ60SUHR618" hidden="1">#REF!</definedName>
    <definedName name="BEx1WX04G0INSPPG9NTNR3DYR6PZ" hidden="1">#REF!</definedName>
    <definedName name="BEx1X3LHU9DPG01VWX2IF65TRATF" hidden="1">#REF!</definedName>
    <definedName name="BEx1XFL3ISYW3FU1DQ3US0DYA8NQ" hidden="1">#REF!</definedName>
    <definedName name="BEx1XK8AAMO0AH0Z1OUKW30CA7EQ" hidden="1">#REF!</definedName>
    <definedName name="BEx1XL4MZ7C80495GHQRWOBS16PQ" hidden="1">#REF!</definedName>
    <definedName name="BEx1Y2IGS2K95E1M51PEF9KJZ0KB" hidden="1">#REF!</definedName>
    <definedName name="BEx1Y3PKK83X2FN9SAALFHOWKMRQ" hidden="1">#REF!</definedName>
    <definedName name="BEx1YL3DJ7Y4AZ01ERCOGW0FJ26T" hidden="1">#REF!</definedName>
    <definedName name="BEx1Z2RYHSVD1H37817SN93VMURZ" hidden="1">#REF!</definedName>
    <definedName name="BEx3AMAKWI6458B67VKZO56MCNJW" hidden="1">#REF!</definedName>
    <definedName name="BEx3AOOVM42G82TNF53W0EKXLUSI" hidden="1">#REF!</definedName>
    <definedName name="BEx3AZH9W4SUFCAHNDOQ728R9V4L" hidden="1">#REF!</definedName>
    <definedName name="BEx3BNR9ES4KY7Q1DK83KC5NDGL8" hidden="1">#REF!</definedName>
    <definedName name="BEx3BQR5VZXNQ4H949ORM8ESU3B3" hidden="1">#REF!</definedName>
    <definedName name="BEx3BTLL3ASJN134DLEQTQM70VZM" hidden="1">#REF!</definedName>
    <definedName name="BEx3BW5CTV0DJU5AQS3ZQFK2VLF3" hidden="1">#REF!</definedName>
    <definedName name="BEx3BYP0FG369M7G3JEFLMMXAKTS" hidden="1">#REF!</definedName>
    <definedName name="BEx3C2QR0WUD19QSVO8EMIPNQJKH" hidden="1">#REF!</definedName>
    <definedName name="BEx3CKFCCPZZ6ROLAT5C1DZNIC1U" hidden="1">#REF!</definedName>
    <definedName name="BEx3CO0SVO4WLH0DO43DCHYDTH1P" hidden="1">#REF!</definedName>
    <definedName name="BEx3CPDAEBC12450MVHX6S78ILBS" hidden="1">#REF!</definedName>
    <definedName name="BEx3CQ9OQ7E1YH93NADGWWEH0HD5" hidden="1">#REF!</definedName>
    <definedName name="BEx3D9G6QTSPF9UYI4X0XY0VE896" hidden="1">#REF!</definedName>
    <definedName name="BEx3DCQU9PBRXIMLO62KS5RLH447" hidden="1">#REF!</definedName>
    <definedName name="BEx3DQ8EH7C7L4XQAOL3NRRVRRT3" hidden="1">#REF!</definedName>
    <definedName name="BEx3EF99FD6QNNCNOKDEE67JHTUJ" hidden="1">#REF!</definedName>
    <definedName name="BEx3EGLXG4AU8GXIFP26DZ61E6EP" hidden="1">#REF!</definedName>
    <definedName name="BEx3EHCSERZ2O2OAG8Y95UPG2IY9" hidden="1">#REF!</definedName>
    <definedName name="BEx3EJR3TCJDYS7ZXNDS5N9KTGIK" hidden="1">#REF!</definedName>
    <definedName name="BEx3ELJTTBS6P05CNISMGOJOA60V" hidden="1">#REF!</definedName>
    <definedName name="BEx3EQSLJBDDJRHNX19PBFCKNY2I" hidden="1">#REF!</definedName>
    <definedName name="BEx3EUUAX947Q5N6MY6W0KSNY78Y" hidden="1">#REF!</definedName>
    <definedName name="BEx3F3OJYKFH63TY4TBS69H5CI8M" hidden="1">#REF!</definedName>
    <definedName name="BEx3FHMD1P5XBCH23ZKIFO6ZTCNB" hidden="1">#REF!</definedName>
    <definedName name="BEx3FI2G3YYIACQHXNXEA15M8ZK5" hidden="1">#REF!</definedName>
    <definedName name="BEx3FJ9MHSLDK8W91GO85FX1GX57" hidden="1">#REF!</definedName>
    <definedName name="BEx3FR251HFU7A33PU01SJUENL2B" hidden="1">#REF!</definedName>
    <definedName name="BEx3FX7EJL47JSLSWP3EOC265WAE" hidden="1">#REF!</definedName>
    <definedName name="BEx3G201R8NLJ6FIHO2QS0SW9QVV" hidden="1">#REF!</definedName>
    <definedName name="BEx3G2LL2II66XY5YCDPG4JE13A3" hidden="1">#REF!</definedName>
    <definedName name="BEx3G2WA0DTYY9D8AGHHOBTPE2B2" hidden="1">#REF!</definedName>
    <definedName name="BEx3GCXR6IAS0B6WJ03GJVH7CO52" hidden="1">#REF!</definedName>
    <definedName name="BEx3GEVV18SEQDI1JGY7EN6D1GT1" hidden="1">#REF!</definedName>
    <definedName name="BEx3GKFH64MKQX61S7DYTZ15JCPY" hidden="1">#REF!</definedName>
    <definedName name="BEx3GMJ1Y6UU02DLRL0QXCEKDA6C" hidden="1">#REF!</definedName>
    <definedName name="BEx3GN4LY0135CBDIN1TU2UEODGF" hidden="1">#REF!</definedName>
    <definedName name="BEx3GPDH2AH4QKT4OOSN563XUHBD" hidden="1">#REF!</definedName>
    <definedName name="BEx3GRGZOH1A62SHC133FKNN9K23" hidden="1">#REF!</definedName>
    <definedName name="BEx3GS2LABKJSRV8GPZLJZVX7NMJ" hidden="1">#REF!</definedName>
    <definedName name="BEx3H05W7OEBR6W6YJKGD6W5M3I1" hidden="1">#REF!</definedName>
    <definedName name="BEx3H244GCME7ZDNAXG6ZSJ64ZRE" hidden="1">#REF!</definedName>
    <definedName name="BEx3H5UX2GZFZZT657YR76RHW5I6" hidden="1">#REF!</definedName>
    <definedName name="BEx3HACPKDZVUOS9WBDCCFJB46DK" hidden="1">#REF!</definedName>
    <definedName name="BEx3HMSEFOP6DBM4R97XA6B7NFG6" hidden="1">#REF!</definedName>
    <definedName name="BEx3HWJ5SQSD2CVCQNR183X44FR8" hidden="1">#REF!</definedName>
    <definedName name="BEx3I09YVXO0G4X7KGSA4WGORM35" hidden="1">#REF!</definedName>
    <definedName name="BEx3I3KN8WAL54AYYACGCUM43J9W" hidden="1">#REF!</definedName>
    <definedName name="BEx3ICF1GY8HQEBIU9S43PDJ90BX" hidden="1">#REF!</definedName>
    <definedName name="BEx3IYAH2DEBFWO8F94H4MXE3RLY" hidden="1">#REF!</definedName>
    <definedName name="BEx3IZSG3932LSWHR5YV78IVRPCK" hidden="1">#REF!</definedName>
    <definedName name="BEx3IZXXSYEW50379N2EAFWO8DZV" hidden="1">#REF!</definedName>
    <definedName name="BEx3J1VZVGTKT4ATPO9O5JCSFTTR" hidden="1">#REF!</definedName>
    <definedName name="BEx3JC2TY7JNAAC3L7QHVPQXLGQ8" hidden="1">#REF!</definedName>
    <definedName name="BEx3JMF5D7ODCJ7THAJTC1GFSG95" hidden="1">#REF!</definedName>
    <definedName name="BEx3JX23SYDIGOGM4Y0CQFBW8ZBV" hidden="1">#REF!</definedName>
    <definedName name="BEx3JXCXCVBZJGV5VEG9MJEI01AL" hidden="1">#REF!</definedName>
    <definedName name="BEx3JYK2N7X59TPJSKYZ77ENY8SS" hidden="1">#REF!</definedName>
    <definedName name="BEx3K13PSDK50JLCLD0GX8L4TWAH" hidden="1">#REF!</definedName>
    <definedName name="BEx3K4EII7GU1CG0BN7UL15M6J8Z" hidden="1">#REF!</definedName>
    <definedName name="BEx3K4ZXQUQ2KYZF74B84SO48XMW" hidden="1">#REF!</definedName>
    <definedName name="BEx3KEFXUCVNVPH7KSEGAZYX13B5" hidden="1">#REF!</definedName>
    <definedName name="BEx3KFXUAF6YXAA47B7Q6X9B3VGB" hidden="1">#REF!</definedName>
    <definedName name="BEx3KIXQYOGMPK4WJJAVBRX4NR28" hidden="1">#REF!</definedName>
    <definedName name="BEx3KJOMVOSFZVJUL3GKCNP6DQDS" hidden="1">#REF!</definedName>
    <definedName name="BEx3KP2VRBMORK0QEAZUYCXL3DHJ" hidden="1">#REF!</definedName>
    <definedName name="BEx3L4IN3LI4C26SITKTGAH27CDU" hidden="1">#REF!</definedName>
    <definedName name="BEx3L4YQ0J7ZU0M5QM6YIPCEYC9K" hidden="1">#REF!</definedName>
    <definedName name="BEx3L60DJOR7NQN42G7YSAODP1EX" hidden="1">#REF!</definedName>
    <definedName name="BEx3L7D0PI38HWZ7VADU16C9E33D" hidden="1">#REF!</definedName>
    <definedName name="BEx3LANPY1HT49TAH98H4B9RC1D4" hidden="1">#REF!</definedName>
    <definedName name="BEx3LM1PR4Y7KINKMTMKR984GX8Q" hidden="1">#REF!</definedName>
    <definedName name="BEx3LM1PWWC9WH0R5TX5K06V559U" hidden="1">#REF!</definedName>
    <definedName name="BEx3LPCEZ1C0XEKNCM3YT09JWCUO" hidden="1">#REF!</definedName>
    <definedName name="BEx3LSXW33WR1ECIMRYUPFBJXGGH" hidden="1">#REF!</definedName>
    <definedName name="BEx3M1MR1K1NQD03H74BFWOK4MWQ" hidden="1">#REF!</definedName>
    <definedName name="BEx3M4H77MYUKOOD31H9F80NMVK8" hidden="1">#REF!</definedName>
    <definedName name="BEx3M9VFX329PZWYC4DMZ6P3W9R2" hidden="1">#REF!</definedName>
    <definedName name="BEx3MCQ0VEBV0CZXDS505L38EQ8N" hidden="1">#REF!</definedName>
    <definedName name="BEx3MEYV5LQY0BAL7V3CFAFVOM3T" hidden="1">#REF!</definedName>
    <definedName name="BEx3MF9LX8G8DXGARRYNTDH542WG" hidden="1">#REF!</definedName>
    <definedName name="BEx3MREOFWJQEYMCMBL7ZE06NBN6" hidden="1">#REF!</definedName>
    <definedName name="BEx3MSGD8I6KBFD4XFWYGH3DKUK3" hidden="1">#REF!</definedName>
    <definedName name="BEx3NDQFYEWZAUGWFMGT2R7E7RBT" hidden="1">#REF!</definedName>
    <definedName name="BEx3NGQBX2HEDKOCDX0TX1TGBB3P" hidden="1">#REF!</definedName>
    <definedName name="BEx3NLIZ7PHF2XE59ECZ3MD04ZG1" hidden="1">#REF!</definedName>
    <definedName name="BEx3NMQ4BVC94728AUM7CCX7UHTU" hidden="1">#REF!</definedName>
    <definedName name="BEx3NR2I4OUFP3Z2QZEDU2PIFIDI" hidden="1">#REF!</definedName>
    <definedName name="BEx3O19B8FTTAPVT5DZXQGQXWFR8" hidden="1">#REF!</definedName>
    <definedName name="BEx3O85IKWARA6NCJOLRBRJFMEWW" hidden="1">#REF!</definedName>
    <definedName name="BEx3OJZSCGFRW7SVGBFI0X9DNVMM" hidden="1">#REF!</definedName>
    <definedName name="BEx3ORSBUXAF21MKEY90YJV9AY9A" hidden="1">#REF!</definedName>
    <definedName name="BEx3OUS0N576NJN078Y1BWUWQK6B" hidden="1">#REF!</definedName>
    <definedName name="BEx3OV8BH6PYNZT7C246LOAU9SVX" hidden="1">#REF!</definedName>
    <definedName name="BEx3OXRYJZUEY6E72UJU0PHLMYAR" hidden="1">#REF!</definedName>
    <definedName name="BEx3P3RP5PYI4BJVYGNU1V7KT5EH" hidden="1">#REF!</definedName>
    <definedName name="BEx3P59TTRSGQY888P5C1O7M2PQT" hidden="1">#REF!</definedName>
    <definedName name="BEx3PDNRRNKD5GOUBUQFXAHIXLD9" hidden="1">#REF!</definedName>
    <definedName name="BEx3PDT8GNPWLLN02IH1XPV90XYK" hidden="1">#REF!</definedName>
    <definedName name="BEx3PKEMDW8KZEP11IL927C5O7I2" hidden="1">#REF!</definedName>
    <definedName name="BEx3PKJZ1Z7L9S6KV8KXVS6B2FX4" hidden="1">#REF!</definedName>
    <definedName name="BEx3PMNG53Z5HY138H99QOMTX8W3" hidden="1">#REF!</definedName>
    <definedName name="BEx3PP1RRSFZ8UC0JC9R91W6LNKW" hidden="1">#REF!</definedName>
    <definedName name="BEx3PRQW017D7T1X732WDV7L1KP8" hidden="1">#REF!</definedName>
    <definedName name="BEx3PVXYZC8WB9ZJE7OCKUXZ46EA" hidden="1">#REF!</definedName>
    <definedName name="BEx3Q0VWPU5EQECK7MQ47TYJ3SWW" hidden="1">#REF!</definedName>
    <definedName name="BEx3Q7BZ9PUXK2RLIOFSIS9AHU1B" hidden="1">#REF!</definedName>
    <definedName name="BEx3Q8J42S9VU6EAN2Y28MR6DF88" hidden="1">#REF!</definedName>
    <definedName name="BEx3QCFD2TBUF95ZN83Q7JPV97FK" hidden="1">#REF!</definedName>
    <definedName name="BEx3QEDFOYFY5NBTININ5W4RLD4Q" hidden="1">#REF!</definedName>
    <definedName name="BEx3QIKJ3U962US1Q564NZDLU8LD" hidden="1">#REF!</definedName>
    <definedName name="BEx3QLF3RHHBNUFLUWEROBZDF1U4" hidden="1">#REF!</definedName>
    <definedName name="BEx3QR9D45DHW50VQ7Y3Q1AXPOB9" hidden="1">#REF!</definedName>
    <definedName name="BEx3QSWT2S5KWG6U2V9711IYDQBM" hidden="1">#REF!</definedName>
    <definedName name="BEx3QVGG7Q2X4HZHJAM35A8T3VR7" hidden="1">#REF!</definedName>
    <definedName name="BEx3R0JUB9YN8PHPPQTAMIT1IHWK" hidden="1">#REF!</definedName>
    <definedName name="BEx3R81NFRO7M81VHVKOBFT0QBIL" hidden="1">#REF!</definedName>
    <definedName name="BEx3RHC2ZD5UFS6QD4OPFCNNMWH1" hidden="1">#REF!</definedName>
    <definedName name="BEx3RQ10QIWBAPHALAA91BUUCM2X" hidden="1">#REF!</definedName>
    <definedName name="BEx3RV4E1WT43SZBUN09RTB8EK1O" hidden="1">#REF!</definedName>
    <definedName name="BEx3RXYU0QLFXSFTM5EB20GD03W5" hidden="1">#REF!</definedName>
    <definedName name="BEx3RYKLC3QQO3XTUN7BEW2AQL98" hidden="1">#REF!</definedName>
    <definedName name="BEx3S37QNFSKW3DGRH5YVVEZLJI7" hidden="1">#REF!</definedName>
    <definedName name="BEx3SICJ45BYT6FHBER86PJT25FC" hidden="1">#REF!</definedName>
    <definedName name="BEx3SMUCMJVGQ2H4EHQI5ZFHEF0P" hidden="1">#REF!</definedName>
    <definedName name="BEx3SN56F03CPDRDA7LZ763V0N4I" hidden="1">#REF!</definedName>
    <definedName name="BEx3SPE6N1ORXPRCDL3JPZD73Z9F" hidden="1">#REF!</definedName>
    <definedName name="BEx3T29ZTULQE0OMSMWUMZDU9ZZ0" hidden="1">#REF!</definedName>
    <definedName name="BEx3T6MJ1QDJ929WMUDVZ0O3UW0Y" hidden="1">#REF!</definedName>
    <definedName name="BEx3TD7WH1NN1OH0MRS4T8ENRU32" hidden="1">#REF!</definedName>
    <definedName name="BEx3TPCSI16OAB2L9M9IULQMQ9J9" hidden="1">#REF!</definedName>
    <definedName name="BEx3TQ3SFJB2WTCV0OXDE56FB46K" hidden="1">#REF!</definedName>
    <definedName name="BEx3TX59M3456DDBXWFJ8X2TU37A" hidden="1">#REF!</definedName>
    <definedName name="BEx3U2UBY80GPGSTYFGI6F8TPKCV" hidden="1">#REF!</definedName>
    <definedName name="BEx3U64YUOZ419BAJS2W78UMATAW" hidden="1">#REF!</definedName>
    <definedName name="BEx3U94WCEA5DKMWBEX1GU0LKYG2" hidden="1">#REF!</definedName>
    <definedName name="BEx3U9VZ8SQVYS6ZA038J7AP7ZGW" hidden="1">#REF!</definedName>
    <definedName name="BEx3UIQ5WRJBGNTFCCLOR4N7B1OQ" hidden="1">#REF!</definedName>
    <definedName name="BEx3UJMIX2NUSSWGMSI25A5DM4CH" hidden="1">#REF!</definedName>
    <definedName name="BEx3UKIX0UULWP3BZA8VT2SQ8WI7" hidden="1">#REF!</definedName>
    <definedName name="BEx3UKOCOQG7S1YQ436S997K1KWV" hidden="1">#REF!</definedName>
    <definedName name="BEx3UNISOEXF3OFHT2BUA6P9RBIJ" hidden="1">#REF!</definedName>
    <definedName name="BEx3UYM19VIXLA0EU7LB9NHA77PB" hidden="1">#REF!</definedName>
    <definedName name="BEx3VML7CG70HPISMVYIUEN3711Q" hidden="1">#REF!</definedName>
    <definedName name="BEx56ZID5H04P9AIYLP1OASFGV56" hidden="1">#REF!</definedName>
    <definedName name="BEx57ROM8UIFKV5C1BOZWSQQLESO" hidden="1">#REF!</definedName>
    <definedName name="BEx587EYSS57E3PI8DT973HLJM9E" hidden="1">#REF!</definedName>
    <definedName name="BEx587KFQ3VKCOCY1SA5F24PQGUI" hidden="1">#REF!</definedName>
    <definedName name="BEx58O780PQ05NF0Z1SKKRB3N099" hidden="1">#REF!</definedName>
    <definedName name="BEx58W57CTL8HFK3U7ZRFYZR6MXE" hidden="1">#REF!</definedName>
    <definedName name="BEx58XHO7ZULLF2EUD7YIS0MGQJ5" hidden="1">#REF!</definedName>
    <definedName name="BEx58ZAFNTMGBNDH52VUYXLRJO7P" hidden="1">#REF!</definedName>
    <definedName name="BEx58ZW0HAIGIPEX9CVA1PQQTR6X" hidden="1">#REF!</definedName>
    <definedName name="BEx593SAFVYKW7V61D9COEZJXDA7" hidden="1">#REF!</definedName>
    <definedName name="BEx59BA1KH3RG6K1LHL7YS2VB79N" hidden="1">#REF!</definedName>
    <definedName name="BEx59DDIU0AMFOY94NSP1ULST8JD" hidden="1">#REF!</definedName>
    <definedName name="BEx59E9WABJP2TN71QAIKK79HPK9" hidden="1">#REF!</definedName>
    <definedName name="BEx59F0T17A80RNLNSZNFX8NAO8Y" hidden="1">#REF!</definedName>
    <definedName name="BEx59P7MAPNU129ZTC5H3EH892G1" hidden="1">#REF!</definedName>
    <definedName name="BEx5A11WZRQSIE089QE119AOX9ZG" hidden="1">#REF!</definedName>
    <definedName name="BEx5A7CIGCOTHJKHGUBDZG91JGPZ" hidden="1">#REF!</definedName>
    <definedName name="BEx5A8UFLT2SWVSG5COFA9B8P376" hidden="1">#REF!</definedName>
    <definedName name="BEx5ABUBK8WJV1WILGYU9A7CO0KI" hidden="1">#REF!</definedName>
    <definedName name="BEx5AFFTN3IXIBHDKM0FYC4OFL1S" hidden="1">#REF!</definedName>
    <definedName name="BEx5AOFIO8KVRHIZ1RII337AA8ML" hidden="1">#REF!</definedName>
    <definedName name="BEx5APRZ66L5BWHFE8E4YYNEDTI4" hidden="1">#REF!</definedName>
    <definedName name="BEx5AQJ1Z64KY10P8ZF1JKJUFEGN" hidden="1">#REF!</definedName>
    <definedName name="BEx5AY62R0TL82VHXE37SCZCINQC" hidden="1">#REF!</definedName>
    <definedName name="BEx5B0PV1FCOUSHWQTY94AO0B8P0" hidden="1">#REF!</definedName>
    <definedName name="BEx5B4RHHX0J1BF2FZKEA0SPP29O" hidden="1">#REF!</definedName>
    <definedName name="BEx5B5YMSWP0OVI5CIQRP5V18D0C" hidden="1">#REF!</definedName>
    <definedName name="BEx5B825RW35M5H0UB2IZGGRS4ER" hidden="1">#REF!</definedName>
    <definedName name="BEx5BAWPMY0TL684WDXX6KKJLRCN" hidden="1">#REF!</definedName>
    <definedName name="BEx5BBCUOWR6J9MZS2ML5XB0X7MW" hidden="1">#REF!</definedName>
    <definedName name="BEx5BBI61U4Y65GD0ARMTALPP7SJ" hidden="1">#REF!</definedName>
    <definedName name="BEx5BDR56MEV4IHY6CIH2SVNG1UB" hidden="1">#REF!</definedName>
    <definedName name="BEx5BESZC5H329SKHGJOHZFILYJJ" hidden="1">#REF!</definedName>
    <definedName name="BEx5BHSQ42B50IU1TEQFUXFX9XQD" hidden="1">#REF!</definedName>
    <definedName name="BEx5BKSM4UN4C1DM3EYKM79MRC5K" hidden="1">#REF!</definedName>
    <definedName name="BEx5BNN8NPH9KVOBARB9CDD9WLB6" hidden="1">#REF!</definedName>
    <definedName name="BEx5BPLEZ8XY6S89R7AZQSKLT4HK" hidden="1">#REF!</definedName>
    <definedName name="BEx5BYFMZ80TDDN2EZO8CF39AIAC" hidden="1">#REF!</definedName>
    <definedName name="BEx5C2BWFW6SHZBFDEISKGXHZCQW" hidden="1">#REF!</definedName>
    <definedName name="BEx5C44NK782B81CBGQUDS6Z8MV9" hidden="1">#REF!</definedName>
    <definedName name="BEx5C49ZFH8TO9ZU55729C3F7XG7" hidden="1">#REF!</definedName>
    <definedName name="BEx5C8GZQK13G60ZM70P63I5OS0L" hidden="1">#REF!</definedName>
    <definedName name="BEx5CAPTVN2NBT3UOMA1UFAL1C2R" hidden="1">#REF!</definedName>
    <definedName name="BEx5CEM3SYF9XP0ZZVE0GEPCLV3F" hidden="1">#REF!</definedName>
    <definedName name="BEx5CFYQ0F1Z6P8SCVJ0I3UPVFE4" hidden="1">#REF!</definedName>
    <definedName name="BEx5CPEKNSJORIPFQC2E1LTRYY8L" hidden="1">#REF!</definedName>
    <definedName name="BEx5CSUOL05D8PAM2TRDA9VRJT1O" hidden="1">#REF!</definedName>
    <definedName name="BEx5CUNFOO4YDFJ22HCMI2QKIGKM" hidden="1">#REF!</definedName>
    <definedName name="BEx5D01O3G6BXWXT7MZEVS1F4TE9" hidden="1">#REF!</definedName>
    <definedName name="BEx5D3HO5XE85AN0NGALZ4K4GE8J" hidden="1">#REF!</definedName>
    <definedName name="BEx5D8L47OF0WHBPFWXGZINZWUBZ" hidden="1">#REF!</definedName>
    <definedName name="BEx5DAJAHQ2SKUPCKSCR3PYML67L" hidden="1">#REF!</definedName>
    <definedName name="BEx5DC18JM1KJCV44PF18E0LNRKA" hidden="1">#REF!</definedName>
    <definedName name="BEx5DFH8EU3RCPUOTFY8S9G8SBCG" hidden="1">#REF!</definedName>
    <definedName name="BEx5DJIZBTNS011R9IIG2OQ2L6ZX" hidden="1">#REF!</definedName>
    <definedName name="BEx5DS2EKWFPC2UWI1W1QESX9QP5" hidden="1">#REF!</definedName>
    <definedName name="BEx5E123OLO9WQUOIRIDJ967KAGK" hidden="1">#REF!</definedName>
    <definedName name="BEx5E2UU5NES6W779W2OZTZOB4O7" hidden="1">#REF!</definedName>
    <definedName name="BEx5ELFT92WAQN3NW8COIMQHUL91" hidden="1">#REF!</definedName>
    <definedName name="BEx5ELQL9B0VR6UT18KP11DHOTFX" hidden="1">#REF!</definedName>
    <definedName name="BEx5ER4TJTFPN7IB1MNEB1ZFR5M6" hidden="1">#REF!</definedName>
    <definedName name="BEx5EYXB2LDMI4FLC3QFAOXC0FZ3" hidden="1">#REF!</definedName>
    <definedName name="BEx5F6V72QTCK7O39Y59R0EVM6CW" hidden="1">#REF!</definedName>
    <definedName name="BEx5FGLQVACD5F5YZG4DGSCHCGO2" hidden="1">#REF!</definedName>
    <definedName name="BEx5FHCTE8VTJEF7IK189AVLNYSY" hidden="1">#REF!</definedName>
    <definedName name="BEx5FLJWHLW3BTZILDPN5NMA449V" hidden="1">#REF!</definedName>
    <definedName name="BEx5FNI2O10YN2SI1NO4X5GP3GTF" hidden="1">#REF!</definedName>
    <definedName name="BEx5FO8YRFSZCG3L608EHIHIHFY4" hidden="1">#REF!</definedName>
    <definedName name="BEx5FQNA6V4CNYSH013K45RI4BCV" hidden="1">#REF!</definedName>
    <definedName name="BEx5FVQPPEU32CPNV9RRQ9MNLLVE" hidden="1">#REF!</definedName>
    <definedName name="BEx5G08KGMG5X2AQKDGPFYG5GH94" hidden="1">#REF!</definedName>
    <definedName name="BEx5G1A8TFN4C4QII35U9DKYNIS8" hidden="1">#REF!</definedName>
    <definedName name="BEx5G1L0QO91KEPDMV1D8OT4BT73" hidden="1">#REF!</definedName>
    <definedName name="BEx5G1QHX69GFUYHUZA5X74MTDMR" hidden="1">#REF!</definedName>
    <definedName name="BEx5G5S2C9JRD28ZQMMQLCBHWOHB" hidden="1">#REF!</definedName>
    <definedName name="BEx5G7KU3EGZQSYN2YNML8EW8NDC" hidden="1">#REF!</definedName>
    <definedName name="BEx5G86DZL1VYUX6KWODAP3WFAWP" hidden="1">#REF!</definedName>
    <definedName name="BEx5G8BV2GIOCM3C7IUFK8L04A6M" hidden="1">#REF!</definedName>
    <definedName name="BEx5GID9MVBUPFFT9M8K8B5MO9NV" hidden="1">#REF!</definedName>
    <definedName name="BEx5GN0EWA9SCQDPQ7NTUQH82QVK" hidden="1">#REF!</definedName>
    <definedName name="BEx5GNBCU4WZ74I0UXFL9ZG2XSGJ" hidden="1">#REF!</definedName>
    <definedName name="BEx5GUCTYC7QCWGWU5BTO7Y7HDZX" hidden="1">#REF!</definedName>
    <definedName name="BEx5GYUPJULJQ624TEESYFG1NFOH" hidden="1">#REF!</definedName>
    <definedName name="BEx5H0NEE0AIN5E2UHJ9J9ISU9N1" hidden="1">#REF!</definedName>
    <definedName name="BEx5H1UJSEUQM2K8QHQXO5THVHSO" hidden="1">#REF!</definedName>
    <definedName name="BEx5HAOT9XWUF7XIFRZZS8B9F5TZ" hidden="1">#REF!</definedName>
    <definedName name="BEx5HB534CO7TBSALKMD27WHMAQJ" hidden="1">#REF!</definedName>
    <definedName name="BEx5HE4XRF9BUY04MENWY9CHHN5H" hidden="1">#REF!</definedName>
    <definedName name="BEx5HFHMABAT0H9KKS754X4T304E" hidden="1">#REF!</definedName>
    <definedName name="BEx5HGDZ7MX1S3KNXLRL9WU565V4" hidden="1">#REF!</definedName>
    <definedName name="BEx5HJZ9FAVNZSSBTAYRPZDYM9NU" hidden="1">#REF!</definedName>
    <definedName name="BEx5HZ9JMKHNLFWLVUB1WP5B39BL" hidden="1">#REF!</definedName>
    <definedName name="BEx5I17QJ0PQ1OG1IMH69HMQWNEA" hidden="1">#REF!</definedName>
    <definedName name="BEx5I244LQHZTF3XI66J8705R9XX" hidden="1">#REF!</definedName>
    <definedName name="BEx5I8PBP4LIXDGID5BP0THLO0AQ" hidden="1">#REF!</definedName>
    <definedName name="BEx5I8USVUB3JP4S9OXGMZVMOQXR" hidden="1">#REF!</definedName>
    <definedName name="BEx5I9GDQSYIAL65UQNDMNFQCS9Y" hidden="1">#REF!</definedName>
    <definedName name="BEx5IBUPG9AWNW5PK7JGRGEJ4OLM" hidden="1">#REF!</definedName>
    <definedName name="BEx5IC06RVN8BSAEPREVKHKLCJ2L" hidden="1">#REF!</definedName>
    <definedName name="BEx5IGY4M04BPXSQF2J4GQYXF85O" hidden="1">#REF!</definedName>
    <definedName name="BEx5IWTZDCLZ5CCDG108STY04SAJ" hidden="1">#REF!</definedName>
    <definedName name="BEx5J0FFP1KS4NGY20AEJI8VREEA" hidden="1">#REF!</definedName>
    <definedName name="BEx5J1XE5FVWL6IJV6CWKPN24UBK" hidden="1">#REF!</definedName>
    <definedName name="BEx5JF3ZXLDIS8VNKDCY7ZI7H1CI" hidden="1">#REF!</definedName>
    <definedName name="BEx5JHCZJ8G6OOOW6EF3GABXKH6F" hidden="1">#REF!</definedName>
    <definedName name="BEx5JJB6W446THXQCRUKD3I7RKLP" hidden="1">#REF!</definedName>
    <definedName name="BEx5JNCT8Z7XSSPD5EMNAJELCU2V" hidden="1">#REF!</definedName>
    <definedName name="BEx5JQCNT9Y4RM306CHC8IPY3HBZ" hidden="1">#REF!</definedName>
    <definedName name="BEx5K08PYKE6JOKBYIB006TX619P" hidden="1">#REF!</definedName>
    <definedName name="BEx5K4W2S2K7M9V2M304KW93LK8Q" hidden="1">#REF!</definedName>
    <definedName name="BEx5K51DSERT1TR7B4A29R41W4NX" hidden="1">#REF!</definedName>
    <definedName name="BEx5KBBZ8KCEQK36ARG4ERYOFD4G" hidden="1">#REF!</definedName>
    <definedName name="BEx5KCOET0DYMY4VILOLGVBX7E3C" hidden="1">#REF!</definedName>
    <definedName name="BEx5KYER580I4T7WTLMUN7NLNP5K" hidden="1">#REF!</definedName>
    <definedName name="BEx5LHLB3M6K4ZKY2F42QBZT30ZH" hidden="1">#REF!</definedName>
    <definedName name="BEx5LKQJG40DO2JR1ZF6KD3PON9K" hidden="1">#REF!</definedName>
    <definedName name="BEx5LQA84QRPGAR4FLC7MCT3H9EN" hidden="1">#REF!</definedName>
    <definedName name="BEx5LRMNU3HXIE1BUMDHRU31F7JJ" hidden="1">#REF!</definedName>
    <definedName name="BEx5LSJ1LPUAX3ENSPECWPG4J7D1" hidden="1">#REF!</definedName>
    <definedName name="BEx5LTKQ8RQWJE4BC88OP928893U" hidden="1">#REF!</definedName>
    <definedName name="BEx5M4D4KHXU4JXKDEHZZNRG7NRA" hidden="1">#REF!</definedName>
    <definedName name="BEx5MB9BR71LZDG7XXQ2EO58JC5F" hidden="1">#REF!</definedName>
    <definedName name="BEx5MHEF05EVRV5DPTG4KMPWZSUS" hidden="1">#REF!</definedName>
    <definedName name="BEx5MLQZM68YQSKARVWTTPINFQ2C" hidden="1">#REF!</definedName>
    <definedName name="BEx5MMCJMU7FOOWUCW9EA13B7V5F" hidden="1">#REF!</definedName>
    <definedName name="BEx5MVXTKNBXHNWTL43C670E4KXC" hidden="1">#REF!</definedName>
    <definedName name="BEx5MWZGZ3VRB5418C2RNF9H17BQ" hidden="1">#REF!</definedName>
    <definedName name="BEx5MX4YD2QV39W04QH9C6AOA0FB" hidden="1">#REF!</definedName>
    <definedName name="BEx5N3A8LULD7YBJH5J83X27PZSW" hidden="1">#REF!</definedName>
    <definedName name="BEx5N4XI4PWB1W9PMZ4O5R0HWTYD" hidden="1">#REF!</definedName>
    <definedName name="BEx5N8DH1SY888WI2GZ2D6E9XCXB" hidden="1">#REF!</definedName>
    <definedName name="BEx5NA68N6FJFX9UJXK4M14U487F" hidden="1">#REF!</definedName>
    <definedName name="BEx5NIKBG2GDJOYGE3WCXKU7YY51" hidden="1">#REF!</definedName>
    <definedName name="BEx5NV06L5J5IMKGOMGKGJ4PBZCD" hidden="1">#REF!</definedName>
    <definedName name="BEx5NW1V6AB25NEEX9VPHRXWJDSS" hidden="1">#REF!</definedName>
    <definedName name="BEx5NWSXWACAUHWVZAI57DGZ8OCQ" hidden="1">#REF!</definedName>
    <definedName name="BEx5NZSSQ6PY99ZX2D7Q9IGOR34W" hidden="1">#REF!</definedName>
    <definedName name="BEx5O2N9HTGG4OJHR62PKFMNZTTW" hidden="1">#REF!</definedName>
    <definedName name="BEx5O3ZUQ2OARA1CDOZ3NC4UE5AA" hidden="1">#REF!</definedName>
    <definedName name="BEx5OAFS0NJ2CB86A02E1JYHMLQ1" hidden="1">#REF!</definedName>
    <definedName name="BEx5OG4RPU8W1ETWDWM234NYYYEN" hidden="1">#REF!</definedName>
    <definedName name="BEx5OP9Y43F99O2IT69MKCCXGL61" hidden="1">#REF!</definedName>
    <definedName name="BEx5P9Y9RDXNUAJ6CZ2LHMM8IM7T" hidden="1">#REF!</definedName>
    <definedName name="BEx5PHWB2C0D5QLP3BZIP3UO7DIZ" hidden="1">#REF!</definedName>
    <definedName name="BEx5PJP02W68K2E46L5C5YBSNU6T" hidden="1">#REF!</definedName>
    <definedName name="BEx5PLCA8DOMAU315YCS5275L2HS" hidden="1">#REF!</definedName>
    <definedName name="BEx5PRXMZ5M65Z732WNNGV564C2J" hidden="1">#REF!</definedName>
    <definedName name="BEx5Q29Y91E64DPE0YY53A6YHF3Y" hidden="1">#REF!</definedName>
    <definedName name="BEx5QPSW4IPLH50WSR87HRER05RF" hidden="1">#REF!</definedName>
    <definedName name="BEx73V0EP8EMNRC3EZJJKKVKWQVB" hidden="1">#REF!</definedName>
    <definedName name="BEx741WJHIJVXUX131SBXTVW8D71" hidden="1">#REF!</definedName>
    <definedName name="BEx74Q6H3O7133AWQXWC21MI2UFT" hidden="1">#REF!</definedName>
    <definedName name="BEx74R2VQ8BSMKPX25262AU3VZF7" hidden="1">#REF!</definedName>
    <definedName name="BEx74W6BJ8ENO3J25WNM5H5APKA3" hidden="1">#REF!</definedName>
    <definedName name="BEx74YKLW1FKLWC3DJ2ELZBZBY1M" hidden="1">#REF!</definedName>
    <definedName name="BEx755GRRD9BL27YHLH5QWIYLWB7" hidden="1">#REF!</definedName>
    <definedName name="BEx759D1D5SXS5ELLZVBI0SXYUNF" hidden="1">#REF!</definedName>
    <definedName name="BEx75DPEQTX055IZ2L8UVLJOT1DD" hidden="1">#REF!</definedName>
    <definedName name="BEx75GJZSZHUDN6OOAGQYFUDA2LP" hidden="1">#REF!</definedName>
    <definedName name="BEx75HGCCV5K4UCJWYV8EV9AG5YT" hidden="1">#REF!</definedName>
    <definedName name="BEx75PZT8TY5P13U978NVBUXKHT4" hidden="1">#REF!</definedName>
    <definedName name="BEx75T55F7GML8V1DMWL26WRT006" hidden="1">#REF!</definedName>
    <definedName name="BEx75VJGR07JY6UUWURQ4PJ29UKC" hidden="1">#REF!</definedName>
    <definedName name="BEx7696AZUPB1PK30JJQUWUELQPJ" hidden="1">#REF!</definedName>
    <definedName name="BEx76PNR8S4T4VUQS0KU58SEX0VN" hidden="1">#REF!</definedName>
    <definedName name="BEx76YY7ODSIKDD9VDF9TLTDM18I" hidden="1">#REF!</definedName>
    <definedName name="BEx7705E86I9B7DTKMMJMAFSYMUL" hidden="1">#REF!</definedName>
    <definedName name="BEx7741OUGLA0WJQLQRUJSL4DE00" hidden="1">#REF!</definedName>
    <definedName name="BEx774N83DXLJZ54Q42PWIJZ2DN1" hidden="1">#REF!</definedName>
    <definedName name="BEx779QNIY3061ZV9BR462WKEGRW" hidden="1">#REF!</definedName>
    <definedName name="BEx77G19QU9A95CNHE6QMVSQR2T3" hidden="1">#REF!</definedName>
    <definedName name="BEx77P0S3GVMS7BJUL9OWUGJ1B02" hidden="1">#REF!</definedName>
    <definedName name="BEx77QDESURI6WW5582YXSK3A972" hidden="1">#REF!</definedName>
    <definedName name="BEx77VBI9XOPFHKEWU5EHQ9J675Y" hidden="1">#REF!</definedName>
    <definedName name="BEx7809GQOCLHSNH95VOYIX7P1TV" hidden="1">#REF!</definedName>
    <definedName name="BEx780K8XAXUHGVZGZWQ74DK4CI3" hidden="1">#REF!</definedName>
    <definedName name="BEx78226TN58UE0CTY98YEDU0LSL" hidden="1">#REF!</definedName>
    <definedName name="BEx7881ZZBWHRAX6W2GY19J8MGEQ" hidden="1">#REF!</definedName>
    <definedName name="BEx78BSYINF85GYNSCIRD95PH86Q" hidden="1">#REF!</definedName>
    <definedName name="BEx78HHRIWDLHQX2LG0HWFRYEL1T" hidden="1">#REF!</definedName>
    <definedName name="BEx78QC4X2YVM9K6MQRB2WJG36N3" hidden="1">#REF!</definedName>
    <definedName name="BEx78QMXZ2P1ZB3HJ9O50DWHCMXR" hidden="1">#REF!</definedName>
    <definedName name="BEx78SFO5VR28677DWZEMDN7G86X" hidden="1">#REF!</definedName>
    <definedName name="BEx78SFOYH1Z0ZDTO47W2M60TW6K" hidden="1">#REF!</definedName>
    <definedName name="BEx7974EARYYX2ICWU0YC50VO5D8" hidden="1">#REF!</definedName>
    <definedName name="BEx79JK3E6JO8MX4O35A5G8NZCC8" hidden="1">#REF!</definedName>
    <definedName name="BEx79OCP4HQ6XP8EWNGEUDLOZBBS" hidden="1">#REF!</definedName>
    <definedName name="BEx79SEAYKUZB0H4LYBCD6WWJBG2" hidden="1">#REF!</definedName>
    <definedName name="BEx79SJRHTLS9PYM69O9BWW1FMJK" hidden="1">#REF!</definedName>
    <definedName name="BEx79YJJLBELICW9F9FRYSCQ101L" hidden="1">#REF!</definedName>
    <definedName name="BEx79YUC7B0V77FSBGIRCY1BR4VK" hidden="1">#REF!</definedName>
    <definedName name="BEx7A06T3RC2891FUX05G3QPRAUE" hidden="1">#REF!</definedName>
    <definedName name="BEx7A9S3JA1X7FH4CFSQLTZC4691" hidden="1">#REF!</definedName>
    <definedName name="BEx7ABA2C9IWH5VSLVLLLCY62161" hidden="1">#REF!</definedName>
    <definedName name="BEx7AE4LPLX8N85BYB0WCO5S7ZPV" hidden="1">#REF!</definedName>
    <definedName name="BEx7AR0EEP9O5JPPEKQWG1TC860T" hidden="1">#REF!</definedName>
    <definedName name="BEx7ASD1I654MEDCO6GGWA95PXSC" hidden="1">#REF!</definedName>
    <definedName name="BEx7AURD3S7JGN4D3YK1QAG6TAFA" hidden="1">#REF!</definedName>
    <definedName name="BEx7AVCX9S5RJP3NSZ4QM4E6ERDT" hidden="1">#REF!</definedName>
    <definedName name="BEx7AVYIGP0930MV5JEBWRYCJN68" hidden="1">#REF!</definedName>
    <definedName name="BEx7B6LH6917TXOSAAQ6U7HVF018" hidden="1">#REF!</definedName>
    <definedName name="BEx7BN8E88JR3K1BSLAZRPSFPQ9L" hidden="1">#REF!</definedName>
    <definedName name="BEx7BP14RMS3638K85OM4NCYLRHG" hidden="1">#REF!</definedName>
    <definedName name="BEx7BPXFZXJ79FQ0E8AQE21PGVHA" hidden="1">#REF!</definedName>
    <definedName name="BEx7C04AM39DQMC1TIX7CFZ2ADHX" hidden="1">#REF!</definedName>
    <definedName name="BEx7C346X4AX2J1QPM4NBC7JL5W9" hidden="1">#REF!</definedName>
    <definedName name="BEx7C40F0PQURHPI6YQ39NFIR86Z" hidden="1">#REF!</definedName>
    <definedName name="BEx7C7B9VCY7N0H7N1NH6HNNH724" hidden="1">#REF!</definedName>
    <definedName name="BEx7C93VR7SYRIJS1JO8YZKSFAW9" hidden="1">#REF!</definedName>
    <definedName name="BEx7CCPC6R1KQQZ2JQU6EFI1G0RM" hidden="1">#REF!</definedName>
    <definedName name="BEx7CIJST9GLS2QD383UK7VUDTGL" hidden="1">#REF!</definedName>
    <definedName name="BEx7CO8T2XKC7GHDSYNAWTZ9L7YR" hidden="1">#REF!</definedName>
    <definedName name="BEx7CW1CF00DO8A36UNC2X7K65C2" hidden="1">#REF!</definedName>
    <definedName name="BEx7CW6NFRL2P4XWP0MWHIYA97KF" hidden="1">#REF!</definedName>
    <definedName name="BEx7CZXN83U7XFVGG1P1N6ZCQK7U" hidden="1">#REF!</definedName>
    <definedName name="BEx7D14R4J25CLH301NHMGU8FSWM" hidden="1">#REF!</definedName>
    <definedName name="BEx7D38BE0Z9QLQBDMGARM9USFPM" hidden="1">#REF!</definedName>
    <definedName name="BEx7D5RWKRS4W71J4NZ6ZSFHPKFT" hidden="1">#REF!</definedName>
    <definedName name="BEx7D8H1TPOX1UN17QZYEV7Q58GA" hidden="1">#REF!</definedName>
    <definedName name="BEx7DGF13H2074LRWFZQ45PZ6JPX" hidden="1">#REF!</definedName>
    <definedName name="BEx7DHBE0SOC5KXWWQ73WUDBRX8J" hidden="1">#REF!</definedName>
    <definedName name="BEx7DKWUXEDIISSX4GDD4YYT887F" hidden="1">#REF!</definedName>
    <definedName name="BEx7DMUYR2HC26WW7AOB1TULERMB" hidden="1">#REF!</definedName>
    <definedName name="BEx7DVJTRV44IMJIBFXELE67SZ7S" hidden="1">#REF!</definedName>
    <definedName name="BEx7DVUMFCI5INHMVFIJ44RTTSTT" hidden="1">#REF!</definedName>
    <definedName name="BEx7E2QT2U8THYOKBPXONB1B47WH" hidden="1">#REF!</definedName>
    <definedName name="BEx7E5QP7W6UKO74F5Y0VJ741HS5" hidden="1">#REF!</definedName>
    <definedName name="BEx7E6N29HGH3I47AFB2DCS6MVS6" hidden="1">#REF!</definedName>
    <definedName name="BEx7EBA8IYHQKT7IQAOAML660SYA" hidden="1">#REF!</definedName>
    <definedName name="BEx7EI6C8MCRZFEQYUBE5FSUTIHK" hidden="1">#REF!</definedName>
    <definedName name="BEx7EI6DL1Z6UWLFBXAKVGZTKHWJ" hidden="1">#REF!</definedName>
    <definedName name="BEx7EQKHX7GZYOLXRDU534TT4H64" hidden="1">#REF!</definedName>
    <definedName name="BEx7ETV6L1TM7JSXJIGK3FC6RVZW" hidden="1">#REF!</definedName>
    <definedName name="BEx7EYYLHMBYQTH6I377FCQS7CSX" hidden="1">#REF!</definedName>
    <definedName name="BEx7FCLG1RYI2SNOU1Y2GQZNZSWA" hidden="1">#REF!</definedName>
    <definedName name="BEx7FN32ZGWOAA4TTH79KINTDWR9" hidden="1">#REF!</definedName>
    <definedName name="BEx7FV0WJHXL6X5JNQ2ZX45PX49P" hidden="1">#REF!</definedName>
    <definedName name="BEx7G82CKM3NIY1PHNFK28M09PCH" hidden="1">#REF!</definedName>
    <definedName name="BEx7GR3ENYWRXXS5IT0UMEGOLGUH" hidden="1">#REF!</definedName>
    <definedName name="BEx7GSAL6P7TASL8MB63RFST1LJL" hidden="1">#REF!</definedName>
    <definedName name="BEx7H0JD6I5I8WQLLWOYWY5YWPQE" hidden="1">#REF!</definedName>
    <definedName name="BEx7H14XCXH7WEXEY1HVO53A6AGH" hidden="1">#REF!</definedName>
    <definedName name="BEx7HGVBEF4LEIF6RC14N3PSU461" hidden="1">#REF!</definedName>
    <definedName name="BEx7HQ5T9FZ42QWS09UO4DT42Y0R" hidden="1">#REF!</definedName>
    <definedName name="BEx7HRCZE3CVGON1HV07MT5MNDZ3" hidden="1">#REF!</definedName>
    <definedName name="BEx7HWGE2CANG5M17X4C8YNC3N8F" hidden="1">#REF!</definedName>
    <definedName name="BEx7IB54GU5UCTJS549UBDW43EJL" hidden="1">#REF!</definedName>
    <definedName name="BEx7IBVYN47SFZIA0K4MDKQZNN9V" hidden="1">#REF!</definedName>
    <definedName name="BEx7IGOMJB39HUONENRXTK1MFHGE" hidden="1">#REF!</definedName>
    <definedName name="BEx7ISO6LTCYYDK0J6IN4PG2P6SW" hidden="1">#REF!</definedName>
    <definedName name="BEx7IV2IJ5WT7UC0UG7WP0WF2JZI" hidden="1">#REF!</definedName>
    <definedName name="BEx7IXGU74GE5E4S6W4Z13AR092Y" hidden="1">#REF!</definedName>
    <definedName name="BEx7J4YL8Q3BI1MLH16YYQ18IJRD" hidden="1">#REF!</definedName>
    <definedName name="BEx7J5K5QVUOXI6A663KUWL6PO3O" hidden="1">#REF!</definedName>
    <definedName name="BEx7JH3HGBPI07OHZ5LFYK0UFZQR" hidden="1">#REF!</definedName>
    <definedName name="BEx7JRL3MHRMVLQF3EN15MXRPN68" hidden="1">#REF!</definedName>
    <definedName name="BEx7JV194190CNM6WWGQ3UBJ3CHH" hidden="1">#REF!</definedName>
    <definedName name="BEx7JZJ4AE8AGMWPK3XPBTBUBZ48" hidden="1">#REF!</definedName>
    <definedName name="BEx7K7GZ607XQOGB81A1HINBTGOZ" hidden="1">#REF!</definedName>
    <definedName name="BEx7KEYPBDXSNROH8M6CDCBN6B50" hidden="1">#REF!</definedName>
    <definedName name="BEx7KH7PZ0A6FSWA4LAN2CMZ0WSF" hidden="1">#REF!</definedName>
    <definedName name="BEx7KNCTL6VMNQP4MFMHOMV1WI1Y" hidden="1">#REF!</definedName>
    <definedName name="BEx7KSAS8BZT6H8OQCZ5DNSTMO07" hidden="1">#REF!</definedName>
    <definedName name="BEx7KWHTBD21COXVI4HNEQH0Z3L8" hidden="1">#REF!</definedName>
    <definedName name="BEx7KXUGRMRSUXCM97Z7VRZQ9JH2" hidden="1">#REF!</definedName>
    <definedName name="BEx7L5C6U8MP6IZ67BD649WQYJEK" hidden="1">#REF!</definedName>
    <definedName name="BEx7L8HEYEVTATR0OG5JJO647KNI" hidden="1">#REF!</definedName>
    <definedName name="BEx7L8XOV64OMS15ZFURFEUXLMWF" hidden="1">#REF!</definedName>
    <definedName name="BEx7LPF478MRAYB9TQ6LDML6O3BY" hidden="1">#REF!</definedName>
    <definedName name="BEx7LPV780NFCG1VX4EKJ29YXOLZ" hidden="1">#REF!</definedName>
    <definedName name="BEx7LQ0PD30NJWOAYKPEYHM9J83B" hidden="1">#REF!</definedName>
    <definedName name="BEx7M4EKEDHZ1ZZ91NDLSUNPUFPZ" hidden="1">#REF!</definedName>
    <definedName name="BEx7MAUI1JJFDIJGDW4RWY5384LY" hidden="1">#REF!</definedName>
    <definedName name="BEx7MI1EW6N7FOBHWJLYC02TZSKR" hidden="1">#REF!</definedName>
    <definedName name="BEx7MJZO3UKAMJ53UWOJ5ZD4GGMQ" hidden="1">#REF!</definedName>
    <definedName name="BEx7MO17TZ6L4457Q12FYYLUUZAZ" hidden="1">#REF!</definedName>
    <definedName name="BEx7MT4MFNXIVQGAT6D971GZW7CA" hidden="1">#REF!</definedName>
    <definedName name="BEx7MUMLPPX92MX7SA8S1PLONDL8" hidden="1">#REF!</definedName>
    <definedName name="BEx7MX0W532Q7CB4V6KFVC9WAOUI" hidden="1">#REF!</definedName>
    <definedName name="BEx7NB403NE748IF75RXMWOFQ986" hidden="1">#REF!</definedName>
    <definedName name="BEx7NI062THZAM6I8AJWTFJL91CS" hidden="1">#REF!</definedName>
    <definedName name="BEx904S75BPRYMHF0083JF7ES4NG" hidden="1">#REF!</definedName>
    <definedName name="BEx90HDD4RWF7JZGA8GCGG7D63MG" hidden="1">#REF!</definedName>
    <definedName name="BEx90HO6UVMFVSV8U0YBZFHNCL38" hidden="1">#REF!</definedName>
    <definedName name="BEx90VGH5H09ON2QXYC9WIIEU98T" hidden="1">#REF!</definedName>
    <definedName name="BEx9157279000SVN5XNWQ99JY0WU" hidden="1">#REF!</definedName>
    <definedName name="BEx9175B70QXYAU5A8DJPGZQ46L9" hidden="1">#REF!</definedName>
    <definedName name="BEx91AQQRTV87AO27VWHSFZAD4ZR" hidden="1">#REF!</definedName>
    <definedName name="BEx91L8FLL5CWLA2CDHKCOMGVDZN" hidden="1">#REF!</definedName>
    <definedName name="BEx91OTVH9ZDBC3QTORU8RZX4EOC" hidden="1">#REF!</definedName>
    <definedName name="BEx91QH5JRZKQP1GPN2SQMR3CKAG" hidden="1">#REF!</definedName>
    <definedName name="BEx91ROALDNHO7FI4X8L61RH4UJE" hidden="1">#REF!</definedName>
    <definedName name="BEx91TMID71GVYH0U16QM1RV3PX0" hidden="1">#REF!</definedName>
    <definedName name="BEx91VF2D78PAF337E3L2L81K9W2" hidden="1">#REF!</definedName>
    <definedName name="BEx921PNZ46VORG2VRMWREWIC0SE" hidden="1">#REF!</definedName>
    <definedName name="BEx929CVDCG5CFUQWNDLOSNRQ1FN" hidden="1">#REF!</definedName>
    <definedName name="BEx92DPEKL5WM5A3CN8674JI0PR3" hidden="1">#REF!</definedName>
    <definedName name="BEx92ER2RMY93TZK0D9L9T3H0GI5" hidden="1">#REF!</definedName>
    <definedName name="BEx92FI04PJT4LI23KKIHRXWJDTT" hidden="1">#REF!</definedName>
    <definedName name="BEx92HR14HQ9D5JXCSPA4SS4RT62" hidden="1">#REF!</definedName>
    <definedName name="BEx92HWA2D6A5EX9MFG68G0NOMSN" hidden="1">#REF!</definedName>
    <definedName name="BEx92I1SQUKW2W7S22E82HLJXRGK" hidden="1">#REF!</definedName>
    <definedName name="BEx92PUBDIXAU1FW5ZAXECMAU0LN" hidden="1">#REF!</definedName>
    <definedName name="BEx92S8MHFFIVRQ2YSHZNQGOFUHD" hidden="1">#REF!</definedName>
    <definedName name="BEx92VJ5FJGXISSSMOUAESCSIWFV" hidden="1">#REF!</definedName>
    <definedName name="BEx93B9OULL2YGC896XXYAAJSTRK" hidden="1">#REF!</definedName>
    <definedName name="BEx93FRKF99NRT3LH99UTIH7AAYF" hidden="1">#REF!</definedName>
    <definedName name="BEx93M7FSHP50OG34A4W8W8DF12U" hidden="1">#REF!</definedName>
    <definedName name="BEx93OLWY2O3PRA74U41VG5RXT4Q" hidden="1">#REF!</definedName>
    <definedName name="BEx93RWFAF6YJGYUTITVM445C02U" hidden="1">#REF!</definedName>
    <definedName name="BEx93SY9RWG3HUV4YXQKXJH9FH14" hidden="1">#REF!</definedName>
    <definedName name="BEx93TJUX3U0FJDBG6DDSNQ91R5J" hidden="1">#REF!</definedName>
    <definedName name="BEx942UCRHMI4B0US31HO95GSC2X" hidden="1">#REF!</definedName>
    <definedName name="BEx942ZND3V7XSHKTD0UH9X85N5E" hidden="1">#REF!</definedName>
    <definedName name="BEx947HHLR6UU6NYPNDZRF79V52K" hidden="1">#REF!</definedName>
    <definedName name="BEx948ZFFQWVIDNG4AZAUGGGEB5U" hidden="1">#REF!</definedName>
    <definedName name="BEx94CKXG92OMURH41SNU6IOHK4J" hidden="1">#REF!</definedName>
    <definedName name="BEx94GXG30CIVB6ZQN3X3IK6BZXQ" hidden="1">#REF!</definedName>
    <definedName name="BEx94HJ0DWZHE39X4BLCQCJ3M1MC" hidden="1">#REF!</definedName>
    <definedName name="BEx94HZ5LURYM9ST744ALV6ZCKYP" hidden="1">#REF!</definedName>
    <definedName name="BEx94IQ75E90YUMWJ9N591LR7DQQ" hidden="1">#REF!</definedName>
    <definedName name="BEx94N7W5T3U7UOE97D6OVIBUCXS" hidden="1">#REF!</definedName>
    <definedName name="BEx955NIAWX5OLAHMTV6QFUZPR30" hidden="1">#REF!</definedName>
    <definedName name="BEx9581TYVI2M5TT4ISDAJV4W7Z6" hidden="1">#REF!</definedName>
    <definedName name="BEx95G55NR99FDSE95CXDI4DKWSV" hidden="1">#REF!</definedName>
    <definedName name="BEx95NHF4RVUE0YDOAFZEIVBYJXD" hidden="1">#REF!</definedName>
    <definedName name="BEx95QBZMG0E2KQ9BERJ861QLYN3" hidden="1">#REF!</definedName>
    <definedName name="BEx95QHBVDN795UNQJLRXG3RDU49" hidden="1">#REF!</definedName>
    <definedName name="BEx95TBVUWV7L7OMFMZDQEXGVHU6" hidden="1">#REF!</definedName>
    <definedName name="BEx95U89DZZSVO39TGS62CX8G9N4" hidden="1">#REF!</definedName>
    <definedName name="BEx95XTPKKKJG67C45LRX0T25I06" hidden="1">#REF!</definedName>
    <definedName name="BEx9602K2GHNBUEUVT9ONRQU1GMD" hidden="1">#REF!</definedName>
    <definedName name="BEx9602LTEI8BPC79BGMRK6S0RP8" hidden="1">#REF!</definedName>
    <definedName name="BEx962BL3Y4LA53EBYI64ZYMZE8U" hidden="1">#REF!</definedName>
    <definedName name="BEx96HAWZ2EMMI7VJ5NQXGK044OO" hidden="1">#REF!</definedName>
    <definedName name="BEx96KR21O7H9R29TN0S45Y3QPUK" hidden="1">#REF!</definedName>
    <definedName name="BEx96SUFKHHFE8XQ6UUO6ILDOXHO" hidden="1">#REF!</definedName>
    <definedName name="BEx96UN4YWXBDEZ1U1ZUIPP41Z7I" hidden="1">#REF!</definedName>
    <definedName name="BEx978KSD61YJH3S9DGO050R2EHA" hidden="1">#REF!</definedName>
    <definedName name="BEx97H9O1NAKAPK4MX4PKO34ICL5" hidden="1">#REF!</definedName>
    <definedName name="BEx97MNUZQ1Z0AO2FL7XQYVNCPR7" hidden="1">#REF!</definedName>
    <definedName name="BEx97NPQBACJVD9K1YXI08RTW9E2" hidden="1">#REF!</definedName>
    <definedName name="BEx97RWQLXS0OORDCN69IGA58CWU" hidden="1">#REF!</definedName>
    <definedName name="BEx97YNGGDFIXHTMGFL2IHAQX9MI" hidden="1">#REF!</definedName>
    <definedName name="BEx9805E16VCDEWPM3404WTQS6ZK" hidden="1">#REF!</definedName>
    <definedName name="BEx981HW73BUZWT14TBTZHC0ZTJ4" hidden="1">#REF!</definedName>
    <definedName name="BEx9871KU0N99P0900EAK69VFYT2" hidden="1">#REF!</definedName>
    <definedName name="BEx98IFKNJFGZFLID1YTRFEG1SXY" hidden="1">#REF!</definedName>
    <definedName name="BEx98T7ZEF0HKRFLBVK3BNKCG3CJ" hidden="1">#REF!</definedName>
    <definedName name="BEx98WYSAS39FWGYTMQ8QGIT81TF" hidden="1">#REF!</definedName>
    <definedName name="BEx990461P2YAJ7BRK25INFYZ7RQ" hidden="1">#REF!</definedName>
    <definedName name="BEx9915UVD4G7RA3IMLFZ0LG3UA2" hidden="1">#REF!</definedName>
    <definedName name="BEx991M410V3S2PKCJGQ30O6JT6H" hidden="1">#REF!</definedName>
    <definedName name="BEx992CZON8AO7U7V88VN1JBO0MG" hidden="1">#REF!</definedName>
    <definedName name="BEx9952469XMFGSPXL7CMXHPJF90" hidden="1">#REF!</definedName>
    <definedName name="BEx99B77I7TUSHRR4HIZ9FU2EIUT" hidden="1">#REF!</definedName>
    <definedName name="BEx99EHWKKHZB66Q30C7QIXU3BVM" hidden="1">#REF!</definedName>
    <definedName name="BEx99IE6TEODZ443HP0AYCXVTNOV" hidden="1">#REF!</definedName>
    <definedName name="BEx99Q6PH5F3OQKCCAAO75PYDEFN" hidden="1">#REF!</definedName>
    <definedName name="BEx99RU5I4O0109P2FW9DN4IU3QX" hidden="1">#REF!</definedName>
    <definedName name="BEx99WBYT2D6UUC1PT7A40ENYID4" hidden="1">#REF!</definedName>
    <definedName name="BEx99WS2X3RTQE9O764SS5G2FPE6" hidden="1">#REF!</definedName>
    <definedName name="BEx99ZRZ4I7FHDPGRAT5VW7NVBPU" hidden="1">#REF!</definedName>
    <definedName name="BEx9AT5E3ZSHKSOL35O38L8HF9TH" hidden="1">#REF!</definedName>
    <definedName name="BEx9ATW9WB5CNKQR5HKK7Y2GHYGR" hidden="1">#REF!</definedName>
    <definedName name="BEx9AV8W1FAWF5BHATYEN47X12JN" hidden="1">#REF!</definedName>
    <definedName name="BEx9B8A5186FNTQQNLIO5LK02ABI" hidden="1">#REF!</definedName>
    <definedName name="BEx9B8VR20E2CILU4CDQUQQ9ONXK" hidden="1">#REF!</definedName>
    <definedName name="BEx9B917EUP13X6FQ3NPQL76XM5V" hidden="1">#REF!</definedName>
    <definedName name="BEx9BAJ5WYEQ623HUT9NNCMP3RUG" hidden="1">#REF!</definedName>
    <definedName name="BEx9BE9Z7EFJCFDYJJOY5KFTGDF4" hidden="1">#REF!</definedName>
    <definedName name="BEx9BSIJN2O0MG8CXAMCAOADEMTO" hidden="1">#REF!</definedName>
    <definedName name="BEx9BU0BBJO3ITPCO4T9FIVEVJY7" hidden="1">#REF!</definedName>
    <definedName name="BEx9BYSYW7QCPXS2NAVLFAU5Y2Z2" hidden="1">#REF!</definedName>
    <definedName name="BEx9C590HJ2O31IWJB73C1HR74AI" hidden="1">#REF!</definedName>
    <definedName name="BEx9CCQRMYYOGIOYTOM73VKDIPS1" hidden="1">#REF!</definedName>
    <definedName name="BEx9CM6JVXIG9S6EAZMR899UW190" hidden="1">#REF!</definedName>
    <definedName name="BEx9D160NRGTDVT2ML4H9A7UKR4T" hidden="1">#REF!</definedName>
    <definedName name="BEx9D1BC9FT19KY0INAABNDBAMR1" hidden="1">#REF!</definedName>
    <definedName name="BEx9D1MB15VSARB7IKBMZYU0JJBI" hidden="1">#REF!</definedName>
    <definedName name="BEx9DN6ZMF18Q39MPMXSDJTZQNJ3" hidden="1">#REF!</definedName>
    <definedName name="BEx9DZXN85O544CD9O60K126YYAU" hidden="1">#REF!</definedName>
    <definedName name="BEx9E14TDNSEMI784W0OTIEQMWN6" hidden="1">#REF!</definedName>
    <definedName name="BEx9E14TGNBYGMDDG9NETDK4SYAW" hidden="1">#REF!</definedName>
    <definedName name="BEx9E2BZ2B1R41FMGJCJ7JLGLUAJ" hidden="1">#REF!</definedName>
    <definedName name="BEx9EG9KBJ77M8LEOR9ITOKN5KXY" hidden="1">#REF!</definedName>
    <definedName name="BEx9EL27NGDBCTVPW97K42QANS5K" hidden="1">#REF!</definedName>
    <definedName name="BEx9EMK6HAJJMVYZTN5AUIV7O1E6" hidden="1">#REF!</definedName>
    <definedName name="BEx9ENB8RPU9FA3QW16IGB6LK1CH" hidden="1">#REF!</definedName>
    <definedName name="BEx9EQLVZHYQ1TPX7WH3SOWXCZLE" hidden="1">#REF!</definedName>
    <definedName name="BEx9ETLU0EK5LGEM1QCNYN2S8O5F" hidden="1">#REF!</definedName>
    <definedName name="BEx9F0710LGLAU3161O0O346N58H" hidden="1">#REF!</definedName>
    <definedName name="BEx9F0Y2ESUNE3U7TQDLMPE9BO67" hidden="1">#REF!</definedName>
    <definedName name="BEx9F439L1R726MJFX2EP39XIBPY" hidden="1">#REF!</definedName>
    <definedName name="BEx9F5W18ZGFOKGRE8PR6T1MO6GT" hidden="1">#REF!</definedName>
    <definedName name="BEx9F78N4HY0XFGBQ4UJRD52L1EI" hidden="1">#REF!</definedName>
    <definedName name="BEx9FF16LOQP5QIR4UHW5EIFGQB8" hidden="1">#REF!</definedName>
    <definedName name="BEx9FJTSRCZ3ZXT3QVBJT5NF8T7V" hidden="1">#REF!</definedName>
    <definedName name="BEx9FRBEEYPS5HLS3XT34AKZN94G" hidden="1">#REF!</definedName>
    <definedName name="BEx9G5USBCNYNA7HGVW92D800SKX" hidden="1">#REF!</definedName>
    <definedName name="BEx9G7CPXG7HR6N6FHPU2DBBUIKG" hidden="1">#REF!</definedName>
    <definedName name="BEx9GDY4D8ZPQJCYFIMYM0V0C51Y" hidden="1">#REF!</definedName>
    <definedName name="BEx9GGY04V0ZWI6O9KZH4KSBB389" hidden="1">#REF!</definedName>
    <definedName name="BEx9GMC7TE8SDTCO5PHODBUF4SM1" hidden="1">#REF!</definedName>
    <definedName name="BEx9GMN0B495HEAOG6JQK9D7HUPC" hidden="1">#REF!</definedName>
    <definedName name="BEx9GNOPB6OZ2RH3FCDNJR38RJOS" hidden="1">#REF!</definedName>
    <definedName name="BEx9GUQALUWCD30UKUQGSWW8KBQ7" hidden="1">#REF!</definedName>
    <definedName name="BEx9GY6BVFQGCLMOWVT6PIC9WP5X" hidden="1">#REF!</definedName>
    <definedName name="BEx9GZ2P3FDHKXEBXX2VS0BG2NP2" hidden="1">#REF!</definedName>
    <definedName name="BEx9H04IB14E1437FF2OIRRWBSD7" hidden="1">#REF!</definedName>
    <definedName name="BEx9H5O1KDZJCW91Q29VRPY5YS6P" hidden="1">#REF!</definedName>
    <definedName name="BEx9H8YR0E906F1JXZMBX3LNT004" hidden="1">#REF!</definedName>
    <definedName name="BEx9I1QKLI6OOUPQLUQ0EF0355X6" hidden="1">#REF!</definedName>
    <definedName name="BEx9I8XIG7E5NB48QQHXP23FIN60" hidden="1">#REF!</definedName>
    <definedName name="BEx9IQRF01ATLVK0YE60ARKQJ68L" hidden="1">#REF!</definedName>
    <definedName name="BEx9IT5QNZWKM6YQ5WER0DC2PMMU" hidden="1">#REF!</definedName>
    <definedName name="BEx9IUICG3HZWG57MG3NXCEX4LQI" hidden="1">#REF!</definedName>
    <definedName name="BEx9IW5LYJF40GS78FJNXO9O667A" hidden="1">#REF!</definedName>
    <definedName name="BEx9IW5MFLXTVCJHVUZTUH93AXOS" hidden="1">#REF!</definedName>
    <definedName name="BEx9IXCSPSZC80YZUPRCYTG326KV" hidden="1">#REF!</definedName>
    <definedName name="BEx9IYUQSBZ0GG9ZT1QKX83F42F1" hidden="1">#REF!</definedName>
    <definedName name="BEx9IZR39NHDGOM97H4E6F81RTQW" hidden="1">#REF!</definedName>
    <definedName name="BEx9J6CH5E7YZPER7HXEIOIKGPCA" hidden="1">#REF!</definedName>
    <definedName name="BEx9JJTZKVUJAVPTRE0RAVTEH41G" hidden="1">#REF!</definedName>
    <definedName name="BEx9JLBYK239B3F841C7YG1GT7ST" hidden="1">#REF!</definedName>
    <definedName name="BExAW4IIW5D0MDY6TJ3G4FOLPYIR" hidden="1">#REF!</definedName>
    <definedName name="BExAWNP1B2E9Q88TW48NH41C0FTZ" hidden="1">#REF!</definedName>
    <definedName name="BExAWUFQXTIPQ308ERZPSVPTUMYN" hidden="1">#REF!</definedName>
    <definedName name="BExAWY6O96OQO2R036QK2DI37EKV" hidden="1">#REF!</definedName>
    <definedName name="BExAX410NB4F2XOB84OR2197H8M5" hidden="1">#REF!</definedName>
    <definedName name="BExAX8TNG8LQ5Q4904SAYQIPGBSV" hidden="1">#REF!</definedName>
    <definedName name="BExAX9KPAVIVUVU3XREDCV1BIYZL" hidden="1">#REF!</definedName>
    <definedName name="BExAXPB35BNVXZYF2XS6UP3LP0QH" hidden="1">#REF!</definedName>
    <definedName name="BExAXWSRVPK0GCZ2UFU10UOP01IY" hidden="1">#REF!</definedName>
    <definedName name="BExAY0EAT2LXR5MFGM0DLIB45PLO" hidden="1">#REF!</definedName>
    <definedName name="BExAY6JK0AK9EBIJSPEJNOIDE40W" hidden="1">#REF!</definedName>
    <definedName name="BExAYE6LNIEBR9DSNI5JGNITGKIT" hidden="1">#REF!</definedName>
    <definedName name="BExAYHMLXGGO25P8HYB2S75DEB4F" hidden="1">#REF!</definedName>
    <definedName name="BExAYKXAUWGDOPG952TEJ2UKZKWN" hidden="1">#REF!</definedName>
    <definedName name="BExAYP9TDTI2MBP6EYE0H39CPMXN" hidden="1">#REF!</definedName>
    <definedName name="BExAYPPWJPWDKU59O051WMGB7O0J" hidden="1">#REF!</definedName>
    <definedName name="BExAYR2JZCJBUH6F1LZC2A7JIVRJ" hidden="1">#REF!</definedName>
    <definedName name="BExAYTGVRD3DLKO75RFPMBKCIWB8" hidden="1">#REF!</definedName>
    <definedName name="BExAYY9H9COOT46HJLPVDLTO12UL" hidden="1">#REF!</definedName>
    <definedName name="BExAYYKAQA3KDMQ890FIE5M9SPBL" hidden="1">#REF!</definedName>
    <definedName name="BExAZ6SY0EU69GC3CWI5EOO0YLFG" hidden="1">#REF!</definedName>
    <definedName name="BExAZ6YEEBJV0PCKFE137K2Y3A8M" hidden="1">#REF!</definedName>
    <definedName name="BExAZAP844MJ4GSAIYNYHQ7FECC3" hidden="1">#REF!</definedName>
    <definedName name="BExAZCNEGB4JYHC8CZ51KTN890US" hidden="1">#REF!</definedName>
    <definedName name="BExAZFCI302YFYRDJYQDWQQL0Q0O" hidden="1">#REF!</definedName>
    <definedName name="BExAZJE2UOL40XUAU2RB53X5K20P" hidden="1">#REF!</definedName>
    <definedName name="BExAZLHLST9OP89R1HJMC1POQG8H" hidden="1">#REF!</definedName>
    <definedName name="BExAZMDYMIAA7RX1BMCKU1VLBRGY" hidden="1">#REF!</definedName>
    <definedName name="BExAZNL6BHI8DCQWXOX4I2P839UX" hidden="1">#REF!</definedName>
    <definedName name="BExAZRMWSONMCG9KDUM4KAQ7BONM" hidden="1">#REF!</definedName>
    <definedName name="BExAZSOJNQ5N3LM4XA17IH7NIY7G" hidden="1">#REF!</definedName>
    <definedName name="BExAZTFG4SJRG4TW6JXRF7N08JFI" hidden="1">#REF!</definedName>
    <definedName name="BExAZUS4A8OHDZK0MWAOCCCKTH73" hidden="1">#REF!</definedName>
    <definedName name="BExAZX6FECVK3E07KXM2XPYKGM6U" hidden="1">#REF!</definedName>
    <definedName name="BExB012NJ8GASTNNPBRRFTLHIOC9" hidden="1">#REF!</definedName>
    <definedName name="BExB072HHXVMUC0VYNGG48GRSH5Q" hidden="1">#REF!</definedName>
    <definedName name="BExB0FRDEYDEUEAB1W8KD6D965XA" hidden="1">#REF!</definedName>
    <definedName name="BExB0GIGLDV7P55ZR51C0HG15PA2" hidden="1">#REF!</definedName>
    <definedName name="BExB0KPCN7YJORQAYUCF4YKIKPMC" hidden="1">#REF!</definedName>
    <definedName name="BExB0VHQD6ORZS0MIC86QWHCE4UC" hidden="1">#REF!</definedName>
    <definedName name="BExB0WE4PI3NOBXXVO9CTEN4DIU2" hidden="1">#REF!</definedName>
    <definedName name="BExB0Z8O1CQF2CWFBBHE8SNISDAO" hidden="1">#REF!</definedName>
    <definedName name="BExB10QNIVITUYS55OAEKK3VLJFE" hidden="1">#REF!</definedName>
    <definedName name="BExB15ZDRY4CIJ911DONP0KCY9KU" hidden="1">#REF!</definedName>
    <definedName name="BExB16VQY0O0RLZYJFU3OFEONVTE" hidden="1">#REF!</definedName>
    <definedName name="BExB1FKNY2UO4W5FUGFHJOA2WFGG" hidden="1">#REF!</definedName>
    <definedName name="BExB1GMD0PIDGTFBGQOPRWQSP9I4" hidden="1">#REF!</definedName>
    <definedName name="BExB1HZ0FHGNOS2URJWFD5G55OMO" hidden="1">#REF!</definedName>
    <definedName name="BExB1Q29OO6LNFNT1EQLA3KYE7MX" hidden="1">#REF!</definedName>
    <definedName name="BExB1TNRV5EBWZEHYLHI76T0FVA7" hidden="1">#REF!</definedName>
    <definedName name="BExB1WI6M8I0EEP1ANUQZCFY24EV" hidden="1">#REF!</definedName>
    <definedName name="BExB203OWC9QZA3BYOKQ18L4FUJE" hidden="1">#REF!</definedName>
    <definedName name="BExB2CJHTU7C591BR4WRL5L2F2K6" hidden="1">#REF!</definedName>
    <definedName name="BExB2K1AV4PGNS1O6C7D7AO411AX" hidden="1">#REF!</definedName>
    <definedName name="BExB2O2UYHKI324YE324E1N7FVIB" hidden="1">#REF!</definedName>
    <definedName name="BExB2Q0VJ0MU2URO3JOVUAVHEI3V" hidden="1">#REF!</definedName>
    <definedName name="BExB30IP1DNKNQ6PZ5ERUGR5MK4Z" hidden="1">#REF!</definedName>
    <definedName name="BExB385QW2BSSBXS953SSQN2ISSW" hidden="1">#REF!</definedName>
    <definedName name="BExB3DEMEV5D9G8FDHD4NQ9X2YNT" hidden="1">#REF!</definedName>
    <definedName name="BExB3RXU8AJQ86I5RXEWLGGR7R7C" hidden="1">#REF!</definedName>
    <definedName name="BExB442RX0T3L6HUL6X5T21CENW6" hidden="1">#REF!</definedName>
    <definedName name="BExB4ADD0L7417CII901XTFKXD1J" hidden="1">#REF!</definedName>
    <definedName name="BExB4DYU06HCGRIPBSWRCXK804UM" hidden="1">#REF!</definedName>
    <definedName name="BExB4HEZO4E597Q5M4M10LT8TLY3" hidden="1">#REF!</definedName>
    <definedName name="BExB4X01APD3Z8ZW6MVX1P8NAO7G" hidden="1">#REF!</definedName>
    <definedName name="BExB4Z3EZBGYYI33U0KQ8NEIH8PY" hidden="1">#REF!</definedName>
    <definedName name="BExB4ZJOLU1PXBMG4TPCCLTRMNRE" hidden="1">#REF!</definedName>
    <definedName name="BExB4ZZSDPL4Q05BMVT5TUN0IGKT" hidden="1">#REF!</definedName>
    <definedName name="BExB55368XW7UX657ZSPC6BFE92S" hidden="1">#REF!</definedName>
    <definedName name="BExB57MZEPL2SA2ONPK66YFLZWJU" hidden="1">#REF!</definedName>
    <definedName name="BExB5833OAOJ22VK1YK47FHUSVK2" hidden="1">#REF!</definedName>
    <definedName name="BExB58JDIHS42JZT9DJJMKA8QFCO" hidden="1">#REF!</definedName>
    <definedName name="BExB58U5FQC5JWV9CGC83HLLZUZI" hidden="1">#REF!</definedName>
    <definedName name="BExB5EDO9XUKHF74X3HAU2WPPHZH" hidden="1">#REF!</definedName>
    <definedName name="BExB5EDOQKZIQXT13IG1KLCZ474G" hidden="1">#REF!</definedName>
    <definedName name="BExB5G6EH68AYEP1UT0GHUEL3SLN" hidden="1">#REF!</definedName>
    <definedName name="BExB5LVGGXMNUN3D3452G3J62MKF" hidden="1">#REF!</definedName>
    <definedName name="BExB5QYVEZWFE5DQVHAM760EV05X" hidden="1">#REF!</definedName>
    <definedName name="BExB5U9IRH14EMOE0YGIE3WIVLFS" hidden="1">#REF!</definedName>
    <definedName name="BExB5V5WWQYPK4GCSYZQALJYGC94" hidden="1">#REF!</definedName>
    <definedName name="BExB5VWYMOV6BAIH7XUBBVPU7MMD" hidden="1">#REF!</definedName>
    <definedName name="BExB610DZWIJP1B72U9QM42COH2B" hidden="1">#REF!</definedName>
    <definedName name="BExB64AX81KEVMGZDXB25NB459SW" hidden="1">#REF!</definedName>
    <definedName name="BExB6C3FUAKK9ML5T767NMWGA9YB" hidden="1">#REF!</definedName>
    <definedName name="BExB6C8X6JYRLKZKK17VE3QUNL3D" hidden="1">#REF!</definedName>
    <definedName name="BExB6HN3QRFPXM71MDUK21BKM7PF" hidden="1">#REF!</definedName>
    <definedName name="BExB6I39SKL5BMHHDD9EED7FQD9Z" hidden="1">#REF!</definedName>
    <definedName name="BExB6IZMHCZ3LB7N73KD90YB1HBZ" hidden="1">#REF!</definedName>
    <definedName name="BExB719SGNX4Y8NE6JEXC555K596" hidden="1">#REF!</definedName>
    <definedName name="BExB7265DCHKS7V2OWRBXCZTEIW9" hidden="1">#REF!</definedName>
    <definedName name="BExB74PS5P9G0P09Y6DZSCX0FLTJ" hidden="1">#REF!</definedName>
    <definedName name="BExB78RH79J0MIF7H8CAZ0CFE88Q" hidden="1">#REF!</definedName>
    <definedName name="BExB7ELT09HGDVO5BJC1ZY9D09GZ" hidden="1">#REF!</definedName>
    <definedName name="BExB7F7EIHG0MYMQYUVG9HIZPHMZ" hidden="1">#REF!</definedName>
    <definedName name="BExB806PAXX70XUTA3ZI7OORD78R" hidden="1">#REF!</definedName>
    <definedName name="BExB83199EQQS6I5HE7WADNCK8OE" hidden="1">#REF!</definedName>
    <definedName name="BExB8HF4UBVZKQCSRFRUQL2EE6VL" hidden="1">#REF!</definedName>
    <definedName name="BExB8HKHKZ1ORJZUYGG2M4VSCC39" hidden="1">#REF!</definedName>
    <definedName name="BExB8HV9YUS1Q77M9SNFRKDLU5HS" hidden="1">#REF!</definedName>
    <definedName name="BExB8QPH8DC5BESEVPSMBCWVN6PO" hidden="1">#REF!</definedName>
    <definedName name="BExB8U5N0D85YR8APKN3PPKG0FWP" hidden="1">#REF!</definedName>
    <definedName name="BExB93G413CK5DKO7925ZHSOBGIN" hidden="1">#REF!</definedName>
    <definedName name="BExB96LBXL1JW5A4PP93UJ9UDLKZ" hidden="1">#REF!</definedName>
    <definedName name="BExB9DHI5I2TJ2LXYPM98EE81L27" hidden="1">#REF!</definedName>
    <definedName name="BExB9G6LZG5OQUY0GZLHX066V3D4" hidden="1">#REF!</definedName>
    <definedName name="BExB9IFG9FW3RQUDIMDFKIYDB4HE" hidden="1">#REF!</definedName>
    <definedName name="BExB9NDIZ7LGMTL8351GRA6VK2K0" hidden="1">#REF!</definedName>
    <definedName name="BExB9Q2MZZHBGW8QQKVEYIMJBPIE" hidden="1">#REF!</definedName>
    <definedName name="BExBA1GON0EZRJ20UYPILAPLNQWM" hidden="1">#REF!</definedName>
    <definedName name="BExBA525BALJ5HMTDMMSM5WWJ1YW" hidden="1">#REF!</definedName>
    <definedName name="BExBA69ASGYRZW1G1DYIS9QRRTBN" hidden="1">#REF!</definedName>
    <definedName name="BExBA6K42582A14WFFWQ3Q8QQWB6" hidden="1">#REF!</definedName>
    <definedName name="BExBA8I5D4R8R2PYQ1K16TWGTOEP" hidden="1">#REF!</definedName>
    <definedName name="BExBA93PE0DGUUTA7LLSIGBIXWE5" hidden="1">#REF!</definedName>
    <definedName name="BExBABCQMR685CQ1SC8CECO7GTGB" hidden="1">#REF!</definedName>
    <definedName name="BExBAI8X0FKDQJ6YZJQDTTG4ZCWY" hidden="1">#REF!</definedName>
    <definedName name="BExBAKN7XIBAXCF9PCNVS038PCQO" hidden="1">#REF!</definedName>
    <definedName name="BExBAKXZ7PBW3DDKKA5MWC1ZUC7O" hidden="1">#REF!</definedName>
    <definedName name="BExBAO8NLXZXHO6KCIECSFCH3RR0" hidden="1">#REF!</definedName>
    <definedName name="BExBAOOT1KBSIEISN1ADL4RMY879" hidden="1">#REF!</definedName>
    <definedName name="BExBAVKX8Q09370X1GCZWJ4E91YJ" hidden="1">#REF!</definedName>
    <definedName name="BExBAX2X2ENJYO4QTR5VAIQ86L7B" hidden="1">#REF!</definedName>
    <definedName name="BExBAZ13D3F1DVJQ6YJ8JGUYEYJE" hidden="1">#REF!</definedName>
    <definedName name="BExBBMPCB1QOZY8WWEX4J21JDE6U" hidden="1">#REF!</definedName>
    <definedName name="BExBBU1QQWUE0YFG7O1TN0RFLSSG" hidden="1">#REF!</definedName>
    <definedName name="BExBBUCJQRR74Q7GPWDEZXYK2KJL" hidden="1">#REF!</definedName>
    <definedName name="BExBBV8XVMD9CKZY711T0BN7H3PM" hidden="1">#REF!</definedName>
    <definedName name="BExBC78HXWXHO3XAB6E8NVTBGLJS" hidden="1">#REF!</definedName>
    <definedName name="BExBCFH3SMGZ2IPHFB6BCM9O3W0H" hidden="1">#REF!</definedName>
    <definedName name="BExBCK9SCAABKOT9IP6TEPRR7YDT" hidden="1">#REF!</definedName>
    <definedName name="BExBCKKJFFT2RP50WNPKBT7X8PJ3" hidden="1">#REF!</definedName>
    <definedName name="BExBCKKJTIRKC1RZJRTK65HHLX4W" hidden="1">#REF!</definedName>
    <definedName name="BExBCLMEPAN3XXX174TU8SS0627Q" hidden="1">#REF!</definedName>
    <definedName name="BExBCRBEYR2KZ8FAQFZ2NHY13WIY" hidden="1">#REF!</definedName>
    <definedName name="BExBD4I559NXSV6J07Q343TKYMVJ" hidden="1">#REF!</definedName>
    <definedName name="BExBD9W8C0W9N6L1AFL18JP4H94W" hidden="1">#REF!</definedName>
    <definedName name="BExBDBZQLTX3OGFYGULQFK5WEZU5" hidden="1">#REF!</definedName>
    <definedName name="BExBDJS9TUEU8Z84IV59E5V4T8K6" hidden="1">#REF!</definedName>
    <definedName name="BExBDKOMSVH4XMH52CFJ3F028I9R" hidden="1">#REF!</definedName>
    <definedName name="BExBDSRXVZQ0W5WXQMP5XD00GRRL" hidden="1">#REF!</definedName>
    <definedName name="BExBDTJ0J7XEHB9OATXFF5I8FZBJ" hidden="1">#REF!</definedName>
    <definedName name="BExBDUVGK3E1J4JY9ZYTS7V14BLY" hidden="1">#REF!</definedName>
    <definedName name="BExBE0KGY14GSWOGPU4HSJRLD2UD" hidden="1">#REF!</definedName>
    <definedName name="BExBE162OSBKD30I7T1DKKPT3I9I" hidden="1">#REF!</definedName>
    <definedName name="BExBEC9ATLQZF86W1M3APSM4HEOH" hidden="1">#REF!</definedName>
    <definedName name="BExBEXU4CFCM1P5CTZ4NE14PBGDA" hidden="1">#REF!</definedName>
    <definedName name="BExBEYFQJE9YK12A6JBMRFKEC7RN" hidden="1">#REF!</definedName>
    <definedName name="BExBG1ED81J2O4A2S5F5Y3BPHMCR" hidden="1">#REF!</definedName>
    <definedName name="BExCRK0K58VDM9V35DGI6VK8C92V" hidden="1">#REF!</definedName>
    <definedName name="BExCRLIHS7466WFJ3RPIUGGXYESZ" hidden="1">#REF!</definedName>
    <definedName name="BExCRXSXMF4LHAQZHN64FXJPMVZ7" hidden="1">#REF!</definedName>
    <definedName name="BExCS1EDDUEAEWHVYXHIP9I1WCJH" hidden="1">#REF!</definedName>
    <definedName name="BExCS1P5QG0X3OTHKX07RALOE5T5" hidden="1">#REF!</definedName>
    <definedName name="BExCS7ZPMHFJ4UJDAL8CQOLSZ13B" hidden="1">#REF!</definedName>
    <definedName name="BExCS8W4NJUZH9S1CYB6XSDLEPBW" hidden="1">#REF!</definedName>
    <definedName name="BExCSAE1M6G20R41J0Y24YNN0YC1" hidden="1">#REF!</definedName>
    <definedName name="BExCSAOUZOYKHN7HV511TO8VDJ02" hidden="1">#REF!</definedName>
    <definedName name="BExCSJ2XVKHN6ULCF7JML0TCRKEO" hidden="1">#REF!</definedName>
    <definedName name="BExCSMOFTXSUEC1T46LR1UPYRCX5" hidden="1">#REF!</definedName>
    <definedName name="BExCSSDG3TM6TPKS19E9QYJEELZ6" hidden="1">#REF!</definedName>
    <definedName name="BExCSZV7U67UWXL2HKJNM5W1E4OO" hidden="1">#REF!</definedName>
    <definedName name="BExCT4NSDT61OCH04Y2QIFIOP75H" hidden="1">#REF!</definedName>
    <definedName name="BExCTHZWIPJVLE56GATEFKPIKLK2" hidden="1">#REF!</definedName>
    <definedName name="BExCTW8G3VCZ55S09HTUGXKB1P2M" hidden="1">#REF!</definedName>
    <definedName name="BExCTYS2KX0QANOLT8LGZ9WV3S3T" hidden="1">#REF!</definedName>
    <definedName name="BExCTZ2V6H9TT6LFGK3SADZ2TIGQ" hidden="1">#REF!</definedName>
    <definedName name="BExCTZZ9JNES4EDHW97NP0EGQALX" hidden="1">#REF!</definedName>
    <definedName name="BExCU0A1V6NMZQ9ASYJ8QIVQ5UR2" hidden="1">#REF!</definedName>
    <definedName name="BExCU2834920JBHSPCRC4UF80OLL" hidden="1">#REF!</definedName>
    <definedName name="BExCU8O54I3P3WRYWY1CRP3S78QY" hidden="1">#REF!</definedName>
    <definedName name="BExCUDRJO23YOKT8GPWOVQ4XEHF5" hidden="1">#REF!</definedName>
    <definedName name="BExCULEOALM7SEHVMQC4B4N25MRM" hidden="1">#REF!</definedName>
    <definedName name="BExCUPAXFR16YMWL30ME3F3BSRDZ" hidden="1">#REF!</definedName>
    <definedName name="BExCUR94DHCE47PUUWEMT5QZOYR2" hidden="1">#REF!</definedName>
    <definedName name="BExCV5HJSTBNPQZVGYJY9AZ4IJ26" hidden="1">#REF!</definedName>
    <definedName name="BExCV634L7SVHGB0UDDTRRQ2Q72H" hidden="1">#REF!</definedName>
    <definedName name="BExCVBXGSXT9FWJRG62PX9S1RK83" hidden="1">#REF!</definedName>
    <definedName name="BExCVHBNLOHNFS0JAV3I1XGPNH9W" hidden="1">#REF!</definedName>
    <definedName name="BExCVI86R31A2IOZIEBY1FJLVILD" hidden="1">#REF!</definedName>
    <definedName name="BExCVKGZXE0I9EIXKBZVSGSEY2RR" hidden="1">#REF!</definedName>
    <definedName name="BExCVNROVORCSNX9HKHKPHY0URS3" hidden="1">#REF!</definedName>
    <definedName name="BExCVPEZON7VV6NOWII8VZMONPCJ" hidden="1">#REF!</definedName>
    <definedName name="BExCVV44WY5807WGMTGKPW0GT256" hidden="1">#REF!</definedName>
    <definedName name="BExCVZ5PN4V6MRBZ04PZJW3GEF8S" hidden="1">#REF!</definedName>
    <definedName name="BExCW13R0GWJYGXZBNCPAHQN4NR2" hidden="1">#REF!</definedName>
    <definedName name="BExCW9Y5HWU4RJTNX74O6L24VGCK" hidden="1">#REF!</definedName>
    <definedName name="BExCWHADQJRXWFDGV2KMANWIY1YN" hidden="1">#REF!</definedName>
    <definedName name="BExCWPDPESGZS07QGBLSBWDNVJLZ" hidden="1">#REF!</definedName>
    <definedName name="BExCWTVKHIVCRHF8GC39KI58YM5K" hidden="1">#REF!</definedName>
    <definedName name="BExCX2KGRZBRVLZNM8SUSIE6A0RL" hidden="1">#REF!</definedName>
    <definedName name="BExCX3X451T70LZ1VF95L7W4Y4TM" hidden="1">#REF!</definedName>
    <definedName name="BExCX4NZ2N1OUGXM7EV0U7VULJMM" hidden="1">#REF!</definedName>
    <definedName name="BExCXILMURGYMAH6N5LF5DV6K3GM" hidden="1">#REF!</definedName>
    <definedName name="BExCXQUFBMXQ1650735H48B1AZT3" hidden="1">#REF!</definedName>
    <definedName name="BExCXYSBKJ9SZQD7XS2WUS6SVBJO" hidden="1">#REF!</definedName>
    <definedName name="BExCXZ8DGK5ZE8467LFEHX6JNQHJ" hidden="1">#REF!</definedName>
    <definedName name="BExCY2DQO9VLA77Q7EG3T0XNXX4F" hidden="1">#REF!</definedName>
    <definedName name="BExCY5Z7X93Z8XUOEASK50W08S36" hidden="1">#REF!</definedName>
    <definedName name="BExCY6VMJ68MX3C981R5Q0BX5791" hidden="1">#REF!</definedName>
    <definedName name="BExCYAH2SAZCPW6XCB7V7PMMCAWO" hidden="1">#REF!</definedName>
    <definedName name="BExCYDGYM1UGUNTB331L2E4L5F34" hidden="1">#REF!</definedName>
    <definedName name="BExCYN7KCKU1F6EXMNPQPTKNOT6A" hidden="1">#REF!</definedName>
    <definedName name="BExCYPRC5HJE6N2XQTHCT6NXGP8N" hidden="1">#REF!</definedName>
    <definedName name="BExCYQCX9ES8ZWW2L35B12WDNT73" hidden="1">#REF!</definedName>
    <definedName name="BExCYSLQY2CYU7DQ3QI07UGGS6OW" hidden="1">#REF!</definedName>
    <definedName name="BExCYUK0I3UEXZNFDW71G6Z6D8XR" hidden="1">#REF!</definedName>
    <definedName name="BExCZFZCXMLY5DWESYJ9NGTJYQ8M" hidden="1">#REF!</definedName>
    <definedName name="BExCZJ4P8WS0BDT31WDXI0ROE7D6" hidden="1">#REF!</definedName>
    <definedName name="BExCZKH6NI0EE02L995IFVBD1J59" hidden="1">#REF!</definedName>
    <definedName name="BExCZNRWARGGHWLSC1PEDZFLF3JV" hidden="1">#REF!</definedName>
    <definedName name="BExCZP9TBB61HISZ2U5QMQSO2LBE" hidden="1">#REF!</definedName>
    <definedName name="BExCZUD9FEOJBKDJ51Z3JON9LKJ8" hidden="1">#REF!</definedName>
    <definedName name="BExD0AUOVQT3UL53T2KUVJNGD0QF" hidden="1">#REF!</definedName>
    <definedName name="BExD0HALIN0JR4JTPGDEVAEE5EX5" hidden="1">#REF!</definedName>
    <definedName name="BExD0LCCDPG16YLY5WQSZF1XI5DA" hidden="1">#REF!</definedName>
    <definedName name="BExD0RMWSB4TRECEHTH6NN4K9DFZ" hidden="1">#REF!</definedName>
    <definedName name="BExD0U6KG10QGVDI1XSHK0J10A2V" hidden="1">#REF!</definedName>
    <definedName name="BExD0WQ6EQ2G82IAJI3FDQKGZH18" hidden="1">#REF!</definedName>
    <definedName name="BExD13RUIBGRXDL4QDZ305UKUR12" hidden="1">#REF!</definedName>
    <definedName name="BExD14DETV5R4OOTMAXD5NAKWRO3" hidden="1">#REF!</definedName>
    <definedName name="BExD1MI40YRCBI7KT4S9YHQJUO06" hidden="1">#REF!</definedName>
    <definedName name="BExD1OAU9OXQAZA4D70HP72CU6GB" hidden="1">#REF!</definedName>
    <definedName name="BExD1T8WPV0G6YOX7WMAIZD8XNBK" hidden="1">#REF!</definedName>
    <definedName name="BExD1Y1JV61416YA1XRQHKWPZIE7" hidden="1">#REF!</definedName>
    <definedName name="BExD2CFHIRMBKN5KXE5QP4XXEWFS" hidden="1">#REF!</definedName>
    <definedName name="BExD2DMHH1HWXQ9W0YYMDP8AAX8Q" hidden="1">#REF!</definedName>
    <definedName name="BExD2HTPC7IWBAU6OSQ67MQA8BYZ" hidden="1">#REF!</definedName>
    <definedName name="BExD2PWTVQ2CXNG6B7UDL8FIMXBH" hidden="1">#REF!</definedName>
    <definedName name="BExD2X9AQ03EX1AVVX44CXLXRPTI" hidden="1">#REF!</definedName>
    <definedName name="BExD2ZNL9MWJOEL2575KJZBDP2A6" hidden="1">#REF!</definedName>
    <definedName name="BExD34G79JRMB8BZRVN81P1H9MSB" hidden="1">#REF!</definedName>
    <definedName name="BExD35CL2NULPPEHAM954ETQIJA2" hidden="1">#REF!</definedName>
    <definedName name="BExD363H2VGFIQUCE6LS4AC5J0ZT" hidden="1">#REF!</definedName>
    <definedName name="BExD3A588E939V61P1XEW0FI5Q0S" hidden="1">#REF!</definedName>
    <definedName name="BExD3CJJDKVR9M18XI3WDZH80WL6" hidden="1">#REF!</definedName>
    <definedName name="BExD3ESD9WYJIB3TRDPJ1CKXRAVL" hidden="1">#REF!</definedName>
    <definedName name="BExD3F368X5S25MWSUNIV57RDB57" hidden="1">#REF!</definedName>
    <definedName name="BExD3I8JTNF4LTMFY6GRVDJ6VLGG" hidden="1">#REF!</definedName>
    <definedName name="BExD3IJ5IT335SOSNV9L85WKAOSI" hidden="1">#REF!</definedName>
    <definedName name="BExD3KBVUY57GMMQTOFEU6S6G1AY" hidden="1">#REF!</definedName>
    <definedName name="BExD3NMR7AW2Z6V8SC79VQR37NA6" hidden="1">#REF!</definedName>
    <definedName name="BExD3QXA2UQ2W4N7NYLUEOG40BZB" hidden="1">#REF!</definedName>
    <definedName name="BExD3U2N041TEJ7GCN005UTPHNXY" hidden="1">#REF!</definedName>
    <definedName name="BExD3VPY5VEI1LLQ4I16T16251DT" hidden="1">#REF!</definedName>
    <definedName name="BExD3XIUEZZ1KIHV7CPS7DKUGIN8" hidden="1">#REF!</definedName>
    <definedName name="BExD40O0CFTNJFOFMMM1KH0P7BUI" hidden="1">#REF!</definedName>
    <definedName name="BExD47UYINTJY1PDIW2S1FZ8ZMIO" hidden="1">#REF!</definedName>
    <definedName name="BExD4BR9HJ3MWWZ5KLVZWX9FJAUS" hidden="1">#REF!</definedName>
    <definedName name="BExD4F1WTKT3H0N9MF4H1LX7MBSY" hidden="1">#REF!</definedName>
    <definedName name="BExD4H5GQWXBS6LUL3TSP36DVO38" hidden="1">#REF!</definedName>
    <definedName name="BExD4JJSS3QDBLABCJCHD45SRNPI" hidden="1">#REF!</definedName>
    <definedName name="BExD4QQQ7V9LH5WWBJA3HKJXLVP6" hidden="1">#REF!</definedName>
    <definedName name="BExD4R1I0MKF033I5LPUYIMTZ6E8" hidden="1">#REF!</definedName>
    <definedName name="BExD50MT3M6XZLNUP9JL93EG6D9R" hidden="1">#REF!</definedName>
    <definedName name="BExD5EV7KDSVF1CJT38M4IBPFLPY" hidden="1">#REF!</definedName>
    <definedName name="BExD5FRK547OESJRYAW574DZEZ7J" hidden="1">#REF!</definedName>
    <definedName name="BExD5I5X2YA2YNCTCDSMEL4CWF4N" hidden="1">#REF!</definedName>
    <definedName name="BExD5QUSRFJWRQ1ZM50WYLCF74DF" hidden="1">#REF!</definedName>
    <definedName name="BExD5SSUIF6AJQHBHK8PNMFBPRYB" hidden="1">#REF!</definedName>
    <definedName name="BExD623C9LRX18BE0W2V6SZLQUXX" hidden="1">#REF!</definedName>
    <definedName name="BExD6CQA7UMJBXV7AIFAIHUF2ICX" hidden="1">#REF!</definedName>
    <definedName name="BExD6D18MCF5R8YJMPG21WE3GPJQ" hidden="1">#REF!</definedName>
    <definedName name="BExD6FKVK8WJWNYPVENR7Q8Q30PK" hidden="1">#REF!</definedName>
    <definedName name="BExD6GMP0LK8WKVWMIT1NNH8CHLF" hidden="1">#REF!</definedName>
    <definedName name="BExD6H2TE0WWAUIWVSSCLPZ6B88N" hidden="1">#REF!</definedName>
    <definedName name="BExD71LTOE015TV5RSAHM8NT8GVW" hidden="1">#REF!</definedName>
    <definedName name="BExD73USXVADC7EHGHVTQNCT06ZA" hidden="1">#REF!</definedName>
    <definedName name="BExD7GAIGULTB3YHM1OS9RBQOTEC" hidden="1">#REF!</definedName>
    <definedName name="BExD7IE1DHIS52UFDCTSKPJQNRD5" hidden="1">#REF!</definedName>
    <definedName name="BExD7IUBGUWHYC9UNZ1IY5XFYKQN" hidden="1">#REF!</definedName>
    <definedName name="BExD7JQOJ35HGL8U2OCEI2P2JT7I" hidden="1">#REF!</definedName>
    <definedName name="BExD7KSDKNDNH95NDT3S7GM3MUU2" hidden="1">#REF!</definedName>
    <definedName name="BExD8H5O087KQVWIVPUUID5VMGMS" hidden="1">#REF!</definedName>
    <definedName name="BExD8HLWJHFK6566YQLGOAPIWD7G" hidden="1">#REF!</definedName>
    <definedName name="BExD8OCLZMFN5K3VZYI4Q4ITVKUA" hidden="1">#REF!</definedName>
    <definedName name="BExD93C1R6LC0631ECHVFYH0R0PD" hidden="1">#REF!</definedName>
    <definedName name="BExD97TXIO0COVNN4OH3DEJ33YLM" hidden="1">#REF!</definedName>
    <definedName name="BExD99RZ1RFIMK6O1ZHSPJ68X9Y5" hidden="1">#REF!</definedName>
    <definedName name="BExD9ATSNNU6SJVYYUCUG2AFS57W" hidden="1">#REF!</definedName>
    <definedName name="BExD9JO1QOKHUKL6DOEKDLUBPPKZ" hidden="1">#REF!</definedName>
    <definedName name="BExD9L0ID3VSOU609GKWYTA5BFMA" hidden="1">#REF!</definedName>
    <definedName name="BExD9M7SEMG0JK2FUTTZXWIEBTKB" hidden="1">#REF!</definedName>
    <definedName name="BExD9MNYBYB1AICQL5165G472IE2" hidden="1">#REF!</definedName>
    <definedName name="BExD9PNSYT7GASEGUVL48MUQ02WO" hidden="1">#REF!</definedName>
    <definedName name="BExD9TK2MIWFH5SKUYU9ZKF4NPHQ" hidden="1">#REF!</definedName>
    <definedName name="BExDA23J1UL1EN1K0BLX2TKAX4U0" hidden="1">#REF!</definedName>
    <definedName name="BExDA6594R2INH5X2F55YRZSKRND" hidden="1">#REF!</definedName>
    <definedName name="BExDA6LD9061UULVKUUI4QP8SK13" hidden="1">#REF!</definedName>
    <definedName name="BExDAGMVMNLQ6QXASB9R6D8DIT12" hidden="1">#REF!</definedName>
    <definedName name="BExDAYBHU9ADLXI8VRC7F608RVGM" hidden="1">#REF!</definedName>
    <definedName name="BExDBDR1XR0FV0CYUCB2OJ7CJCZU" hidden="1">#REF!</definedName>
    <definedName name="BExDC7F818VN0S18ID7XRCRVYPJ4" hidden="1">#REF!</definedName>
    <definedName name="BExDCL7K96PC9VZYB70ZW3QPVIJE" hidden="1">#REF!</definedName>
    <definedName name="BExDCP3UZ3C2O4C1F7KMU0Z9U32N" hidden="1">#REF!</definedName>
    <definedName name="BExENU8ISP26W97JG63CN1XT9KB4" hidden="1">#REF!</definedName>
    <definedName name="BExEO14OTKLVDBTNB2ONGZ4YB20H" hidden="1">#REF!</definedName>
    <definedName name="BExEO80UUNTK4DX33Z5TYLM8NYZM" hidden="1">#REF!</definedName>
    <definedName name="BExEOBX3WECDMYCV9RLN49APTXMM" hidden="1">#REF!</definedName>
    <definedName name="BExEPN9VIYI0FVL0HLZQXJFO6TT0" hidden="1">#REF!</definedName>
    <definedName name="BExEPQPUOD4B6H60DKEB9159F7DR" hidden="1">#REF!</definedName>
    <definedName name="BExEPYT6VDSMR8MU2341Q5GM2Y9V" hidden="1">#REF!</definedName>
    <definedName name="BExEQ2ENYLMY8K1796XBB31CJHNN" hidden="1">#REF!</definedName>
    <definedName name="BExEQ2PFE4N40LEPGDPS90WDL6BN" hidden="1">#REF!</definedName>
    <definedName name="BExEQ2PFURT24NQYGYVE8NKX1EGA" hidden="1">#REF!</definedName>
    <definedName name="BExEQB8ZWXO6IIGOEPWTLOJGE2NR" hidden="1">#REF!</definedName>
    <definedName name="BExEQBZX0EL6LIKPY01197ACK65H" hidden="1">#REF!</definedName>
    <definedName name="BExEQDXZALJLD4OBF74IKZBR13SR" hidden="1">#REF!</definedName>
    <definedName name="BExEQFLE2RPWGMWQAI4JMKUEFRPT" hidden="1">#REF!</definedName>
    <definedName name="BExEQJHNJV9U65F5VGIGX0VM02VF" hidden="1">#REF!</definedName>
    <definedName name="BExEQTZAP8R69U31W4LKGTKKGKQE" hidden="1">#REF!</definedName>
    <definedName name="BExER2O72H1F9WV6S1J04C15PXX7" hidden="1">#REF!</definedName>
    <definedName name="BExERIPCI7N2NW7JRL59DVT0TTSU" hidden="1">#REF!</definedName>
    <definedName name="BExERRUIKIOATPZ9U4HQ0V52RJAU" hidden="1">#REF!</definedName>
    <definedName name="BExERSANFNM1O7T65PC5MJ301YET" hidden="1">#REF!</definedName>
    <definedName name="BExERU8P606C6QQZZL55U0ZQYQF1" hidden="1">#REF!</definedName>
    <definedName name="BExERWCEBKQRYWRQLYJ4UCMMKTHG" hidden="1">#REF!</definedName>
    <definedName name="BExERXE1QW042A2T25RI4DVUU59O" hidden="1">#REF!</definedName>
    <definedName name="BExES44RHHDL3V7FLV6M20834WF1" hidden="1">#REF!</definedName>
    <definedName name="BExES4A7VE2X3RYYTVRLKZD4I7WU" hidden="1">#REF!</definedName>
    <definedName name="BExESLYUFDACMPARVY264HKBCXLX" hidden="1">#REF!</definedName>
    <definedName name="BExESMKD95A649M0WRSG6CXXP326" hidden="1">#REF!</definedName>
    <definedName name="BExESR27ZXJG5VMY4PR9D940VS7T" hidden="1">#REF!</definedName>
    <definedName name="BExESVK1YRJM6UG6FBYOF9CNX29X" hidden="1">#REF!</definedName>
    <definedName name="BExESZ03KXL8DQ2591HLR56ZML94" hidden="1">#REF!</definedName>
    <definedName name="BExESZAW5N443NRTKIP59OEI1CR6" hidden="1">#REF!</definedName>
    <definedName name="BExET3HXQ60A4O2OLKX8QNXRI6LQ" hidden="1">#REF!</definedName>
    <definedName name="BExET4EAH366GROMVVMDCSUI1018" hidden="1">#REF!</definedName>
    <definedName name="BExETA3B1FCIOA80H94K90FWXQKE" hidden="1">#REF!</definedName>
    <definedName name="BExETAZOYT4CJIT8RRKC9F2HJG1D" hidden="1">#REF!</definedName>
    <definedName name="BExETB55BNG40G9YOI2H6UHIR9WU" hidden="1">#REF!</definedName>
    <definedName name="BExETF6QD5A9GEINE1KZRRC2LXWM" hidden="1">#REF!</definedName>
    <definedName name="BExETQ9XRXLUACN82805SPSPNKHI" hidden="1">#REF!</definedName>
    <definedName name="BExETR0YRMOR63E6DHLEHV9QVVON" hidden="1">#REF!</definedName>
    <definedName name="BExETVO51BGF7GGNGB21UD7OIF15" hidden="1">#REF!</definedName>
    <definedName name="BExETVTGY38YXYYF7N73OYN6FYY3" hidden="1">#REF!</definedName>
    <definedName name="BExETVTH8RADW05P2XUUV7V44TWW" hidden="1">#REF!</definedName>
    <definedName name="BExETW9PYUAV5QY6A4VCYZRIOUX4" hidden="1">#REF!</definedName>
    <definedName name="BExEUGNELLVZ7K2PYWP2TG8T65XQ" hidden="1">#REF!</definedName>
    <definedName name="BExEUHUG1NGJGB6F1UH5IKFZ9B9M" hidden="1">#REF!</definedName>
    <definedName name="BExEUNE4T242Y59C6MS28MXEUGCP" hidden="1">#REF!</definedName>
    <definedName name="BExEUNU7FYVTR4DD1D31SS7PNXX2" hidden="1">#REF!</definedName>
    <definedName name="BExEUOAHB0OT3BACAHNZ3B905C0P" hidden="1">#REF!</definedName>
    <definedName name="BExEV2TP7NA3ZR6RJGH5ER370OUM" hidden="1">#REF!</definedName>
    <definedName name="BExEV3Q7M5YTX3CY3QCP1SUIEP2E" hidden="1">#REF!</definedName>
    <definedName name="BExEV69USLNYO2QRJRC0J92XUF00" hidden="1">#REF!</definedName>
    <definedName name="BExEV6KNTQOCFD7GV726XQEVQ7R6" hidden="1">#REF!</definedName>
    <definedName name="BExEV6VGM4POO9QT9KH3QA3VYCWM" hidden="1">#REF!</definedName>
    <definedName name="BExEVCEYMOI0PGO7HAEOS9CVMU2O" hidden="1">#REF!</definedName>
    <definedName name="BExEVET98G3FU6QBF9LHYWSAMV0O" hidden="1">#REF!</definedName>
    <definedName name="BExEVNCUT0PDUYNJH7G6BSEWZOT2" hidden="1">#REF!</definedName>
    <definedName name="BExEVPGF4V5J0WQRZKUM8F9TTKZJ" hidden="1">#REF!</definedName>
    <definedName name="BExEVVLIEVWYRF2UUC1H0H5QU1CP" hidden="1">#REF!</definedName>
    <definedName name="BExEVWCKO8T84GW9Z3X47915XKSH" hidden="1">#REF!</definedName>
    <definedName name="BExEVZSJWMZ5L2ZE7AZC57CXKW6T" hidden="1">#REF!</definedName>
    <definedName name="BExEW0JL1GFFCXMDGW54CI7Y8FZN" hidden="1">#REF!</definedName>
    <definedName name="BExEW68M9WL8214QH9C7VCK7BN08" hidden="1">#REF!</definedName>
    <definedName name="BExEW8HFKH6F47KIHYBDRUEFZ2ZZ" hidden="1">#REF!</definedName>
    <definedName name="BExEWB6JHMITZPXHB6JATOCLLKLJ" hidden="1">#REF!</definedName>
    <definedName name="BExEWNBGQS1U2LW3W84T4LSJ9K00" hidden="1">#REF!</definedName>
    <definedName name="BExEWO7STL7HNZSTY8VQBPTX1WK6" hidden="1">#REF!</definedName>
    <definedName name="BExEWQ0M1N3KMKTDJ73H10QSG4W1" hidden="1">#REF!</definedName>
    <definedName name="BExEX43OR6NH8GF32YY2ZB6Y8WGP" hidden="1">#REF!</definedName>
    <definedName name="BExEX85F3OSW8NSCYGYPS9372Z1Q" hidden="1">#REF!</definedName>
    <definedName name="BExEX9HWY2G6928ZVVVQF77QCM2C" hidden="1">#REF!</definedName>
    <definedName name="BExEXBQWAYKMVBRJRHB8PFCSYFVN" hidden="1">#REF!</definedName>
    <definedName name="BExEXGE2TE9MQWLQVHL7XGQWL102" hidden="1">#REF!</definedName>
    <definedName name="BExEXRBZ0DI9E2UFLLKYWGN66B61" hidden="1">#REF!</definedName>
    <definedName name="BExEXW4FSOZ9C2SZSQIAA3W82I5K" hidden="1">#REF!</definedName>
    <definedName name="BExEXZ4H2ZUNEW5I6I74GK08QAQC" hidden="1">#REF!</definedName>
    <definedName name="BExEY42GK80HA9M84NTZ3NV9K2VI" hidden="1">#REF!</definedName>
    <definedName name="BExEYLG9FL9V1JPPNZ3FUDNSEJ4V" hidden="1">#REF!</definedName>
    <definedName name="BExEYOW8C1B3OUUCIGEC7L8OOW1Z" hidden="1">#REF!</definedName>
    <definedName name="BExEYPCI2LT224YS4M3T50V85FAG" hidden="1">#REF!</definedName>
    <definedName name="BExEYUQJXZT6N5HJH8ACJF6SRWEE" hidden="1">#REF!</definedName>
    <definedName name="BExEYYC7KLO4XJQW9GMGVVJQXF4C" hidden="1">#REF!</definedName>
    <definedName name="BExEZ1S6VZCG01ZPLBSS9Z1SBOJ2" hidden="1">#REF!</definedName>
    <definedName name="BExEZ6KV8TDKOO0Y66LSH9DCFW5M" hidden="1">#REF!</definedName>
    <definedName name="BExEZGBFNJR8DLPN0V11AU22L6WY" hidden="1">#REF!</definedName>
    <definedName name="BExEZVR61GWO1ZM3XHWUKRJJMQXV" hidden="1">#REF!</definedName>
    <definedName name="BExF02Y3V3QEPO2XLDSK47APK9XJ" hidden="1">#REF!</definedName>
    <definedName name="BExF03E824NHBODFUZ3PZ5HLF85X" hidden="1">#REF!</definedName>
    <definedName name="BExF09OS91RT7N7IW8JLMZ121ZP3" hidden="1">#REF!</definedName>
    <definedName name="BExF0D4SEQ7RRCAER8UQKUJ4HH0Q" hidden="1">#REF!</definedName>
    <definedName name="BExF0D4Z97PCG5JI9CC2TFB553AX" hidden="1">#REF!</definedName>
    <definedName name="BExF0DAB1PUE0V936NFEK68CCKTJ" hidden="1">#REF!</definedName>
    <definedName name="BExF0LOEHV42P2DV7QL8O7HOQ3N9" hidden="1">#REF!</definedName>
    <definedName name="BExF0QRT0ZP2578DKKC9SRW40F5L" hidden="1">#REF!</definedName>
    <definedName name="BExF0WRM9VO25RLSO03ZOCE8H7K5" hidden="1">#REF!</definedName>
    <definedName name="BExF0ZRI7W4RSLIDLHTSM0AWXO3S" hidden="1">#REF!</definedName>
    <definedName name="BExF19CT3MMZZ2T5EWMDNG3UOJ01" hidden="1">#REF!</definedName>
    <definedName name="BExF1C1VNHJBRW2XQKVSL1KSLFZ8" hidden="1">#REF!</definedName>
    <definedName name="BExF1M38U6NX17YJA8YU359B5Z4M" hidden="1">#REF!</definedName>
    <definedName name="BExF1MU4W3NPEY0OHRDWP5IANCBB" hidden="1">#REF!</definedName>
    <definedName name="BExF1MZN8MWMOKOARHJ1QAF9HPGT" hidden="1">#REF!</definedName>
    <definedName name="BExF1US4ZIQYSU5LBFYNRA9N0K2O" hidden="1">#REF!</definedName>
    <definedName name="BExF272JNPJCK1XLBG016XXBVFO8" hidden="1">#REF!</definedName>
    <definedName name="BExF2CWZN6E87RGTBMD4YQI2QT7R" hidden="1">#REF!</definedName>
    <definedName name="BExF2DYO1WQ7GMXSTAQRDBW1NSFG" hidden="1">#REF!</definedName>
    <definedName name="BExF2H9D3MC9XKLPZ6VIP4F7G4YN" hidden="1">#REF!</definedName>
    <definedName name="BExF2MSWNUY9Z6BZJQZ538PPTION" hidden="1">#REF!</definedName>
    <definedName name="BExF2QZYWHTYGUTTXR15CKCV3LS7" hidden="1">#REF!</definedName>
    <definedName name="BExF2T8Y6TSJ74RMSZOA9CEH4OZ6" hidden="1">#REF!</definedName>
    <definedName name="BExF31N3YM4F37EOOY8M8VI1KXN8" hidden="1">#REF!</definedName>
    <definedName name="BExF37C1YKBT79Z9SOJAG5MXQGTU" hidden="1">#REF!</definedName>
    <definedName name="BExF3A6HPA6DGYALZNHHJPMCUYZR" hidden="1">#REF!</definedName>
    <definedName name="BExF3GMJW5D7066GYKTMM3CVH1HE" hidden="1">#REF!</definedName>
    <definedName name="BExF3I9T44X7DV9HHV51DVDDPPZG" hidden="1">#REF!</definedName>
    <definedName name="BExF3IKLZ35F2D4DI7R7P7NZLVC3" hidden="1">#REF!</definedName>
    <definedName name="BExF3JMFX5DILOIFUDIO1HZUK875" hidden="1">#REF!</definedName>
    <definedName name="BExF3KIO2G9LJYXZ61H8PJJ6OQXV" hidden="1">#REF!</definedName>
    <definedName name="BExF3MGVCZHXDAUDZAGUYESZ3RC8" hidden="1">#REF!</definedName>
    <definedName name="BExF3NTC4BGZEM6B87TCFX277QCS" hidden="1">#REF!</definedName>
    <definedName name="BExF3Q2DOSQI9SIAXB522CN0WBZ7" hidden="1">#REF!</definedName>
    <definedName name="BExF3Q7NI90WT31QHYSJDIG0LLLJ" hidden="1">#REF!</definedName>
    <definedName name="BExF3QD55TIY1MSBSRK9TUJKBEWO" hidden="1">#REF!</definedName>
    <definedName name="BExF3QT8J6RIF1L3R700MBSKIOKW" hidden="1">#REF!</definedName>
    <definedName name="BExF42SSBVPMLK2UB3B7FPEIY9TU" hidden="1">#REF!</definedName>
    <definedName name="BExF4HXSWB50BKYPWA0HTT8W56H6" hidden="1">#REF!</definedName>
    <definedName name="BExF4J4Y60OUA8GY6YN8XVRUX80A" hidden="1">#REF!</definedName>
    <definedName name="BExF4KHF04IWW4LQ95FHQPFE4Y9K" hidden="1">#REF!</definedName>
    <definedName name="BExF4MVQM5Y0QRDLDFSKWWTF709C" hidden="1">#REF!</definedName>
    <definedName name="BExF4PVMZYV36E8HOYY06J81AMBI" hidden="1">#REF!</definedName>
    <definedName name="BExF4SF9NEX1FZE9N8EXT89PM54D" hidden="1">#REF!</definedName>
    <definedName name="BExF52GTGP8MHGII4KJ8TJGR8W8U" hidden="1">#REF!</definedName>
    <definedName name="BExF57K7L3UC1I2FSAWURR4SN0UN" hidden="1">#REF!</definedName>
    <definedName name="BExF5HR2GFV7O8LKG9SJ4BY78LYA" hidden="1">#REF!</definedName>
    <definedName name="BExF5ZFO2A29GHWR5ES64Z9OS16J" hidden="1">#REF!</definedName>
    <definedName name="BExF63S045JO7H2ZJCBTBVH3SUIF" hidden="1">#REF!</definedName>
    <definedName name="BExF642TEGTXCI9A61ZOONJCB0U1" hidden="1">#REF!</definedName>
    <definedName name="BExF67O951CF8UJF3KBDNR0E83C1" hidden="1">#REF!</definedName>
    <definedName name="BExF6EV7I35NVMIJGYTB6E24YVPA" hidden="1">#REF!</definedName>
    <definedName name="BExF6FGUF393KTMBT40S5BYAFG00" hidden="1">#REF!</definedName>
    <definedName name="BExF6GNYXWY8A0SY4PW1B6KJMMTM" hidden="1">#REF!</definedName>
    <definedName name="BExF6IB8K74Z0AFT05GPOKKZW7C9" hidden="1">#REF!</definedName>
    <definedName name="BExF6NUXJI11W2IAZNAM1QWC0459" hidden="1">#REF!</definedName>
    <definedName name="BExF6RR76KNVIXGJOVFO8GDILKGZ" hidden="1">#REF!</definedName>
    <definedName name="BExF6ZE8D5CMPJPRWT6S4HM56LPF" hidden="1">#REF!</definedName>
    <definedName name="BExF76FV8SF7AJK7B35AL7VTZF6D" hidden="1">#REF!</definedName>
    <definedName name="BExF7EOIMC1OYL1N7835KGOI0FIZ" hidden="1">#REF!</definedName>
    <definedName name="BExF7K88K7ASGV6RAOAGH52G04VR" hidden="1">#REF!</definedName>
    <definedName name="BExF7OVDRP3LHNAF2CX4V84CKKIR" hidden="1">#REF!</definedName>
    <definedName name="BExF7QO41X2A2SL8UXDNP99GY7U9" hidden="1">#REF!</definedName>
    <definedName name="BExF7QYWRJ8S4SID84VVXH3TN7X8" hidden="1">#REF!</definedName>
    <definedName name="BExF81GI8B8WBHXFTET68A9358BR" hidden="1">#REF!</definedName>
    <definedName name="BExGKN1EUJWHOYSSFY4XX6T9QVV5" hidden="1">#REF!</definedName>
    <definedName name="BExGL97US0Y3KXXASUTVR26XLT70" hidden="1">#REF!</definedName>
    <definedName name="BExGL9TEJAX73AMCXKXTMRO9T6QA" hidden="1">#REF!</definedName>
    <definedName name="BExGLBM5GKGBJDTZSMMBZBAVQ7N1" hidden="1">#REF!</definedName>
    <definedName name="BExGLC7R4C33RO0PID97ZPPVCW4M" hidden="1">#REF!</definedName>
    <definedName name="BExGLFIF7HCFSHNQHKEV6RY0WCO3" hidden="1">#REF!</definedName>
    <definedName name="BExGLPP9Z6SH15N8AV0F7H58S14K" hidden="1">#REF!</definedName>
    <definedName name="BExGLQATG820J44V2O4JEICPUUTR" hidden="1">#REF!</definedName>
    <definedName name="BExGLTARRL0J772UD2TXEYAVPY6E" hidden="1">#REF!</definedName>
    <definedName name="BExGLYE6RZTAAWHJBG2QFJPTDS2Q" hidden="1">#REF!</definedName>
    <definedName name="BExGM4DZ65OAQP7MA4LN6QMYZOFF" hidden="1">#REF!</definedName>
    <definedName name="BExGMCXCWEC9XNUOEMZ61TMI6CUO" hidden="1">#REF!</definedName>
    <definedName name="BExGMJDGIH0MEPC2TUSFUCY2ROTB" hidden="1">#REF!</definedName>
    <definedName name="BExGMKPW2HPKN0M0XKF3AZ8YP0D6" hidden="1">#REF!</definedName>
    <definedName name="BExGMOGUOL3NATNV0TIZH2J6DLLD" hidden="1">#REF!</definedName>
    <definedName name="BExGMP2F175LGL6QVSJGP6GKYHHA" hidden="1">#REF!</definedName>
    <definedName name="BExGMPIIP8GKML2VVA8OEFL43NCS" hidden="1">#REF!</definedName>
    <definedName name="BExGMZ3SRIXLXMWBVOXXV3M4U4YL" hidden="1">#REF!</definedName>
    <definedName name="BExGMZ3UBN48IXU1ZEFYECEMZ1IM" hidden="1">#REF!</definedName>
    <definedName name="BExGN4I0QATXNZCLZJM1KH1OIJQH" hidden="1">#REF!</definedName>
    <definedName name="BExGN9FZ2RWCMSY1YOBJKZMNIM9R" hidden="1">#REF!</definedName>
    <definedName name="BExGNDSIMTHOCXXG6QOGR6DA8SGG" hidden="1">#REF!</definedName>
    <definedName name="BExGNHOS7RBERG1J2M2HVGSRZL5G" hidden="1">#REF!</definedName>
    <definedName name="BExGNJ18W3Q55XAXY8XTFB80IVMV" hidden="1">#REF!</definedName>
    <definedName name="BExGNN2YQ9BDAZXT2GLCSAPXKIM7" hidden="1">#REF!</definedName>
    <definedName name="BExGNP6INLF5NZFP5ME6K7C9Y0NH" hidden="1">#REF!</definedName>
    <definedName name="BExGNSS0CKRPKHO25R3TDBEL2NHX" hidden="1">#REF!</definedName>
    <definedName name="BExGNYH0MO8NOVS85L15G0RWX4GW" hidden="1">#REF!</definedName>
    <definedName name="BExGNZO44DEG8CGIDYSEGDUQ531R" hidden="1">#REF!</definedName>
    <definedName name="BExGO22GMMPZVQY9RQ8MDKZDP5G3" hidden="1">#REF!</definedName>
    <definedName name="BExGO2O0V6UYDY26AX8OSN72F77N" hidden="1">#REF!</definedName>
    <definedName name="BExGO2YUBOVLYHY1QSIHRE1KLAFV" hidden="1">#REF!</definedName>
    <definedName name="BExGO70E2O70LF46V8T26YFPL4V8" hidden="1">#REF!</definedName>
    <definedName name="BExGOB25QJMQCQE76MRW9X58OIOO" hidden="1">#REF!</definedName>
    <definedName name="BExGODAZKJ9EXMQZNQR5YDBSS525" hidden="1">#REF!</definedName>
    <definedName name="BExGODR8ZSMUC11I56QHSZ686XV5" hidden="1">#REF!</definedName>
    <definedName name="BExGOXJDHUDPDT8I8IVGVW9J0R5Q" hidden="1">#REF!</definedName>
    <definedName name="BExGPAPYI1N5W3IH8H485BHSVOY3" hidden="1">#REF!</definedName>
    <definedName name="BExGPFO3GOKYO2922Y91GMQRCMOA" hidden="1">#REF!</definedName>
    <definedName name="BExGPHGT5KDOCMV2EFS4OVKTWBRD" hidden="1">#REF!</definedName>
    <definedName name="BExGPID72Y4Y619LWASUQZKZHJNC" hidden="1">#REF!</definedName>
    <definedName name="BExGPPENQIANVGLVQJ77DK5JPRTB" hidden="1">#REF!</definedName>
    <definedName name="BExGPSUUG7TL5F5PTYU6G4HPJV1B" hidden="1">#REF!</definedName>
    <definedName name="BExGQ1E950UYXYWQ84EZEQPWHVYY" hidden="1">#REF!</definedName>
    <definedName name="BExGQ1ZU4967P72AHF4V1D0FOL5C" hidden="1">#REF!</definedName>
    <definedName name="BExGQ36ZOMR9GV8T05M605MMOY3Y" hidden="1">#REF!</definedName>
    <definedName name="BExGQ4ZP0PPMLDNVBUG12W9FFVI9" hidden="1">#REF!</definedName>
    <definedName name="BExGQ61DTJ0SBFMDFBAK3XZ9O0ZO" hidden="1">#REF!</definedName>
    <definedName name="BExGQ6SG9XEOD0VMBAR22YPZWSTA" hidden="1">#REF!</definedName>
    <definedName name="BExGQ8FQN3FRAGH5H2V74848P5JX" hidden="1">#REF!</definedName>
    <definedName name="BExGQGJ1A7LNZUS8QSMOG8UNGLMK" hidden="1">#REF!</definedName>
    <definedName name="BExGQLBNZ35IK2VK33HJUAE4ADX2" hidden="1">#REF!</definedName>
    <definedName name="BExGQPO7ENFEQC0NC6MC9OZR2LHY" hidden="1">#REF!</definedName>
    <definedName name="BExGQX0H4EZMXBJTKJJE4ICJWN5O" hidden="1">#REF!</definedName>
    <definedName name="BExGR4CW3WRIID17GGX4MI9ZDHFE" hidden="1">#REF!</definedName>
    <definedName name="BExGR65GJX27MU2OL6NI5PB8XVB4" hidden="1">#REF!</definedName>
    <definedName name="BExGR6LQ97HETGS3CT96L4IK0JSH" hidden="1">#REF!</definedName>
    <definedName name="BExGR9ATP2LVT7B9OCPSLJ11H9SX" hidden="1">#REF!</definedName>
    <definedName name="BExGRILCZ3BMTGDY72B1Q9BUGW0J" hidden="1">#REF!</definedName>
    <definedName name="BExGRNZJ74Y6OYJB9F9Y9T3CAHOS" hidden="1">#REF!</definedName>
    <definedName name="BExGRPC5QJQ7UGQ4P7CFWVGRQGFW" hidden="1">#REF!</definedName>
    <definedName name="BExGRSMULUXOBEN8G0TK90PRKQ9O" hidden="1">#REF!</definedName>
    <definedName name="BExGRUKVVKDL8483WI70VN2QZDGD" hidden="1">#REF!</definedName>
    <definedName name="BExGS2IWR5DUNJ1U9PAKIV8CMBNI" hidden="1">#REF!</definedName>
    <definedName name="BExGS69P9FFTEOPDS0MWFKF45G47" hidden="1">#REF!</definedName>
    <definedName name="BExGS6F1JFHM5MUJ1RFO50WP6D05" hidden="1">#REF!</definedName>
    <definedName name="BExGSA5YB5ZGE4NHDVCZ55TQAJTL" hidden="1">#REF!</definedName>
    <definedName name="BExGSBYPYOBOB218ABCIM2X63GJ8" hidden="1">#REF!</definedName>
    <definedName name="BExGSCEUCQQVDEEKWJ677QTGUVTE" hidden="1">#REF!</definedName>
    <definedName name="BExGSQY65LH1PCKKM5WHDW83F35O" hidden="1">#REF!</definedName>
    <definedName name="BExGSYW1GKISF0PMUAK3XJK9PEW9" hidden="1">#REF!</definedName>
    <definedName name="BExGT0DZJB6LSF6L693UUB9EY1VQ" hidden="1">#REF!</definedName>
    <definedName name="BExGTEMKIEF46KBIDWCAOAN5U718" hidden="1">#REF!</definedName>
    <definedName name="BExGTGVFIF8HOQXR54SK065A8M4K" hidden="1">#REF!</definedName>
    <definedName name="BExGTIYX3OWPIINOGY1E4QQYSKHP" hidden="1">#REF!</definedName>
    <definedName name="BExGTKGUN0KUU3C0RL2LK98D8MEK" hidden="1">#REF!</definedName>
    <definedName name="BExGTV3U5SZUPLTWEMEY3IIN1L4L" hidden="1">#REF!</definedName>
    <definedName name="BExGTZ046J7VMUG4YPKFN2K8TWB7" hidden="1">#REF!</definedName>
    <definedName name="BExGTZ04EFFQ3Z3JMM0G35JYWUK3" hidden="1">#REF!</definedName>
    <definedName name="BExGU2G9OPRZRIU9YGF6NX9FUW0J" hidden="1">#REF!</definedName>
    <definedName name="BExGU6HTKLRZO8UOI3DTAM5RFDBA" hidden="1">#REF!</definedName>
    <definedName name="BExGUDDZXFFQHAF4UZF8ZB1HO7H6" hidden="1">#REF!</definedName>
    <definedName name="BExGUI6NCRHY7EAB6SK6EPPMWFG1" hidden="1">#REF!</definedName>
    <definedName name="BExGUIBXBRHGM97ZX6GBA4ZDQ79C" hidden="1">#REF!</definedName>
    <definedName name="BExGUM8D91UNPCOO4TKP9FGX85TF" hidden="1">#REF!</definedName>
    <definedName name="BExGUMDP0WYFBZL2MCB36WWJIC04" hidden="1">#REF!</definedName>
    <definedName name="BExGUQF9N9FKI7S0H30WUAEB5LPD" hidden="1">#REF!</definedName>
    <definedName name="BExGUR6BA03XPBK60SQUW197GJ5X" hidden="1">#REF!</definedName>
    <definedName name="BExGUVIP60TA4B7X2PFGMBFUSKGX" hidden="1">#REF!</definedName>
    <definedName name="BExGUVTIIWAK5T0F5FD428QDO46W" hidden="1">#REF!</definedName>
    <definedName name="BExGUZKF06F209XL1IZWVJEQ82EE" hidden="1">#REF!</definedName>
    <definedName name="BExGUZPWM950OZ8P1A3N86LXK97U" hidden="1">#REF!</definedName>
    <definedName name="BExGV2EVT380QHD4AP2RL9MR8L5L" hidden="1">#REF!</definedName>
    <definedName name="BExGVBUSKOI7KB24K40PTXJE6MER" hidden="1">#REF!</definedName>
    <definedName name="BExGVGSQSVWTL2MNI6TT8Y92W3KA" hidden="1">#REF!</definedName>
    <definedName name="BExGVHP63K0GSYU17R73XGX6W2U6" hidden="1">#REF!</definedName>
    <definedName name="BExGVN3DDSLKWSP9MVJS9QMNEUIK" hidden="1">#REF!</definedName>
    <definedName name="BExGVUVVMLOCR9DPVUZSQ141EE4J" hidden="1">#REF!</definedName>
    <definedName name="BExGVV6OOLDQ3TXZK51TTF3YX0WN" hidden="1">#REF!</definedName>
    <definedName name="BExGW0KVS7U0C87XFZ78QW991IEV" hidden="1">#REF!</definedName>
    <definedName name="BExGW0Q7QHE29TGNWAWQ6GR0V6TQ" hidden="1">#REF!</definedName>
    <definedName name="BExGW2Z7AMPG6H9EXA9ML6EZVGGA" hidden="1">#REF!</definedName>
    <definedName name="BExGWABG5VT5XO1A196RK61AXA8C" hidden="1">#REF!</definedName>
    <definedName name="BExGWEO0JDG84NYLEAV5NSOAGMJZ" hidden="1">#REF!</definedName>
    <definedName name="BExGWLEOC70Z8QAJTPT2PDHTNM4L" hidden="1">#REF!</definedName>
    <definedName name="BExGWNCXLCRTLBVMTXYJ5PHQI6SS" hidden="1">#REF!</definedName>
    <definedName name="BExGX4L8N6ERT0Q4EVVNA97EGD80" hidden="1">#REF!</definedName>
    <definedName name="BExGX5MWTL78XM0QCP4NT564ML39" hidden="1">#REF!</definedName>
    <definedName name="BExGX6U988MCFIGDA1282F92U9AA" hidden="1">#REF!</definedName>
    <definedName name="BExGX7FTB1CKAT5HUW6H531FIY6I" hidden="1">#REF!</definedName>
    <definedName name="BExGX9DVACJQIZ4GH6YAD2A7F70O" hidden="1">#REF!</definedName>
    <definedName name="BExGXCZBQISQ3IMF6DJH1OXNAQP8" hidden="1">#REF!</definedName>
    <definedName name="BExGXDVP2S2Y8Z8Q43I78RCIK3DD" hidden="1">#REF!</definedName>
    <definedName name="BExGXJ9W5JU7TT9S0BKL5Y6VVB39" hidden="1">#REF!</definedName>
    <definedName name="BExGXWB73RJ4BASBQTQ8EY0EC1EB" hidden="1">#REF!</definedName>
    <definedName name="BExGXZ0ABB43C7SMRKZHWOSU9EQX" hidden="1">#REF!</definedName>
    <definedName name="BExGY6SU3SYVCJ3AG2ITY59SAZ5A" hidden="1">#REF!</definedName>
    <definedName name="BExGY6YA4P5KMY2VHT0DYK3YTFAX" hidden="1">#REF!</definedName>
    <definedName name="BExGY8G88PVVRYHPHRPJZFSX6HSC" hidden="1">#REF!</definedName>
    <definedName name="BExGYC718HTZ80PNKYPVIYGRJVF6" hidden="1">#REF!</definedName>
    <definedName name="BExGYCNATXZY2FID93B17YWIPPRD" hidden="1">#REF!</definedName>
    <definedName name="BExGYGJJJ3BBCQAOA51WHP01HN73" hidden="1">#REF!</definedName>
    <definedName name="BExGYOS6TV2C72PLRFU8RP1I58GY" hidden="1">#REF!</definedName>
    <definedName name="BExGYXBM828PX0KPDVAZBWDL6MJZ" hidden="1">#REF!</definedName>
    <definedName name="BExGZJ78ZWZCVHZ3BKEKFJZ6MAEO" hidden="1">#REF!</definedName>
    <definedName name="BExGZOLH2QV73J3M9IWDDPA62TP4" hidden="1">#REF!</definedName>
    <definedName name="BExGZP1PWGFKVVVN4YDIS22DZPCR" hidden="1">#REF!</definedName>
    <definedName name="BExGZQUHCPM6G5U9OM8JU339JAG6" hidden="1">#REF!</definedName>
    <definedName name="BExH00FQKX09BD5WU4DB5KPXAUYA" hidden="1">#REF!</definedName>
    <definedName name="BExH00L21GZX5YJJGVMOAWBERLP5" hidden="1">#REF!</definedName>
    <definedName name="BExH02ZD6VAY1KQLAQYBBI6WWIZB" hidden="1">#REF!</definedName>
    <definedName name="BExH08Z6LQCGGSGSAILMHX4X7JMD" hidden="1">#REF!</definedName>
    <definedName name="BExH0KT9Z8HEVRRQRGQ8YHXRLIJA" hidden="1">#REF!</definedName>
    <definedName name="BExH0M0FDN12YBOCKL3XL2Z7T7Y8" hidden="1">#REF!</definedName>
    <definedName name="BExH0O9G06YPZ5TN9RYT326I1CP2" hidden="1">#REF!</definedName>
    <definedName name="BExH0PGM6RG0F3AAGULBIGOH91C2" hidden="1">#REF!</definedName>
    <definedName name="BExH0QIB3F0YZLM5XYHBCU5F0OVR" hidden="1">#REF!</definedName>
    <definedName name="BExH0RK5LJAAP7O67ZFB4RG6WPPL" hidden="1">#REF!</definedName>
    <definedName name="BExH0WNJAKTJRCKMTX8O4KNMIIJM" hidden="1">#REF!</definedName>
    <definedName name="BExH12Y4WX542WI3ZEM15AK4UM9J" hidden="1">#REF!</definedName>
    <definedName name="BExH18CCU7B8JWO8AWGEQRLWZG6J" hidden="1">#REF!</definedName>
    <definedName name="BExH1BN2H92IQKKP5IREFSS9FBF2" hidden="1">#REF!</definedName>
    <definedName name="BExH1FDTQXR9QQ31WDB7OPXU7MPT" hidden="1">#REF!</definedName>
    <definedName name="BExH1FOMEUIJNIDJAUY0ZQFBJSY9" hidden="1">#REF!</definedName>
    <definedName name="BExH1GA6TT290OTIZ8C3N610CYZ1" hidden="1">#REF!</definedName>
    <definedName name="BExH1I8E3HJSZLFRZZ1ZKX7TBJEP" hidden="1">#REF!</definedName>
    <definedName name="BExH1JFFHEBFX9BWJMNIA3N66R3Z" hidden="1">#REF!</definedName>
    <definedName name="BExH1XYRKX51T571O1SRBP9J1D98" hidden="1">#REF!</definedName>
    <definedName name="BExH1Z0GIUSVTF2H1G1I3PDGBNK2" hidden="1">#REF!</definedName>
    <definedName name="BExH225UTM6S9FW4MUDZS7F1PQSH" hidden="1">#REF!</definedName>
    <definedName name="BExH23271RF7AYZ542KHQTH68GQ7" hidden="1">#REF!</definedName>
    <definedName name="BExH2DP58R7D1BGUFBM2FHESVRF0" hidden="1">#REF!</definedName>
    <definedName name="BExH2GJQR4JALNB314RY0LDI49VH" hidden="1">#REF!</definedName>
    <definedName name="BExH2JZR49T7644JFVE7B3N7RZM9" hidden="1">#REF!</definedName>
    <definedName name="BExH2QVWL3AXHSB9EK2GQRD0DBRH" hidden="1">#REF!</definedName>
    <definedName name="BExH2WKXV8X5S2GSBBTWGI0NLNAH" hidden="1">#REF!</definedName>
    <definedName name="BExH2XS1UFYFGU0S0EBXX90W2WE8" hidden="1">#REF!</definedName>
    <definedName name="BExH2XS1X04DMUN544K5RU4XPDCI" hidden="1">#REF!</definedName>
    <definedName name="BExH2XS2TND9SB0GC295R4FP6K5Y" hidden="1">#REF!</definedName>
    <definedName name="BExH2ZA0SZ4SSITL50NA8LZ3OEX6" hidden="1">#REF!</definedName>
    <definedName name="BExH31Z3JNVJPESWKXHILGXZHP2M" hidden="1">#REF!</definedName>
    <definedName name="BExH3E9HZ3QJCDZW7WI7YACFQCHE" hidden="1">#REF!</definedName>
    <definedName name="BExH3IRB6764RQ5HBYRLH6XCT29X" hidden="1">#REF!</definedName>
    <definedName name="BExIG2U8V6RSB47SXLCQG3Q68YRO" hidden="1">#REF!</definedName>
    <definedName name="BExIGJBO8R13LV7CZ7C1YCP974NN" hidden="1">#REF!</definedName>
    <definedName name="BExIGWT86FPOEYTI8GXCGU5Y3KGK" hidden="1">#REF!</definedName>
    <definedName name="BExIHBHXA7E7VUTBVHXXXCH3A5CL" hidden="1">#REF!</definedName>
    <definedName name="BExIHBSOGRSH1GKS6GKBRAJ7GXFQ" hidden="1">#REF!</definedName>
    <definedName name="BExIHDFY73YM0AHAR2Z5OJTFKSL2" hidden="1">#REF!</definedName>
    <definedName name="BExIHPQCQTGEW8QOJVIQ4VX0P6DX" hidden="1">#REF!</definedName>
    <definedName name="BExII1KN91Q7DLW0UB7W2TJ5ACT9" hidden="1">#REF!</definedName>
    <definedName name="BExII50LI8I0CDOOZEMIVHVA2V95" hidden="1">#REF!</definedName>
    <definedName name="BExIINQWABWRGYDT02DOJQ5L7BQF" hidden="1">#REF!</definedName>
    <definedName name="BExIIXMY38TQD12CVV4S57L3I809" hidden="1">#REF!</definedName>
    <definedName name="BExIIY37NEVU2LGS1JE4VR9AN6W4" hidden="1">#REF!</definedName>
    <definedName name="BExIIYJAGXR8TPZ1KCYM7EGJ79UW" hidden="1">#REF!</definedName>
    <definedName name="BExIJ3160YCWGAVEU0208ZGXXG3P" hidden="1">#REF!</definedName>
    <definedName name="BExIJFGZJ5ED9D6KAY4PGQYLELAX" hidden="1">#REF!</definedName>
    <definedName name="BExIJQK80ZEKSTV62E59AYJYUNLI" hidden="1">#REF!</definedName>
    <definedName name="BExIJRLX3M0YQLU1D5Y9V7HM5QNM" hidden="1">#REF!</definedName>
    <definedName name="BExIJV22J0QA7286KNPMHO1ZUCB3" hidden="1">#REF!</definedName>
    <definedName name="BExIJVI6OC7B6ZE9V4PAOYZXKNER" hidden="1">#REF!</definedName>
    <definedName name="BExIJWK0NGTGQ4X7D5VIVXD14JHI" hidden="1">#REF!</definedName>
    <definedName name="BExIJWPCIYINEJUTXU74VK7WG031" hidden="1">#REF!</definedName>
    <definedName name="BExIKHTXPZR5A8OHB6HDP6QWDHAD" hidden="1">#REF!</definedName>
    <definedName name="BExIKMMJOETSAXJYY1SIKM58LMA2" hidden="1">#REF!</definedName>
    <definedName name="BExIKRF6AQ6VOO9KCIWSM6FY8M7D" hidden="1">#REF!</definedName>
    <definedName name="BExIKTYZESFT3LC0ASFMFKSE0D1X" hidden="1">#REF!</definedName>
    <definedName name="BExIKXVA6M8K0PTRYAGXS666L335" hidden="1">#REF!</definedName>
    <definedName name="BExIL0PMZ2SXK9R6MLP43KBU1J2P" hidden="1">#REF!</definedName>
    <definedName name="BExIL1WSMNNQQK98YHWHV5HVONIZ" hidden="1">#REF!</definedName>
    <definedName name="BExILAAXRTRAD18K74M6MGUEEPUM" hidden="1">#REF!</definedName>
    <definedName name="BExILG5F338C0FFLMVOKMKF8X5ZP" hidden="1">#REF!</definedName>
    <definedName name="BExILGQTQM0HOD0BJI90YO7GOIN3" hidden="1">#REF!</definedName>
    <definedName name="BExILPL7P2BNCD7MYCGTQ9F0R5JX" hidden="1">#REF!</definedName>
    <definedName name="BExILVVS4B1B4G7IO0LPUDWY9K8W" hidden="1">#REF!</definedName>
    <definedName name="BExIM9DBUB7ZGF4B20FVUO9QGOX2" hidden="1">#REF!</definedName>
    <definedName name="BExIMCTBZ4WAESGCDWJ64SB4F0L1" hidden="1">#REF!</definedName>
    <definedName name="BExIMGK9Z94TFPWWZFMD10HV0IF6" hidden="1">#REF!</definedName>
    <definedName name="BExIMPEGKG18TELVC33T4OQTNBWC" hidden="1">#REF!</definedName>
    <definedName name="BExIN4OR435DL1US13JQPOQK8GD5" hidden="1">#REF!</definedName>
    <definedName name="BExINI6A7H3KSFRFA6UBBDPKW37F" hidden="1">#REF!</definedName>
    <definedName name="BExINIMK8XC3JOBT2EXYFHHH52H0" hidden="1">#REF!</definedName>
    <definedName name="BExINLX401ZKEGWU168DS4JUM2J6" hidden="1">#REF!</definedName>
    <definedName name="BExINMYYJO1FTV1CZF6O5XCFAMQX" hidden="1">#REF!</definedName>
    <definedName name="BExINP2H4KI05FRFV5PKZFE00HKO" hidden="1">#REF!</definedName>
    <definedName name="BExINPTCEJ9RPDEBJEJH80NATGUQ" hidden="1">#REF!</definedName>
    <definedName name="BExINWEQMNJ70A6JRXC2LACBX1GX" hidden="1">#REF!</definedName>
    <definedName name="BExINZELVWYGU876QUUZCIMXPBQC" hidden="1">#REF!</definedName>
    <definedName name="BExIO9QZ59ZHRA8SX6QICH2AY8A2" hidden="1">#REF!</definedName>
    <definedName name="BExIOAHV525SMMGFDJFE7456JPBD" hidden="1">#REF!</definedName>
    <definedName name="BExIOCQUQHKUU1KONGSDOLQTQEIC" hidden="1">#REF!</definedName>
    <definedName name="BExIOFAGCDQQKALMX3V0KU94KUQO" hidden="1">#REF!</definedName>
    <definedName name="BExIOFL8Y5O61VLKTB4H20IJNWS1" hidden="1">#REF!</definedName>
    <definedName name="BExIOMBXRW5NS4ZPYX9G5QREZ5J6" hidden="1">#REF!</definedName>
    <definedName name="BExIORA3GK78T7C7SNBJJUONJ0LS" hidden="1">#REF!</definedName>
    <definedName name="BExIORFDXP4AVIEBLSTZ8ETSXMNM" hidden="1">#REF!</definedName>
    <definedName name="BExIOTZ5EFZ2NASVQ05RH15HRSW6" hidden="1">#REF!</definedName>
    <definedName name="BExIP8YNN6UUE1GZ223SWH7DLGKO" hidden="1">#REF!</definedName>
    <definedName name="BExIPAB4AOL592OJCC1CFAXTLF1A" hidden="1">#REF!</definedName>
    <definedName name="BExIPB25DKX4S2ZCKQN7KWSC3JBF" hidden="1">#REF!</definedName>
    <definedName name="BExIPCUX4I4S2N50TLMMLALYLH9S" hidden="1">#REF!</definedName>
    <definedName name="BExIPDLT8JYAMGE5HTN4D1YHZF3V" hidden="1">#REF!</definedName>
    <definedName name="BExIPG040Q08EWIWL6CAVR3GRI43" hidden="1">#REF!</definedName>
    <definedName name="BExIPKNFUDPDKOSH5GHDVNA8D66S" hidden="1">#REF!</definedName>
    <definedName name="BExIPVL5VEVK9Q7AYB7EC2VZWBEZ" hidden="1">#REF!</definedName>
    <definedName name="BExIQ1VS9A2FHVD9TUHKG9K8EVVP" hidden="1">#REF!</definedName>
    <definedName name="BExIQ3J19L30PSQ2CXNT6IHW0I7V" hidden="1">#REF!</definedName>
    <definedName name="BExIQ3OJ7M04XCY276IO0LJA5XUK" hidden="1">#REF!</definedName>
    <definedName name="BExIQ5S19ITB0NDRUN4XV7B905ED" hidden="1">#REF!</definedName>
    <definedName name="BExIQ810MMN2UN0EQ9CRQAFWA19X" hidden="1">#REF!</definedName>
    <definedName name="BExIQ9TMQT2EIXSVQW7GVSOAW2VJ" hidden="1">#REF!</definedName>
    <definedName name="BExIQBMDE1L6J4H27K1FMSHQKDSE" hidden="1">#REF!</definedName>
    <definedName name="BExIQE65LVXUOF3UZFO7SDHFJH22" hidden="1">#REF!</definedName>
    <definedName name="BExIQG9OO2KKBOWTMD1OXY36TEGA" hidden="1">#REF!</definedName>
    <definedName name="BExIQHWZ65ALA9VAFCJEGIL1145G" hidden="1">#REF!</definedName>
    <definedName name="BExIQX1XBB31HZTYEEVOBSE3C5A6" hidden="1">#REF!</definedName>
    <definedName name="BExIR2ALYRP9FW99DK2084J7IIDC" hidden="1">#REF!</definedName>
    <definedName name="BExIR8FQETPTQYW37DBVDWG3J4JW" hidden="1">#REF!</definedName>
    <definedName name="BExIRHKWQB1PP4ZLB0C3AVUBAFMD" hidden="1">#REF!</definedName>
    <definedName name="BExIRJTRJPQR3OTAGAV7JTA4VMPS" hidden="1">#REF!</definedName>
    <definedName name="BExIROH27RJOG6VI7ZHR0RZGAZZ4" hidden="1">#REF!</definedName>
    <definedName name="BExIRRBGTY01OQOI3U5SW59RFDFI" hidden="1">#REF!</definedName>
    <definedName name="BExIS4T0DRF57HYO7OGG72KBOFOI" hidden="1">#REF!</definedName>
    <definedName name="BExIS77BJDDK18PGI9DSEYZPIL7P" hidden="1">#REF!</definedName>
    <definedName name="BExIS8USL1T3Z97CZ30HJ98E2GXQ" hidden="1">#REF!</definedName>
    <definedName name="BExISC5B700MZUBFTQ9K4IKTF7HR" hidden="1">#REF!</definedName>
    <definedName name="BExISDHXS49S1H56ENBPRF1NLD5C" hidden="1">#REF!</definedName>
    <definedName name="BExISM1JLV54A21A164IURMPGUMU" hidden="1">#REF!</definedName>
    <definedName name="BExISRFKJYUZ4AKW44IJF7RF9Y90" hidden="1">#REF!</definedName>
    <definedName name="BExISSMVV57JAUB6CSGBMBFVNGWK" hidden="1">#REF!</definedName>
    <definedName name="BExIT16AD4HCD0WQCCA72AKLQHK1" hidden="1">#REF!</definedName>
    <definedName name="BExIT1MK8TBAK3SNP36A8FKDQSOK" hidden="1">#REF!</definedName>
    <definedName name="BExIT9PPVL7XGGIZS7G6QI6L7H9U" hidden="1">#REF!</definedName>
    <definedName name="BExITBNYANV2S8KD56GOGCKW393R" hidden="1">#REF!</definedName>
    <definedName name="BExITGB4FVAV0LE88D7JMX7FBYXI" hidden="1">#REF!</definedName>
    <definedName name="BExITI3TQ14K842P38QF0PNWSWNO" hidden="1">#REF!</definedName>
    <definedName name="BExIU9OGER4TPMETACWUEP1UENK0" hidden="1">#REF!</definedName>
    <definedName name="BExIUD4OJGH65NFNQ4VMCE3R4J1X" hidden="1">#REF!</definedName>
    <definedName name="BExIUQM0XWNNW3MJD26EOVIT7FSU" hidden="1">#REF!</definedName>
    <definedName name="BExIUTB5OAAXYW0OFMP0PS40SPOB" hidden="1">#REF!</definedName>
    <definedName name="BExIUUT2MHIOV6R3WHA0DPM1KBKY" hidden="1">#REF!</definedName>
    <definedName name="BExIUYPDT1AM6MWGWQS646PIZIWC" hidden="1">#REF!</definedName>
    <definedName name="BExIV0I2O9F8D1UK1SI8AEYR6U0A" hidden="1">#REF!</definedName>
    <definedName name="BExIV2LM38XPLRTWT0R44TMQ59E5" hidden="1">#REF!</definedName>
    <definedName name="BExIV3HY4S0YRV1F7XEMF2YHAR2I" hidden="1">#REF!</definedName>
    <definedName name="BExIV6HUZFRIFLXW2SICKGTAH1PV" hidden="1">#REF!</definedName>
    <definedName name="BExIVCXWL6H5LD9DHDIA4F5U9TQL" hidden="1">#REF!</definedName>
    <definedName name="BExIVEVYJ7KL8QNR5ZTOSD11I5A6" hidden="1">#REF!</definedName>
    <definedName name="BExIVJ30S9U8MA1TUBRND8DGF96D" hidden="1">#REF!</definedName>
    <definedName name="BExIVMOIPSEWSIHIDDLOXESQ28A0" hidden="1">#REF!</definedName>
    <definedName name="BExIVNVNJX9BYDLC88NG09YF5XQ6" hidden="1">#REF!</definedName>
    <definedName name="BExIVQVKLMGSRYT1LFZH0KUIA4OR" hidden="1">#REF!</definedName>
    <definedName name="BExIVYTFI35KNR2XSA6N8OJYUTUR" hidden="1">#REF!</definedName>
    <definedName name="BExIVZF05SNB8DE7VLQOFG9S41HS" hidden="1">#REF!</definedName>
    <definedName name="BExIWB3SY3WRIVIOF988DNNODBOA" hidden="1">#REF!</definedName>
    <definedName name="BExIWB99CG0H52LRD6QWPN4L6DV2" hidden="1">#REF!</definedName>
    <definedName name="BExIWG1W7XP9DFYYSZAIOSHM0QLQ" hidden="1">#REF!</definedName>
    <definedName name="BExIWH3KUK94B7833DD4TB0Y6KP9" hidden="1">#REF!</definedName>
    <definedName name="BExIWHZXYAALPLS8CSHZHJ82LBOH" hidden="1">#REF!</definedName>
    <definedName name="BExIWJY6FHR6KOO0P8U4IZ7VD42D" hidden="1">#REF!</definedName>
    <definedName name="BExIWKE9MGIDWORBI43AWTUNYFAN" hidden="1">#REF!</definedName>
    <definedName name="BExIWPHOYLSNGZKVD3RRKOEALEUG" hidden="1">#REF!</definedName>
    <definedName name="BExIWSHLD1QIZPL5ARLXOJ9Y2CAA" hidden="1">#REF!</definedName>
    <definedName name="BExIX34PM5DBTRHRQWP6PL6WIX88" hidden="1">#REF!</definedName>
    <definedName name="BExIX5OAP9KSUE5SIZCW9P39Q4WE" hidden="1">#REF!</definedName>
    <definedName name="BExIXGRJPVJMUDGSG7IHPXPNO69B" hidden="1">#REF!</definedName>
    <definedName name="BExIXGWVQ9WOO0NCJLXAU4PJPOPM" hidden="1">#REF!</definedName>
    <definedName name="BExIXLK6SEOTUWQVNLCH4SAKTVGQ" hidden="1">#REF!</definedName>
    <definedName name="BExIXM5R87ZL3FHALWZXYCPHGX3E" hidden="1">#REF!</definedName>
    <definedName name="BExIXN24YK8MIB3OZ905DHU9CDH1" hidden="1">#REF!</definedName>
    <definedName name="BExIXS036ZCKT2Z8XZKLZ8PFWQGL" hidden="1">#REF!</definedName>
    <definedName name="BExIXY5CF9PFM0P40AZ4U51TMWV0" hidden="1">#REF!</definedName>
    <definedName name="BExIYEXJBK8JDWIRSVV4RJSKZVV1" hidden="1">#REF!</definedName>
    <definedName name="BExIYFJ59KLIPRTGIHX9X07UVGT3" hidden="1">#REF!</definedName>
    <definedName name="BExIYHH7GZO6BU3DC4GRLH3FD3ZS" hidden="1">#REF!</definedName>
    <definedName name="BExIYHMPBTD67ZNUL9O76FZQHYPT" hidden="1">#REF!</definedName>
    <definedName name="BExIYI2RH0K4225XO970K2IQ1E79" hidden="1">#REF!</definedName>
    <definedName name="BExIYMPZ0KS2KOJFQAUQJ77L7701" hidden="1">#REF!</definedName>
    <definedName name="BExIYP9Q6FV9T0R9G3UDKLS4TTYX" hidden="1">#REF!</definedName>
    <definedName name="BExIYZGLDQ1TN7BIIN4RLDP31GIM" hidden="1">#REF!</definedName>
    <definedName name="BExIZ4K0EZJK6PW3L8SVKTJFSWW9" hidden="1">#REF!</definedName>
    <definedName name="BExIZAECOEZGBAO29QMV14E6XDIV" hidden="1">#REF!</definedName>
    <definedName name="BExIZHQR3N1546MQS83ZJ8I6SPZ3" hidden="1">#REF!</definedName>
    <definedName name="BExIZKVXYD5O2JBU81F2UFJZLLSI" hidden="1">#REF!</definedName>
    <definedName name="BExIZPZDHC8HGER83WHCZAHOX7LK" hidden="1">#REF!</definedName>
    <definedName name="BExIZQA5XCS39QKXMYR1MH2ZIGPS" hidden="1">#REF!</definedName>
    <definedName name="BExIZVDLRUNAL32D9KO9X7Y4PB3O" hidden="1">#REF!</definedName>
    <definedName name="BExIZY2PUZ0OF9YKK1B13IW0VS6G" hidden="1">#REF!</definedName>
    <definedName name="BExJ08KBRR2XMWW3VZMPSQKXHZUH" hidden="1">#REF!</definedName>
    <definedName name="BExJ0DYJWXGE7DA39PYL3WM05U9O" hidden="1">#REF!</definedName>
    <definedName name="BExJ0JYDEZPM2303TRBXOZ74M7N6" hidden="1">#REF!</definedName>
    <definedName name="BExJ0MY8SY5J5V50H3UKE78ODTVB" hidden="1">#REF!</definedName>
    <definedName name="BExJ0YC98G37ML4N8FLP8D95EFRF" hidden="1">#REF!</definedName>
    <definedName name="BExKCDYKAEV45AFXHVHZZ62E5BM3" hidden="1">#REF!</definedName>
    <definedName name="BExKCYXU0W2VQVDI3N3N37K2598P" hidden="1">#REF!</definedName>
    <definedName name="BExKDJX3Z1TS0WFDD9EAO42JHL9G" hidden="1">#REF!</definedName>
    <definedName name="BExKDK7WVA5I2WBACAZHAHN35D0I" hidden="1">#REF!</definedName>
    <definedName name="BExKDKO0W4AGQO1V7K6Q4VM750FT" hidden="1">#REF!</definedName>
    <definedName name="BExKDLF10G7W77J87QWH3ZGLUCLW" hidden="1">#REF!</definedName>
    <definedName name="BExKE2NDBQ14HOJH945N4W9ZZFJO" hidden="1">#REF!</definedName>
    <definedName name="BExKEFE0I3MT6ZLC4T1L9465HKTN" hidden="1">#REF!</definedName>
    <definedName name="BExKEK6O5BVJP4VY02FY7JNAZ6BT" hidden="1">#REF!</definedName>
    <definedName name="BExKEKXK6E6QX339ELPXDIRZSJE0" hidden="1">#REF!</definedName>
    <definedName name="BExKEMFI35R0D4WN4A59V9QH7I5S" hidden="1">#REF!</definedName>
    <definedName name="BExKEOOIBMP7N8033EY2CJYCBX6H" hidden="1">#REF!</definedName>
    <definedName name="BExKEW0RR5LA3VC46A2BEOOMQE56" hidden="1">#REF!</definedName>
    <definedName name="BExKF37PTJB4PE1PUQWG20ASBX4E" hidden="1">#REF!</definedName>
    <definedName name="BExKFA3VI1CZK21SM0N3LZWT9LA1" hidden="1">#REF!</definedName>
    <definedName name="BExKFBB29XXT9A2LVUXYSIVKPWGB" hidden="1">#REF!</definedName>
    <definedName name="BExKFINBFV5J2NFRCL4YUO3YF0ZE" hidden="1">#REF!</definedName>
    <definedName name="BExKFISRBFACTAMJSALEYMY66F6X" hidden="1">#REF!</definedName>
    <definedName name="BExKFOSK5DJ151C4E8544UWMYTOC" hidden="1">#REF!</definedName>
    <definedName name="BExKFWL3DE1V1VOVHAFYBE85QUB7" hidden="1">#REF!</definedName>
    <definedName name="BExKFXS9NDEWPZDVGLTMOM3CFO7N" hidden="1">#REF!</definedName>
    <definedName name="BExKFYJC4EVEV54F82K6VKP7Q3OU" hidden="1">#REF!</definedName>
    <definedName name="BExKG4IYHBKQQ8J8FN10GB2IKO33" hidden="1">#REF!</definedName>
    <definedName name="BExKGBVDO2JNJUFOFQMF0RJG03ZK" hidden="1">#REF!</definedName>
    <definedName name="BExKGF0L44S78D33WMQ1A75TRKB9" hidden="1">#REF!</definedName>
    <definedName name="BExKGFRN31B3G20LMQ4LRF879J68" hidden="1">#REF!</definedName>
    <definedName name="BExKGJD3U3ADZILP20U3EURP0UQP" hidden="1">#REF!</definedName>
    <definedName name="BExKGNK5YGKP0YHHTAAOV17Z9EIM" hidden="1">#REF!</definedName>
    <definedName name="BExKGQ3T3TWGZUSNVWJE1XWXHGRQ" hidden="1">#REF!</definedName>
    <definedName name="BExKGV77YH9YXIQTRKK2331QGYKF" hidden="1">#REF!</definedName>
    <definedName name="BExKH3FTZ5VGTB86W9M4AB39R0G8" hidden="1">#REF!</definedName>
    <definedName name="BExKH3FV5U5O6XZM7STS3NZKQFGJ" hidden="1">#REF!</definedName>
    <definedName name="BExKH3W5435VN8DZ68OCKI93SEO4" hidden="1">#REF!</definedName>
    <definedName name="BExKH9L4L5ZUAA98QAZ7DB7YH4QE" hidden="1">#REF!</definedName>
    <definedName name="BExKHAMUH8NR3HRV0V6FHJE3ROLN" hidden="1">#REF!</definedName>
    <definedName name="BExKHCFKOWFHO2WW0N7Y5XDXEWAO" hidden="1">#REF!</definedName>
    <definedName name="BExKHIVLONZ46HLMR50DEXKEUNEP" hidden="1">#REF!</definedName>
    <definedName name="BExKHPM9XA0ADDK7TUR0N38EXWEP" hidden="1">#REF!</definedName>
    <definedName name="BExKHQYXEM47TMIQRQVHE4T5LT8K" hidden="1">#REF!</definedName>
    <definedName name="BExKI4076KXCDE5KXL79KT36OKLO" hidden="1">#REF!</definedName>
    <definedName name="BExKI7AUWXBP1WBLFRIYSNQZDWCY" hidden="1">#REF!</definedName>
    <definedName name="BExKI7LO70WYISR7Q0Y1ZDWO9M3B" hidden="1">#REF!</definedName>
    <definedName name="BExKIF3EIT434ZQKMDXUBJCRLMK8" hidden="1">#REF!</definedName>
    <definedName name="BExKIGQV6TXIZG039HBOJU62WP2U" hidden="1">#REF!</definedName>
    <definedName name="BExKILE008SF3KTAN8WML3XKI1NZ" hidden="1">#REF!</definedName>
    <definedName name="BExKINSBB6RS7I489QHMCOMU4Z2X" hidden="1">#REF!</definedName>
    <definedName name="BExKINXMPEA03CETGL1VOW1XRJIR" hidden="1">#REF!</definedName>
    <definedName name="BExKITBU5LXLZYDJS3D3BAVWEY3U" hidden="1">#REF!</definedName>
    <definedName name="BExKIU87ZKSOC2DYZWFK6SAK9I8E" hidden="1">#REF!</definedName>
    <definedName name="BExKJ449HLYX2DJ9UF0H9GTPSQ73" hidden="1">#REF!</definedName>
    <definedName name="BExKJ5649R9IC0GKQD6QI2G7C99Q" hidden="1">#REF!</definedName>
    <definedName name="BExKJEB4FXIMV2AAE9S3FCGRK1R0" hidden="1">#REF!</definedName>
    <definedName name="BExKJELX2RUC8UEC56IZPYYZXHA7" hidden="1">#REF!</definedName>
    <definedName name="BExKJI7CV9I6ILFIZ3SVO4DGK64J" hidden="1">#REF!</definedName>
    <definedName name="BExKJINMXS61G2TZEXCJAWVV4F57" hidden="1">#REF!</definedName>
    <definedName name="BExKJK5ME8KB7HA0180L7OUZDDGV" hidden="1">#REF!</definedName>
    <definedName name="BExKJLY652HI5GNEEWQXOB08K2C1" hidden="1">#REF!</definedName>
    <definedName name="BExKJN5IF0VMDILJ5K8ZENF2QYV1" hidden="1">#REF!</definedName>
    <definedName name="BExKJUSJPFUIK20FTVAFJWR2OUYX" hidden="1">#REF!</definedName>
    <definedName name="BExKJXHNZTE5OMRQ1KTVM1DIQE9I" hidden="1">#REF!</definedName>
    <definedName name="BExKK8VP5RS3D0UXZVKA37C4SYBP" hidden="1">#REF!</definedName>
    <definedName name="BExKKIM9NPF6B3SPMPIQB27HQME4" hidden="1">#REF!</definedName>
    <definedName name="BExKKIX1BCBQ4R3K41QD8NTV0OV0" hidden="1">#REF!</definedName>
    <definedName name="BExKKJ2IHMOO66DQ0V2YABR4GV05" hidden="1">#REF!</definedName>
    <definedName name="BExKKQ3ZWADYV03YHMXDOAMU90EB" hidden="1">#REF!</definedName>
    <definedName name="BExKKUGD2HMJWQEYZ8H3X1BMXFS9" hidden="1">#REF!</definedName>
    <definedName name="BExKKX05KCZZZPKOR1NE5A8RGVT4" hidden="1">#REF!</definedName>
    <definedName name="BExKL3QUCLQLECGZM555PRF8EN56" hidden="1">#REF!</definedName>
    <definedName name="BExKL7CGLA62V9UQH9ZDEHIK8W4O" hidden="1">#REF!</definedName>
    <definedName name="BExKLD6S9L66QYREYHBE5J44OK7X" hidden="1">#REF!</definedName>
    <definedName name="BExKLEZK32L28GYJWVO63BZ5E1JD" hidden="1">#REF!</definedName>
    <definedName name="BExKLLKVVHT06LA55JB2FC871DC5" hidden="1">#REF!</definedName>
    <definedName name="BExKMKNALVJRCZS69GFJA4M1J08O" hidden="1">#REF!</definedName>
    <definedName name="BExKMMFZIDRFNSBCWVADJ4S2JE52" hidden="1">#REF!</definedName>
    <definedName name="BExKMRZJS845FERFW6HUXLFAOMYD" hidden="1">#REF!</definedName>
    <definedName name="BExKMS514WWPGUGRYGTH6XU97T8B" hidden="1">#REF!</definedName>
    <definedName name="BExKMUDV8AH8HQAD5HJVUW7GFDWU" hidden="1">#REF!</definedName>
    <definedName name="BExKMWBX4EH3EYJ07UFEM08NB40Z" hidden="1">#REF!</definedName>
    <definedName name="BExKN4Q70IU9OY91QRUSK3044MQD" hidden="1">#REF!</definedName>
    <definedName name="BExKNBGV2IR3S7M0BX4810KZB4V3" hidden="1">#REF!</definedName>
    <definedName name="BExKNCTBZTSY3MO42VU5PLV6YUHZ" hidden="1">#REF!</definedName>
    <definedName name="BExKNGV2YY749C42AQ2T9QNIE5C3" hidden="1">#REF!</definedName>
    <definedName name="BExKNH0F1WPNUEQITIUN5T4NDX9H" hidden="1">#REF!</definedName>
    <definedName name="BExKNV8UOHVWEHDJWI2WMJ9X6QHZ" hidden="1">#REF!</definedName>
    <definedName name="BExKNZLD7UATC1MYRNJD8H2NH4KU" hidden="1">#REF!</definedName>
    <definedName name="BExKNZQUKQQG2Y97R74G4O4BJP1L" hidden="1">#REF!</definedName>
    <definedName name="BExKO06X0EAD3ABEG1E8PWLDWHBA" hidden="1">#REF!</definedName>
    <definedName name="BExKO2AHHSGNI1AZOIOW21KPXKPE" hidden="1">#REF!</definedName>
    <definedName name="BExKO2FXWJWC5IZLDN8JHYILQJ2N" hidden="1">#REF!</definedName>
    <definedName name="BExKO438WZ8FKOU00NURGFMOYXWN" hidden="1">#REF!</definedName>
    <definedName name="BExKO551EZ73M80UFHBQE7BQVU4L" hidden="1">#REF!</definedName>
    <definedName name="BExKOBA4VTRV9YG31IM1PDDO3J9M" hidden="1">#REF!</definedName>
    <definedName name="BExKODIZGWW2EQD0FEYW6WK6XLCM" hidden="1">#REF!</definedName>
    <definedName name="BExKOPO2HPWVQGAKW8LOZMPIDEFG" hidden="1">#REF!</definedName>
    <definedName name="BExKP7SRQ3MN5BDYXV2XMBQNUH23" hidden="1">#REF!</definedName>
    <definedName name="BExKPEZP0QTKOTLIMMIFSVTHQEEK" hidden="1">#REF!</definedName>
    <definedName name="BExKPFFSVTL757PNITV8R9RN4452" hidden="1">#REF!</definedName>
    <definedName name="BExKPIL5ZWOXQAENH3VP3ZHA2N7N" hidden="1">#REF!</definedName>
    <definedName name="BExKPJHKPVROP9QX9BMBZMU2HEZ1" hidden="1">#REF!</definedName>
    <definedName name="BExKPLQJX0HJ8OTXBXH9IC9J2V0W" hidden="1">#REF!</definedName>
    <definedName name="BExKPN8C7GN36ZJZHLOB74LU6KT0" hidden="1">#REF!</definedName>
    <definedName name="BExKPX9VZ1J5021Q98K60HMPJU58" hidden="1">#REF!</definedName>
    <definedName name="BExKQGGEP203MUWSJVORTY7RFOFT" hidden="1">#REF!</definedName>
    <definedName name="BExKQJGAAWNM3NT19E9I0CQDBTU0" hidden="1">#REF!</definedName>
    <definedName name="BExKQM5GJ1ZN5REKFE7YVBQ0KXWF" hidden="1">#REF!</definedName>
    <definedName name="BExKQQ71278061G7ZFYGPWOMOMY2" hidden="1">#REF!</definedName>
    <definedName name="BExKQTXRG3ECU8NT47UR7643LO5G" hidden="1">#REF!</definedName>
    <definedName name="BExKQVL7HPOIZ4FHANDFMVOJLEPR" hidden="1">#REF!</definedName>
    <definedName name="BExKR3ZAJRYXZB4M7XZPK0I7E55W" hidden="1">#REF!</definedName>
    <definedName name="BExKR8RZSEHW184G0Z56B4EGNU72" hidden="1">#REF!</definedName>
    <definedName name="BExKRHM60KUPM7RGAAFRSKX4TMS5" hidden="1">#REF!</definedName>
    <definedName name="BExKRQB2LX164R610N3VXJPD3C1W" hidden="1">#REF!</definedName>
    <definedName name="BExKRVUSQ6PA7ZYQSTEQL3X7PB9P" hidden="1">#REF!</definedName>
    <definedName name="BExKRY3KZ7F7RB2KH8HXSQ85IEQO" hidden="1">#REF!</definedName>
    <definedName name="BExKS91CCVW1YKNE1EQ4MCE1E9JX" hidden="1">#REF!</definedName>
    <definedName name="BExKSA37DZTCK6H13HPIKR0ZFVL8" hidden="1">#REF!</definedName>
    <definedName name="BExKSB51O073JLM4PEU353GBBSMI" hidden="1">#REF!</definedName>
    <definedName name="BExKSC1EDUXA6RM44LZV6HMMHKLX" hidden="1">#REF!</definedName>
    <definedName name="BExKSFMOMSZYDE0WNC94F40S6636" hidden="1">#REF!</definedName>
    <definedName name="BExKSHQ9K79S8KYUWIV5M5LAHHF1" hidden="1">#REF!</definedName>
    <definedName name="BExKSJTWG9L3FCX8FLK4EMUJMF27" hidden="1">#REF!</definedName>
    <definedName name="BExKSU0MKNAVZYYPKCYTZDWQX4R8" hidden="1">#REF!</definedName>
    <definedName name="BExKSX60G1MUS689FXIGYP2F7C62" hidden="1">#REF!</definedName>
    <definedName name="BExKT2UZ7Y2VWF5NQE18SJRLD2RN" hidden="1">#REF!</definedName>
    <definedName name="BExKT3GJFNGAM09H5F615E36A38C" hidden="1">#REF!</definedName>
    <definedName name="BExKTD1UM9PTLYETG1RM502XDNC0" hidden="1">#REF!</definedName>
    <definedName name="BExKTJN26AY45CE6JUAX3OIL48F7" hidden="1">#REF!</definedName>
    <definedName name="BExKTQZGN8GI3XGSEXMPCCA3S19H" hidden="1">#REF!</definedName>
    <definedName name="BExKTUKYYU0F6TUW1RXV24LRAZFE" hidden="1">#REF!</definedName>
    <definedName name="BExKU3FBLHQBIUTN6XEZW5GC9OG1" hidden="1">#REF!</definedName>
    <definedName name="BExKU82I99FEUIZLODXJDOJC96CQ" hidden="1">#REF!</definedName>
    <definedName name="BExKUDM0DFSCM3D91SH0XLXJSL18" hidden="1">#REF!</definedName>
    <definedName name="BExKUHYKD9TJTMQOOBS4EX04FCEZ" hidden="1">#REF!</definedName>
    <definedName name="BExKULEKJLA77AUQPDUHSM94Y76Z" hidden="1">#REF!</definedName>
    <definedName name="BExKUXE506JSYMR4CV866RHRDYR9" hidden="1">#REF!</definedName>
    <definedName name="BExKV08R85MKI3MAX9E2HERNQUNL" hidden="1">#REF!</definedName>
    <definedName name="BExKV4AAUNNJL5JWD7PX6BFKVS6O" hidden="1">#REF!</definedName>
    <definedName name="BExKVDVK6HN74GQPTXICP9BFC8CF" hidden="1">#REF!</definedName>
    <definedName name="BExKVFZ3ZZGIC1QI8XN6BYFWN0ZY" hidden="1">#REF!</definedName>
    <definedName name="BExKVG4KGO28KPGTAFL1R8TTZ10N" hidden="1">#REF!</definedName>
    <definedName name="BExKW0CSH7DA02YSNV64PSEIXB2P" hidden="1">#REF!</definedName>
    <definedName name="BExM9NUG3Q31X01AI9ZJCZIX25CS" hidden="1">#REF!</definedName>
    <definedName name="BExM9OG182RP30MY23PG49LVPZ1C" hidden="1">#REF!</definedName>
    <definedName name="BExMA64MW1S18NH8DCKPCCEI5KCB" hidden="1">#REF!</definedName>
    <definedName name="BExMALEWFUEM8Y686IT03ECURUBR" hidden="1">#REF!</definedName>
    <definedName name="BExMAS0AQY7KMMTBTBPK0SWWDITB" hidden="1">#REF!</definedName>
    <definedName name="BExMAXJS82ZJ8RS22VLE0V0LDUII" hidden="1">#REF!</definedName>
    <definedName name="BExMB4QRS0R3MTB4CMUHFZ84LNZQ" hidden="1">#REF!</definedName>
    <definedName name="BExMB7AICZ233JKSCEUSR9RQXRS0" hidden="1">#REF!</definedName>
    <definedName name="BExMBC35WKQY5CWQJLV4D05O6971" hidden="1">#REF!</definedName>
    <definedName name="BExMBFTZV4Q1A5KG25C1N9PHQNSW" hidden="1">#REF!</definedName>
    <definedName name="BExMBFZFXQDH3H55R89930TFTU36" hidden="1">#REF!</definedName>
    <definedName name="BExMBK6ISK3U7KHZKUJXIDKGF6VW" hidden="1">#REF!</definedName>
    <definedName name="BExMBYPQDG9AYDQ5E8IECVFREPO6" hidden="1">#REF!</definedName>
    <definedName name="BExMC7PESEESXVMDCGGIP5LPMUGY" hidden="1">#REF!</definedName>
    <definedName name="BExMC8AZUTX8LG89K2JJR7ZG62XX" hidden="1">#REF!</definedName>
    <definedName name="BExMCA96YR10V72G2R0SCIKPZLIZ" hidden="1">#REF!</definedName>
    <definedName name="BExMCB5JU5I2VQDUBS4O42BTEVKI" hidden="1">#REF!</definedName>
    <definedName name="BExMCFSQFSEMPY5IXDIRKZDASDBR" hidden="1">#REF!</definedName>
    <definedName name="BExMCH58I9XOLK7WEE6VSJGYPJGL" hidden="1">#REF!</definedName>
    <definedName name="BExMCMZOEYWVOOJ98TBHTTCS7XB8" hidden="1">#REF!</definedName>
    <definedName name="BExMCS8EF2W3FS9QADNKREYSI8P0" hidden="1">#REF!</definedName>
    <definedName name="BExMCSU0KZGHALEL7N5DJBVL94K7" hidden="1">#REF!</definedName>
    <definedName name="BExMCUS7GSOM96J0HJ7EH0FFM2AC" hidden="1">#REF!</definedName>
    <definedName name="BExMCYTT6TVDWMJXO1NZANRTVNAN" hidden="1">#REF!</definedName>
    <definedName name="BExMD54CT1VTE5YGBM90H90NF28M" hidden="1">#REF!</definedName>
    <definedName name="BExMD5F6IAV108XYJLXUO9HD0IT6" hidden="1">#REF!</definedName>
    <definedName name="BExMDANV66W9T3XAXID40XFJ0J93" hidden="1">#REF!</definedName>
    <definedName name="BExMDGD1KQP7NNR78X2ZX4FCBQ1S" hidden="1">#REF!</definedName>
    <definedName name="BExMDIRDK0DI8P86HB7WPH8QWLSQ" hidden="1">#REF!</definedName>
    <definedName name="BExMDOWGDLP3BZZB4ZPI31VS10FP" hidden="1">#REF!</definedName>
    <definedName name="BExMDPI2FVMORSWDDCVAJ85WYAYO" hidden="1">#REF!</definedName>
    <definedName name="BExMDUWB7VWHFFR266QXO46BNV2S" hidden="1">#REF!</definedName>
    <definedName name="BExME2U47N8LZG0BPJ49ANY5QVV2" hidden="1">#REF!</definedName>
    <definedName name="BExME88DH5DUKMUFI9FNVECXFD2E" hidden="1">#REF!</definedName>
    <definedName name="BExME9A7MOGAK7YTTQYXP5DL6VYA" hidden="1">#REF!</definedName>
    <definedName name="BExMEOV9YFRY5C3GDLU60GIX10BY" hidden="1">#REF!</definedName>
    <definedName name="BExMEUK2Q5GZGZFZ77Z2IYUKOOYW" hidden="1">#REF!</definedName>
    <definedName name="BExMEWT36INWIP0VNS94NEP3WZ4U" hidden="1">#REF!</definedName>
    <definedName name="BExMEY09ESM4H2YGKEQQRYUD114R" hidden="1">#REF!</definedName>
    <definedName name="BExMF0UU4SBJHOJ4SG09QMF1TC7H" hidden="1">#REF!</definedName>
    <definedName name="BExMF2YDPQWGK3CSN8LJG16MLFQZ" hidden="1">#REF!</definedName>
    <definedName name="BExMF4G4IUPQY1Y5GEY5N3E04CL6" hidden="1">#REF!</definedName>
    <definedName name="BExMF9UIGYMOAQK0ELUWP0S0HZZY" hidden="1">#REF!</definedName>
    <definedName name="BExMFDLBSWFMRDYJ2DZETI3EXKN2" hidden="1">#REF!</definedName>
    <definedName name="BExMFLDTMRTCHKA37LQW67BG8D5C" hidden="1">#REF!</definedName>
    <definedName name="BExMFTH63LTWA2JYJTJYMT5K2OF2" hidden="1">#REF!</definedName>
    <definedName name="BExMFY4AG5T27EVMCCNE00GOAR66" hidden="1">#REF!</definedName>
    <definedName name="BExMGQQNOFER1MEVQ961XARTRIOB" hidden="1">#REF!</definedName>
    <definedName name="BExMH189E60TZBQFN2UWVA1UZA7X" hidden="1">#REF!</definedName>
    <definedName name="BExMH3H9TW5TJCNU5Z1EWXP3BAEP" hidden="1">#REF!</definedName>
    <definedName name="BExMH5A1B01SYXROP70DOKTQ5D6Z" hidden="1">#REF!</definedName>
    <definedName name="BExMHCGUJ8A3L31NU0XU0FGXE4P3" hidden="1">#REF!</definedName>
    <definedName name="BExMHOWPB34KPZ76M2KIX2C9R2VB" hidden="1">#REF!</definedName>
    <definedName name="BExMHSSYC6KVHA3QDTSYPN92TWMI" hidden="1">#REF!</definedName>
    <definedName name="BExMI3AJ9477KDL4T9DHET4LJJTW" hidden="1">#REF!</definedName>
    <definedName name="BExMI6QQ20XHD0NWJUN741B37182" hidden="1">#REF!</definedName>
    <definedName name="BExMI7MYDIMC9K16SBAFUY33RHK6" hidden="1">#REF!</definedName>
    <definedName name="BExMI8JB94SBD9EMNJEK7Y2T6GYU" hidden="1">#REF!</definedName>
    <definedName name="BExMI8OS85YTW3KYVE4YD0R7Z6UV" hidden="1">#REF!</definedName>
    <definedName name="BExMI9QNOMVZ44I3BFMGU1EL1RSY" hidden="1">#REF!</definedName>
    <definedName name="BExMIBOOZU40JS3F89OMPSRCE9MM" hidden="1">#REF!</definedName>
    <definedName name="BExMIIQ5MBWSIHTFWAQADXMZC22Q" hidden="1">#REF!</definedName>
    <definedName name="BExMIL4I2GE866I25CR5JBLJWJ6A" hidden="1">#REF!</definedName>
    <definedName name="BExMIRKIPF27SNO82SPFSB3T5U17" hidden="1">#REF!</definedName>
    <definedName name="BExMIV0KC8555D5E42ZGWG15Y0MO" hidden="1">#REF!</definedName>
    <definedName name="BExMIZT6AN7E6YMW2S87CTCN2UXH" hidden="1">#REF!</definedName>
    <definedName name="BExMJB76UESLVRD81AJBOB78JDTT" hidden="1">#REF!</definedName>
    <definedName name="BExMJI8OLFZQCGOW3F99ETW8A21E" hidden="1">#REF!</definedName>
    <definedName name="BExMJNC8ZFB9DRFOJ961ZAJ8U3A8" hidden="1">#REF!</definedName>
    <definedName name="BExMJTBV8A3D31W2IQHP9RDFPPHQ" hidden="1">#REF!</definedName>
    <definedName name="BExMK2RTXN4QJWEUNX002XK8VQP8" hidden="1">#REF!</definedName>
    <definedName name="BExMKBGQDUZ8AWXYHA3QVMSDVZ3D" hidden="1">#REF!</definedName>
    <definedName name="BExMKBM1467553LDFZRRKVSHN374" hidden="1">#REF!</definedName>
    <definedName name="BExMKGK5FJUC0AU8MABRGDC5ZM70" hidden="1">#REF!</definedName>
    <definedName name="BExMKP92JGBM5BJO174H9A4HQIB9" hidden="1">#REF!</definedName>
    <definedName name="BExMKPEDT6IOYLLC3KJKRZOETC3Y" hidden="1">#REF!</definedName>
    <definedName name="BExMKTW7R5SOV4PHAFGHU3W73DYE" hidden="1">#REF!</definedName>
    <definedName name="BExMKU7051J2W1RQXGZGE62NBRUZ" hidden="1">#REF!</definedName>
    <definedName name="BExMKUN3WPECJR2XRID2R7GZRGNX" hidden="1">#REF!</definedName>
    <definedName name="BExMKZ535P011X4TNV16GCOH4H21" hidden="1">#REF!</definedName>
    <definedName name="BExML3XQNDIMX55ZCHHXKUV3D6E6" hidden="1">#REF!</definedName>
    <definedName name="BExML5QGSWHLI18BGY4CGOTD3UWH" hidden="1">#REF!</definedName>
    <definedName name="BExML6BVFCV80776USR7X70HVRZT" hidden="1">#REF!</definedName>
    <definedName name="BExMLO5Z61RE85X8HHX2G4IU3AZW" hidden="1">#REF!</definedName>
    <definedName name="BExMLVI7UORSHM9FMO8S2EI0TMTS" hidden="1">#REF!</definedName>
    <definedName name="BExMM5UCOT2HSSN0ZIPZW55GSOVO" hidden="1">#REF!</definedName>
    <definedName name="BExMM8ZRS5RQ8H1H55RVPVTDL5NL" hidden="1">#REF!</definedName>
    <definedName name="BExMMH8EAZB09XXQ5X4LR0P4NHG9" hidden="1">#REF!</definedName>
    <definedName name="BExMMIQH5BABNZVCIQ7TBCQ10AY5" hidden="1">#REF!</definedName>
    <definedName name="BExMMNIZ2T7M22WECMUQXEF4NJ71" hidden="1">#REF!</definedName>
    <definedName name="BExMMPMIOU7BURTV0L1K6ACW9X73" hidden="1">#REF!</definedName>
    <definedName name="BExMMQ835AJDHS4B419SS645P67Q" hidden="1">#REF!</definedName>
    <definedName name="BExMMQIUVPCOBISTEJJYNCCLUCPY" hidden="1">#REF!</definedName>
    <definedName name="BExMMTIXETA5VAKBSOFDD5SRU887" hidden="1">#REF!</definedName>
    <definedName name="BExMMV0P6P5YS3C35G0JYYHI7992" hidden="1">#REF!</definedName>
    <definedName name="BExMNJLFWZBRN9PZF1IO9CYWV1B2" hidden="1">#REF!</definedName>
    <definedName name="BExMNKCJ0FA57YEUUAJE43U1QN5P" hidden="1">#REF!</definedName>
    <definedName name="BExMNKN5D1WEF2OOJVP6LZ6DLU3Y" hidden="1">#REF!</definedName>
    <definedName name="BExMNR38HMPLWAJRQ9MMS3ZAZ9IU" hidden="1">#REF!</definedName>
    <definedName name="BExMNRDZULKJMVY2VKIIRM2M5A1M" hidden="1">#REF!</definedName>
    <definedName name="BExMNVFKZIBQSCAH71DIF1CJG89T" hidden="1">#REF!</definedName>
    <definedName name="BExMNVVUQAGQY9SA29FGI7D7R5MN" hidden="1">#REF!</definedName>
    <definedName name="BExMO9IOWKTWHO8LQJJQI5P3INWY" hidden="1">#REF!</definedName>
    <definedName name="BExMOI29DOEK5R1A5QZPUDKF7N6T" hidden="1">#REF!</definedName>
    <definedName name="BExMONRAU0S904NLJHPI47RVQDBH" hidden="1">#REF!</definedName>
    <definedName name="BExMPAJ5AJAXGKGK3F6H3ODS6RF4" hidden="1">#REF!</definedName>
    <definedName name="BExMPD2X55FFBVJ6CBUKNPROIOEU" hidden="1">#REF!</definedName>
    <definedName name="BExMPGZ848E38FUH1JBQN97DGWAT" hidden="1">#REF!</definedName>
    <definedName name="BExMPMTICOSMQENOFKQ18K0ZT4S8" hidden="1">#REF!</definedName>
    <definedName name="BExMPMZ07II0R4KGWQQ7PGS3RZS4" hidden="1">#REF!</definedName>
    <definedName name="BExMPOBH04JMDO6Z8DMSEJZM4ANN" hidden="1">#REF!</definedName>
    <definedName name="BExMPSD77XQ3HA6A4FZOJK8G2JP3" hidden="1">#REF!</definedName>
    <definedName name="BExMQ4I3Q7F0BMPHSFMFW9TZ87UD" hidden="1">#REF!</definedName>
    <definedName name="BExMQ4SWDWI4N16AZ0T5CJ6HH8WC" hidden="1">#REF!</definedName>
    <definedName name="BExMQ71WHW50GVX45JU951AGPLFQ" hidden="1">#REF!</definedName>
    <definedName name="BExMQGXSLPT4A6N47LE6FBVHWBOF" hidden="1">#REF!</definedName>
    <definedName name="BExMQNZGFHW75W9HWRCR0FEF0XF0" hidden="1">#REF!</definedName>
    <definedName name="BExMQRKVQPDFPD0WQUA9QND8OV7P" hidden="1">#REF!</definedName>
    <definedName name="BExMQSBR7PL4KLB1Q4961QO45Y4G" hidden="1">#REF!</definedName>
    <definedName name="BExMR1MA4I1X77714ZEPUVC8W398" hidden="1">#REF!</definedName>
    <definedName name="BExMR8YQHA7N77HGHY4Y6R30I3XT" hidden="1">#REF!</definedName>
    <definedName name="BExMRENOIARWRYOIVPDIEBVNRDO7" hidden="1">#REF!</definedName>
    <definedName name="BExMRF3SCIUZL945WMMDCT29MTLN" hidden="1">#REF!</definedName>
    <definedName name="BExMRRJNUMGRSDD5GGKKGEIZ6FTS" hidden="1">#REF!</definedName>
    <definedName name="BExMRU3ACIU0RD2BNWO55LH5U2BR" hidden="1">#REF!</definedName>
    <definedName name="BExMRWC9LD1LDAVIUQHQWIYMK129" hidden="1">#REF!</definedName>
    <definedName name="BExMSBH3T898ERC4BT51ZURKDCH1" hidden="1">#REF!</definedName>
    <definedName name="BExMSQRCC40AP8BDUPL2I2DNC210" hidden="1">#REF!</definedName>
    <definedName name="BExO4J9LR712G00TVA82VNTG8O7H" hidden="1">#REF!</definedName>
    <definedName name="BExO55G2KVZ7MIJ30N827CLH0I2A" hidden="1">#REF!</definedName>
    <definedName name="BExO5A8PZD9EUHC5CMPU6N3SQ15L" hidden="1">#REF!</definedName>
    <definedName name="BExO5XMAHL7CY3X0B1OPKZ28DCJ5" hidden="1">#REF!</definedName>
    <definedName name="BExO66LZJKY4PTQVREELI6POS4AY" hidden="1">#REF!</definedName>
    <definedName name="BExO6LLHCYTF7CIVHKAO0NMET14Q" hidden="1">#REF!</definedName>
    <definedName name="BExO6NOZIPWELHV0XX25APL9UNOP" hidden="1">#REF!</definedName>
    <definedName name="BExO71MMHEBC11LG4HXDEQNHOII2" hidden="1">#REF!</definedName>
    <definedName name="BExO71S28H4XYOYYLAXOO93QV4TF" hidden="1">#REF!</definedName>
    <definedName name="BExO7BIP1737MIY7S6K4XYMTIO95" hidden="1">#REF!</definedName>
    <definedName name="BExO7OUQS3XTUQ2LDKGQ8AAQ3OJJ" hidden="1">#REF!</definedName>
    <definedName name="BExO85HMYXZJ7SONWBKKIAXMCI3C" hidden="1">#REF!</definedName>
    <definedName name="BExO863922O4PBGQMUNEQKGN3K96" hidden="1">#REF!</definedName>
    <definedName name="BExO89ZIOXN0HOKHY24F7HDZ87UT" hidden="1">#REF!</definedName>
    <definedName name="BExO8A4SWOKD9WI5E6DITCL3LZZC" hidden="1">#REF!</definedName>
    <definedName name="BExO8CDTBCABLEUD6PE2UM2EZ6C4" hidden="1">#REF!</definedName>
    <definedName name="BExO8UTAGQWDBQZEEF4HUNMLQCVU" hidden="1">#REF!</definedName>
    <definedName name="BExO937E20IHMGQOZMECL3VZC7OX" hidden="1">#REF!</definedName>
    <definedName name="BExO94UTJKQQ7TJTTJRTSR70YVJC" hidden="1">#REF!</definedName>
    <definedName name="BExO9EALFB2R8VULHML1AVRPHME0" hidden="1">#REF!</definedName>
    <definedName name="BExO9J3A438976RXIUX5U9SU5T55" hidden="1">#REF!</definedName>
    <definedName name="BExO9RS5RXFJ1911HL3CCK6M74EP" hidden="1">#REF!</definedName>
    <definedName name="BExO9SDRI1M6KMHXSG3AE5L0F2U3" hidden="1">#REF!</definedName>
    <definedName name="BExO9US253B9UNAYT7DWLMK2BO44" hidden="1">#REF!</definedName>
    <definedName name="BExO9V2U2YXAY904GYYGU6TD8Y7M" hidden="1">#REF!</definedName>
    <definedName name="BExOAAIG18X4V98C7122L5F65P5C" hidden="1">#REF!</definedName>
    <definedName name="BExOAQ3GKCT7YZW1EMVU3EILSZL2" hidden="1">#REF!</definedName>
    <definedName name="BExOATZQ6SF8DASYLBQ0Z6D2WPSC" hidden="1">#REF!</definedName>
    <definedName name="BExOB9KT2THGV4SPLDVFTFXS4B14" hidden="1">#REF!</definedName>
    <definedName name="BExOBEZ0IE2WBEYY3D3CMRI72N1K" hidden="1">#REF!</definedName>
    <definedName name="BExOBF9TFH4NSBTR7JD2Q1165NIU" hidden="1">#REF!</definedName>
    <definedName name="BExOBIPU8760ITY0C8N27XZ3KWEF" hidden="1">#REF!</definedName>
    <definedName name="BExOBM0I5L0MZ1G4H9MGMD87SBMZ" hidden="1">#REF!</definedName>
    <definedName name="BExOBOUXMP88KJY2BX2JLUJH5N0K" hidden="1">#REF!</definedName>
    <definedName name="BExOBP0FKQ4SVR59FB48UNLKCOR6" hidden="1">#REF!</definedName>
    <definedName name="BExOBTNR0XX9V82O76VVWUQABHT8" hidden="1">#REF!</definedName>
    <definedName name="BExOBYAVUCQ0IGM0Y6A75QHP0Q1A" hidden="1">#REF!</definedName>
    <definedName name="BExOC3UEHB1CZNINSQHZANWJYKR8" hidden="1">#REF!</definedName>
    <definedName name="BExOCBSF3XGO9YJ23LX2H78VOUR7" hidden="1">#REF!</definedName>
    <definedName name="BExOCEHJCLIUR23CB4TC9OEFJGFX" hidden="1">#REF!</definedName>
    <definedName name="BExOCKXFMOW6WPFEVX1I7R7FNDSS" hidden="1">#REF!</definedName>
    <definedName name="BExOCM4L30L6FV3N2PR4O6X8WY2M" hidden="1">#REF!</definedName>
    <definedName name="BExOCYEXOB95DH5NOB0M5NOYX398" hidden="1">#REF!</definedName>
    <definedName name="BExOD4ERMDMFD8X1016N4EXOUR0S" hidden="1">#REF!</definedName>
    <definedName name="BExOD55RS7BQUHRQ6H3USVGKR0P7" hidden="1">#REF!</definedName>
    <definedName name="BExODEWDDEABM4ZY3XREJIBZ8IVP" hidden="1">#REF!</definedName>
    <definedName name="BExODICDVVLFKWA22B3L0CKKTAZA" hidden="1">#REF!</definedName>
    <definedName name="BExODZFEIWV26E8RFU7XQYX1J458" hidden="1">#REF!</definedName>
    <definedName name="BExOE0S111KPTELH26PPXE94J3GJ" hidden="1">#REF!</definedName>
    <definedName name="BExOE5KH3JKKPZO401YAB3A11G1U" hidden="1">#REF!</definedName>
    <definedName name="BExOEBKG55EROA2VL360A06LKASE" hidden="1">#REF!</definedName>
    <definedName name="BExOEFWUBETCPIYF89P9SBDOI3X5" hidden="1">#REF!</definedName>
    <definedName name="BExOEL08MN74RQKVY0P43PFHPTVB" hidden="1">#REF!</definedName>
    <definedName name="BExOERG5LWXYYEN1DY1H2FWRJS9T" hidden="1">#REF!</definedName>
    <definedName name="BExOEV1S6JJVO5PP4BZ20SNGZR7D" hidden="1">#REF!</definedName>
    <definedName name="BExOEVNDLRXW33RF3AMMCDLTLROJ" hidden="1">#REF!</definedName>
    <definedName name="BExOEZOXV3VXUB6VGSS85GXATYAC" hidden="1">#REF!</definedName>
    <definedName name="BExOFDBSAZV60157PIDWCSSUN3MJ" hidden="1">#REF!</definedName>
    <definedName name="BExOFEDNCYI2TPTMQ8SJN3AW4YMF" hidden="1">#REF!</definedName>
    <definedName name="BExOFVLXVD6RVHSQO8KZOOACSV24" hidden="1">#REF!</definedName>
    <definedName name="BExOG2SW3XOGP9VAPQ3THV3VWV12" hidden="1">#REF!</definedName>
    <definedName name="BExOG45J81K4OPA40KW5VQU54KY3" hidden="1">#REF!</definedName>
    <definedName name="BExOGFE2SCL8HHT4DFAXKLUTJZOG" hidden="1">#REF!</definedName>
    <definedName name="BExOGH1IMADJCZMFDE6NMBBKO558" hidden="1">#REF!</definedName>
    <definedName name="BExOGT6D0LJ3C22RDW8COECKB1J5" hidden="1">#REF!</definedName>
    <definedName name="BExOGTMI1HT31M1RGWVRAVHAK7DE" hidden="1">#REF!</definedName>
    <definedName name="BExOGXO9JE5XSE9GC3I6O21UEKAO" hidden="1">#REF!</definedName>
    <definedName name="BExOH9ICQA5WPLVJIKJVPWUPKSYO" hidden="1">#REF!</definedName>
    <definedName name="BExOH9ICZ13C1LAW8OTYTR9S7ZP3" hidden="1">#REF!</definedName>
    <definedName name="BExOHGEJ8V8OXT32FSU173XLXBDH" hidden="1">#REF!</definedName>
    <definedName name="BExOHL75H3OT4WAKKPUXIVXWFVDS" hidden="1">#REF!</definedName>
    <definedName name="BExOHLHXXJL6363CC082M9M5VVXQ" hidden="1">#REF!</definedName>
    <definedName name="BExOHNAO5UDXSO73BK2ARHWKS90Y" hidden="1">#REF!</definedName>
    <definedName name="BExOHR1G1I9A9CI1HG94EWBLWNM2" hidden="1">#REF!</definedName>
    <definedName name="BExOHTQPP8LQ98L6PYUI6QW08YID" hidden="1">#REF!</definedName>
    <definedName name="BExOHUHN7UXHYAJFJJFU805UZ0NB" hidden="1">#REF!</definedName>
    <definedName name="BExOHX6Q6NJI793PGX59O5EKTP4G" hidden="1">#REF!</definedName>
    <definedName name="BExOI5VMTHH7Y8MQQ1N635CHYI0P" hidden="1">#REF!</definedName>
    <definedName name="BExOIEVCP4Y6VDS23AK84MCYYHRT" hidden="1">#REF!</definedName>
    <definedName name="BExOIFRP0HEHF5D7JSZ0X8ADJ79U" hidden="1">#REF!</definedName>
    <definedName name="BExOIHPQIXR0NDR5WD01BZKPKEO3" hidden="1">#REF!</definedName>
    <definedName name="BExOIM7L0Z3LSII9P7ZTV4KJ8RMA" hidden="1">#REF!</definedName>
    <definedName name="BExOIWJVMJ6MG6JC4SPD1L00OHU1" hidden="1">#REF!</definedName>
    <definedName name="BExOIYCN8Z4JK3OOG86KYUCV0ME8" hidden="1">#REF!</definedName>
    <definedName name="BExOJ3AKZ9BCBZT3KD8WMSLK6MN2" hidden="1">#REF!</definedName>
    <definedName name="BExOJ7XQK71I4YZDD29AKOOWZ47E" hidden="1">#REF!</definedName>
    <definedName name="BExOJAXS2THXXIJMV2F2LZKMI589" hidden="1">#REF!</definedName>
    <definedName name="BExOJDXKJ43BMD5CFWEMSU5R1BP9" hidden="1">#REF!</definedName>
    <definedName name="BExOJHZ9KOD9LEP7ES426LHOCXEY" hidden="1">#REF!</definedName>
    <definedName name="BExOJM0W6XGSW5MXPTTX0GNF6SFT" hidden="1">#REF!</definedName>
    <definedName name="BExOJQ7XL1X94G2GP88DSU6OTRKY" hidden="1">#REF!</definedName>
    <definedName name="BExOJXEUJJ9SYRJXKYYV2NCCDT2R" hidden="1">#REF!</definedName>
    <definedName name="BExOK0EQYM9JUMAGWOUN7QDH7VMZ" hidden="1">#REF!</definedName>
    <definedName name="BExOK10DBCM0O0CLRF8BB6EEWGB2" hidden="1">#REF!</definedName>
    <definedName name="BExOK45QZPFPJ08Z5BZOFLNGPHCZ" hidden="1">#REF!</definedName>
    <definedName name="BExOK4WM9O7QNG6O57FOASI5QSN1" hidden="1">#REF!</definedName>
    <definedName name="BExOK57E3HXBUDOQB4M87JK9OPNE" hidden="1">#REF!</definedName>
    <definedName name="BExOKJLBFD15HACQ01HQLY1U5SE2" hidden="1">#REF!</definedName>
    <definedName name="BExOKTXMJP351VXKH8VT6SXUNIMF" hidden="1">#REF!</definedName>
    <definedName name="BExOKU8GMLOCNVORDE329819XN67" hidden="1">#REF!</definedName>
    <definedName name="BExOL0Z3Z7IAMHPB91EO2MF49U57" hidden="1">#REF!</definedName>
    <definedName name="BExOL7KH12VAR0LG741SIOJTLWFD" hidden="1">#REF!</definedName>
    <definedName name="BExOLGUYDBS2V3UOK4DVPUW5JZN7" hidden="1">#REF!</definedName>
    <definedName name="BExOLICXFHJLILCJVFMJE5MGGWKR" hidden="1">#REF!</definedName>
    <definedName name="BExOLOI0WJS3QC12I3ISL0D9AWOF" hidden="1">#REF!</definedName>
    <definedName name="BExOLQ5A7IWI0W12J7315E7LBI0O" hidden="1">#REF!</definedName>
    <definedName name="BExOLYZNG5RBD0BTS1OEZJNU92Q5" hidden="1">#REF!</definedName>
    <definedName name="BExOM136CSOYSV2NE3NAU04Z4414" hidden="1">#REF!</definedName>
    <definedName name="BExOM3HIJ3UZPOKJI68KPBJAHPDC" hidden="1">#REF!</definedName>
    <definedName name="BExOM5QC0I90GVJG1G7NFAIINKAQ" hidden="1">#REF!</definedName>
    <definedName name="BExOMKPURE33YQ3K1JG9NVQD4W49" hidden="1">#REF!</definedName>
    <definedName name="BExOMP7NGCLUNFK50QD2LPKRG078" hidden="1">#REF!</definedName>
    <definedName name="BExOMPNX2853XA8AUM0BLA7CS86A" hidden="1">#REF!</definedName>
    <definedName name="BExOMU0A6XMY48SZRYL4WQZD13BI" hidden="1">#REF!</definedName>
    <definedName name="BExOMVT0HSNC59DJP4CLISASGHKL" hidden="1">#REF!</definedName>
    <definedName name="BExON0AX35F2SI0UCVMGWGVIUNI3" hidden="1">#REF!</definedName>
    <definedName name="BExON1I19LN0T10YIIYC5NE9UGMR" hidden="1">#REF!</definedName>
    <definedName name="BExON41U4296DV3DPG6I5EF3OEYF" hidden="1">#REF!</definedName>
    <definedName name="BExONB3A7CO4YD8RB41PHC93BQ9M" hidden="1">#REF!</definedName>
    <definedName name="BExONFQH6UUXF8V0GI4BRIST9RFO" hidden="1">#REF!</definedName>
    <definedName name="BExONIL31DZWU7IFVN3VV0XTXJA1" hidden="1">#REF!</definedName>
    <definedName name="BExONJ1BU17R0F5A2UP1UGJBOGKS" hidden="1">#REF!</definedName>
    <definedName name="BExONKZDHE8SS0P4YRLGEQR9KYHF" hidden="1">#REF!</definedName>
    <definedName name="BExONNZ9VMHVX3J6NLNJY7KZA61O" hidden="1">#REF!</definedName>
    <definedName name="BExONRQ1BAA4F3TXP2MYQ4YCZ09S" hidden="1">#REF!</definedName>
    <definedName name="BExONU4ENMND8RLZX0L5EHPYQQSB" hidden="1">#REF!</definedName>
    <definedName name="BExONXPUEU6ZRSIX4PDJ1DXY679I" hidden="1">#REF!</definedName>
    <definedName name="BExOO0KEG2WL5WKKMHN0S2UTIUNG" hidden="1">#REF!</definedName>
    <definedName name="BExOO1WWIZSGB0YTGKESB45TSVMZ" hidden="1">#REF!</definedName>
    <definedName name="BExOO4B8FPAFYPHCTYTX37P1TQM5" hidden="1">#REF!</definedName>
    <definedName name="BExOOIULUDOJRMYABWV5CCL906X6" hidden="1">#REF!</definedName>
    <definedName name="BExOOJLIWKJW5S7XWJXD8TYV5HQ9" hidden="1">#REF!</definedName>
    <definedName name="BExOOQ1JVWQ9LYXD0V94BRXKTA1I" hidden="1">#REF!</definedName>
    <definedName name="BExOOTN0KTXJCL7E476XBN1CJ553" hidden="1">#REF!</definedName>
    <definedName name="BExOOVVUJIJNAYDICUUQQ9O7O3TW" hidden="1">#REF!</definedName>
    <definedName name="BExOP9DDU5MZJKWGFT0MKL44YKIV" hidden="1">#REF!</definedName>
    <definedName name="BExOP9DEBV5W5P4Q25J3XCJBP5S9" hidden="1">#REF!</definedName>
    <definedName name="BExOPFNYRBL0BFM23LZBJTADNOE4" hidden="1">#REF!</definedName>
    <definedName name="BExOPINVFSIZMCVT9YGT2AODVCX3" hidden="1">#REF!</definedName>
    <definedName name="BExOQ1JN4SAC44RTMZIGHSW023WA" hidden="1">#REF!</definedName>
    <definedName name="BExOQ256YMF115DJL3KBPNKABJ90" hidden="1">#REF!</definedName>
    <definedName name="BExQ19DEUOLC11IW32E2AMVZLFF1" hidden="1">#REF!</definedName>
    <definedName name="BExQ1OCW3L24TN0BYVRE2NE3IK1O" hidden="1">#REF!</definedName>
    <definedName name="BExQ29C73XR33S3668YYSYZAIHTG" hidden="1">#REF!</definedName>
    <definedName name="BExQ2FS228IUDUP2023RA1D4AO4C" hidden="1">#REF!</definedName>
    <definedName name="BExQ2L0XYWLY9VPZWXYYFRIRQRJ1" hidden="1">#REF!</definedName>
    <definedName name="BExQ2M841F5Z1BQYR8DG5FKK0LIU" hidden="1">#REF!</definedName>
    <definedName name="BExQ2STHO7AXYTS1VPPHQMX1WT30" hidden="1">#REF!</definedName>
    <definedName name="BExQ2XWXHMQMQ99FF9293AEQHABB" hidden="1">#REF!</definedName>
    <definedName name="BExQ300G8I8TK45A0MVHV15422EU" hidden="1">#REF!</definedName>
    <definedName name="BExQ305RBEODGNAETZ0EZQLLDZZD" hidden="1">#REF!</definedName>
    <definedName name="BExQ37SZQJSC2C73FY2IJY852LVP" hidden="1">#REF!</definedName>
    <definedName name="BExQ39R28MXSG2SEV956F0KZ20AN" hidden="1">#REF!</definedName>
    <definedName name="BExQ3D1P3M5Z3HLMEZ17E0BLEE4U" hidden="1">#REF!</definedName>
    <definedName name="BExQ3EZX6BA2WHKI84SG78UPRTSE" hidden="1">#REF!</definedName>
    <definedName name="BExQ3KOX6620WUSBG7PGACNC936P" hidden="1">#REF!</definedName>
    <definedName name="BExQ3O4W7QF8BOXTUT4IOGF6YKUD" hidden="1">#REF!</definedName>
    <definedName name="BExQ3PXOWSN8561ZR8IEY8ZASI3B" hidden="1">#REF!</definedName>
    <definedName name="BExQ3TZF04IPY0B0UG9CQQ5736UA" hidden="1">#REF!</definedName>
    <definedName name="BExQ42IU9MNDYLODP41DL6YTZMAR" hidden="1">#REF!</definedName>
    <definedName name="BExQ42O4PHH156IHXSW0JAYAC0NJ" hidden="1">#REF!</definedName>
    <definedName name="BExQ452HF7N1HYPXJXQ8WD6SOWUV" hidden="1">#REF!</definedName>
    <definedName name="BExQ4BTBSHPHVEDRCXC2ROW8PLFC" hidden="1">#REF!</definedName>
    <definedName name="BExQ4DGKF54SRKQUTUT4B1CZSS62" hidden="1">#REF!</definedName>
    <definedName name="BExQ4T74LQ5PYTV1MUQUW75A4BDY" hidden="1">#REF!</definedName>
    <definedName name="BExQ4XJHD7EJCNH7S1MJDZJ2MNWG" hidden="1">#REF!</definedName>
    <definedName name="BExQ5039ZCEWBUJHU682G4S89J03" hidden="1">#REF!</definedName>
    <definedName name="BExQ56Z9W6YHZHRXOFFI8EFA7CDI" hidden="1">#REF!</definedName>
    <definedName name="BExQ58MP5FO5Q5CIXVMMYWWPEFW3" hidden="1">#REF!</definedName>
    <definedName name="BExQ5KX3Z668H1KUCKZ9J24HUQ1F" hidden="1">#REF!</definedName>
    <definedName name="BExQ5SPMSOCJYLAY20NB5A6O32RE" hidden="1">#REF!</definedName>
    <definedName name="BExQ5UICMGTMK790KTLK49MAGXRC" hidden="1">#REF!</definedName>
    <definedName name="BExQ5YUUK9FD0QGTY4WD0W90O7OL" hidden="1">#REF!</definedName>
    <definedName name="BExQ62WGBSDPG7ZU34W0N8X45R3X" hidden="1">#REF!</definedName>
    <definedName name="BExQ63793YQ9BH7JLCNRIATIGTRG" hidden="1">#REF!</definedName>
    <definedName name="BExQ6CN1EF2UPZ57ZYMGK8TUJQSS" hidden="1">#REF!</definedName>
    <definedName name="BExQ6FSF8BMWVLJI7Y7MKPG9SU5O" hidden="1">#REF!</definedName>
    <definedName name="BExQ6M2YXJ8AMRJF3QGHC40ADAHZ" hidden="1">#REF!</definedName>
    <definedName name="BExQ6M8B0X44N9TV56ATUVHGDI00" hidden="1">#REF!</definedName>
    <definedName name="BExQ6POH065GV0I74XXVD0VUPBJW" hidden="1">#REF!</definedName>
    <definedName name="BExQ6WV9KPSMXPPLGZ3KK4WNYTHU" hidden="1">#REF!</definedName>
    <definedName name="BExQ7541G92R52ECOIYO6UXIWJJ4" hidden="1">#REF!</definedName>
    <definedName name="BExQ783XTMM2A9I3UKCFWJH1PP2N" hidden="1">#REF!</definedName>
    <definedName name="BExQ79LX01ZPQB8EGD1ZHR2VK2H3" hidden="1">#REF!</definedName>
    <definedName name="BExQ7B3V9MGDK2OIJ61XXFBFLJFZ" hidden="1">#REF!</definedName>
    <definedName name="BExQ7CB046NVPF9ZXDGA7OXOLSLX" hidden="1">#REF!</definedName>
    <definedName name="BExQ7IWDCGGOO1HTJ97YGO1CK3R9" hidden="1">#REF!</definedName>
    <definedName name="BExQ7JNFIEGS2HKNBALH3Q2N5G7Z" hidden="1">#REF!</definedName>
    <definedName name="BExQ7MY3U2Z1IZ71U5LJUD00VVB4" hidden="1">#REF!</definedName>
    <definedName name="BExQ7XL2Q1GVUFL1F9KK0K0EXMWG" hidden="1">#REF!</definedName>
    <definedName name="BExQ8469L3ZRZ3KYZPYMSJIDL7Y5" hidden="1">#REF!</definedName>
    <definedName name="BExQ84MJB94HL3BWRN50M4NCB6Z0" hidden="1">#REF!</definedName>
    <definedName name="BExQ8583ZE00NW7T9OF11OT9IA14" hidden="1">#REF!</definedName>
    <definedName name="BExQ8A0RPE3IMIFIZLUE7KD2N21W" hidden="1">#REF!</definedName>
    <definedName name="BExQ8ABK6H1ADV2R2OYT8NFFYG2N" hidden="1">#REF!</definedName>
    <definedName name="BExQ8DM90XJ6GCJIK9LC5O82I2TJ" hidden="1">#REF!</definedName>
    <definedName name="BExQ8G0K46ZORA0QVQTDI7Z8LXGF" hidden="1">#REF!</definedName>
    <definedName name="BExQ8O3WEU8HNTTGKTW5T0QSKCLP" hidden="1">#REF!</definedName>
    <definedName name="BExQ8ZCEDBOBJA3D9LDP5TU2WYGR" hidden="1">#REF!</definedName>
    <definedName name="BExQ94LAW6MAQBWY25WTBFV5PPZJ" hidden="1">#REF!</definedName>
    <definedName name="BExQ968K8V66L55PCVI3B4VR4FW6" hidden="1">#REF!</definedName>
    <definedName name="BExQ97QIPOSSRK978N8P234Y1XA4" hidden="1">#REF!</definedName>
    <definedName name="BExQ9DFHXLBKBS9DWH05G83SL12Z" hidden="1">#REF!</definedName>
    <definedName name="BExQ9E6FBAXTHGF3RXANFIA77GXP" hidden="1">#REF!</definedName>
    <definedName name="BExQ9J4ID0TGFFFJSQ9PFAMXOYZ1" hidden="1">#REF!</definedName>
    <definedName name="BExQ9KX9734KIAK7IMRLHCPYDHO2" hidden="1">#REF!</definedName>
    <definedName name="BExQ9L81FF4I7816VTPFBDWVU4CW" hidden="1">#REF!</definedName>
    <definedName name="BExQ9M4E2ACZOWWWP1JJIQO8AHUM" hidden="1">#REF!</definedName>
    <definedName name="BExQ9TBCP5IJKSQLYEBE6FQLF16I" hidden="1">#REF!</definedName>
    <definedName name="BExQ9UTANMJCK7LJ4OQMD6F2Q01L" hidden="1">#REF!</definedName>
    <definedName name="BExQ9ZLYHWABXAA9NJDW8ZS0UQ9P" hidden="1">#REF!</definedName>
    <definedName name="BExQ9ZWQ19KSRZNZNPY6ZNWEST1J" hidden="1">#REF!</definedName>
    <definedName name="BExQA324HSCK40ENJUT9CS9EC71B" hidden="1">#REF!</definedName>
    <definedName name="BExQA55GY0STSNBWQCWN8E31ZXCS" hidden="1">#REF!</definedName>
    <definedName name="BExQA7URC7M82I0T9RUF90GCS15S" hidden="1">#REF!</definedName>
    <definedName name="BExQA9HZIN9XEMHEEVHT99UU9Z82" hidden="1">#REF!</definedName>
    <definedName name="BExQAELFYH92K8CJL155181UDORO" hidden="1">#REF!</definedName>
    <definedName name="BExQAG8PP8R5NJKNQD1U4QOSD6X5" hidden="1">#REF!</definedName>
    <definedName name="BExQAVTR32SDHZQ69KNYF6UXXKS2" hidden="1">#REF!</definedName>
    <definedName name="BExQBBETZJ7LHJ9CLAL3GEKQFEGR" hidden="1">#REF!</definedName>
    <definedName name="BExQBDICMZTSA1X73TMHNO4JSFLN" hidden="1">#REF!</definedName>
    <definedName name="BExQBEER6CRCRPSSL61S0OMH57ZA" hidden="1">#REF!</definedName>
    <definedName name="BExQBFR753FNBMC27WEQJT8UKANJ" hidden="1">#REF!</definedName>
    <definedName name="BExQBIGGY5TXI2FJVVZSLZ0LTZYH" hidden="1">#REF!</definedName>
    <definedName name="BExQBM1RUSIQ85LLMM2159BYDPIP" hidden="1">#REF!</definedName>
    <definedName name="BExQBOWE543K7PGA5S7SVU2QKPM3" hidden="1">#REF!</definedName>
    <definedName name="BExQBPSOZ47V81YAEURP0NQJNTJH" hidden="1">#REF!</definedName>
    <definedName name="BExQC5TWT21CGBKD0IHAXTIN2QB8" hidden="1">#REF!</definedName>
    <definedName name="BExQC94JL9F5GW4S8DQCAF4WB2DA" hidden="1">#REF!</definedName>
    <definedName name="BExQCKTD8AT0824LGWREXM1B5D1X" hidden="1">#REF!</definedName>
    <definedName name="BExQCQ7KF4HVXSD72FF3DJGNNO3M" hidden="1">#REF!</definedName>
    <definedName name="BExQCRPJXI0WNJUFFAC39C0PFUFK" hidden="1">#REF!</definedName>
    <definedName name="BExQD571YWOXKR2SX85K5MKQ0AO2" hidden="1">#REF!</definedName>
    <definedName name="BExQDB6VCHN8PNX8EA6JNIEQ2JC2" hidden="1">#REF!</definedName>
    <definedName name="BExQDE1B6U2Q9B73KBENABP71YM1" hidden="1">#REF!</definedName>
    <definedName name="BExQDGQCN7ZW41QDUHOBJUGQAX40" hidden="1">#REF!</definedName>
    <definedName name="BExQED8ZZUEH0WRNOHXI7V9TVC8K" hidden="1">#REF!</definedName>
    <definedName name="BExQEF1PIJIB9J24OB0M4X1WLBB0" hidden="1">#REF!</definedName>
    <definedName name="BExQEMUA4HEFM4OVO8M8MA8PIAW1" hidden="1">#REF!</definedName>
    <definedName name="BExQEP38QPDKB85WG2WOL17IMB5S" hidden="1">#REF!</definedName>
    <definedName name="BExQEQ4XZQFIKUXNU9H7WE7AMZ1U" hidden="1">#REF!</definedName>
    <definedName name="BExQF1OEB07CRAP6ALNNMJNJ3P2D" hidden="1">#REF!</definedName>
    <definedName name="BExQF8KKL224NYD20XYLLM2RE7EW" hidden="1">#REF!</definedName>
    <definedName name="BExQF9X2AQPFJZTCHTU5PTTR0JAH" hidden="1">#REF!</definedName>
    <definedName name="BExQFAINO9ODQZX6NSM8EBTRD04E" hidden="1">#REF!</definedName>
    <definedName name="BExQFC0M9KKFMQKPLPEO2RQDB7MM" hidden="1">#REF!</definedName>
    <definedName name="BExQFEEV7627R8TYZCM28C6V6WHE" hidden="1">#REF!</definedName>
    <definedName name="BExQFEK8NUD04X2OBRA275ADPSDL" hidden="1">#REF!</definedName>
    <definedName name="BExQFGYIWDR4W0YF7XR6E4EWWJ02" hidden="1">#REF!</definedName>
    <definedName name="BExQFPNFKA36IAPS22LAUMBDI4KE" hidden="1">#REF!</definedName>
    <definedName name="BExQFPSWEMA8WBUZ4WK20LR13VSU" hidden="1">#REF!</definedName>
    <definedName name="BExQFVSPOSCCPF1TLJPIWYWYB8A9" hidden="1">#REF!</definedName>
    <definedName name="BExQFWJQXNQAW6LUMOEDS6KMJMYL" hidden="1">#REF!</definedName>
    <definedName name="BExQG8TYRD2G42UA5ZPCRLNKUDMX" hidden="1">#REF!</definedName>
    <definedName name="BExQG9A8OZ31BDN5QEGQGWG59A43" hidden="1">#REF!</definedName>
    <definedName name="BExQGGBQ2CMSPV4NV4RA7NMBQER6" hidden="1">#REF!</definedName>
    <definedName name="BExQGO48J9MPCDQ96RBB9UN9AIGT" hidden="1">#REF!</definedName>
    <definedName name="BExQGSBB6MJWDW7AYWA0MSFTXKRR" hidden="1">#REF!</definedName>
    <definedName name="BExQH0UURAJ13AVO5UI04HSRGVYW" hidden="1">#REF!</definedName>
    <definedName name="BExQH5I0FUT0822E2ITR6M5724UF" hidden="1">#REF!</definedName>
    <definedName name="BExQH6ZZY0NR8SE48PSI9D0CU1TC" hidden="1">#REF!</definedName>
    <definedName name="BExQH9P2MCXAJOVEO4GFQT6MNW22" hidden="1">#REF!</definedName>
    <definedName name="BExQHCZSBYUY8OKKJXFYWKBBM6AH" hidden="1">#REF!</definedName>
    <definedName name="BExQHML1J3V7M9VZ3S2S198637RP" hidden="1">#REF!</definedName>
    <definedName name="BExQHPKXZ1K33V2F90NZIQRZYIAW" hidden="1">#REF!</definedName>
    <definedName name="BExQHRDNW8YFGT2B35K9CYSS1VAI" hidden="1">#REF!</definedName>
    <definedName name="BExQHRZ9FBLUG6G6CC88UZA6V39L" hidden="1">#REF!</definedName>
    <definedName name="BExQHVF9KD06AG2RXUQJ9X4PVGX4" hidden="1">#REF!</definedName>
    <definedName name="BExQHZBHVN2L4HC7ACTR73T5OCV0" hidden="1">#REF!</definedName>
    <definedName name="BExQI3O3BBL6MXZNJD1S3UD8WBUU" hidden="1">#REF!</definedName>
    <definedName name="BExQI7431UOEBYKYPVVMNXBZ2ZP2" hidden="1">#REF!</definedName>
    <definedName name="BExQI85V9TNLDJT5LTRZS10Y26SG" hidden="1">#REF!</definedName>
    <definedName name="BExQI9ICYVAAXE7L1BQSE1VWSQA9" hidden="1">#REF!</definedName>
    <definedName name="BExQIAPKHVEV8CU1L3TTHJW67FJ5" hidden="1">#REF!</definedName>
    <definedName name="BExQIAV02RGEQG6AF0CWXU3MS9BZ" hidden="1">#REF!</definedName>
    <definedName name="BExQIBB4I3Z6AUU0HYV1DHRS13M4" hidden="1">#REF!</definedName>
    <definedName name="BExQIBWPAXU7HJZLKGJZY3EB7MIS" hidden="1">#REF!</definedName>
    <definedName name="BExQIHLP9AT969BKBF22IGW76GLI" hidden="1">#REF!</definedName>
    <definedName name="BExQIS8O6R36CI01XRY9ISM99TW9" hidden="1">#REF!</definedName>
    <definedName name="BExQIVJB9MJ25NDUHTCVMSODJY2C" hidden="1">#REF!</definedName>
    <definedName name="BExQIWAEMVTWAU39DWIXT17K2A9Z" hidden="1">#REF!</definedName>
    <definedName name="BExQJ72T8UR0U461ZLEGOOEPCDIG" hidden="1">#REF!</definedName>
    <definedName name="BExQJAZ2QDORCR0K8PR9VHQZ4Y3P" hidden="1">#REF!</definedName>
    <definedName name="BExQJBF7LAX128WR7VTMJC88ZLPG" hidden="1">#REF!</definedName>
    <definedName name="BExQJEVCKX6KZHNCLYXY7D0MX5KN" hidden="1">#REF!</definedName>
    <definedName name="BExQJJYSDX8B0J1QGF2HL071KKA3" hidden="1">#REF!</definedName>
    <definedName name="BExQK1HV6SQQ7CP8H8IUKI9TYXTD" hidden="1">#REF!</definedName>
    <definedName name="BExQK3LE5CSBW1E4H4KHW548FL2R" hidden="1">#REF!</definedName>
    <definedName name="BExQKG6LD6PLNDGNGO9DJXY865BR" hidden="1">#REF!</definedName>
    <definedName name="BExQKUKG8I4CGS9QYSD0H7NHP4JN" hidden="1">#REF!</definedName>
    <definedName name="BExQL2NSE8OYZFXQH8A23RMVMFW7" hidden="1">#REF!</definedName>
    <definedName name="BExQL4GJ3LZJL6JDEHT7UDXW90TV" hidden="1">#REF!</definedName>
    <definedName name="BExQLE1TOW3A287TQB0AVWENT8O1" hidden="1">#REF!</definedName>
    <definedName name="BExRYOYB4A3E5F6MTROY69LR0PMG" hidden="1">#REF!</definedName>
    <definedName name="BExRYZLA9EW71H4SXQR525S72LLP" hidden="1">#REF!</definedName>
    <definedName name="BExRZ66M8G9FQ0VFP077QSZBSOA5" hidden="1">#REF!</definedName>
    <definedName name="BExRZ8FMQQL46I8AQWU17LRNZD5T" hidden="1">#REF!</definedName>
    <definedName name="BExRZIRRIXRUMZ5GOO95S7460BMP" hidden="1">#REF!</definedName>
    <definedName name="BExRZJTNBKKPK7SB4LA31O3OH6PO" hidden="1">#REF!</definedName>
    <definedName name="BExRZK9RAHMM0ZLTNSK7A4LDC42D" hidden="1">#REF!</definedName>
    <definedName name="BExRZNF461H0WDF36L3U0UQSJGZB" hidden="1">#REF!</definedName>
    <definedName name="BExRZOGSR69INI6GAEPHDWSNK5Q4" hidden="1">#REF!</definedName>
    <definedName name="BExS0ASQBKRTPDWFK0KUDFOS9LE5" hidden="1">#REF!</definedName>
    <definedName name="BExS0GHQUF6YT0RU3TKDEO8CSJYB" hidden="1">#REF!</definedName>
    <definedName name="BExS0K8IHC45I78DMZBOJ1P13KQA" hidden="1">#REF!</definedName>
    <definedName name="BExS0L4WP69XXUFHED98XIEPB593" hidden="1">#REF!</definedName>
    <definedName name="BExS0Z2O2N4AJXFEPN87NU9ZGAHG" hidden="1">#REF!</definedName>
    <definedName name="BExS15IJV0WW662NXQUVT3FGP4ST" hidden="1">#REF!</definedName>
    <definedName name="BExS18T8TBNEPF4AU1VJ268XLF3L" hidden="1">#REF!</definedName>
    <definedName name="BExS194110MR25BYJI3CJ2EGZ8XT" hidden="1">#REF!</definedName>
    <definedName name="BExS1BNVGNSGD4EP90QL8WXYWZ66" hidden="1">#REF!</definedName>
    <definedName name="BExS1UE39N6NCND7MAARSBWXS6HU" hidden="1">#REF!</definedName>
    <definedName name="BExS226HTWL5WVC76MP5A1IBI8WD" hidden="1">#REF!</definedName>
    <definedName name="BExS26OI2QNNAH2WMDD95Z400048" hidden="1">#REF!</definedName>
    <definedName name="BExS2D4EI622QRKZKVDPRE66M4XA" hidden="1">#REF!</definedName>
    <definedName name="BExS2DF6B4ZUF3VZLI4G6LJ3BF38" hidden="1">#REF!</definedName>
    <definedName name="BExS2GKEA6VM3PDWKD7XI0KRUHTW" hidden="1">#REF!</definedName>
    <definedName name="BExS2I2HVU314TXI2DYFRY8XV913" hidden="1">#REF!</definedName>
    <definedName name="BExS2QB5FS5LYTFYO4BROTWG3OV5" hidden="1">#REF!</definedName>
    <definedName name="BExS2TLU1HONYV6S3ZD9T12D7CIG" hidden="1">#REF!</definedName>
    <definedName name="BExS2WLQUVBRZJWQTWUU4CYDY4IN" hidden="1">#REF!</definedName>
    <definedName name="BExS2YJQV4NUX6135T90Z1Y5R26Q" hidden="1">#REF!</definedName>
    <definedName name="BExS318UV9I2FXPQQWUKKX00QLPJ" hidden="1">#REF!</definedName>
    <definedName name="BExS3LBS0SMTHALVM4NRI1BAV1NP" hidden="1">#REF!</definedName>
    <definedName name="BExS3MTQ75VBXDGEBURP6YT8RROE" hidden="1">#REF!</definedName>
    <definedName name="BExS3OMGYO0DFN5186UFKEXZ2RX3" hidden="1">#REF!</definedName>
    <definedName name="BExS3SDERJ27OER67TIGOVZU13A2" hidden="1">#REF!</definedName>
    <definedName name="BExS3STIH9SFG0R6H30P191QZE98" hidden="1">#REF!</definedName>
    <definedName name="BExS46R5WDNU5KL04FKY5LHJUCB8" hidden="1">#REF!</definedName>
    <definedName name="BExS4ASWKM93XA275AXHYP8AG6SU" hidden="1">#REF!</definedName>
    <definedName name="BExS4IANBC4RO7HIK0MZZ2RPQU78" hidden="1">#REF!</definedName>
    <definedName name="BExS4JN3Y6SVBKILQK0R9HS45Y52" hidden="1">#REF!</definedName>
    <definedName name="BExS4P6S41O6Z6BED77U3GD9PNH1" hidden="1">#REF!</definedName>
    <definedName name="BExS4PXPURUHFBOKYFJD5J1J2RXC" hidden="1">#REF!</definedName>
    <definedName name="BExS4T32HD3YGJ91HTJ2IGVX6V4O" hidden="1">#REF!</definedName>
    <definedName name="BExS51H0N51UT0FZOPZRCF1GU063" hidden="1">#REF!</definedName>
    <definedName name="BExS54X72TJFC41FJK72MLRR2OO7" hidden="1">#REF!</definedName>
    <definedName name="BExS59F0PA1V2ZC7S5TN6IT41SXP" hidden="1">#REF!</definedName>
    <definedName name="BExS5L3TGB8JVW9ROYWTKYTUPW27" hidden="1">#REF!</definedName>
    <definedName name="BExS6GKQ96EHVLYWNJDWXZXUZW90" hidden="1">#REF!</definedName>
    <definedName name="BExS6ITKSZFRR01YD5B0F676SYN7" hidden="1">#REF!</definedName>
    <definedName name="BExS6N0LI574IAC89EFW6CLTCQ33" hidden="1">#REF!</definedName>
    <definedName name="BExS6N0NEF7XCTT5R600QZ71A44O" hidden="1">#REF!</definedName>
    <definedName name="BExS6WRDBF3ST86ZOBBUL3GTCR11" hidden="1">#REF!</definedName>
    <definedName name="BExS6XNRKR0C3MTA0LV5B60UB908" hidden="1">#REF!</definedName>
    <definedName name="BExS73NELZEK2MDOLXO2Q7H3EG71" hidden="1">#REF!</definedName>
    <definedName name="BExS7DJF6AXTWAJD7K4ZCD7L6BHV" hidden="1">#REF!</definedName>
    <definedName name="BExS7GOTHHOK287MX2RC853NWQAL" hidden="1">#REF!</definedName>
    <definedName name="BExS7TKQYLRZGM93UY3ZJZJBQNFJ" hidden="1">#REF!</definedName>
    <definedName name="BExS7Y2LNGVHSIBKC7C3R6X4LDR6" hidden="1">#REF!</definedName>
    <definedName name="BExS81TE0EY44Y3W2M4Z4MGNP5OM" hidden="1">#REF!</definedName>
    <definedName name="BExS81YPDZDVJJVS15HV2HDXAC3Y" hidden="1">#REF!</definedName>
    <definedName name="BExS82PRVNUTEKQZS56YT2DVF6C2" hidden="1">#REF!</definedName>
    <definedName name="BExS83BCNFAV6DRCB1VTUF96491J" hidden="1">#REF!</definedName>
    <definedName name="BExS86GKM9ISCSNZD15BQ5E5L6A5" hidden="1">#REF!</definedName>
    <definedName name="BExS89GGRJ55EK546SM31UGE2K8T" hidden="1">#REF!</definedName>
    <definedName name="BExS8BPG5A0GR5AO1U951NDGGR0L" hidden="1">#REF!</definedName>
    <definedName name="BExS8CGI0JXFUBD41VFLI0SZSV8F" hidden="1">#REF!</definedName>
    <definedName name="BExS8D22FXVQKOEJP01LT0CDI3PS" hidden="1">#REF!</definedName>
    <definedName name="BExS8EEJOZFBUWZDOM3O25AJRUVU" hidden="1">#REF!</definedName>
    <definedName name="BExS8GSUS17UY50TEM2AWF36BR9Z" hidden="1">#REF!</definedName>
    <definedName name="BExS8HJRBVG0XI6PWA9KTMJZMQXK" hidden="1">#REF!</definedName>
    <definedName name="BExS8NE9HUZJH13OXLREOV1BX0OZ" hidden="1">#REF!</definedName>
    <definedName name="BExS8R51C8RM2FS6V6IRTYO9GA4A" hidden="1">#REF!</definedName>
    <definedName name="BExS8WDX408F60MH1X9B9UZ2H4R7" hidden="1">#REF!</definedName>
    <definedName name="BExS8X4UTVOFE2YEVLO8LTKMSI3A" hidden="1">#REF!</definedName>
    <definedName name="BExS8Z2W2QEC3MH0BZIYLDFQNUIP" hidden="1">#REF!</definedName>
    <definedName name="BExS92DKGRFFCIA9C0IXDOLO57EP" hidden="1">#REF!</definedName>
    <definedName name="BExS98OB4321YCHLCQ022PXKTT2W" hidden="1">#REF!</definedName>
    <definedName name="BExS9C9N8GFISC6HUERJ0EI06GB2" hidden="1">#REF!</definedName>
    <definedName name="BExS9D6619QNINF06KHZHYUAH0S9" hidden="1">#REF!</definedName>
    <definedName name="BExS9DX13CACP3J8JDREK30JB1SQ" hidden="1">#REF!</definedName>
    <definedName name="BExS9FPRS2KRRCS33SE6WFNF5GYL" hidden="1">#REF!</definedName>
    <definedName name="BExS9M5VN3VE822UH6TLACVY24CJ" hidden="1">#REF!</definedName>
    <definedName name="BExS9WI0A6PSEB8N9GPXF2Z7MWHM" hidden="1">#REF!</definedName>
    <definedName name="BExS9XJPZ07ND34OHX60QD382FV6" hidden="1">#REF!</definedName>
    <definedName name="BExSA4AJLEEN4R7HU4FRSMYR17TR" hidden="1">#REF!</definedName>
    <definedName name="BExSA5HP306TN9XJS0TU619DLRR7" hidden="1">#REF!</definedName>
    <definedName name="BExSAAVWQOOIA6B3JHQVGP08HFEM" hidden="1">#REF!</definedName>
    <definedName name="BExSAFJ3IICU2M7QPVE4ARYMXZKX" hidden="1">#REF!</definedName>
    <definedName name="BExSAH6ID8OHX379UXVNGFO8J6KQ" hidden="1">#REF!</definedName>
    <definedName name="BExSAQBHIXGQRNIRGCJMBXUPCZQA" hidden="1">#REF!</definedName>
    <definedName name="BExSAUTCT4P7JP57NOR9MTX33QJZ" hidden="1">#REF!</definedName>
    <definedName name="BExSAY9CA9TFXQ9M9FBJRGJO9T9E" hidden="1">#REF!</definedName>
    <definedName name="BExSB4JYKQ3MINI7RAYK5M8BLJDC" hidden="1">#REF!</definedName>
    <definedName name="BExSBCY73CG3Q15P5BDLDT994XRL" hidden="1">#REF!</definedName>
    <definedName name="BExSBMOS41ZRLWYLOU29V6Y7YORR" hidden="1">#REF!</definedName>
    <definedName name="BExSBPZG22WAMZYIF7CZ686E8X80" hidden="1">#REF!</definedName>
    <definedName name="BExSBRBXXQMBU1TYDW1BXTEVEPRU" hidden="1">#REF!</definedName>
    <definedName name="BExSC54998WTZ21DSL0R8UN0Y9JH" hidden="1">#REF!</definedName>
    <definedName name="BExSC60N7WR9PJSNC9B7ORCX9NGY" hidden="1">#REF!</definedName>
    <definedName name="BExSCE99EZTILTTCE4NJJF96OYYM" hidden="1">#REF!</definedName>
    <definedName name="BExSCFWOMYELUEPWVJIRGIQZH5BV" hidden="1">#REF!</definedName>
    <definedName name="BExSCHUQZ2HFEWS54X67DIS8OSXZ" hidden="1">#REF!</definedName>
    <definedName name="BExSCOG41SKKG4GYU76WRWW1CTE6" hidden="1">#REF!</definedName>
    <definedName name="BExSCVC9P86YVFMRKKUVRV29MZXZ" hidden="1">#REF!</definedName>
    <definedName name="BExSD233CH4MU9ZMGNRF97ZV7KWU" hidden="1">#REF!</definedName>
    <definedName name="BExSD2U0F3BN6IN9N4R2DTTJG15H" hidden="1">#REF!</definedName>
    <definedName name="BExSD6A6NY15YSMFH51ST6XJY429" hidden="1">#REF!</definedName>
    <definedName name="BExSD9VH6PF6RQ135VOEE08YXPAW" hidden="1">#REF!</definedName>
    <definedName name="BExSDI9QWFD49GEZWZ3KOGM27XRB" hidden="1">#REF!</definedName>
    <definedName name="BExSDP5Y04WWMX2WWRITWOX8R5I9" hidden="1">#REF!</definedName>
    <definedName name="BExSDSGM203BJTNS9MKCBX453HMD" hidden="1">#REF!</definedName>
    <definedName name="BExSDT20XUFXTDM37M148AXAP7HN" hidden="1">#REF!</definedName>
    <definedName name="BExSDYLOWNTKCY92LFEDAV8LO7D3" hidden="1">#REF!</definedName>
    <definedName name="BExSE277VXZ807WBUB6A1UGQ1SF9" hidden="1">#REF!</definedName>
    <definedName name="BExSE3EDSP4UL6G0I3DZ5SBHMUBU" hidden="1">#REF!</definedName>
    <definedName name="BExSEEHK1VLWD7JBV9SVVVIKQZ3I" hidden="1">#REF!</definedName>
    <definedName name="BExSEITYG8XAMWJ1C8VKU1MB4TEO" hidden="1">#REF!</definedName>
    <definedName name="BExSEJKZLX37P3V33TRTFJ30BFRK" hidden="1">#REF!</definedName>
    <definedName name="BExSEKXG1AW54E28IG5EODEM0JJV" hidden="1">#REF!</definedName>
    <definedName name="BExSEO84KVM8R2IV5MFH0XI3IZSN" hidden="1">#REF!</definedName>
    <definedName name="BExSEP9UVOAI6TMXKNK587PQ3328" hidden="1">#REF!</definedName>
    <definedName name="BExSERIU9MUGR4NPZAUJCVXUZ74I" hidden="1">#REF!</definedName>
    <definedName name="BExSF07QFLZCO4P6K6QF05XG7PH1" hidden="1">#REF!</definedName>
    <definedName name="BExSFJ8ZAGQ63A4MVMZRQWLVRGQ5" hidden="1">#REF!</definedName>
    <definedName name="BExSFKQRST2S9KXWWLCXYLKSF4G1" hidden="1">#REF!</definedName>
    <definedName name="BExSFOHO6VZ5Y463KL3XYTZBVE3P" hidden="1">#REF!</definedName>
    <definedName name="BExSFY2ZJOYUEYBX21QZ7AMN2WK1" hidden="1">#REF!</definedName>
    <definedName name="BExSFYDRRTAZVPXRWUF5PDQ97WFF" hidden="1">#REF!</definedName>
    <definedName name="BExSFZVPFTXA3F0IJ2NGH1GXX9R7" hidden="1">#REF!</definedName>
    <definedName name="BExSG2Q34XRC1K28H4XG6PQM3FTW" hidden="1">#REF!</definedName>
    <definedName name="BExSG90Q4ZUU2IPGDYOM169NJV9S" hidden="1">#REF!</definedName>
    <definedName name="BExSG9X3DU845PNXYJGGLBQY2UHG" hidden="1">#REF!</definedName>
    <definedName name="BExSGE45J27MDUUNXW7Z8Q33UAON" hidden="1">#REF!</definedName>
    <definedName name="BExSGE9LY91Q0URHB4YAMX0UAMYI" hidden="1">#REF!</definedName>
    <definedName name="BExSGLB2URTLBCKBB4Y885W925F2" hidden="1">#REF!</definedName>
    <definedName name="BExSGNEL2G0PC04ATVS20W5179EK" hidden="1">#REF!</definedName>
    <definedName name="BExSGOAYG73SFWOPAQV80P710GID" hidden="1">#REF!</definedName>
    <definedName name="BExSGOWJHRW7FWKLO2EHUOOGHNAF" hidden="1">#REF!</definedName>
    <definedName name="BExSGOWJTAP41ZV5Q23H7MI9C76W" hidden="1">#REF!</definedName>
    <definedName name="BExSGR5JQVX2HQ0PKCGZNSSUM1RV" hidden="1">#REF!</definedName>
    <definedName name="BExSGT3MKX7YVLVP6YLL6KVO8UGV" hidden="1">#REF!</definedName>
    <definedName name="BExSGVHX69GJZHD99DKE4RZ042B1" hidden="1">#REF!</definedName>
    <definedName name="BExSGZJO4J4ZO04E2N2ECVYS9DEZ" hidden="1">#REF!</definedName>
    <definedName name="BExSHAHFHS7MMNJR8JPVABRGBVIT" hidden="1">#REF!</definedName>
    <definedName name="BExSHGH88QZWW4RNAX4YKAZ5JEBL" hidden="1">#REF!</definedName>
    <definedName name="BExSHOKK1OO3CX9Z28C58E5J1D9W" hidden="1">#REF!</definedName>
    <definedName name="BExSHQD8KYLTQGDXIRKCHQQ7MKIH" hidden="1">#REF!</definedName>
    <definedName name="BExSHVGPIAHXI97UBLI9G4I4M29F" hidden="1">#REF!</definedName>
    <definedName name="BExSI0K2YL3HTCQAD8A7TR4QCUR6" hidden="1">#REF!</definedName>
    <definedName name="BExSIFUDNRWXWIWNGCCFOOD8WIAZ" hidden="1">#REF!</definedName>
    <definedName name="BExTTZNS2PBCR93C9IUW49UZ4I6T" hidden="1">#REF!</definedName>
    <definedName name="BExTU2YFQ25JQ6MEMRHHN66VLTPJ" hidden="1">#REF!</definedName>
    <definedName name="BExTU75IOII1V5O0C9X2VAYYVJUG" hidden="1">#REF!</definedName>
    <definedName name="BExTUA5F7V4LUIIAM17J3A8XF3JE" hidden="1">#REF!</definedName>
    <definedName name="BExTUBY3AA9B91YRRWFOT21LUL8Q" hidden="1">#REF!</definedName>
    <definedName name="BExTUJ53ANGZ3H1KDK4CR4Q0OD6P" hidden="1">#REF!</definedName>
    <definedName name="BExTUKXSZBM7C57G6NGLWGU4WOHY" hidden="1">#REF!</definedName>
    <definedName name="BExTUNC5INBE8Y5OA5GQUTXX6QJW" hidden="1">#REF!</definedName>
    <definedName name="BExTUSQCFFYZCDNHWHADBC2E1ZP1" hidden="1">#REF!</definedName>
    <definedName name="BExTUV4NQDZVAENZPSZGF7A3DDFN" hidden="1">#REF!</definedName>
    <definedName name="BExTUVFGOJEYS28JURA5KHQFDU5J" hidden="1">#REF!</definedName>
    <definedName name="BExTUW10U40QCYGHM5NJ3YR1O5SP" hidden="1">#REF!</definedName>
    <definedName name="BExTUWXFQHINU66YG82BI20ATMB5" hidden="1">#REF!</definedName>
    <definedName name="BExTUY9WNSJ91GV8CP0SKJTEIV82" hidden="1">#REF!</definedName>
    <definedName name="BExTV67VIM8PV6KO253M4DUBJQLC" hidden="1">#REF!</definedName>
    <definedName name="BExTVELZCF2YA5L6F23BYZZR6WHF" hidden="1">#REF!</definedName>
    <definedName name="BExTVGPIQZ99YFXUC8OONUX5BD42" hidden="1">#REF!</definedName>
    <definedName name="BExTVQG4F5RF0LZXG06AZ6EU1GQ3" hidden="1">#REF!</definedName>
    <definedName name="BExTVZQLP9VFLEYQ9280W13X7E8K" hidden="1">#REF!</definedName>
    <definedName name="BExTWB4LA1PODQOH4LDTHQKBN16K" hidden="1">#REF!</definedName>
    <definedName name="BExTWI0Q8AWXUA3ZN7I5V3QK2KM1" hidden="1">#REF!</definedName>
    <definedName name="BExTWJTIA3WUW1PUWXAOP9O8NKLZ" hidden="1">#REF!</definedName>
    <definedName name="BExTWW95OX07FNA01WF5MSSSFQLX" hidden="1">#REF!</definedName>
    <definedName name="BExTX005F4GLW03J0PLPRPMI1SEG" hidden="1">#REF!</definedName>
    <definedName name="BExTX476KI0RNB71XI5TYMANSGBG" hidden="1">#REF!</definedName>
    <definedName name="BExTXBJFKNSCUO7IOL6CSKERP06D" hidden="1">#REF!</definedName>
    <definedName name="BExTXDMZDQ9U1FD9T7F79J29SYYN" hidden="1">#REF!</definedName>
    <definedName name="BExTXJ6HBAIXMMWKZTJNFDYVZCAY" hidden="1">#REF!</definedName>
    <definedName name="BExTXT812NQT8GAEGH738U29BI0D" hidden="1">#REF!</definedName>
    <definedName name="BExTXWIP2TFPTQ76NHFOB72NICRZ" hidden="1">#REF!</definedName>
    <definedName name="BExTY5T62H651VC86QM4X7E28JVA" hidden="1">#REF!</definedName>
    <definedName name="BExTYB7EHGVTJ4RSYOXWSG87U5WI" hidden="1">#REF!</definedName>
    <definedName name="BExTYC93RS0KNKFOD35WG37LS9LY" hidden="1">#REF!</definedName>
    <definedName name="BExTYKCEFJ83LZM95M1V7CSFQVEA" hidden="1">#REF!</definedName>
    <definedName name="BExTYPLA9N640MFRJJQPKXT7P88M" hidden="1">#REF!</definedName>
    <definedName name="BExTYW1794M1TLJ2QQQCEEUZN18F" hidden="1">#REF!</definedName>
    <definedName name="BExTZ7F71SNTOX4LLZCK5R9VUMIJ" hidden="1">#REF!</definedName>
    <definedName name="BExTZ80SWE36T1QSIIPJU7NJ65JL" hidden="1">#REF!</definedName>
    <definedName name="BExTZ869RSO739T4Q78JLOVO7G0C" hidden="1">#REF!</definedName>
    <definedName name="BExTZ8X5G9S3PA4FPSNK7T69W7QT" hidden="1">#REF!</definedName>
    <definedName name="BExTZ97Y0RMR8V5BI9F2H4MFB77O" hidden="1">#REF!</definedName>
    <definedName name="BExTZK5PMCAXJL4DUIGL6H9Y8U4C" hidden="1">#REF!</definedName>
    <definedName name="BExTZKB6L5SXV5UN71YVTCBEIGWY" hidden="1">#REF!</definedName>
    <definedName name="BExTZLICVKK4NBJFEGL270GJ2VQO" hidden="1">#REF!</definedName>
    <definedName name="BExTZO2596CBZKPI7YNA1QQNPAIJ" hidden="1">#REF!</definedName>
    <definedName name="BExTZY8TDV4U7FQL7O10G6VKWKPJ" hidden="1">#REF!</definedName>
    <definedName name="BExU02QNT4LT7H9JPUC4FXTLVGZT" hidden="1">#REF!</definedName>
    <definedName name="BExU0BFJJQO1HJZKI14QGOQ6JROO" hidden="1">#REF!</definedName>
    <definedName name="BExU0FH5WTGW8MRFUFMDDSMJ6YQ5" hidden="1">#REF!</definedName>
    <definedName name="BExU0GDOIL9U33QGU9ZU3YX3V1I4" hidden="1">#REF!</definedName>
    <definedName name="BExU0HKTO8WJDQDWRTUK5TETM3HS" hidden="1">#REF!</definedName>
    <definedName name="BExU0MTJQPE041ZN7H8UKGV6MZT7" hidden="1">#REF!</definedName>
    <definedName name="BExU0ZUUFYHLUK4M4E8GLGIBBNT0" hidden="1">#REF!</definedName>
    <definedName name="BExU147D6RPG6ZVTSXRKFSVRHSBG" hidden="1">#REF!</definedName>
    <definedName name="BExU16R10W1SOAPNG4CDJ01T7JRE" hidden="1">#REF!</definedName>
    <definedName name="BExU17CKOR3GNIHDNVLH9L1IOJS9" hidden="1">#REF!</definedName>
    <definedName name="BExU1DXYI5DAD9DSFIEAUOB5XFZ9" hidden="1">#REF!</definedName>
    <definedName name="BExU1GXUTLRPJN4MRINLAPHSZQFG" hidden="1">#REF!</definedName>
    <definedName name="BExU1IL9AOHFO85BZB6S60DK3N8H" hidden="1">#REF!</definedName>
    <definedName name="BExU1LAEKWJ0U6NP9G2AC9CTBYH6" hidden="1">#REF!</definedName>
    <definedName name="BExU1NOPS09CLFZL1O31RAF9BQNQ" hidden="1">#REF!</definedName>
    <definedName name="BExU1PH9MOEX1JZVZ3D5M9DXB191" hidden="1">#REF!</definedName>
    <definedName name="BExU1QZEEKJA35IMEOLOJ3ODX0ZA" hidden="1">#REF!</definedName>
    <definedName name="BExU1VRURIWWVJ95O40WA23LMTJD" hidden="1">#REF!</definedName>
    <definedName name="BExU2A0FXVBDX9LO3VWEXB4TLFT0" hidden="1">#REF!</definedName>
    <definedName name="BExU2LEH667H33V81XVEZUP2O0UQ" hidden="1">#REF!</definedName>
    <definedName name="BExU2M5CK6XK55UIHDVYRXJJJRI4" hidden="1">#REF!</definedName>
    <definedName name="BExU2TXVT25ZTOFQAF6CM53Z1RLF" hidden="1">#REF!</definedName>
    <definedName name="BExU2XZLYIU19G7358W5T9E87AFR" hidden="1">#REF!</definedName>
    <definedName name="BExU2ZXMKRBQEX0CT3ZPZ3UFZP1G" hidden="1">#REF!</definedName>
    <definedName name="BExU35XHF1K1XEQUSZ292S5T61YA" hidden="1">#REF!</definedName>
    <definedName name="BExU38S1U5IC1T5A3P2TZU5OV0LN" hidden="1">#REF!</definedName>
    <definedName name="BExU3B66MCKJFSKT3HL8B5EJGVX0" hidden="1">#REF!</definedName>
    <definedName name="BExU3FDFDB2NVPYUR5V7OA3HF474" hidden="1">#REF!</definedName>
    <definedName name="BExU3R7J076KUCCEUGKAYMANTUT5" hidden="1">#REF!</definedName>
    <definedName name="BExU3UNI9NR1RNZR07NSLSZMDOQQ" hidden="1">#REF!</definedName>
    <definedName name="BExU401R18N6XKZKL7CNFOZQCM14" hidden="1">#REF!</definedName>
    <definedName name="BExU42QVGY7TK39W1BIN6CDRG2OE" hidden="1">#REF!</definedName>
    <definedName name="BExU431LXP7LIUNGJB9OSXEANFGX" hidden="1">#REF!</definedName>
    <definedName name="BExU47OZMS6TCWMEHHF0UCSFLLPI" hidden="1">#REF!</definedName>
    <definedName name="BExU4D36E8TXN0M8KSNGEAFYP4DQ" hidden="1">#REF!</definedName>
    <definedName name="BExU4G31RRVLJ3AC6E1FNEFMXM3O" hidden="1">#REF!</definedName>
    <definedName name="BExU4GDVLPUEWBA4MRYRTQAUNO7B" hidden="1">#REF!</definedName>
    <definedName name="BExU4H4RAMAX0XVAWT5WFYQNPAL3" hidden="1">#REF!</definedName>
    <definedName name="BExU4I148DA7PRCCISLWQ6ABXFK6" hidden="1">#REF!</definedName>
    <definedName name="BExU4L101H2KQHVKCKQ4PBAWZV6K" hidden="1">#REF!</definedName>
    <definedName name="BExU4LML14Q7KDTYIKJWXF68W7X1" hidden="1">#REF!</definedName>
    <definedName name="BExU4NA00RRRBGRT6TOB0MXZRCRZ" hidden="1">#REF!</definedName>
    <definedName name="BExU529I6YHVOG83TJHWSILIQU1S" hidden="1">#REF!</definedName>
    <definedName name="BExU57YCIKPRD8QWL6EU0YR3NG3J" hidden="1">#REF!</definedName>
    <definedName name="BExU5DSTBWXLN6E59B757KRWRI6E" hidden="1">#REF!</definedName>
    <definedName name="BExU5JSMO03X9M4WIRPP8JPSMQKJ" hidden="1">#REF!</definedName>
    <definedName name="BExU5TDWM8NNDHYPQ7OQODTQ368A" hidden="1">#REF!</definedName>
    <definedName name="BExU5X4OX1V1XHS6WSSORVQPP6Z3" hidden="1">#REF!</definedName>
    <definedName name="BExU5XVPARTFMRYHNUTBKDIL4UJN" hidden="1">#REF!</definedName>
    <definedName name="BExU66KMFBAP8JCVG9VM1RD1TNFF" hidden="1">#REF!</definedName>
    <definedName name="BExU68IOM3CB3TACNAE9565TW7SH" hidden="1">#REF!</definedName>
    <definedName name="BExU6AM82KN21E82HMWVP3LWP9IL" hidden="1">#REF!</definedName>
    <definedName name="BExU6FEU1MRHU98R9YOJC5OKUJ6L" hidden="1">#REF!</definedName>
    <definedName name="BExU6KIAJ663Y8W8QMU4HCF183DF" hidden="1">#REF!</definedName>
    <definedName name="BExU6KT19B4PG6SHXFBGBPLM66KT" hidden="1">#REF!</definedName>
    <definedName name="BExU6PAVKIOAIMQ9XQIHHF1SUAGO" hidden="1">#REF!</definedName>
    <definedName name="BExU6SLKTWV0YINVLTI6BCG9ANZM" hidden="1">#REF!</definedName>
    <definedName name="BExU6WXXC7SSQDMHSLUN5C2V4IYX" hidden="1">#REF!</definedName>
    <definedName name="BExU73387E74XE8A9UKZLZNJYY65" hidden="1">#REF!</definedName>
    <definedName name="BExU76ZHCJM8I7VSICCMSTC33O6U" hidden="1">#REF!</definedName>
    <definedName name="BExU7BBTUF8BQ42DSGM94X5TG5GF" hidden="1">#REF!</definedName>
    <definedName name="BExU7HH4EAHFQHT4AXKGWAWZP3I0" hidden="1">#REF!</definedName>
    <definedName name="BExU7L7WPQSA0ELXZ0I86V33QCCJ" hidden="1">#REF!</definedName>
    <definedName name="BExU7MF1ZVPDHOSMCAXOSYICHZ4I" hidden="1">#REF!</definedName>
    <definedName name="BExU7O2BJ6D5YCKEL6FD2EFCWYRX" hidden="1">#REF!</definedName>
    <definedName name="BExU7Q0JS9YIUKUPNSSAIDK2KJAV" hidden="1">#REF!</definedName>
    <definedName name="BExU80I6AE5OU7P7F5V7HWIZBJ4P" hidden="1">#REF!</definedName>
    <definedName name="BExU86NB26MCPYIISZ36HADONGT2" hidden="1">#REF!</definedName>
    <definedName name="BExU885EZZNSZV3GP298UJ8LB7OL" hidden="1">#REF!</definedName>
    <definedName name="BExU8FSAUP9TUZ1NO9WXK80QPHWV" hidden="1">#REF!</definedName>
    <definedName name="BExU8KFLAN778MBN93NYZB0FV30G" hidden="1">#REF!</definedName>
    <definedName name="BExU8PZC6845UUDFG9M8FTC3P3DK" hidden="1">#REF!</definedName>
    <definedName name="BExU8UX9JX3XLB47YZ8GFXE0V7R2" hidden="1">#REF!</definedName>
    <definedName name="BExU8WVGMRSFNWCNHODQ9JQCMZB0" hidden="1">#REF!</definedName>
    <definedName name="BExU96M1J7P9DZQ3S9H0C12KGYTW" hidden="1">#REF!</definedName>
    <definedName name="BExU9F05OR1GZ3057R6UL3WPEIYI" hidden="1">#REF!</definedName>
    <definedName name="BExU9GCSO5YILIKG6VAHN13DL75K" hidden="1">#REF!</definedName>
    <definedName name="BExU9KJOZLO15N11MJVN782NFGJ0" hidden="1">#REF!</definedName>
    <definedName name="BExU9LG29XU2K1GNKRO4438JYQZE" hidden="1">#REF!</definedName>
    <definedName name="BExU9RW36I5Z6JIXUIUB3PJH86LT" hidden="1">#REF!</definedName>
    <definedName name="BExU9WU19DJ2VAGISPFEGDWWOO4V" hidden="1">#REF!</definedName>
    <definedName name="BExUA28AO7OWDG3H23Q0CL4B7BHW" hidden="1">#REF!</definedName>
    <definedName name="BExUA34N2C083NSTAHQGZZ3BCYGK" hidden="1">#REF!</definedName>
    <definedName name="BExUA5O923FFNEBY8BPO1TU3QGBM" hidden="1">#REF!</definedName>
    <definedName name="BExUA6Q4K25VH452AQ3ZIRBCMS61" hidden="1">#REF!</definedName>
    <definedName name="BExUAFV4JMBSM2SKBQL9NHL0NIBS" hidden="1">#REF!</definedName>
    <definedName name="BExUAMWQODKBXMRH1QCMJLJBF8M7" hidden="1">#REF!</definedName>
    <definedName name="BExUAPR6Y32097JKJCTGC4C6EGE9" hidden="1">#REF!</definedName>
    <definedName name="BExUARUP0MX710TNZSAA01HUEAVC" hidden="1">#REF!</definedName>
    <definedName name="BExUAX8WS5OPVLCDXRGKTU2QMTFO" hidden="1">#REF!</definedName>
    <definedName name="BExUB1FYAZ433NX9GD7WGACX5IZD" hidden="1">#REF!</definedName>
    <definedName name="BExUB8HLEXSBVPZ5AXNQEK96F1N4" hidden="1">#REF!</definedName>
    <definedName name="BExUBCDVZIEA7YT0LPSMHL5ZSERQ" hidden="1">#REF!</definedName>
    <definedName name="BExUBDA8WU087BUIMXC1U1CKA2RA" hidden="1">#REF!</definedName>
    <definedName name="BExUBKXBUCN760QYU7Q8GESBWOQH" hidden="1">#REF!</definedName>
    <definedName name="BExUBL83ED0P076RN9RJ8P1MZ299" hidden="1">#REF!</definedName>
    <definedName name="BExUC1EPS2CZ5CKFA0AQRIVRSHS8" hidden="1">#REF!</definedName>
    <definedName name="BExUC623BDYEODBN0N4DO6PJQ7NU" hidden="1">#REF!</definedName>
    <definedName name="BExUC8WH8TCKBB5313JGYYQ1WFLT" hidden="1">#REF!</definedName>
    <definedName name="BExUCAP7GOSYPHMQKK6719YLSDIQ" hidden="1">#REF!</definedName>
    <definedName name="BExUCFCDK6SPH86I6STXX8X3WMC4" hidden="1">#REF!</definedName>
    <definedName name="BExUCKL98JB87L3I6T6IFSWJNYAB" hidden="1">#REF!</definedName>
    <definedName name="BExUCLC6AQ5KR6LXSAXV4QQ8ASVG" hidden="1">#REF!</definedName>
    <definedName name="BExUD4IOJ12X3PJG5WXNNGDRCKAP" hidden="1">#REF!</definedName>
    <definedName name="BExUD9WX9BWK72UWVSLYZJLAY5VY" hidden="1">#REF!</definedName>
    <definedName name="BExUDEV0CYVO7Y5IQQBEJ6FUY9S6" hidden="1">#REF!</definedName>
    <definedName name="BExUDWOXQGIZW0EAIIYLQUPXF8YV" hidden="1">#REF!</definedName>
    <definedName name="BExUDXAIC17W1FUU8Z10XUAVB7CS" hidden="1">#REF!</definedName>
    <definedName name="BExUE5OMY7OAJQ9WR8C8HG311ORP" hidden="1">#REF!</definedName>
    <definedName name="BExUEFKOQWXXGRNLAOJV2BJ66UB8" hidden="1">#REF!</definedName>
    <definedName name="BExUEJGX3OQQP5KFRJSRCZ70EI9V" hidden="1">#REF!</definedName>
    <definedName name="BExUEKDB2RWXF3WMTZ6JSBCHNSDT" hidden="1">#REF!</definedName>
    <definedName name="BExUEYR71COFS2X8PDNU21IPMQEU" hidden="1">#REF!</definedName>
    <definedName name="BExVPRLJ9I6RX45EDVFSQGCPJSOK" hidden="1">#REF!</definedName>
    <definedName name="BExVRFU8RWFT8A80ZVAW185SG2G6" hidden="1">#REF!</definedName>
    <definedName name="BExVSJ3NHETBAIZTZQSM8LAVT76V" hidden="1">#REF!</definedName>
    <definedName name="BExVSL787C8E4HFQZ2NVLT35I2XV" hidden="1">#REF!</definedName>
    <definedName name="BExVSTFTVV14SFGHQUOJL5SQ5TX9" hidden="1">#REF!</definedName>
    <definedName name="BExVT017S14M5X928ARKQ2GNUFE0" hidden="1">#REF!</definedName>
    <definedName name="BExVT3MPE8LQ5JFN3HQIFKSQ80U4" hidden="1">#REF!</definedName>
    <definedName name="BExVT7TRK3NZHPME2TFBXOF1WBR9" hidden="1">#REF!</definedName>
    <definedName name="BExVT9H0R0T7WGQAAC0HABMG54YM" hidden="1">#REF!</definedName>
    <definedName name="BExVTAO57POUXSZQJQ6MABMZQA13" hidden="1">#REF!</definedName>
    <definedName name="BExVTCMDDEDGLUIMUU6BSFHEWTOP" hidden="1">#REF!</definedName>
    <definedName name="BExVTCMDQMLKRA2NQR72XU6Y54IK" hidden="1">#REF!</definedName>
    <definedName name="BExVTCRV8FQ5U9OYWWL44N6KFNHU" hidden="1">#REF!</definedName>
    <definedName name="BExVTNESHPVG0A0KZ7BRX26MS0PF" hidden="1">#REF!</definedName>
    <definedName name="BExVTTJVTNRSBHBTUZ78WG2JM5MK" hidden="1">#REF!</definedName>
    <definedName name="BExVTXLMYR87BC04D1ERALPUFVPG" hidden="1">#REF!</definedName>
    <definedName name="BExVUL9V3H8ZF6Y72LQBBN639YAA" hidden="1">#REF!</definedName>
    <definedName name="BExVUZT95UAU8XG5X9XSE25CHQGA" hidden="1">#REF!</definedName>
    <definedName name="BExVV5T14N2HZIK7HQ4P2KG09U0J" hidden="1">#REF!</definedName>
    <definedName name="BExVV7R410VYLADLX9LNG63ID6H1" hidden="1">#REF!</definedName>
    <definedName name="BExVVAAVDXGWAVI6J2W0BCU58MBM" hidden="1">#REF!</definedName>
    <definedName name="BExVVCEED4JEKF59OV0G3T4XFMFO" hidden="1">#REF!</definedName>
    <definedName name="BExVVPFO2J7FMSRPD36909HN4BZJ" hidden="1">#REF!</definedName>
    <definedName name="BExVVQ19AQ3VCARJOC38SF7OYE9Y" hidden="1">#REF!</definedName>
    <definedName name="BExVVQ19TAECID45CS4HXT1RD3AQ" hidden="1">#REF!</definedName>
    <definedName name="BExVVYKOYB7OX8Y0B4UIUF79PVDO" hidden="1">#REF!</definedName>
    <definedName name="BExVW3YV5XGIVJ97UUPDJGJ2P15B" hidden="1">#REF!</definedName>
    <definedName name="BExVW5X571GEYR5SCU1Z2DHKWM79" hidden="1">#REF!</definedName>
    <definedName name="BExVW6YTKA098AF57M4PHNQ54XMH" hidden="1">#REF!</definedName>
    <definedName name="BExVWHRDIJBRFANMKJFY05BHP7RS" hidden="1">#REF!</definedName>
    <definedName name="BExVWINKCH0V0NUWH363SMXAZE62" hidden="1">#REF!</definedName>
    <definedName name="BExVWYU8EK669NP172GEIGCTVPPA" hidden="1">#REF!</definedName>
    <definedName name="BExVX3XN2DRJKL8EDBIG58RYQ36R" hidden="1">#REF!</definedName>
    <definedName name="BExVXBA38Z5WNQUH39HHZ2SAMC1T" hidden="1">#REF!</definedName>
    <definedName name="BExVXDZ63PUART77BBR5SI63TPC6" hidden="1">#REF!</definedName>
    <definedName name="BExVXHKI6LFYMGWISMPACMO247HL" hidden="1">#REF!</definedName>
    <definedName name="BExVXK9SK580O7MYHVNJ3V911ALP" hidden="1">#REF!</definedName>
    <definedName name="BExVXLX2BZ5EF2X6R41BTKRJR1NM" hidden="1">#REF!</definedName>
    <definedName name="BExVXYT01U5IPYA7E44FWS6KCEFC" hidden="1">#REF!</definedName>
    <definedName name="BExVY11V7U1SAY4QKYE0PBSPD7LW" hidden="1">#REF!</definedName>
    <definedName name="BExVY1SV37DL5YU59HS4IG3VBCP4" hidden="1">#REF!</definedName>
    <definedName name="BExVY3WFGJKSQA08UF9NCMST928Y" hidden="1">#REF!</definedName>
    <definedName name="BExVY954UOEVQEIC5OFO4NEWVKAQ" hidden="1">#REF!</definedName>
    <definedName name="BExVYHDYIV5397LC02V4FEP8VD6W" hidden="1">#REF!</definedName>
    <definedName name="BExVYO4NFDGC4ZOGHANQWX5CH4BT" hidden="1">#REF!</definedName>
    <definedName name="BExVYOVIZDA18YIQ0A30Q052PCAK" hidden="1">#REF!</definedName>
    <definedName name="BExVYPS2R6B75R1EFIUJ6G5TE4Q4" hidden="1">#REF!</definedName>
    <definedName name="BExVYQIXPEM6J4JVP78BRHIC05PV" hidden="1">#REF!</definedName>
    <definedName name="BExVYVGWN7SONLVDH9WJ2F1JS264" hidden="1">#REF!</definedName>
    <definedName name="BExVZ40HNAZRM8JHYYNQ7F6A4GU0" hidden="1">#REF!</definedName>
    <definedName name="BExVZ7WRO17PYILJEJGPQCO5IL66" hidden="1">#REF!</definedName>
    <definedName name="BExVZ9EO732IK6MNMG17Y1EFTJQC" hidden="1">#REF!</definedName>
    <definedName name="BExVZB1Y5J4UL2LKK0363EU7GIJ1" hidden="1">#REF!</definedName>
    <definedName name="BExVZGQXYK2ICC9JSNFPRHBD5KNU" hidden="1">#REF!</definedName>
    <definedName name="BExVZJQVO5LQ0BJH5JEN5NOBIAF6" hidden="1">#REF!</definedName>
    <definedName name="BExVZNXWS91RD7NXV5NE2R3C8WW7" hidden="1">#REF!</definedName>
    <definedName name="BExW008AGT1ZRN5DFG4YOH5F7G47" hidden="1">#REF!</definedName>
    <definedName name="BExW0386REQRCQCVT9BCX80UPTRY" hidden="1">#REF!</definedName>
    <definedName name="BExW0FYP4WXY71CYUG40SUBG9UWU" hidden="1">#REF!</definedName>
    <definedName name="BExW0MPJNQOJ7D6U780WU5XBL97X" hidden="1">#REF!</definedName>
    <definedName name="BExW0RI61B4VV0ARXTFVBAWRA1C5" hidden="1">#REF!</definedName>
    <definedName name="BExW0Y8T85LBE0WS6FPX6ILTX9ON" hidden="1">#REF!</definedName>
    <definedName name="BExW1BVUYQTKMOR56MW7RVRX4L1L" hidden="1">#REF!</definedName>
    <definedName name="BExW1F1220628FOMTW5UAATHRJHK" hidden="1">#REF!</definedName>
    <definedName name="BExW1PTHB0NZUF0GTD2J1UUL693E" hidden="1">#REF!</definedName>
    <definedName name="BExW1TKA0Z9OP2DTG50GZR5EG8C7" hidden="1">#REF!</definedName>
    <definedName name="BExW1U0JLKQ094DW5MMOI8UHO09V" hidden="1">#REF!</definedName>
    <definedName name="BExW1VNZHNB5P9V6232N0DQCE0WE" hidden="1">#REF!</definedName>
    <definedName name="BExW1WK6J1TDP29S3QDPTYZJBLIW" hidden="1">#REF!</definedName>
    <definedName name="BExW283NP9D366XFPXLGSCI5UB0L" hidden="1">#REF!</definedName>
    <definedName name="BExW2H3C8WJSBW5FGTFKVDVJC4CL" hidden="1">#REF!</definedName>
    <definedName name="BExW2MSCKPGF5K3I7TL4KF5ISUOL" hidden="1">#REF!</definedName>
    <definedName name="BExW2SMO90FU9W8DVVES6Q4E6BZR" hidden="1">#REF!</definedName>
    <definedName name="BExW36V9N91OHCUMGWJQL3I5P4JK" hidden="1">#REF!</definedName>
    <definedName name="BExW39V04HTFFQE7DAW9MAJT0NNF" hidden="1">#REF!</definedName>
    <definedName name="BExW3ECU6QPMV99AITCPHAG0CGYK" hidden="1">#REF!</definedName>
    <definedName name="BExW3EIBA1J9Q9NA9VCGZGRS8WV7" hidden="1">#REF!</definedName>
    <definedName name="BExW3FEO8FI8N6AGQKYEG4SQVJWB" hidden="1">#REF!</definedName>
    <definedName name="BExW3GB28STOMJUSZEIA7YKYNS4Y" hidden="1">#REF!</definedName>
    <definedName name="BExW3T1K638HT5E0Y8MMK108P5JT" hidden="1">#REF!</definedName>
    <definedName name="BExW3U3D6FTAFTK3Q7DSA9FY454Q" hidden="1">#REF!</definedName>
    <definedName name="BExW4217ZHL9VO39POSTJOD090WU" hidden="1">#REF!</definedName>
    <definedName name="BExW4GPW71EBF8XPS2QGVQHBCDX3" hidden="1">#REF!</definedName>
    <definedName name="BExW4JKC5837JBPCOJV337ZVYYY3" hidden="1">#REF!</definedName>
    <definedName name="BExW4O2DBZGV8KGBO9EB4BAXIH4Y" hidden="1">#REF!</definedName>
    <definedName name="BExW4QR9FV9MP5K610THBSM51RYO" hidden="1">#REF!</definedName>
    <definedName name="BExW4Z029R9E19ZENN3WEA3VDAD1" hidden="1">#REF!</definedName>
    <definedName name="BExW53SPLW3K0Y0ZVTM4NYF1B2YH" hidden="1">#REF!</definedName>
    <definedName name="BExW591F7X34FVKJ2OUT09PFUW1B" hidden="1">#REF!</definedName>
    <definedName name="BExW5AZNT6IAZGNF2C879ODHY1B8" hidden="1">#REF!</definedName>
    <definedName name="BExW5F6OUXHEWQU5VYE7W7P8DD78" hidden="1">#REF!</definedName>
    <definedName name="BExW5WPU27WD4NWZOT0ZEJIDLX5J" hidden="1">#REF!</definedName>
    <definedName name="BExW5YD97EMSUYC4KDEFH1FB4FY3" hidden="1">#REF!</definedName>
    <definedName name="BExW5Z469DSRWTA6T0KVLA7SMIPL" hidden="1">#REF!</definedName>
    <definedName name="BExW62ETJAPBX5X53FTGUCHZXI2K" hidden="1">#REF!</definedName>
    <definedName name="BExW660AV1TUV2XNUPD65RZR3QOO" hidden="1">#REF!</definedName>
    <definedName name="BExW66LVVZK656PQY1257QMHP2AY" hidden="1">#REF!</definedName>
    <definedName name="BExW6EJPHAP1TWT380AZLXNHR22P" hidden="1">#REF!</definedName>
    <definedName name="BExW6G1PJ38H10DVLL8WPQ736OEB" hidden="1">#REF!</definedName>
    <definedName name="BExW794A74Z5F2K8LVQLD6VSKXUE" hidden="1">#REF!</definedName>
    <definedName name="BExW7Q1TQ8E6G4WYYNSOMV43S95R" hidden="1">#REF!</definedName>
    <definedName name="BExW7XZTFZV0N9YM9S4PM74A5X2O" hidden="1">#REF!</definedName>
    <definedName name="BExW8K0SSIPSKBVP06IJ71600HJZ" hidden="1">#REF!</definedName>
    <definedName name="BExW8T0GVY3ZYO4ACSBLHS8SH895" hidden="1">#REF!</definedName>
    <definedName name="BExW8YEP73JMMU9HZ08PM4WHJQZ4" hidden="1">#REF!</definedName>
    <definedName name="BExW937AT53OZQRHNWQZ5BVH24IE" hidden="1">#REF!</definedName>
    <definedName name="BExW95LN5N0LYFFVP7GJEGDVDLF0" hidden="1">#REF!</definedName>
    <definedName name="BExW967733Q8RAJOHR2GJ3HO8JIW" hidden="1">#REF!</definedName>
    <definedName name="BExW9POK1KIOI0ALS5MZIKTDIYMA" hidden="1">#REF!</definedName>
    <definedName name="BExXLDE6PN4ESWT3LXJNQCY94NE4" hidden="1">#REF!</definedName>
    <definedName name="BExXLQVPK2H3IF0NDDA5CT612EUK" hidden="1">#REF!</definedName>
    <definedName name="BExXLR6IO70TYTACKQH9M5PGV24J" hidden="1">#REF!</definedName>
    <definedName name="BExXM065WOLYRYHGHOJE0OOFXA4M" hidden="1">#REF!</definedName>
    <definedName name="BExXM3GUNXVDM82KUR17NNUMQCNI" hidden="1">#REF!</definedName>
    <definedName name="BExXMA28M8SH7MKIGETSDA72WUIZ" hidden="1">#REF!</definedName>
    <definedName name="BExXMOLHIAHDLFSA31PUB36SC3I9" hidden="1">#REF!</definedName>
    <definedName name="BExXMT8T5Z3M2JBQN65X2LKH0YQI" hidden="1">#REF!</definedName>
    <definedName name="BExXN1XNO7H60M9X1E7EVWFJDM5N" hidden="1">#REF!</definedName>
    <definedName name="BExXN1XOOOY51EZQ6II0LWEU2OYT" hidden="1">#REF!</definedName>
    <definedName name="BExXN22ZOTIW49GPLWFYKVM90FNZ" hidden="1">#REF!</definedName>
    <definedName name="BExXN6QAP8UJQVN4R4BQKPP4QK35" hidden="1">#REF!</definedName>
    <definedName name="BExXNBOA39T2X6Y5Y5GZ5DDNA1AX" hidden="1">#REF!</definedName>
    <definedName name="BExXNBZ1BRDK73S9XPRR1645KLVB" hidden="1">#REF!</definedName>
    <definedName name="BExXND6872VJ3M2PGT056WQMWBHD" hidden="1">#REF!</definedName>
    <definedName name="BExXNPM24UN2PGVL9D1TUBFRIKR4" hidden="1">#REF!</definedName>
    <definedName name="BExXNWCR6WOY5G3VTC96QCIFQE0E" hidden="1">#REF!</definedName>
    <definedName name="BExXNWYB165VO9MHARCL5WLCHWS0" hidden="1">#REF!</definedName>
    <definedName name="BExXO278QHQN8JDK5425EJ615ECC" hidden="1">#REF!</definedName>
    <definedName name="BExXO4QVV7YZ6L5A7WZEMIA5AZOV" hidden="1">#REF!</definedName>
    <definedName name="BExXOBHOP0WGFHI2Y9AO4L440UVQ" hidden="1">#REF!</definedName>
    <definedName name="BExXOHHHX25B8F97636QMXFUDZQK" hidden="1">#REF!</definedName>
    <definedName name="BExXOHSAD2NSHOLLMZ2JWA4I3I1R" hidden="1">#REF!</definedName>
    <definedName name="BExXOJKWIJ6IFTV1RHIWHR91EZMW" hidden="1">#REF!</definedName>
    <definedName name="BExXP80B5FGA00JCM7UXKPI3PB7Y" hidden="1">#REF!</definedName>
    <definedName name="BExXP85M4WXYVN1UVHUTOEKEG5XS" hidden="1">#REF!</definedName>
    <definedName name="BExXPELOTHOAG0OWILLAH94OZV5J" hidden="1">#REF!</definedName>
    <definedName name="BExXPOSJRLJNYPU01QNNQ5URXP2U" hidden="1">#REF!</definedName>
    <definedName name="BExXPS31W1VD2NMIE4E37LHVDF0L" hidden="1">#REF!</definedName>
    <definedName name="BExXPZKYEMVF5JOC14HYOOYQK6JK" hidden="1">#REF!</definedName>
    <definedName name="BExXQ89PA10X79WBWOEP1AJX1OQM" hidden="1">#REF!</definedName>
    <definedName name="BExXQCGQGGYSI0LTRVR73MUO50AW" hidden="1">#REF!</definedName>
    <definedName name="BExXQEEXFHDQ8DSRAJSB5ET6J004" hidden="1">#REF!</definedName>
    <definedName name="BExXQH41O5HZAH8BO6HCFY8YC3TU" hidden="1">#REF!</definedName>
    <definedName name="BExXQJIEF5R3QQ6D8HO3NGPU0IQC" hidden="1">#REF!</definedName>
    <definedName name="BExXQRAVW0KPQXIJ59NG6UGTZB59" hidden="1">#REF!</definedName>
    <definedName name="BExXQU00K9ER4I1WM7T9J0W1E7ZC" hidden="1">#REF!</definedName>
    <definedName name="BExXQU00KOR7XLM8B13DGJ1MIQDY" hidden="1">#REF!</definedName>
    <definedName name="BExXQUG48Q1ISN53FE4MRROM0HSJ" hidden="1">#REF!</definedName>
    <definedName name="BExXQXG18PS8HGBOS03OSTQ0KEYC" hidden="1">#REF!</definedName>
    <definedName name="BExXQXQT4OAFQT5B0YB3USDJOJOB" hidden="1">#REF!</definedName>
    <definedName name="BExXR3FSEXAHSXEQNJORWFCPX86N" hidden="1">#REF!</definedName>
    <definedName name="BExXR3W3FKYQBLR299HO9RZ70C43" hidden="1">#REF!</definedName>
    <definedName name="BExXR46U23CRRBV6IZT982MAEQKI" hidden="1">#REF!</definedName>
    <definedName name="BExXR6A8W3ND3XDZXBMQZ1VCAXHG" hidden="1">#REF!</definedName>
    <definedName name="BExXR7HKNHT37B4OOA9K9191PP22" hidden="1">#REF!</definedName>
    <definedName name="BExXR8OKAVX7O70V5IYG2PRKXSTI" hidden="1">#REF!</definedName>
    <definedName name="BExXRA6N6XCLQM6XDV724ZIH6G93" hidden="1">#REF!</definedName>
    <definedName name="BExXRABZ1CNKCG6K1MR6OUFHF7J9" hidden="1">#REF!</definedName>
    <definedName name="BExXRBOFETC0OTJ6WY3VPMFH03VB" hidden="1">#REF!</definedName>
    <definedName name="BExXRD13K1S9Y3JGR7CXSONT7RJZ" hidden="1">#REF!</definedName>
    <definedName name="BExXRIFB4QQ87QIGA9AG0NXP577K" hidden="1">#REF!</definedName>
    <definedName name="BExXRIQ2JF2CVTRDQX2D9SPH7FTN" hidden="1">#REF!</definedName>
    <definedName name="BExXRO4A6VUH1F4XV8N1BRJ4896W" hidden="1">#REF!</definedName>
    <definedName name="BExXRO9N1SNJZGKD90P4K7FU1J0P" hidden="1">#REF!</definedName>
    <definedName name="BExXROF2MWDZ7IFXX27XOJ79Q86E" hidden="1">#REF!</definedName>
    <definedName name="BExXRV5QP3Z0KAQ1EQT9JYT2FV0L" hidden="1">#REF!</definedName>
    <definedName name="BExXRZ20LZZCW8LVGDK0XETOTSAI" hidden="1">#REF!</definedName>
    <definedName name="BExXS4R1GKUJQX6MHUIUN4S3SCAS" hidden="1">#REF!</definedName>
    <definedName name="BExXS63O4OMWMNXXAODZQFSDG33N" hidden="1">#REF!</definedName>
    <definedName name="BExXSBSP1TOY051HSPEPM0AEIO2M" hidden="1">#REF!</definedName>
    <definedName name="BExXSC8RFK5D68FJD2HI4K66SA6I" hidden="1">#REF!</definedName>
    <definedName name="BExXSCP0AZ5MYCC2UFG2GLBCV1CC" hidden="1">#REF!</definedName>
    <definedName name="BExXSNHC88W4UMXEOIOOATJAIKZO" hidden="1">#REF!</definedName>
    <definedName name="BExXSTBS08WIA9TLALV3UQ2Z3MRG" hidden="1">#REF!</definedName>
    <definedName name="BExXSVQ2WOJJ73YEO8Q2FK60V4G8" hidden="1">#REF!</definedName>
    <definedName name="BExXTER5A2EQ14KN6J0MVATIHVKN" hidden="1">#REF!</definedName>
    <definedName name="BExXTHLRNL82GN7KZY3TOLO508N7" hidden="1">#REF!</definedName>
    <definedName name="BExXTL72MKEQSQH9L2OTFLU8DM2B" hidden="1">#REF!</definedName>
    <definedName name="BExXTM3M4RTCRSX7VGAXGQNPP668" hidden="1">#REF!</definedName>
    <definedName name="BExXTOCF78J7WY6FOVBRY1N2RBBR" hidden="1">#REF!</definedName>
    <definedName name="BExXTP3GYO6Z9RTKKT10XA0UTV3T" hidden="1">#REF!</definedName>
    <definedName name="BExXTRN4AFX9QW6YC4HNGBBD5R08" hidden="1">#REF!</definedName>
    <definedName name="BExXTV8M7YIG5C64O046DN613ZRO" hidden="1">#REF!</definedName>
    <definedName name="BExXTVDXQ7ZX3THNLFJXFAONW0AI" hidden="1">#REF!</definedName>
    <definedName name="BExXTZKZ4CG92ZQLIRKEXXH9BFIR" hidden="1">#REF!</definedName>
    <definedName name="BExXU4J2BM2964GD5UZHM752Q4NS" hidden="1">#REF!</definedName>
    <definedName name="BExXU6XDTT7RM93KILIDEYPA9XKF" hidden="1">#REF!</definedName>
    <definedName name="BExXU8VLZA7WLPZ3RAQZGNERUD26" hidden="1">#REF!</definedName>
    <definedName name="BExXUB9RSLSCNN5ETLXY72DAPZZM" hidden="1">#REF!</definedName>
    <definedName name="BExXUFRM82XQIN2T8KGLDQL1IBQW" hidden="1">#REF!</definedName>
    <definedName name="BExXUQEQBF6FI240ZGIF9YXZSRAU" hidden="1">#REF!</definedName>
    <definedName name="BExXUX02UQ8LJPBZ4YBORILFR0W0" hidden="1">#REF!</definedName>
    <definedName name="BExXUYND6EJO7CJ5KRICV4O1JNWK" hidden="1">#REF!</definedName>
    <definedName name="BExXV6FWG4H3S2QEUJZYIXILNGJ7" hidden="1">#REF!</definedName>
    <definedName name="BExXVK87BMMO6LHKV0CFDNIQVIBS" hidden="1">#REF!</definedName>
    <definedName name="BExXVKZ9WXPGL6IVY6T61IDD771I" hidden="1">#REF!</definedName>
    <definedName name="BExXVLA319WCSEOVHB05KDUSU054" hidden="1">#REF!</definedName>
    <definedName name="BExXVTTG5YRCSTI0UL141BKR36SU" hidden="1">#REF!</definedName>
    <definedName name="BExXVYWX74VKI8BDDSX9U85460MB" hidden="1">#REF!</definedName>
    <definedName name="BExXW27MMXHXUXX78SDTBE1JYTHT" hidden="1">#REF!</definedName>
    <definedName name="BExXW2YIM2MYBSHRIX0RP9D4PRMN" hidden="1">#REF!</definedName>
    <definedName name="BExXWBNE4KTFSXKVSRF6WX039WPB" hidden="1">#REF!</definedName>
    <definedName name="BExXWFP5AYE7EHYTJWBZSQ8PQ0YX" hidden="1">#REF!</definedName>
    <definedName name="BExXWIUCR0LXM58OVKZT2APLVTIA" hidden="1">#REF!</definedName>
    <definedName name="BExXWTXJEA32DLC6QKN10QB955JT" hidden="1">#REF!</definedName>
    <definedName name="BExXWVFIBQT8OY1O41FRFPFGXQHK" hidden="1">#REF!</definedName>
    <definedName name="BExXWWXHBZHA9J3N8K47F84X0M0L" hidden="1">#REF!</definedName>
    <definedName name="BExXXBM521DL8R4ZX7NZ3DBCUOR5" hidden="1">#REF!</definedName>
    <definedName name="BExXXC7OZI33XZ03NRMEP7VRLQK4" hidden="1">#REF!</definedName>
    <definedName name="BExXXH5N3NKBQ7BCJPJTBF8CYM2Q" hidden="1">#REF!</definedName>
    <definedName name="BExXXI7HHXLBLUEW7EQ73TALJF48" hidden="1">#REF!</definedName>
    <definedName name="BExXXKWLM4D541BH6O8GOJMHFHMW" hidden="1">#REF!</definedName>
    <definedName name="BExXXNR17I6P4FQZPQF2ZXDFYB6C" hidden="1">#REF!</definedName>
    <definedName name="BExXXPPA1Q87XPI97X0OXCPBPDON" hidden="1">#REF!</definedName>
    <definedName name="BExXXVUDA98IZTQ6MANKU4MTTDVR" hidden="1">#REF!</definedName>
    <definedName name="BExXXZQNZY6IZI45DJXJK0MQZWA7" hidden="1">#REF!</definedName>
    <definedName name="BExXY5QFG6QP94SFT3935OBM8Y4K" hidden="1">#REF!</definedName>
    <definedName name="BExXY7TYEBFXRYUYIFHTN65RJ8EW" hidden="1">#REF!</definedName>
    <definedName name="BExXYLBHANUXC5FCTDDTGOVD3GQS" hidden="1">#REF!</definedName>
    <definedName name="BExXYMNYAYH3WA2ZCFAYKZID9ZCI" hidden="1">#REF!</definedName>
    <definedName name="BExXYYT12SVN2VDMLVNV4P3ISD8T" hidden="1">#REF!</definedName>
    <definedName name="BExXYZ3SPSRCWM4YHTPZDCOLZPHR" hidden="1">#REF!</definedName>
    <definedName name="BExXZFVV4YB42AZ3H1I40YG3JAPU" hidden="1">#REF!</definedName>
    <definedName name="BExXZG1CQE1M9TDJ99253H6JVGIH" hidden="1">#REF!</definedName>
    <definedName name="BExXZHJ9T2JELF12CHHGD54J1B0C" hidden="1">#REF!</definedName>
    <definedName name="BExXZNJ2X1TK2LRK5ZY3MX49H5T7" hidden="1">#REF!</definedName>
    <definedName name="BExXZOVPCEP495TQSON6PSRQ8XCY" hidden="1">#REF!</definedName>
    <definedName name="BExXZXKH7NBARQQAZM69Z57IH1MM" hidden="1">#REF!</definedName>
    <definedName name="BExY07WSDH5QEVM7BJXJK2ZRAI1O" hidden="1">#REF!</definedName>
    <definedName name="BExY09PJJWYWGWWLX3YT8EVK0YV4" hidden="1">#REF!</definedName>
    <definedName name="BExY0C3UBVC4M59JIRXVQ8OWAJC1" hidden="1">#REF!</definedName>
    <definedName name="BExY0ENH6ZXHW155XIGS0F46T43M" hidden="1">#REF!</definedName>
    <definedName name="BExY0IEEUB9SRGD9I14IDCPO5GV4" hidden="1">#REF!</definedName>
    <definedName name="BExY0LEAAM7MUGBRLXD6KXBOHZ6S" hidden="1">#REF!</definedName>
    <definedName name="BExY0OE8GFHMLLTEAFIOQTOPEVPB" hidden="1">#REF!</definedName>
    <definedName name="BExY0OJHW85S0VKBA8T4HTYPYBOS" hidden="1">#REF!</definedName>
    <definedName name="BExY0T1E034D7XAXNC6F7540LLIE" hidden="1">#REF!</definedName>
    <definedName name="BExY0XTZLHN49J2JH94BYTKBJLT3" hidden="1">#REF!</definedName>
    <definedName name="BExY11FH9TXHERUYGG8FE50U7H7J" hidden="1">#REF!</definedName>
    <definedName name="BExY180UKNW5NIAWD6ZUYTFEH8QS" hidden="1">#REF!</definedName>
    <definedName name="BExY1DPTV4LSY9MEOUGXF8X052NA" hidden="1">#REF!</definedName>
    <definedName name="BExY1GK9ELBEKDD7O6HR6DUO8YGO" hidden="1">#REF!</definedName>
    <definedName name="BExY1NWOXXFV9GGZ3PX444LZ8TVX" hidden="1">#REF!</definedName>
    <definedName name="BExY1UCL0RND63LLSM9X5SFRG117" hidden="1">#REF!</definedName>
    <definedName name="BExY1WAT3937L08HLHIRQHMP2A3H" hidden="1">#REF!</definedName>
    <definedName name="BExY1YEBOSLMID7LURP8QB46AI91" hidden="1">#REF!</definedName>
    <definedName name="BExY236UB98PA9PNCHMCSZYCHJBD" hidden="1">#REF!</definedName>
    <definedName name="BExY2FS4LFX9OHOTQT7SJ2PXAC25" hidden="1">#REF!</definedName>
    <definedName name="BExY2GDPCZPVU0IQ6IJIB1YQQRQ6" hidden="1">#REF!</definedName>
    <definedName name="BExY2GTSZ3VA9TXLY7KW1LIAKJ61" hidden="1">#REF!</definedName>
    <definedName name="BExY2IXBR1SGYZH08T7QHKEFS8HA" hidden="1">#REF!</definedName>
    <definedName name="BExY2Q4B5FUDA5VU4VRUHX327QN0" hidden="1">#REF!</definedName>
    <definedName name="BExY2S7TM2NG7A1NFYPWIFAIKUCO" hidden="1">#REF!</definedName>
    <definedName name="BExY2Z3ZGRGD12RWANJZ8DFQO776" hidden="1">#REF!</definedName>
    <definedName name="BExY30WPXLJ01P42XKBSUF8KNOOK" hidden="1">#REF!</definedName>
    <definedName name="BExY3297KIB0C8Z1G99OS1MCEGTO" hidden="1">#REF!</definedName>
    <definedName name="BExY3HOSK7YI364K15OX70AVR6F1" hidden="1">#REF!</definedName>
    <definedName name="BExY3I526B4VA8JBTKXWE3FGVT0D" hidden="1">#REF!</definedName>
    <definedName name="BExY3I52TZR3GXQ9HDVDNIYLIGEH" hidden="1">#REF!</definedName>
    <definedName name="BExY3T89AUR83SOAZZ3OMDEJDQ39" hidden="1">#REF!</definedName>
    <definedName name="BExY3WZ7VO2K6TYCHDY754FY24AA" hidden="1">#REF!</definedName>
    <definedName name="BExY4BIG95HDDO6MY6WBUSWJIOLR" hidden="1">#REF!</definedName>
    <definedName name="BExY4MG771JQ84EMIVB6HQGGHZY7" hidden="1">#REF!</definedName>
    <definedName name="BExY4PWCSFB8P3J3TBQB2MD67263" hidden="1">#REF!</definedName>
    <definedName name="BExY4RP3BE6KYZDIKQZO4U4DIT33" hidden="1">#REF!</definedName>
    <definedName name="BExY4RZW3KK11JLYBA4DWZ92M6LQ" hidden="1">#REF!</definedName>
    <definedName name="BExY4XOVTTNVZ577RLIEC7NZQFIX" hidden="1">#REF!</definedName>
    <definedName name="BExY50JAF5CG01GTHAUS7I4ZLUDC" hidden="1">#REF!</definedName>
    <definedName name="BExY53J7EXFEOFTRNAHLK7IH3ACB" hidden="1">#REF!</definedName>
    <definedName name="BExY5515SJTJS3VM80M3YYR0WF37" hidden="1">#REF!</definedName>
    <definedName name="BExY5515WE39FQ3EG5QHG67V9C0O" hidden="1">#REF!</definedName>
    <definedName name="BExY5986WNAD8NFCPXC9TVLBU4FG" hidden="1">#REF!</definedName>
    <definedName name="BExY5DF9MS25IFNWGJ1YAS5MDN8R" hidden="1">#REF!</definedName>
    <definedName name="BExY5ERVGL3UM2MGT8LJ0XPKTZEK" hidden="1">#REF!</definedName>
    <definedName name="BExY5EX6NJFK8W754ZVZDN5DS04K" hidden="1">#REF!</definedName>
    <definedName name="BExY5S3XD1NJT109CV54IFOHVLQ6" hidden="1">#REF!</definedName>
    <definedName name="BExY5W088PPAPLSMR2P7FV2CRDCT" hidden="1">#REF!</definedName>
    <definedName name="BExY6KA6BQ6H4SH5EMJBVF8UR4ZY" hidden="1">#REF!</definedName>
    <definedName name="BExY6KVS1MMZ2R34PGEFR2BMTU9W" hidden="1">#REF!</definedName>
    <definedName name="BExY6Q9YY7LW745GP7CYOGGSPHGE" hidden="1">#REF!</definedName>
    <definedName name="BExY6R6BYIQZ4OR1E7YI0OVOC08W" hidden="1">#REF!</definedName>
    <definedName name="BExZIA3C8LKJTEH3MKQ57KJH5TA2" hidden="1">#REF!</definedName>
    <definedName name="BExZIGDWFIOPMMVCRWX45OIJ5AP3" hidden="1">#REF!</definedName>
    <definedName name="BExZIIHH3QNQE3GFMHEE4UMHY6WQ" hidden="1">#REF!</definedName>
    <definedName name="BExZIYO22G5UXOB42GDLYGVRJ6U7" hidden="1">#REF!</definedName>
    <definedName name="BExZJ7I9T8XU4MZRKJ1VVU76V2LZ" hidden="1">#REF!</definedName>
    <definedName name="BExZJMY170JCUU1RWASNZ1HJPRTA" hidden="1">#REF!</definedName>
    <definedName name="BExZJOQR77H0P4SUKVYACDCFBBXO" hidden="1">#REF!</definedName>
    <definedName name="BExZJS6RG34ODDY9HMZ0O34MEMSB" hidden="1">#REF!</definedName>
    <definedName name="BExZK34NR4BAD7HJAP7SQ926UQP3" hidden="1">#REF!</definedName>
    <definedName name="BExZK3FGPHH5H771U7D5XY7XBS6E" hidden="1">#REF!</definedName>
    <definedName name="BExZK46CVVS9X1BZ6LLL71016ENT" hidden="1">#REF!</definedName>
    <definedName name="BExZK52PZLTP1F04T09MP30BVT7H" hidden="1">#REF!</definedName>
    <definedName name="BExZKHYORG3O8C772XPFHM1N8T80" hidden="1">#REF!</definedName>
    <definedName name="BExZKJRF2IRR57DG9CLC7MSHWNNN" hidden="1">#REF!</definedName>
    <definedName name="BExZKV5GYXO0X760SBD9TWTIQHGI" hidden="1">#REF!</definedName>
    <definedName name="BExZKZCGNEA9IPON37A91L4H4H17" hidden="1">#REF!</definedName>
    <definedName name="BExZL6E4YVXRUN7ZGF2BIGIXFR8K" hidden="1">#REF!</definedName>
    <definedName name="BExZLF2ZTA4EPN0GHO7C5O8DZ1SN" hidden="1">#REF!</definedName>
    <definedName name="BExZLGVLMKTPFXG42QYT0PO81G7F" hidden="1">#REF!</definedName>
    <definedName name="BExZLHRYQQ7BYD3VQWHVTZGYGRCT" hidden="1">#REF!</definedName>
    <definedName name="BExZLKMK7LRK14S09WLMH7MXSQXM" hidden="1">#REF!</definedName>
    <definedName name="BExZM503X0NZBS0FF22LK2RGG6GP" hidden="1">#REF!</definedName>
    <definedName name="BExZM7JVLG0W8EG5RBU915U3SKBY" hidden="1">#REF!</definedName>
    <definedName name="BExZM85FOVUFF110XMQ9O2ODSJUK" hidden="1">#REF!</definedName>
    <definedName name="BExZMF1MMTZ1TA14PZ8ASSU2CBSP" hidden="1">#REF!</definedName>
    <definedName name="BExZMH54ZU6X4KM0375X9K5VJDZN" hidden="1">#REF!</definedName>
    <definedName name="BExZMKL5YQZD7F0FUCSVFGLPFK52" hidden="1">#REF!</definedName>
    <definedName name="BExZMOC3VNZALJM71X2T6FV91GTB" hidden="1">#REF!</definedName>
    <definedName name="BExZMRHA7TTR9QKJOMONHRVY3YOF" hidden="1">#REF!</definedName>
    <definedName name="BExZMXH39OB0I43XEL3K11U3G9PM" hidden="1">#REF!</definedName>
    <definedName name="BExZMZQ3RBKDHT5GLFNLS52OSJA0" hidden="1">#REF!</definedName>
    <definedName name="BExZN2F7Y2J2L2LN5WZRG949MS4A" hidden="1">#REF!</definedName>
    <definedName name="BExZN847WUWKRYTZWG9TCQZJS3OL" hidden="1">#REF!</definedName>
    <definedName name="BExZNA2ALK6RDWFAXZQCL9TWRDCF" hidden="1">#REF!</definedName>
    <definedName name="BExZNH3VISFF4NQI11BZDP5IQ7VG" hidden="1">#REF!</definedName>
    <definedName name="BExZNJYCFYVMAOI62GB2BABK1ELE" hidden="1">#REF!</definedName>
    <definedName name="BExZNLGAA6ATMJW0Y28J4OI5W27I" hidden="1">#REF!</definedName>
    <definedName name="BExZNP7916CH3QP4VCZEULUIKKS5" hidden="1">#REF!</definedName>
    <definedName name="BExZNV707LIU6Z5H6QI6H67LHTI1" hidden="1">#REF!</definedName>
    <definedName name="BExZNVCBKB930QQ9QW7KSGOZ0V1M" hidden="1">#REF!</definedName>
    <definedName name="BExZNW8QJ18X0RSGFDWAE9ZSDX39" hidden="1">#REF!</definedName>
    <definedName name="BExZNZDWRS6Q40L8OCWFEIVI0A1O" hidden="1">#REF!</definedName>
    <definedName name="BExZOBO9NYLGVJQ31LVQ9XS2ZT4N" hidden="1">#REF!</definedName>
    <definedName name="BExZOETNB1CJ3Y2RKLI1ZK0S8Z6H" hidden="1">#REF!</definedName>
    <definedName name="BExZOREMVSK4E5VSWM838KHUB8AI" hidden="1">#REF!</definedName>
    <definedName name="BExZOVR745T5P1KS9NV2PXZPZVRG" hidden="1">#REF!</definedName>
    <definedName name="BExZOZSWGLSY2XYVRIS6VSNJDSGD" hidden="1">#REF!</definedName>
    <definedName name="BExZP7AIJKLM6C6CSUIIFAHFBNX2" hidden="1">#REF!</definedName>
    <definedName name="BExZPALCPOH27L4MUPX2RFT3F8OM" hidden="1">#REF!</definedName>
    <definedName name="BExZPQ0XY507N8FJMVPKCTK8HC9H" hidden="1">#REF!</definedName>
    <definedName name="BExZPXTHEWEN48J9E5ARSA8IGRBI" hidden="1">#REF!</definedName>
    <definedName name="BExZQ37OVBR25U32CO2YYVPZOMR5" hidden="1">#REF!</definedName>
    <definedName name="BExZQ3NT7H06VO0AR48WHZULZB93" hidden="1">#REF!</definedName>
    <definedName name="BExZQ5RCYU1R0DUT1MFN99S1C408" hidden="1">#REF!</definedName>
    <definedName name="BExZQ7PJU07SEJMDX18U9YVDC2GU" hidden="1">#REF!</definedName>
    <definedName name="BExZQAJXQ5IJ5RB71EDSPGTRO5HC" hidden="1">#REF!</definedName>
    <definedName name="BExZQBLTKPF3O4MCH6L4LE544FQB" hidden="1">#REF!</definedName>
    <definedName name="BExZQIHTGHK7OOI2Y2PN3JYBY82I" hidden="1">#REF!</definedName>
    <definedName name="BExZQJJMGU5MHQOILGXGJPAQI5XI" hidden="1">#REF!</definedName>
    <definedName name="BExZQL1M2EX5YEQBMNQKVD747N3I" hidden="1">#REF!</definedName>
    <definedName name="BExZQPDYUBJL0C1OME996KHU23N5" hidden="1">#REF!</definedName>
    <definedName name="BExZQXBYEBN28QUH1KOVW6KKA5UM" hidden="1">#REF!</definedName>
    <definedName name="BExZQZKT146WEN8FTVZ7Y5TSB8L5" hidden="1">#REF!</definedName>
    <definedName name="BExZR485AKBH93YZ08CMUC3WROED" hidden="1">#REF!</definedName>
    <definedName name="BExZR7TL98P2PPUVGIZYR5873DWW" hidden="1">#REF!</definedName>
    <definedName name="BExZRAYSYOXAM1PBW1EF6YAZ9RU3" hidden="1">#REF!</definedName>
    <definedName name="BExZRGD1603X5ACFALUUDKCD7X48" hidden="1">#REF!</definedName>
    <definedName name="BExZRMSYHFOP8FFWKKUSBHU85J81" hidden="1">#REF!</definedName>
    <definedName name="BExZRP1X6UVLN1UOLHH5VF4STP1O" hidden="1">#REF!</definedName>
    <definedName name="BExZRQ930U6OCYNV00CH5I0Q4LPE" hidden="1">#REF!</definedName>
    <definedName name="BExZRQP7JLKS45QOGATXS7MK5GUZ" hidden="1">#REF!</definedName>
    <definedName name="BExZRW8W514W8OZ72YBONYJ64GXF" hidden="1">#REF!</definedName>
    <definedName name="BExZRWJP2BUVFJPO8U8ATQEP0LZU" hidden="1">#REF!</definedName>
    <definedName name="BExZSI9USDLZAN8LI8M4YYQL24GZ" hidden="1">#REF!</definedName>
    <definedName name="BExZSLKO175YAM0RMMZH1FPXL4V2" hidden="1">#REF!</definedName>
    <definedName name="BExZSS0LA2JY4ZLJ1Z5YCMLJJZCH" hidden="1">#REF!</definedName>
    <definedName name="BExZSTNUWCRNCL22SMKXKFSLCJ0O" hidden="1">#REF!</definedName>
    <definedName name="BExZSYRA4NR7K6RLC3I81QSG5SQR" hidden="1">#REF!</definedName>
    <definedName name="BExZT6JSZ8CBS0SB3T07N3LMAX7M" hidden="1">#REF!</definedName>
    <definedName name="BExZTAQV2QVSZY5Y3VCCWUBSBW9P" hidden="1">#REF!</definedName>
    <definedName name="BExZTHSI2FX56PWRSNX9H5EWTZFO" hidden="1">#REF!</definedName>
    <definedName name="BExZTJL3HVBFY139H6CJHEQCT1EL" hidden="1">#REF!</definedName>
    <definedName name="BExZTLOL8OPABZI453E0KVNA1GJS" hidden="1">#REF!</definedName>
    <definedName name="BExZTOTZ9F2ZI18DZM8GW39VDF1N" hidden="1">#REF!</definedName>
    <definedName name="BExZTT6J3X0TOX0ZY6YPLUVMCW9X" hidden="1">#REF!</definedName>
    <definedName name="BExZTW6ECBRA0BBITWBQ8R93RMCL" hidden="1">#REF!</definedName>
    <definedName name="BExZU2BHYAOKSCBM3C5014ZF6IXS" hidden="1">#REF!</definedName>
    <definedName name="BExZU2RMJTXOCS0ROPMYPE6WTD87" hidden="1">#REF!</definedName>
    <definedName name="BExZUBRAHA9DNEGONEZEB2TDVFC2" hidden="1">#REF!</definedName>
    <definedName name="BExZUF7G8FENTJKH9R1XUWXM6CWD" hidden="1">#REF!</definedName>
    <definedName name="BExZUNARUJBIZ08VCAV3GEVBIR3D" hidden="1">#REF!</definedName>
    <definedName name="BExZUSZT5496UMBP4LFSLTR1GVEW" hidden="1">#REF!</definedName>
    <definedName name="BExZUT54340I38GVCV79EL116WR0" hidden="1">#REF!</definedName>
    <definedName name="BExZUXC66MK2SXPXCLD8ZSU0BMTY" hidden="1">#REF!</definedName>
    <definedName name="BExZUYDULCX65H9OZ9JHPBNKF3MI" hidden="1">#REF!</definedName>
    <definedName name="BExZV2QD5ZDK3AGDRULLA7JB46C3" hidden="1">#REF!</definedName>
    <definedName name="BExZVBQ29OM0V8XAL3HL0JIM0MMU" hidden="1">#REF!</definedName>
    <definedName name="BExZVKV2XCPCINW1KP8Q1FI6KDNG" hidden="1">#REF!</definedName>
    <definedName name="BExZVLM4T9ORS4ZWHME46U4Q103C" hidden="1">#REF!</definedName>
    <definedName name="BExZVM7OZWPPRH5YQW50EYMMIW1A" hidden="1">#REF!</definedName>
    <definedName name="BExZVMYK7BAH6AGIAEXBE1NXDZ5Z" hidden="1">#REF!</definedName>
    <definedName name="BExZVPYGX2C5OSHMZ6F0KBKZ6B1S" hidden="1">#REF!</definedName>
    <definedName name="BExZW3LHTS7PFBNTYM95N8J5AFYQ" hidden="1">#REF!</definedName>
    <definedName name="BExZW472V5ADKCFHIKAJ6D4R8MU4" hidden="1">#REF!</definedName>
    <definedName name="BExZW5UARC8W9AQNLJX2I5WQWS5F" hidden="1">#REF!</definedName>
    <definedName name="BExZW7HRGN6A9YS41KI2B2UUMJ7X" hidden="1">#REF!</definedName>
    <definedName name="BExZW8ZPNV43UXGOT98FDNIBQHZY" hidden="1">#REF!</definedName>
    <definedName name="BExZWKZ5N3RDXU8MZ8HQVYYD8O0F" hidden="1">#REF!</definedName>
    <definedName name="BExZWMBRUCPO6F4QT5FNX8JRFL7V" hidden="1">#REF!</definedName>
    <definedName name="BExZWQO5171HT1OZ6D6JZBHEW4JG" hidden="1">#REF!</definedName>
    <definedName name="BExZWSMC9T48W74GFGQCIUJ8ZPP3" hidden="1">#REF!</definedName>
    <definedName name="BExZWUF2V4HY3HI8JN9ZVPRWK1H3" hidden="1">#REF!</definedName>
    <definedName name="BExZWX45URTK9KYDJHEXL1OTZ833" hidden="1">#REF!</definedName>
    <definedName name="BExZX0EWQEZO86WDAD9A4EAEZ012" hidden="1">#REF!</definedName>
    <definedName name="BExZX2T6ZT2DZLYSDJJBPVIT5OK2" hidden="1">#REF!</definedName>
    <definedName name="BExZXOJDELULNLEH7WG0OYJT0NJ4" hidden="1">#REF!</definedName>
    <definedName name="BExZXOOTRNUK8LGEAZ8ZCFW9KXQ1" hidden="1">#REF!</definedName>
    <definedName name="BExZXT6JOXNKEDU23DKL8XZAJZIH" hidden="1">#REF!</definedName>
    <definedName name="BExZXUTYW1HWEEZ1LIX4OQWC7HL1" hidden="1">#REF!</definedName>
    <definedName name="BExZXY4NKQL9QD76YMQJ15U1C2G8" hidden="1">#REF!</definedName>
    <definedName name="BExZXYQ7U5G08FQGUIGYT14QCBOF" hidden="1">#REF!</definedName>
    <definedName name="BExZY02V77YJBMODJSWZOYCMPS5X" hidden="1">#REF!</definedName>
    <definedName name="BExZY3DEOYNIHRV56IY5LJXZK8RU" hidden="1">#REF!</definedName>
    <definedName name="BExZY49QRZIR6CA41LFA9LM6EULU" hidden="1">#REF!</definedName>
    <definedName name="BExZYTG2G7W27YATTETFDDCZ0C4U" hidden="1">#REF!</definedName>
    <definedName name="BExZYYOZMC36ROQDWLR5Z17WKHCR" hidden="1">#REF!</definedName>
    <definedName name="BExZZ2FQA9A8C7CJKMEFQ9VPSLCE" hidden="1">#REF!</definedName>
    <definedName name="BExZZ7ZGXIMA3OVYAWY3YQSK64LF" hidden="1">#REF!</definedName>
    <definedName name="BExZZ8FKEIFG203MU6SEJ69MINCD" hidden="1">#REF!</definedName>
    <definedName name="BExZZCHAVHW8C2H649KRGVQ0WVRT" hidden="1">#REF!</definedName>
    <definedName name="BExZZTK54OTLF2YB68BHGOS27GEN" hidden="1">#REF!</definedName>
    <definedName name="BExZZXB3JQQG4SIZS4MRU6NNW7HI" hidden="1">#REF!</definedName>
    <definedName name="BExZZZEMIIFKMLLV4DJKX5TB9R5V" hidden="1">#REF!</definedName>
    <definedName name="BL" hidden="1">{#N/A,#N/A,FALSE,"Cover Sheet";"Use of Equipment",#N/A,FALSE,"Area C";"Equipment Hours",#N/A,FALSE,"All";"Summary",#N/A,FALSE,"All"}</definedName>
    <definedName name="blet" hidden="1">{#N/A,#N/A,FALSE,"Cover Sheet";"Use of Equipment",#N/A,FALSE,"Area C";"Equipment Hours",#N/A,FALSE,"All";"Summary",#N/A,FALSE,"All"}</definedName>
    <definedName name="bleth" hidden="1">{#N/A,#N/A,FALSE,"Cover Sheet";"Use of Equipment",#N/A,FALSE,"Area C";"Equipment Hours",#N/A,FALSE,"All";"Summary",#N/A,FALSE,"All"}</definedName>
    <definedName name="Bum" hidden="1">#REF!</definedName>
    <definedName name="CIQWBGuid" hidden="1">"6df3e850-8dab-470e-b8f1-07d8a1fa8102"</definedName>
    <definedName name="DEC">#REF!</definedName>
    <definedName name="DELETE01" hidden="1">{#N/A,#N/A,FALSE,"Coversheet";#N/A,#N/A,FALSE,"QA"}</definedName>
    <definedName name="DELETE02" hidden="1">{#N/A,#N/A,FALSE,"Schedule F";#N/A,#N/A,FALSE,"Schedule G"}</definedName>
    <definedName name="Delete06" hidden="1">{#N/A,#N/A,FALSE,"Coversheet";#N/A,#N/A,FALSE,"QA"}</definedName>
    <definedName name="Delete09" hidden="1">{#N/A,#N/A,FALSE,"Coversheet";#N/A,#N/A,FALSE,"QA"}</definedName>
    <definedName name="Delete1" hidden="1">{#N/A,#N/A,FALSE,"Coversheet";#N/A,#N/A,FALSE,"QA"}</definedName>
    <definedName name="Delete10" hidden="1">{#N/A,#N/A,FALSE,"Schedule F";#N/A,#N/A,FALSE,"Schedule G"}</definedName>
    <definedName name="Delete21" hidden="1">{#N/A,#N/A,FALSE,"Coversheet";#N/A,#N/A,FALSE,"QA"}</definedName>
    <definedName name="df" hidden="1">{#N/A,#N/A,FALSE,"CESTSUM";#N/A,#N/A,FALSE,"est sum A";#N/A,#N/A,FALSE,"est detail A"}</definedName>
    <definedName name="DFIT" hidden="1">{#N/A,#N/A,FALSE,"Coversheet";#N/A,#N/A,FALSE,"QA"}</definedName>
    <definedName name="DUDE" hidden="1">#REF!</definedName>
    <definedName name="ee" hidden="1">{#N/A,#N/A,FALSE,"Month ";#N/A,#N/A,FALSE,"YTD";#N/A,#N/A,FALSE,"12 mo ended"}</definedName>
    <definedName name="error" hidden="1">{#N/A,#N/A,FALSE,"Coversheet";#N/A,#N/A,FALSE,"QA"}</definedName>
    <definedName name="Estimate" hidden="1">{#N/A,#N/A,FALSE,"Summ";#N/A,#N/A,FALSE,"General"}</definedName>
    <definedName name="ex" hidden="1">{#N/A,#N/A,FALSE,"Summ";#N/A,#N/A,FALSE,"General"}</definedName>
    <definedName name="F" hidden="1">#REF!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hidden="1">{#N/A,#N/A,FALSE,"Month ";#N/A,#N/A,FALSE,"YTD";#N/A,#N/A,FALSE,"12 mo ended"}</definedName>
    <definedName name="ffff" hidden="1">{#N/A,#N/A,FALSE,"Coversheet";#N/A,#N/A,FALSE,"QA"}</definedName>
    <definedName name="fffgf" hidden="1">{#N/A,#N/A,FALSE,"Coversheet";#N/A,#N/A,FALSE,"QA"}</definedName>
    <definedName name="gary" hidden="1">{#N/A,#N/A,FALSE,"Cover Sheet";"Use of Equipment",#N/A,FALSE,"Area C";"Equipment Hours",#N/A,FALSE,"All";"Summary",#N/A,FALSE,"All"}</definedName>
    <definedName name="GenType">#REF!</definedName>
    <definedName name="Gentype2">#REF!</definedName>
    <definedName name="helllo" hidden="1">{#N/A,#N/A,FALSE,"Pg 6b CustCount_Gas";#N/A,#N/A,FALSE,"QA";#N/A,#N/A,FALSE,"Report";#N/A,#N/A,FALSE,"forecast"}</definedName>
    <definedName name="Hello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P" hidden="1">{#N/A,#N/A,FALSE,"Coversheet";#N/A,#N/A,FALSE,"QA"}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fkljsdkljiejgr" hidden="1">{#N/A,#N/A,FALSE,"Summ";#N/A,#N/A,FALSE,"General"}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imcount" hidden="1">1</definedName>
    <definedName name="lookup" hidden="1">{#N/A,#N/A,FALSE,"Coversheet";#N/A,#N/A,FALSE,"QA"}</definedName>
    <definedName name="Miller" hidden="1">{#N/A,#N/A,FALSE,"Expenditures";#N/A,#N/A,FALSE,"Property Placed In-Service";#N/A,#N/A,FALSE,"CWIP Balances"}</definedName>
    <definedName name="MUDEC">#REF!</definedName>
    <definedName name="MUJAN">#REF!</definedName>
    <definedName name="new" hidden="1">{#N/A,#N/A,FALSE,"Summ";#N/A,#N/A,FALSE,"General"}</definedName>
    <definedName name="NOYT" hidden="1">{#N/A,#N/A,FALSE,"Cover Sheet";"Use of Equipment",#N/A,FALSE,"Area C";"Equipment Hours",#N/A,FALSE,"All";"Summary",#N/A,FALSE,"All"}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_xlnm.Print_Area" localSheetId="20">'Revenue by Sch RY#1'!$A:$AX</definedName>
    <definedName name="_xlnm.Print_Area" localSheetId="21">'Revenue by Sch RY#2'!$A:$AU</definedName>
    <definedName name="_xlnm.Print_Titles" localSheetId="20">'Revenue by Sch RY#1'!$A:$E,'Revenue by Sch RY#1'!$1:$8</definedName>
    <definedName name="_xlnm.Print_Titles" localSheetId="21">'Revenue by Sch RY#2'!$A:$F,'Revenue by Sch RY#2'!$1:$8</definedName>
    <definedName name="print7">#REF!</definedName>
    <definedName name="print8">#REF!</definedName>
    <definedName name="q" hidden="1">{#N/A,#N/A,FALSE,"Coversheet";#N/A,#N/A,FALSE,"QA"}</definedName>
    <definedName name="qqq" hidden="1">{#N/A,#N/A,FALSE,"schA"}</definedName>
    <definedName name="rec_weco_gl_contract_aug99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retail_CC" hidden="1">{#N/A,#N/A,FALSE,"Loans";#N/A,#N/A,FALSE,"Program Costs";#N/A,#N/A,FALSE,"Measures";#N/A,#N/A,FALSE,"Net Lost Rev";#N/A,#N/A,FALSE,"Incentive"}</definedName>
    <definedName name="retail_CC1" hidden="1">{#N/A,#N/A,FALSE,"Loans";#N/A,#N/A,FALSE,"Program Costs";#N/A,#N/A,FALSE,"Measures";#N/A,#N/A,FALSE,"Net Lost Rev";#N/A,#N/A,FALSE,"Incentive"}</definedName>
    <definedName name="sdlfhsdlhfkl" hidden="1">{#N/A,#N/A,FALSE,"Summ";#N/A,#N/A,FALSE,"General"}</definedName>
    <definedName name="seven" hidden="1">{#N/A,#N/A,FALSE,"CRPT";#N/A,#N/A,FALSE,"TREND";#N/A,#N/A,FALSE,"%Curve"}</definedName>
    <definedName name="six" hidden="1">{#N/A,#N/A,FALSE,"Drill Sites";"WP 212",#N/A,FALSE,"MWAG EOR";"WP 213",#N/A,FALSE,"MWAG EOR";#N/A,#N/A,FALSE,"Misc. Facility";#N/A,#N/A,FALSE,"WWTP"}</definedName>
    <definedName name="SL_RateIncr">#REF!</definedName>
    <definedName name="study_period">#REF!</definedName>
    <definedName name="sue" hidden="1">{#N/A,#N/A,FALSE,"Cover Sheet";"Use of Equipment",#N/A,FALSE,"Area C";"Equipment Hours",#N/A,FALSE,"All";"Summary",#N/A,FALSE,"All"}</definedName>
    <definedName name="susan" hidden="1">{#N/A,#N/A,FALSE,"Cover Sheet";"Use of Equipment",#N/A,FALSE,"Area C";"Equipment Hours",#N/A,FALSE,"All";"Summary",#N/A,FALSE,"All"}</definedName>
    <definedName name="t" hidden="1">{#N/A,#N/A,FALSE,"CESTSUM";#N/A,#N/A,FALSE,"est sum A";#N/A,#N/A,FALSE,"est detail A"}</definedName>
    <definedName name="tem" hidden="1">{#N/A,#N/A,FALSE,"Summ";#N/A,#N/A,FALSE,"General"}</definedName>
    <definedName name="TEMP" hidden="1">{#N/A,#N/A,FALSE,"Summ";#N/A,#N/A,FALSE,"General"}</definedName>
    <definedName name="Temp1" hidden="1">{#N/A,#N/A,FALSE,"CESTSUM";#N/A,#N/A,FALSE,"est sum A";#N/A,#N/A,FALSE,"est detail A"}</definedName>
    <definedName name="temp2" hidden="1">{#N/A,#N/A,FALSE,"CESTSUM";#N/A,#N/A,FALSE,"est sum A";#N/A,#N/A,FALSE,"est detail A"}</definedName>
    <definedName name="TODEF1">#REF!</definedName>
    <definedName name="tr" hidden="1">{#N/A,#N/A,FALSE,"CESTSUM";#N/A,#N/A,FALSE,"est sum A";#N/A,#N/A,FALSE,"est detail A"}</definedName>
    <definedName name="Transfer" hidden="1">#REF!</definedName>
    <definedName name="Transfers" hidden="1">#REF!</definedName>
    <definedName name="u" hidden="1">{#N/A,#N/A,FALSE,"Summ";#N/A,#N/A,FALSE,"General"}</definedName>
    <definedName name="v" hidden="1">{#N/A,#N/A,FALSE,"Coversheet";#N/A,#N/A,FALSE,"QA"}</definedName>
    <definedName name="Value" hidden="1">{#N/A,#N/A,FALSE,"Summ";#N/A,#N/A,FALSE,"General"}</definedName>
    <definedName name="w" hidden="1">{#N/A,#N/A,FALSE,"Schedule F";#N/A,#N/A,FALSE,"Schedule G"}</definedName>
    <definedName name="we" hidden="1">{#N/A,#N/A,FALSE,"Pg 6b CustCount_Gas";#N/A,#N/A,FALSE,"QA";#N/A,#N/A,FALSE,"Report";#N/A,#N/A,FALSE,"forecast"}</definedName>
    <definedName name="WH" hidden="1">{#N/A,#N/A,FALSE,"Coversheet";#N/A,#N/A,FALSE,"QA"}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AAI." hidden="1">{#N/A,#N/A,FALSE,"CRPT";#N/A,#N/A,FALSE,"TREND";#N/A,#N/A,FALSE,"%Curve"}</definedName>
    <definedName name="wrn.AAI._.Report." hidden="1">{#N/A,#N/A,FALSE,"CRPT";#N/A,#N/A,FALSE,"TREND";#N/A,#N/A,FALSE,"% CURVE"}</definedName>
    <definedName name="wrn.Annual._.Cost._.Adjustment.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wrn.Annual._.Productivity._.Calc." hidden="1">{#N/A,#N/A,FALSE,"Summary (PC)";#N/A,#N/A,FALSE,"Production (PC)";#N/A,#N/A,FALSE,"Adj Hour Wksht (PC)";#N/A,#N/A,FALSE,"605&amp;606 Hrs (PC)";#N/A,#N/A,FALSE,"Rept Interval (PC)";#N/A,#N/A,FALSE,"Sum Prod (PC)";#N/A,#N/A,FALSE,"Rec. Wksht (PC)";#N/A,#N/A,FALSE,"Loc 13 Allocation (PC)"}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AREA._.INCOME." hidden="1">{"SUMMARY",#N/A,FALSE,"TENYEAR";"YEAR2000",#N/A,FALSE,"TENYEAR";"YEAR2001",#N/A,FALSE,"TENYEAR";"YEAR2002",#N/A,FALSE,"TENYEAR";"YEAR2003",#N/A,FALSE,"TENYEAR";"YEAR2004",#N/A,FALSE,"TENYEAR";"YEAR2005",#N/A,FALSE,"TENYEAR";"YEAR96",#N/A,FALSE,"TENYEAR";"YEAR97",#N/A,FALSE,"TENYEAR";"YEAR98",#N/A,FALSE,"TENYEAR";"YEAR99",#N/A,FALSE,"TENYEAR"}</definedName>
    <definedName name="wrn.Budget._.Model.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_1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Cost._.Adjustment." hidden="1">{#N/A,#N/A,FALSE,"Cost Adjustment 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hidden="1">{#N/A,#N/A,FALSE,"Pg 6b CustCount_Gas";#N/A,#N/A,FALSE,"QA";#N/A,#N/A,FALSE,"Report";#N/A,#N/A,FALSE,"forecast"}</definedName>
    <definedName name="wrn.Depreciation." hidden="1">{#N/A,#N/A,TRUE,"Depreciation Summary";#N/A,#N/A,TRUE,"18, 21 &amp; 22 Depreciation";#N/A,#N/A,TRUE,"11 &amp; 12 Depreciation"}</definedName>
    <definedName name="wrn.ECR." hidden="1">{#N/A,#N/A,FALSE,"schA"}</definedName>
    <definedName name="wrn.ESTIMATE." hidden="1">{#N/A,#N/A,FALSE,"CESTSUM";#N/A,#N/A,FALSE,"est sum A";#N/A,#N/A,FALSE,"est detail A"}</definedName>
    <definedName name="wrn.Forecast." hidden="1">{#N/A,#N/A,TRUE,"Assumptions";#N/A,#N/A,TRUE,"Deferred Stripping";#N/A,#N/A,TRUE,"Tonnage Variance";#N/A,#N/A,TRUE,"WEC";#N/A,#N/A,TRUE,"WEC00";#N/A,#N/A,TRUE,"WEC10";#N/A,#N/A,TRUE,"WEC11";#N/A,#N/A,TRUE,"WEC12";#N/A,#N/A,TRUE,"WEC13";#N/A,#N/A,TRUE,"WEC15";#N/A,#N/A,TRUE,"WEC16";#N/A,#N/A,TRUE,"WEC17";#N/A,#N/A,TRUE,"WEC18";#N/A,#N/A,TRUE,"WEC19";#N/A,#N/A,TRUE,"WEC21";#N/A,#N/A,TRUE,"WEC22";#N/A,#N/A,TRUE,"WEC24";#N/A,#N/A,TRUE,"WEC25";#N/A,#N/A,TRUE,"WEC26";#N/A,#N/A,TRUE,"WEC27";#N/A,#N/A,TRUE,"WEC43";#N/A,#N/A,TRUE,"WSC_I";#N/A,#N/A,TRUE,"CASHFLOW"}</definedName>
    <definedName name="wrn.Fundamental.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IEO." hidden="1">{#N/A,#N/A,FALSE,"SUMMARY";#N/A,#N/A,FALSE,"AE7616";#N/A,#N/A,FALSE,"AE7617";#N/A,#N/A,FALSE,"AE7618";#N/A,#N/A,FALSE,"AE7619"}</definedName>
    <definedName name="wrn.Incentive._.Overhead." hidden="1">{#N/A,#N/A,FALSE,"Coversheet";#N/A,#N/A,FALSE,"QA"}</definedName>
    <definedName name="wrn.limit_reports." hidden="1">{#N/A,#N/A,FALSE,"Schedule F";#N/A,#N/A,FALSE,"Schedule G"}</definedName>
    <definedName name="wrn.MARGIN_WO_QTR." hidden="1">{#N/A,#N/A,FALSE,"Month ";#N/A,#N/A,FALSE,"YTD";#N/A,#N/A,FALSE,"12 mo ended"}</definedName>
    <definedName name="wrn.Mining._.Flexibility." hidden="1">{#N/A,#N/A,FALSE,"Cover Sheet";"Use of Equipment",#N/A,FALSE,"Area C";"Equipment Hours",#N/A,FALSE,"All";"Summary",#N/A,FALSE,"All"}</definedName>
    <definedName name="wrn.Miscellaneous._.Schedules." hidden="1">{#N/A,#N/A,FALSE,"Electric";#N/A,#N/A,FALSE,"Shift Differential";#N/A,#N/A,FALSE,"Reclamation";#N/A,#N/A,FALSE,"Indices";#N/A,#N/A,FALSE,"Sales Tons";#N/A,#N/A,FALSE,"Personal Leave";#N/A,#N/A,FALSE,"Property Tax";#N/A,#N/A,FALSE,"Average Wage";#N/A,#N/A,FALSE,"Industrial Accident";#N/A,#N/A,FALSE,"Tool Allowance";#N/A,#N/A,FALSE,"Fringe Benefit";#N/A,#N/A,FALSE,"Office Space";#N/A,#N/A,FALSE,"Consulting, Engineering &amp; Test"}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OR._.Carrying._.Charge._.JV." hidden="1">{#N/A,#N/A,FALSE,"Loans";#N/A,#N/A,FALSE,"Program Costs";#N/A,#N/A,FALSE,"Measures";#N/A,#N/A,FALSE,"Net Lost Rev";#N/A,#N/A,FALSE,"Incentive"}</definedName>
    <definedName name="wrn.OR._.Carrying._.Charge._.JV.1" hidden="1">{#N/A,#N/A,FALSE,"Loans";#N/A,#N/A,FALSE,"Program Costs";#N/A,#N/A,FALSE,"Measures";#N/A,#N/A,FALSE,"Net Lost Rev";#N/A,#N/A,FALSE,"Incentive"}</definedName>
    <definedName name="wrn.Productivity." hidden="1">{#N/A,#N/A,TRUE,"Prod Cover Sheets";"Prod Rec Wksht",#N/A,TRUE,"Prod Rec. Wksht (OLD)";"Table 3 and 4",#N/A,TRUE,"Prod Rec. Wksht (OLD)";"Table 5",#N/A,TRUE,"Prod Rec. Wksht (OLD)";"Tables",#N/A,TRUE,"Prod (OLD)";#N/A,#N/A,TRUE,"605&amp;606 Hrs (PC)"}</definedName>
    <definedName name="wrn.Productivity._.Calculation." hidden="1">{#N/A,#N/A,TRUE,"Summary True-up";#N/A,#N/A,TRUE,"Production True-up";#N/A,#N/A,TRUE,"Adj Hour Wksht True-up";#N/A,#N/A,TRUE,"605&amp;606 Hrs True-up";#N/A,#N/A,TRUE,"Rept Interval True-up";#N/A,#N/A,TRUE,"Sum Prod True-up";#N/A,#N/A,TRUE,"Rec. Wksht True-up";#N/A,#N/A,TRUE,"Loc 13 Allocation True-up"}</definedName>
    <definedName name="wrn.Project._.Services." hidden="1">{#N/A,#N/A,FALSE,"BASE";#N/A,#N/A,FALSE,"LOOPS";#N/A,#N/A,FALSE,"PLC"}</definedName>
    <definedName name="wrn.SCHEDULE." hidden="1">{#N/A,#N/A,FALSE,"7617 Fab";#N/A,#N/A,FALSE,"7617 NSK"}</definedName>
    <definedName name="wrn.Semi._.Annual._.Cost._.Adj." hidden="1">{#N/A,#N/A,FALSE,"Cover Sheet (SACA)";#N/A,#N/A,FALSE,"Semi-Annual Cost Adj (SACA)";#N/A,#N/A,FALSE,"(SACA) Adjustments";#N/A,#N/A,FALSE,"Benefits";"SemiAnnual Shift Diff",#N/A,FALSE,"Cover Pages (SD)";#N/A,#N/A,FALSE,"Shift Differential (SD)";#N/A,#N/A,FALSE,"Shift Differential (SD)";#N/A,#N/A,FALSE,"Industrial Accident";#N/A,#N/A,FALSE,"Unemploy"}</definedName>
    <definedName name="wrn.Semi._.Annual._.Prod._.Calc." hidden="1">{#N/A,#N/A,TRUE,"(SAPC) Summary";#N/A,#N/A,TRUE,"(SAPC) Production";#N/A,#N/A,TRUE,"(SAPC) Adj Hour Wksht";#N/A,#N/A,TRUE,"(SAPC) 605&amp;606 Hrs";#N/A,#N/A,TRUE,"(SAPC) Rept Interval";#N/A,#N/A,TRUE,"(SAPC) SumProd";#N/A,#N/A,TRUE,"(SAPC) Rec. Wksht"}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hidden="1">{#N/A,#N/A,FALSE,"2002 Small Tool OH";#N/A,#N/A,FALSE,"QA"}</definedName>
    <definedName name="wrn.Summary." hidden="1">{#N/A,#N/A,FALSE,"Summ";#N/A,#N/A,FALSE,"General"}</definedName>
    <definedName name="wrn.test." hidden="1">{"Admin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Fringes"}</definedName>
    <definedName name="wrn.Trueup._.excluding._.Production." hidden="1">{#N/A,#N/A,FALSE,"Adjustment Sheet";"Summary Page 1_3",#N/A,FALSE,"Summary";#N/A,#N/A,FALSE,"Customer Summary";"Summary 3rd Party Sales",#N/A,FALSE,"Summary";"Admin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Fringes";#N/A,#N/A,FALSE,"Loading Rate";#N/A,#N/A,FALSE,"Hours Worked Allocation";#N/A,#N/A,FALSE,"Permit, Bond and Rec. Costs"}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hidden="1">{#N/A,#N/A,FALSE,"Expenditures";#N/A,#N/A,FALSE,"Property Placed In-Service";#N/A,#N/A,FALSE,"CWIP Balances"}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ww" hidden="1">{#N/A,#N/A,FALSE,"schA"}</definedName>
    <definedName name="x" hidden="1">{#N/A,#N/A,FALSE,"Coversheet";#N/A,#N/A,FALSE,"QA"}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uf" hidden="1">{#N/A,#N/A,FALSE,"Summ";#N/A,#N/A,FALSE,"General"}</definedName>
    <definedName name="z" hidden="1">{#N/A,#N/A,FALSE,"Coversheet";#N/A,#N/A,FALSE,"QA"}</definedName>
    <definedName name="zzz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_1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9" i="113" l="1"/>
  <c r="D28" i="113"/>
  <c r="D20" i="113"/>
  <c r="D19" i="113"/>
  <c r="D27" i="113"/>
  <c r="D18" i="113"/>
  <c r="D14" i="113"/>
  <c r="J14" i="113" s="1"/>
  <c r="G29" i="113"/>
  <c r="J29" i="113" s="1"/>
  <c r="G27" i="113"/>
  <c r="H27" i="113" s="1"/>
  <c r="E27" i="113"/>
  <c r="G20" i="113"/>
  <c r="J20" i="113" s="1"/>
  <c r="G19" i="113"/>
  <c r="J19" i="113" s="1"/>
  <c r="G18" i="113"/>
  <c r="J18" i="113" s="1"/>
  <c r="K18" i="113" s="1"/>
  <c r="E18" i="113"/>
  <c r="J27" i="113" l="1"/>
  <c r="K27" i="113" s="1"/>
  <c r="E28" i="113"/>
  <c r="K20" i="113"/>
  <c r="K29" i="113"/>
  <c r="K19" i="113"/>
  <c r="E19" i="113"/>
  <c r="G28" i="113"/>
  <c r="J28" i="113" s="1"/>
  <c r="K28" i="113" s="1"/>
  <c r="E20" i="113"/>
  <c r="E29" i="113"/>
  <c r="E31" i="113" s="1"/>
  <c r="G14" i="113"/>
  <c r="H18" i="113"/>
  <c r="K22" i="113" l="1"/>
  <c r="K31" i="113"/>
  <c r="E22" i="113"/>
  <c r="E32" i="113" s="1"/>
  <c r="H29" i="113"/>
  <c r="H19" i="113"/>
  <c r="H20" i="113"/>
  <c r="H28" i="113"/>
  <c r="K32" i="113" l="1"/>
  <c r="H31" i="113"/>
  <c r="H22" i="113"/>
  <c r="H32" i="113" s="1"/>
  <c r="E8" i="77" l="1"/>
  <c r="A5" i="110" l="1"/>
  <c r="T33" i="70" l="1"/>
  <c r="S33" i="70"/>
  <c r="L33" i="70"/>
  <c r="R8" i="77" l="1"/>
  <c r="Q8" i="77"/>
  <c r="O8" i="77"/>
  <c r="N8" i="77"/>
  <c r="L8" i="77"/>
  <c r="K8" i="77"/>
  <c r="S21" i="40"/>
  <c r="P21" i="40"/>
  <c r="Q11" i="106"/>
  <c r="Q10" i="106"/>
  <c r="C23" i="72"/>
  <c r="C23" i="77" s="1"/>
  <c r="C21" i="96"/>
  <c r="C20" i="96"/>
  <c r="C19" i="96"/>
  <c r="C17" i="72"/>
  <c r="C17" i="77" s="1"/>
  <c r="C15" i="72"/>
  <c r="C15" i="77" s="1"/>
  <c r="C13" i="96"/>
  <c r="C13" i="72"/>
  <c r="C13" i="77" s="1"/>
  <c r="C11" i="96"/>
  <c r="C11" i="72"/>
  <c r="C11" i="77" s="1"/>
  <c r="C11" i="88"/>
  <c r="C35" i="88" s="1"/>
  <c r="H21" i="104"/>
  <c r="H16" i="104"/>
  <c r="H14" i="104"/>
  <c r="H12" i="104"/>
  <c r="H9" i="104"/>
  <c r="F21" i="105"/>
  <c r="F16" i="105"/>
  <c r="F14" i="105"/>
  <c r="F12" i="105"/>
  <c r="F9" i="105"/>
  <c r="H21" i="103"/>
  <c r="H16" i="103"/>
  <c r="H14" i="103"/>
  <c r="H12" i="103"/>
  <c r="H9" i="103"/>
  <c r="N40" i="25"/>
  <c r="N35" i="25"/>
  <c r="N34" i="25"/>
  <c r="N36" i="25" s="1"/>
  <c r="N32" i="25"/>
  <c r="F40" i="25"/>
  <c r="AA22" i="102" s="1"/>
  <c r="F35" i="25"/>
  <c r="F34" i="25"/>
  <c r="F28" i="25"/>
  <c r="F27" i="25"/>
  <c r="AA17" i="102" s="1"/>
  <c r="F24" i="25"/>
  <c r="AA16" i="102" s="1"/>
  <c r="F22" i="25"/>
  <c r="F17" i="25"/>
  <c r="F15" i="25"/>
  <c r="F13" i="25"/>
  <c r="F32" i="25"/>
  <c r="H21" i="101"/>
  <c r="H16" i="101"/>
  <c r="H14" i="101"/>
  <c r="H12" i="101"/>
  <c r="H9" i="101"/>
  <c r="F21" i="59"/>
  <c r="F16" i="59"/>
  <c r="F14" i="59"/>
  <c r="F12" i="59"/>
  <c r="F9" i="59"/>
  <c r="F21" i="50"/>
  <c r="F16" i="50"/>
  <c r="F14" i="50"/>
  <c r="F12" i="50"/>
  <c r="F9" i="50"/>
  <c r="F21" i="23"/>
  <c r="F16" i="23"/>
  <c r="F12" i="23"/>
  <c r="F9" i="23"/>
  <c r="N39" i="43"/>
  <c r="N37" i="43"/>
  <c r="N36" i="43"/>
  <c r="N35" i="43"/>
  <c r="P33" i="43"/>
  <c r="P32" i="43"/>
  <c r="N30" i="43"/>
  <c r="N29" i="43"/>
  <c r="P28" i="43"/>
  <c r="N26" i="43"/>
  <c r="P24" i="43"/>
  <c r="P18" i="43"/>
  <c r="D32" i="43"/>
  <c r="D31" i="43"/>
  <c r="D30" i="43"/>
  <c r="D28" i="43"/>
  <c r="D27" i="43"/>
  <c r="D26" i="43"/>
  <c r="D24" i="43"/>
  <c r="D23" i="43"/>
  <c r="D22" i="43"/>
  <c r="D20" i="43"/>
  <c r="D19" i="43"/>
  <c r="D18" i="43"/>
  <c r="D16" i="43"/>
  <c r="D15" i="43"/>
  <c r="D14" i="43"/>
  <c r="D12" i="43"/>
  <c r="D11" i="43"/>
  <c r="A11" i="43"/>
  <c r="A12" i="43" s="1"/>
  <c r="A13" i="43" s="1"/>
  <c r="A14" i="43" s="1"/>
  <c r="A15" i="43" s="1"/>
  <c r="A16" i="43" s="1"/>
  <c r="A17" i="43" s="1"/>
  <c r="A18" i="43" s="1"/>
  <c r="A19" i="43" s="1"/>
  <c r="A20" i="43" s="1"/>
  <c r="A21" i="43" s="1"/>
  <c r="A22" i="43" s="1"/>
  <c r="A23" i="43" s="1"/>
  <c r="A24" i="43" s="1"/>
  <c r="A25" i="43" s="1"/>
  <c r="A26" i="43" s="1"/>
  <c r="A27" i="43" s="1"/>
  <c r="A28" i="43" s="1"/>
  <c r="A29" i="43" s="1"/>
  <c r="A30" i="43" s="1"/>
  <c r="A31" i="43" s="1"/>
  <c r="A32" i="43" s="1"/>
  <c r="A33" i="43" s="1"/>
  <c r="A34" i="43" s="1"/>
  <c r="A35" i="43" s="1"/>
  <c r="A36" i="43" s="1"/>
  <c r="A37" i="43" s="1"/>
  <c r="A38" i="43" s="1"/>
  <c r="A39" i="43" s="1"/>
  <c r="A40" i="43" s="1"/>
  <c r="A41" i="43" s="1"/>
  <c r="A42" i="43" s="1"/>
  <c r="A43" i="43" s="1"/>
  <c r="A44" i="43" s="1"/>
  <c r="A45" i="43" s="1"/>
  <c r="D10" i="43"/>
  <c r="A2" i="43"/>
  <c r="A1" i="43"/>
  <c r="N39" i="42"/>
  <c r="N37" i="42"/>
  <c r="N36" i="42"/>
  <c r="N35" i="42"/>
  <c r="P33" i="42"/>
  <c r="P32" i="42"/>
  <c r="N30" i="42"/>
  <c r="N29" i="42"/>
  <c r="P28" i="42"/>
  <c r="N26" i="42"/>
  <c r="P24" i="42"/>
  <c r="P18" i="42"/>
  <c r="A11" i="42"/>
  <c r="A12" i="42" s="1"/>
  <c r="A13" i="42" s="1"/>
  <c r="A14" i="42" s="1"/>
  <c r="A15" i="42" s="1"/>
  <c r="A16" i="42" s="1"/>
  <c r="A17" i="42" s="1"/>
  <c r="A18" i="42" s="1"/>
  <c r="A19" i="42" s="1"/>
  <c r="A20" i="42" s="1"/>
  <c r="A21" i="42" s="1"/>
  <c r="A22" i="42" s="1"/>
  <c r="A23" i="42" s="1"/>
  <c r="A24" i="42" s="1"/>
  <c r="A25" i="42" s="1"/>
  <c r="A26" i="42" s="1"/>
  <c r="A27" i="42" s="1"/>
  <c r="A28" i="42" s="1"/>
  <c r="A29" i="42" s="1"/>
  <c r="A30" i="42" s="1"/>
  <c r="A31" i="42" s="1"/>
  <c r="A32" i="42" s="1"/>
  <c r="A33" i="42" s="1"/>
  <c r="A34" i="42" s="1"/>
  <c r="A35" i="42" s="1"/>
  <c r="A36" i="42" s="1"/>
  <c r="A37" i="42" s="1"/>
  <c r="A38" i="42" s="1"/>
  <c r="A39" i="42" s="1"/>
  <c r="A40" i="42" s="1"/>
  <c r="A41" i="42" s="1"/>
  <c r="A42" i="42" s="1"/>
  <c r="A43" i="42" s="1"/>
  <c r="A44" i="42" s="1"/>
  <c r="A45" i="42" s="1"/>
  <c r="A2" i="42"/>
  <c r="A1" i="42"/>
  <c r="N51" i="41"/>
  <c r="N49" i="41"/>
  <c r="N48" i="41"/>
  <c r="N47" i="41"/>
  <c r="P45" i="41"/>
  <c r="P44" i="41"/>
  <c r="N42" i="41"/>
  <c r="N41" i="41"/>
  <c r="P40" i="41"/>
  <c r="P36" i="41"/>
  <c r="P30" i="41"/>
  <c r="M26" i="41"/>
  <c r="M25" i="41"/>
  <c r="M24" i="41"/>
  <c r="M23" i="41"/>
  <c r="M22" i="41"/>
  <c r="M21" i="41"/>
  <c r="A11" i="41"/>
  <c r="A12" i="41" s="1"/>
  <c r="A13" i="41" s="1"/>
  <c r="A14" i="41" s="1"/>
  <c r="A15" i="41" s="1"/>
  <c r="A16" i="41" s="1"/>
  <c r="A17" i="41" s="1"/>
  <c r="A18" i="41" s="1"/>
  <c r="A19" i="41" s="1"/>
  <c r="A20" i="41" s="1"/>
  <c r="A21" i="41" s="1"/>
  <c r="A22" i="41" s="1"/>
  <c r="A23" i="41" s="1"/>
  <c r="A24" i="41" s="1"/>
  <c r="A25" i="41" s="1"/>
  <c r="A26" i="41" s="1"/>
  <c r="A27" i="41" s="1"/>
  <c r="A28" i="41" s="1"/>
  <c r="A29" i="41" s="1"/>
  <c r="A30" i="41" s="1"/>
  <c r="A31" i="41" s="1"/>
  <c r="A32" i="41" s="1"/>
  <c r="A33" i="41" s="1"/>
  <c r="A34" i="41" s="1"/>
  <c r="A35" i="41" s="1"/>
  <c r="A36" i="41" s="1"/>
  <c r="A37" i="41" s="1"/>
  <c r="A38" i="41" s="1"/>
  <c r="A39" i="41" s="1"/>
  <c r="A40" i="41" s="1"/>
  <c r="A41" i="41" s="1"/>
  <c r="A42" i="41" s="1"/>
  <c r="A43" i="41" s="1"/>
  <c r="A44" i="41" s="1"/>
  <c r="A45" i="41" s="1"/>
  <c r="A46" i="41" s="1"/>
  <c r="A47" i="41" s="1"/>
  <c r="A48" i="41" s="1"/>
  <c r="A49" i="41" s="1"/>
  <c r="A50" i="41" s="1"/>
  <c r="A51" i="41" s="1"/>
  <c r="A52" i="41" s="1"/>
  <c r="A53" i="41" s="1"/>
  <c r="A54" i="41" s="1"/>
  <c r="A55" i="41" s="1"/>
  <c r="A56" i="41" s="1"/>
  <c r="A57" i="41" s="1"/>
  <c r="A2" i="41"/>
  <c r="A1" i="41"/>
  <c r="N65" i="40"/>
  <c r="N63" i="40"/>
  <c r="N62" i="40"/>
  <c r="N61" i="40"/>
  <c r="P59" i="40"/>
  <c r="P58" i="40"/>
  <c r="N56" i="40"/>
  <c r="N55" i="40"/>
  <c r="P54" i="40"/>
  <c r="N52" i="40"/>
  <c r="P50" i="40"/>
  <c r="P44" i="40"/>
  <c r="M42" i="40"/>
  <c r="M41" i="40"/>
  <c r="M40" i="40"/>
  <c r="M39" i="40"/>
  <c r="M38" i="40"/>
  <c r="M36" i="40"/>
  <c r="M35" i="40"/>
  <c r="M33" i="40"/>
  <c r="M32" i="40"/>
  <c r="M31" i="40"/>
  <c r="M30" i="40"/>
  <c r="A11" i="40"/>
  <c r="A12" i="40" s="1"/>
  <c r="A13" i="40" s="1"/>
  <c r="A14" i="40" s="1"/>
  <c r="A15" i="40" s="1"/>
  <c r="A16" i="40" s="1"/>
  <c r="A17" i="40" s="1"/>
  <c r="A18" i="40" s="1"/>
  <c r="A19" i="40" s="1"/>
  <c r="A20" i="40" s="1"/>
  <c r="A21" i="40" s="1"/>
  <c r="A22" i="40" s="1"/>
  <c r="A23" i="40" s="1"/>
  <c r="A24" i="40" s="1"/>
  <c r="A25" i="40" s="1"/>
  <c r="A26" i="40" s="1"/>
  <c r="A27" i="40" s="1"/>
  <c r="A28" i="40" s="1"/>
  <c r="A29" i="40" s="1"/>
  <c r="A30" i="40" s="1"/>
  <c r="A31" i="40" s="1"/>
  <c r="A32" i="40" s="1"/>
  <c r="A33" i="40" s="1"/>
  <c r="A34" i="40" s="1"/>
  <c r="A35" i="40" s="1"/>
  <c r="A36" i="40" s="1"/>
  <c r="A37" i="40" s="1"/>
  <c r="A38" i="40" s="1"/>
  <c r="A39" i="40" s="1"/>
  <c r="A40" i="40" s="1"/>
  <c r="A41" i="40" s="1"/>
  <c r="A42" i="40" s="1"/>
  <c r="A43" i="40" s="1"/>
  <c r="A44" i="40" s="1"/>
  <c r="A45" i="40" s="1"/>
  <c r="A46" i="40" s="1"/>
  <c r="A47" i="40" s="1"/>
  <c r="A48" i="40" s="1"/>
  <c r="A49" i="40" s="1"/>
  <c r="A50" i="40" s="1"/>
  <c r="A51" i="40" s="1"/>
  <c r="A52" i="40" s="1"/>
  <c r="A53" i="40" s="1"/>
  <c r="A54" i="40" s="1"/>
  <c r="A55" i="40" s="1"/>
  <c r="A56" i="40" s="1"/>
  <c r="A57" i="40" s="1"/>
  <c r="A58" i="40" s="1"/>
  <c r="A59" i="40" s="1"/>
  <c r="A60" i="40" s="1"/>
  <c r="A61" i="40" s="1"/>
  <c r="A62" i="40" s="1"/>
  <c r="A63" i="40" s="1"/>
  <c r="A64" i="40" s="1"/>
  <c r="A65" i="40" s="1"/>
  <c r="A66" i="40" s="1"/>
  <c r="A67" i="40" s="1"/>
  <c r="A68" i="40" s="1"/>
  <c r="A69" i="40" s="1"/>
  <c r="A70" i="40" s="1"/>
  <c r="A71" i="40" s="1"/>
  <c r="A72" i="40" s="1"/>
  <c r="A73" i="40" s="1"/>
  <c r="A74" i="40" s="1"/>
  <c r="A2" i="40"/>
  <c r="A1" i="40"/>
  <c r="N49" i="39"/>
  <c r="N47" i="39"/>
  <c r="N46" i="39"/>
  <c r="N45" i="39"/>
  <c r="P43" i="39"/>
  <c r="P42" i="39"/>
  <c r="N40" i="39"/>
  <c r="N39" i="39"/>
  <c r="P38" i="39"/>
  <c r="P34" i="39"/>
  <c r="P28" i="39"/>
  <c r="A2" i="39"/>
  <c r="A1" i="39"/>
  <c r="A11" i="39"/>
  <c r="A12" i="39" s="1"/>
  <c r="A13" i="39" s="1"/>
  <c r="A14" i="39" s="1"/>
  <c r="A15" i="39" s="1"/>
  <c r="A16" i="39" s="1"/>
  <c r="A17" i="39" s="1"/>
  <c r="A18" i="39" s="1"/>
  <c r="A19" i="39" s="1"/>
  <c r="A20" i="39" s="1"/>
  <c r="A21" i="39" s="1"/>
  <c r="A22" i="39" s="1"/>
  <c r="A23" i="39" s="1"/>
  <c r="A24" i="39" s="1"/>
  <c r="A25" i="39" s="1"/>
  <c r="A26" i="39" s="1"/>
  <c r="A27" i="39" s="1"/>
  <c r="A28" i="39" s="1"/>
  <c r="A29" i="39" s="1"/>
  <c r="A30" i="39" s="1"/>
  <c r="A31" i="39" s="1"/>
  <c r="A32" i="39" s="1"/>
  <c r="A33" i="39" s="1"/>
  <c r="A34" i="39" s="1"/>
  <c r="A35" i="39" s="1"/>
  <c r="A36" i="39" s="1"/>
  <c r="A37" i="39" s="1"/>
  <c r="A38" i="39" s="1"/>
  <c r="A39" i="39" s="1"/>
  <c r="A40" i="39" s="1"/>
  <c r="A41" i="39" s="1"/>
  <c r="A42" i="39" s="1"/>
  <c r="A43" i="39" s="1"/>
  <c r="A44" i="39" s="1"/>
  <c r="A45" i="39" s="1"/>
  <c r="A46" i="39" s="1"/>
  <c r="A47" i="39" s="1"/>
  <c r="A48" i="39" s="1"/>
  <c r="A49" i="39" s="1"/>
  <c r="A50" i="39" s="1"/>
  <c r="A51" i="39" s="1"/>
  <c r="A52" i="39" s="1"/>
  <c r="A53" i="39" s="1"/>
  <c r="A54" i="39" s="1"/>
  <c r="A55" i="39" s="1"/>
  <c r="A1" i="109"/>
  <c r="A2" i="109"/>
  <c r="D10" i="109"/>
  <c r="A11" i="109"/>
  <c r="A12" i="109" s="1"/>
  <c r="A13" i="109" s="1"/>
  <c r="A14" i="109" s="1"/>
  <c r="A15" i="109" s="1"/>
  <c r="A16" i="109" s="1"/>
  <c r="A17" i="109" s="1"/>
  <c r="A18" i="109" s="1"/>
  <c r="A19" i="109" s="1"/>
  <c r="A20" i="109" s="1"/>
  <c r="A21" i="109" s="1"/>
  <c r="A22" i="109" s="1"/>
  <c r="A23" i="109" s="1"/>
  <c r="A24" i="109" s="1"/>
  <c r="A25" i="109" s="1"/>
  <c r="A26" i="109" s="1"/>
  <c r="A27" i="109" s="1"/>
  <c r="A28" i="109" s="1"/>
  <c r="A29" i="109" s="1"/>
  <c r="A30" i="109" s="1"/>
  <c r="A31" i="109" s="1"/>
  <c r="A32" i="109" s="1"/>
  <c r="A33" i="109" s="1"/>
  <c r="A34" i="109" s="1"/>
  <c r="A35" i="109" s="1"/>
  <c r="A36" i="109" s="1"/>
  <c r="A37" i="109" s="1"/>
  <c r="A38" i="109" s="1"/>
  <c r="A39" i="109" s="1"/>
  <c r="A40" i="109" s="1"/>
  <c r="A41" i="109" s="1"/>
  <c r="A42" i="109" s="1"/>
  <c r="A43" i="109" s="1"/>
  <c r="A44" i="109" s="1"/>
  <c r="A45" i="109" s="1"/>
  <c r="A46" i="109" s="1"/>
  <c r="A47" i="109" s="1"/>
  <c r="A48" i="109" s="1"/>
  <c r="A49" i="109" s="1"/>
  <c r="A50" i="109" s="1"/>
  <c r="A51" i="109" s="1"/>
  <c r="A52" i="109" s="1"/>
  <c r="A53" i="109" s="1"/>
  <c r="A54" i="109" s="1"/>
  <c r="A55" i="109" s="1"/>
  <c r="A56" i="109" s="1"/>
  <c r="A57" i="109" s="1"/>
  <c r="A58" i="109" s="1"/>
  <c r="A59" i="109" s="1"/>
  <c r="A60" i="109" s="1"/>
  <c r="A61" i="109" s="1"/>
  <c r="A62" i="109" s="1"/>
  <c r="A63" i="109" s="1"/>
  <c r="A64" i="109" s="1"/>
  <c r="A65" i="109" s="1"/>
  <c r="A66" i="109" s="1"/>
  <c r="A67" i="109" s="1"/>
  <c r="B11" i="109"/>
  <c r="B12" i="109" s="1"/>
  <c r="D11" i="109"/>
  <c r="D12" i="109"/>
  <c r="D14" i="109"/>
  <c r="B15" i="109"/>
  <c r="B16" i="109" s="1"/>
  <c r="D15" i="109"/>
  <c r="D16" i="109"/>
  <c r="D18" i="109"/>
  <c r="Q18" i="109"/>
  <c r="T18" i="109"/>
  <c r="B19" i="109"/>
  <c r="B20" i="109" s="1"/>
  <c r="D19" i="109"/>
  <c r="D20" i="109"/>
  <c r="D22" i="109"/>
  <c r="B23" i="109"/>
  <c r="B24" i="109" s="1"/>
  <c r="D23" i="109"/>
  <c r="D24" i="109"/>
  <c r="D26" i="109"/>
  <c r="B27" i="109"/>
  <c r="B28" i="109" s="1"/>
  <c r="D27" i="109"/>
  <c r="M27" i="109"/>
  <c r="D28" i="109"/>
  <c r="M28" i="109"/>
  <c r="M29" i="109"/>
  <c r="D30" i="109"/>
  <c r="M30" i="109"/>
  <c r="B31" i="109"/>
  <c r="B32" i="109" s="1"/>
  <c r="D31" i="109"/>
  <c r="M31" i="109"/>
  <c r="D32" i="109"/>
  <c r="M32" i="109"/>
  <c r="M33" i="109"/>
  <c r="D34" i="109"/>
  <c r="M34" i="109"/>
  <c r="B35" i="109"/>
  <c r="B36" i="109" s="1"/>
  <c r="D35" i="109"/>
  <c r="M35" i="109"/>
  <c r="D36" i="109"/>
  <c r="M36" i="109"/>
  <c r="P38" i="109"/>
  <c r="P44" i="109"/>
  <c r="P48" i="109"/>
  <c r="N49" i="109"/>
  <c r="N50" i="109"/>
  <c r="P52" i="109"/>
  <c r="P53" i="109"/>
  <c r="N55" i="109"/>
  <c r="N56" i="109"/>
  <c r="N57" i="109"/>
  <c r="N59" i="109"/>
  <c r="Y38" i="108"/>
  <c r="Z38" i="108" s="1"/>
  <c r="Y37" i="108"/>
  <c r="Z37" i="108" s="1"/>
  <c r="Y33" i="108"/>
  <c r="Z33" i="108" s="1"/>
  <c r="Y29" i="108"/>
  <c r="Z29" i="108" s="1"/>
  <c r="Y23" i="108"/>
  <c r="Z23" i="108" s="1"/>
  <c r="V44" i="108"/>
  <c r="W44" i="108" s="1"/>
  <c r="V42" i="108"/>
  <c r="W42" i="108" s="1"/>
  <c r="V41" i="108"/>
  <c r="W41" i="108" s="1"/>
  <c r="V40" i="108"/>
  <c r="W40" i="108" s="1"/>
  <c r="V35" i="108"/>
  <c r="W35" i="108" s="1"/>
  <c r="V34" i="108"/>
  <c r="W34" i="108" s="1"/>
  <c r="A1" i="108"/>
  <c r="A2" i="108"/>
  <c r="A12" i="108"/>
  <c r="A13" i="108" s="1"/>
  <c r="A14" i="108" s="1"/>
  <c r="A15" i="108" s="1"/>
  <c r="A16" i="108" s="1"/>
  <c r="A17" i="108" s="1"/>
  <c r="A18" i="108" s="1"/>
  <c r="A19" i="108" s="1"/>
  <c r="A20" i="108" s="1"/>
  <c r="A21" i="108" s="1"/>
  <c r="A22" i="108" s="1"/>
  <c r="A23" i="108" s="1"/>
  <c r="A24" i="108" s="1"/>
  <c r="A25" i="108" s="1"/>
  <c r="A26" i="108" s="1"/>
  <c r="A27" i="108" s="1"/>
  <c r="A28" i="108" s="1"/>
  <c r="A29" i="108" s="1"/>
  <c r="A30" i="108" s="1"/>
  <c r="A31" i="108" s="1"/>
  <c r="A32" i="108" s="1"/>
  <c r="A33" i="108" s="1"/>
  <c r="A34" i="108" s="1"/>
  <c r="A35" i="108" s="1"/>
  <c r="A36" i="108" s="1"/>
  <c r="A37" i="108" s="1"/>
  <c r="A38" i="108" s="1"/>
  <c r="A39" i="108" s="1"/>
  <c r="A40" i="108" s="1"/>
  <c r="A41" i="108" s="1"/>
  <c r="A42" i="108" s="1"/>
  <c r="A43" i="108" s="1"/>
  <c r="A44" i="108" s="1"/>
  <c r="A45" i="108" s="1"/>
  <c r="A46" i="108" s="1"/>
  <c r="A47" i="108" s="1"/>
  <c r="A48" i="108" s="1"/>
  <c r="A49" i="108" s="1"/>
  <c r="A50" i="108" s="1"/>
  <c r="B12" i="108"/>
  <c r="B13" i="108" s="1"/>
  <c r="B16" i="108"/>
  <c r="B17" i="108" s="1"/>
  <c r="B19" i="108" s="1"/>
  <c r="B20" i="108" s="1"/>
  <c r="B21" i="108" s="1"/>
  <c r="B23" i="108" s="1"/>
  <c r="B24" i="108" s="1"/>
  <c r="B25" i="108" s="1"/>
  <c r="B27" i="108" s="1"/>
  <c r="B28" i="108" s="1"/>
  <c r="B29" i="108" s="1"/>
  <c r="B31" i="108" s="1"/>
  <c r="B32" i="108" s="1"/>
  <c r="B33" i="108" s="1"/>
  <c r="B35" i="108" s="1"/>
  <c r="B36" i="108" s="1"/>
  <c r="B37" i="108" s="1"/>
  <c r="B39" i="108" s="1"/>
  <c r="B40" i="108" s="1"/>
  <c r="B41" i="108" s="1"/>
  <c r="U18" i="108"/>
  <c r="U19" i="108"/>
  <c r="U20" i="108"/>
  <c r="U21" i="108"/>
  <c r="A10" i="85"/>
  <c r="A11" i="85" s="1"/>
  <c r="A12" i="85" s="1"/>
  <c r="A13" i="85" s="1"/>
  <c r="A14" i="85" s="1"/>
  <c r="A15" i="85" s="1"/>
  <c r="A16" i="85" s="1"/>
  <c r="A17" i="85" s="1"/>
  <c r="A18" i="85" s="1"/>
  <c r="A19" i="85" s="1"/>
  <c r="A20" i="85" s="1"/>
  <c r="A21" i="85" s="1"/>
  <c r="A22" i="85" s="1"/>
  <c r="A23" i="85" s="1"/>
  <c r="A24" i="85" s="1"/>
  <c r="A25" i="85" s="1"/>
  <c r="A26" i="85" s="1"/>
  <c r="A27" i="85" s="1"/>
  <c r="A28" i="85" s="1"/>
  <c r="A29" i="85" s="1"/>
  <c r="A30" i="85" s="1"/>
  <c r="A31" i="85" s="1"/>
  <c r="A32" i="85" s="1"/>
  <c r="A33" i="85" s="1"/>
  <c r="A34" i="85" s="1"/>
  <c r="A35" i="85" s="1"/>
  <c r="A36" i="85" s="1"/>
  <c r="A37" i="85" s="1"/>
  <c r="A38" i="85" s="1"/>
  <c r="A39" i="85" s="1"/>
  <c r="A40" i="85" s="1"/>
  <c r="A41" i="85" s="1"/>
  <c r="A42" i="85" s="1"/>
  <c r="A43" i="85" s="1"/>
  <c r="A44" i="85" s="1"/>
  <c r="A45" i="85" s="1"/>
  <c r="A46" i="85" s="1"/>
  <c r="A47" i="85" s="1"/>
  <c r="A48" i="85" s="1"/>
  <c r="A49" i="85" s="1"/>
  <c r="A50" i="85" s="1"/>
  <c r="A51" i="85" s="1"/>
  <c r="A52" i="85" s="1"/>
  <c r="A53" i="85" s="1"/>
  <c r="C9" i="85"/>
  <c r="L9" i="85" s="1"/>
  <c r="A2" i="85"/>
  <c r="A1" i="85"/>
  <c r="R41" i="106"/>
  <c r="C38" i="84" s="1"/>
  <c r="X38" i="84" s="1"/>
  <c r="V7" i="96"/>
  <c r="Q37" i="106" s="1"/>
  <c r="U36" i="108" s="1"/>
  <c r="M57" i="40" s="1"/>
  <c r="W7" i="96"/>
  <c r="Q38" i="106" s="1"/>
  <c r="X7" i="96"/>
  <c r="Q39" i="106" s="1"/>
  <c r="R36" i="106"/>
  <c r="C33" i="84" s="1"/>
  <c r="I33" i="84" s="1"/>
  <c r="R35" i="106"/>
  <c r="C32" i="84" s="1"/>
  <c r="AA32" i="84" s="1"/>
  <c r="U7" i="96"/>
  <c r="AK7" i="96" s="1"/>
  <c r="AP7" i="96" s="1"/>
  <c r="C9" i="84"/>
  <c r="X9" i="84" s="1"/>
  <c r="I9" i="85"/>
  <c r="O9" i="85"/>
  <c r="R9" i="85"/>
  <c r="X42" i="84"/>
  <c r="E28" i="98"/>
  <c r="I28" i="98" s="1"/>
  <c r="M28" i="98" s="1"/>
  <c r="A1" i="106"/>
  <c r="A2" i="106"/>
  <c r="K7" i="106"/>
  <c r="N7" i="106" s="1"/>
  <c r="L7" i="106"/>
  <c r="O7" i="106" s="1"/>
  <c r="Q9" i="106"/>
  <c r="A10" i="106"/>
  <c r="A11" i="106" s="1"/>
  <c r="A12" i="106" s="1"/>
  <c r="A13" i="106" s="1"/>
  <c r="A14" i="106" s="1"/>
  <c r="A15" i="106" s="1"/>
  <c r="A16" i="106" s="1"/>
  <c r="A17" i="106" s="1"/>
  <c r="A18" i="106" s="1"/>
  <c r="A19" i="106" s="1"/>
  <c r="A20" i="106" s="1"/>
  <c r="A21" i="106" s="1"/>
  <c r="A22" i="106" s="1"/>
  <c r="A23" i="106" s="1"/>
  <c r="A24" i="106" s="1"/>
  <c r="A25" i="106" s="1"/>
  <c r="A26" i="106" s="1"/>
  <c r="A27" i="106" s="1"/>
  <c r="A28" i="106" s="1"/>
  <c r="A29" i="106" s="1"/>
  <c r="A30" i="106" s="1"/>
  <c r="A31" i="106" s="1"/>
  <c r="A32" i="106" s="1"/>
  <c r="A33" i="106" s="1"/>
  <c r="A34" i="106" s="1"/>
  <c r="A35" i="106" s="1"/>
  <c r="A36" i="106" s="1"/>
  <c r="A37" i="106" s="1"/>
  <c r="A38" i="106" s="1"/>
  <c r="A39" i="106" s="1"/>
  <c r="A40" i="106" s="1"/>
  <c r="A41" i="106" s="1"/>
  <c r="A42" i="106" s="1"/>
  <c r="A43" i="106" s="1"/>
  <c r="A44" i="106" s="1"/>
  <c r="A45" i="106" s="1"/>
  <c r="A46" i="106" s="1"/>
  <c r="A47" i="106" s="1"/>
  <c r="A48" i="106" s="1"/>
  <c r="A49" i="106" s="1"/>
  <c r="A50" i="106" s="1"/>
  <c r="A51" i="106" s="1"/>
  <c r="A52" i="106" s="1"/>
  <c r="A53" i="106" s="1"/>
  <c r="T22" i="106"/>
  <c r="I19" i="84" s="1"/>
  <c r="AG19" i="84" s="1"/>
  <c r="C19" i="85" s="1"/>
  <c r="T28" i="106"/>
  <c r="L25" i="84" s="1"/>
  <c r="AG25" i="84" s="1"/>
  <c r="C25" i="85" s="1"/>
  <c r="R30" i="106"/>
  <c r="C27" i="84" s="1"/>
  <c r="R32" i="106"/>
  <c r="C29" i="84" s="1"/>
  <c r="L29" i="84" s="1"/>
  <c r="T34" i="106"/>
  <c r="O31" i="84" s="1"/>
  <c r="AG31" i="84" s="1"/>
  <c r="C31" i="85" s="1"/>
  <c r="T38" i="106"/>
  <c r="R35" i="84" s="1"/>
  <c r="AG35" i="84" s="1"/>
  <c r="C35" i="85" s="1"/>
  <c r="T39" i="106"/>
  <c r="U36" i="84" s="1"/>
  <c r="AG36" i="84" s="1"/>
  <c r="C36" i="85" s="1"/>
  <c r="F36" i="85" s="1"/>
  <c r="R42" i="106"/>
  <c r="C39" i="84" s="1"/>
  <c r="R43" i="106"/>
  <c r="C40" i="84" s="1"/>
  <c r="R45" i="106"/>
  <c r="C42" i="84" s="1"/>
  <c r="AD42" i="84" s="1"/>
  <c r="AG42" i="84"/>
  <c r="C42" i="85" s="1"/>
  <c r="O42" i="85" s="1"/>
  <c r="B11" i="77"/>
  <c r="B12" i="77"/>
  <c r="B13" i="77"/>
  <c r="B14" i="77"/>
  <c r="B15" i="77"/>
  <c r="B16" i="77"/>
  <c r="B17" i="77"/>
  <c r="B18" i="77"/>
  <c r="B19" i="77"/>
  <c r="B20" i="77"/>
  <c r="B21" i="77"/>
  <c r="B22" i="77"/>
  <c r="B23" i="77"/>
  <c r="B10" i="77"/>
  <c r="L42" i="85"/>
  <c r="R42" i="84"/>
  <c r="F42" i="84"/>
  <c r="A2" i="84"/>
  <c r="A1" i="84"/>
  <c r="S13" i="99"/>
  <c r="M34" i="99"/>
  <c r="S34" i="99" s="1"/>
  <c r="M33" i="99"/>
  <c r="S33" i="99" s="1"/>
  <c r="M31" i="99"/>
  <c r="S31" i="99" s="1"/>
  <c r="M13" i="99"/>
  <c r="M12" i="99"/>
  <c r="S12" i="99" s="1"/>
  <c r="I12" i="98"/>
  <c r="I9" i="98"/>
  <c r="M9" i="98" s="1"/>
  <c r="I8" i="98"/>
  <c r="T30" i="106" s="1"/>
  <c r="D8" i="77"/>
  <c r="A2" i="77"/>
  <c r="A2" i="88"/>
  <c r="A1" i="88"/>
  <c r="D8" i="72"/>
  <c r="C18" i="72"/>
  <c r="C18" i="77" s="1"/>
  <c r="C19" i="72"/>
  <c r="C19" i="77" s="1"/>
  <c r="C19" i="88"/>
  <c r="C43" i="88" s="1"/>
  <c r="C20" i="88"/>
  <c r="C44" i="88" s="1"/>
  <c r="A36" i="88"/>
  <c r="A37" i="88" s="1"/>
  <c r="A38" i="88" s="1"/>
  <c r="A39" i="88" s="1"/>
  <c r="A40" i="88" s="1"/>
  <c r="A41" i="88" s="1"/>
  <c r="A42" i="88" s="1"/>
  <c r="A43" i="88" s="1"/>
  <c r="A44" i="88" s="1"/>
  <c r="A45" i="88" s="1"/>
  <c r="A46" i="88" s="1"/>
  <c r="A47" i="88" s="1"/>
  <c r="A48" i="88" s="1"/>
  <c r="A49" i="88" s="1"/>
  <c r="I33" i="88"/>
  <c r="H33" i="88"/>
  <c r="E33" i="88"/>
  <c r="AE7" i="102"/>
  <c r="Z7" i="96"/>
  <c r="T7" i="96"/>
  <c r="AJ7" i="96" s="1"/>
  <c r="B39" i="104"/>
  <c r="Q35" i="104"/>
  <c r="E35" i="104"/>
  <c r="K34" i="104"/>
  <c r="B34" i="104"/>
  <c r="K33" i="104"/>
  <c r="B33" i="104"/>
  <c r="K31" i="104"/>
  <c r="B31" i="104"/>
  <c r="B28" i="104"/>
  <c r="B27" i="104"/>
  <c r="B24" i="104"/>
  <c r="B23" i="104"/>
  <c r="B22" i="104"/>
  <c r="K21" i="104"/>
  <c r="J21" i="104"/>
  <c r="B21" i="104"/>
  <c r="B18" i="104"/>
  <c r="B17" i="104"/>
  <c r="K16" i="104"/>
  <c r="J16" i="104"/>
  <c r="B16" i="104"/>
  <c r="B15" i="104"/>
  <c r="K14" i="104"/>
  <c r="J14" i="104"/>
  <c r="B14" i="104"/>
  <c r="K13" i="104"/>
  <c r="B13" i="104"/>
  <c r="K12" i="104"/>
  <c r="J12" i="104"/>
  <c r="B12" i="104"/>
  <c r="Q10" i="104"/>
  <c r="E10" i="104"/>
  <c r="K9" i="104"/>
  <c r="J9" i="104"/>
  <c r="B9" i="104"/>
  <c r="A9" i="104"/>
  <c r="A10" i="104" s="1"/>
  <c r="A11" i="104" s="1"/>
  <c r="A12" i="104" s="1"/>
  <c r="A13" i="104" s="1"/>
  <c r="A14" i="104" s="1"/>
  <c r="A15" i="104" s="1"/>
  <c r="A16" i="104" s="1"/>
  <c r="A17" i="104" s="1"/>
  <c r="A18" i="104" s="1"/>
  <c r="A19" i="104" s="1"/>
  <c r="A20" i="104" s="1"/>
  <c r="A21" i="104" s="1"/>
  <c r="A22" i="104" s="1"/>
  <c r="A23" i="104" s="1"/>
  <c r="A24" i="104" s="1"/>
  <c r="A25" i="104" s="1"/>
  <c r="A26" i="104" s="1"/>
  <c r="A27" i="104" s="1"/>
  <c r="A28" i="104" s="1"/>
  <c r="A29" i="104" s="1"/>
  <c r="A30" i="104" s="1"/>
  <c r="A31" i="104" s="1"/>
  <c r="A32" i="104" s="1"/>
  <c r="A33" i="104" s="1"/>
  <c r="A34" i="104" s="1"/>
  <c r="A35" i="104" s="1"/>
  <c r="A36" i="104" s="1"/>
  <c r="A37" i="104" s="1"/>
  <c r="A38" i="104" s="1"/>
  <c r="A39" i="104" s="1"/>
  <c r="A40" i="104" s="1"/>
  <c r="A41" i="104" s="1"/>
  <c r="K8" i="104"/>
  <c r="B8" i="104"/>
  <c r="R7" i="104"/>
  <c r="O7" i="104"/>
  <c r="N7" i="104"/>
  <c r="L7" i="104"/>
  <c r="K7" i="104"/>
  <c r="Q7" i="104" s="1"/>
  <c r="J7" i="104"/>
  <c r="I7" i="104"/>
  <c r="H7" i="104"/>
  <c r="F7" i="104"/>
  <c r="E7" i="104"/>
  <c r="P6" i="104"/>
  <c r="O6" i="104"/>
  <c r="J6" i="104"/>
  <c r="A1" i="104"/>
  <c r="B39" i="105"/>
  <c r="B34" i="105"/>
  <c r="B33" i="105"/>
  <c r="B31" i="105"/>
  <c r="B28" i="105"/>
  <c r="B27" i="105"/>
  <c r="B24" i="105"/>
  <c r="B23" i="105"/>
  <c r="B22" i="105"/>
  <c r="H21" i="105"/>
  <c r="B21" i="105"/>
  <c r="B18" i="105"/>
  <c r="B17" i="105"/>
  <c r="H16" i="105"/>
  <c r="B16" i="105"/>
  <c r="B15" i="105"/>
  <c r="H14" i="105"/>
  <c r="B14" i="105"/>
  <c r="B13" i="105"/>
  <c r="H12" i="105"/>
  <c r="B12" i="105"/>
  <c r="H9" i="105"/>
  <c r="B9" i="105"/>
  <c r="A9" i="105"/>
  <c r="A10" i="105" s="1"/>
  <c r="A11" i="105" s="1"/>
  <c r="A12" i="105" s="1"/>
  <c r="A13" i="105" s="1"/>
  <c r="A14" i="105" s="1"/>
  <c r="A15" i="105" s="1"/>
  <c r="A16" i="105" s="1"/>
  <c r="A17" i="105" s="1"/>
  <c r="A18" i="105" s="1"/>
  <c r="A19" i="105" s="1"/>
  <c r="A20" i="105" s="1"/>
  <c r="A21" i="105" s="1"/>
  <c r="A22" i="105" s="1"/>
  <c r="A23" i="105" s="1"/>
  <c r="A24" i="105" s="1"/>
  <c r="A25" i="105" s="1"/>
  <c r="A26" i="105" s="1"/>
  <c r="A27" i="105" s="1"/>
  <c r="A28" i="105" s="1"/>
  <c r="A29" i="105" s="1"/>
  <c r="A30" i="105" s="1"/>
  <c r="A31" i="105" s="1"/>
  <c r="A32" i="105" s="1"/>
  <c r="A33" i="105" s="1"/>
  <c r="A34" i="105" s="1"/>
  <c r="A35" i="105" s="1"/>
  <c r="A36" i="105" s="1"/>
  <c r="A37" i="105" s="1"/>
  <c r="A38" i="105" s="1"/>
  <c r="A39" i="105" s="1"/>
  <c r="A40" i="105" s="1"/>
  <c r="A41" i="105" s="1"/>
  <c r="B8" i="105"/>
  <c r="M7" i="105"/>
  <c r="K7" i="105"/>
  <c r="J7" i="105"/>
  <c r="I7" i="105"/>
  <c r="H7" i="105"/>
  <c r="G7" i="105"/>
  <c r="F7" i="105"/>
  <c r="E7" i="105"/>
  <c r="L6" i="105"/>
  <c r="K6" i="105"/>
  <c r="H6" i="105"/>
  <c r="A1" i="105"/>
  <c r="B39" i="103"/>
  <c r="Q35" i="103"/>
  <c r="E35" i="103"/>
  <c r="K34" i="103"/>
  <c r="B34" i="103"/>
  <c r="K33" i="103"/>
  <c r="B33" i="103"/>
  <c r="K31" i="103"/>
  <c r="B31" i="103"/>
  <c r="B28" i="103"/>
  <c r="B27" i="103"/>
  <c r="B24" i="103"/>
  <c r="B23" i="103"/>
  <c r="B22" i="103"/>
  <c r="K21" i="103"/>
  <c r="J21" i="103"/>
  <c r="B21" i="103"/>
  <c r="B18" i="103"/>
  <c r="B17" i="103"/>
  <c r="K16" i="103"/>
  <c r="J16" i="103"/>
  <c r="B16" i="103"/>
  <c r="B15" i="103"/>
  <c r="K14" i="103"/>
  <c r="J14" i="103"/>
  <c r="B14" i="103"/>
  <c r="K13" i="103"/>
  <c r="B13" i="103"/>
  <c r="K12" i="103"/>
  <c r="J12" i="103"/>
  <c r="B12" i="103"/>
  <c r="Q10" i="103"/>
  <c r="E10" i="103"/>
  <c r="K9" i="103"/>
  <c r="J9" i="103"/>
  <c r="B9" i="103"/>
  <c r="A9" i="103"/>
  <c r="A10" i="103" s="1"/>
  <c r="A11" i="103" s="1"/>
  <c r="A12" i="103" s="1"/>
  <c r="A13" i="103" s="1"/>
  <c r="A14" i="103" s="1"/>
  <c r="A15" i="103" s="1"/>
  <c r="A16" i="103" s="1"/>
  <c r="A17" i="103" s="1"/>
  <c r="A18" i="103" s="1"/>
  <c r="A19" i="103" s="1"/>
  <c r="A20" i="103" s="1"/>
  <c r="A21" i="103" s="1"/>
  <c r="A22" i="103" s="1"/>
  <c r="A23" i="103" s="1"/>
  <c r="A24" i="103" s="1"/>
  <c r="A25" i="103" s="1"/>
  <c r="A26" i="103" s="1"/>
  <c r="A27" i="103" s="1"/>
  <c r="A28" i="103" s="1"/>
  <c r="A29" i="103" s="1"/>
  <c r="A30" i="103" s="1"/>
  <c r="A31" i="103" s="1"/>
  <c r="A32" i="103" s="1"/>
  <c r="A33" i="103" s="1"/>
  <c r="A34" i="103" s="1"/>
  <c r="A35" i="103" s="1"/>
  <c r="A36" i="103" s="1"/>
  <c r="A37" i="103" s="1"/>
  <c r="A38" i="103" s="1"/>
  <c r="A39" i="103" s="1"/>
  <c r="A40" i="103" s="1"/>
  <c r="A41" i="103" s="1"/>
  <c r="K8" i="103"/>
  <c r="B8" i="103"/>
  <c r="R7" i="103"/>
  <c r="O7" i="103"/>
  <c r="N7" i="103"/>
  <c r="L7" i="103"/>
  <c r="K7" i="103"/>
  <c r="Q7" i="103" s="1"/>
  <c r="J7" i="103"/>
  <c r="I7" i="103"/>
  <c r="H7" i="103"/>
  <c r="F7" i="103"/>
  <c r="E7" i="103"/>
  <c r="P6" i="103"/>
  <c r="O6" i="103"/>
  <c r="J6" i="103"/>
  <c r="A1" i="103"/>
  <c r="K35" i="103"/>
  <c r="AJ7" i="102"/>
  <c r="AQ7" i="102" s="1"/>
  <c r="AH7" i="102"/>
  <c r="AO7" i="102"/>
  <c r="AG7" i="102"/>
  <c r="AN7" i="102" s="1"/>
  <c r="AA12" i="67"/>
  <c r="AJ12" i="67" s="1"/>
  <c r="A1" i="102"/>
  <c r="A2" i="102"/>
  <c r="AF7" i="102"/>
  <c r="AM7" i="102" s="1"/>
  <c r="AI7" i="102"/>
  <c r="AP7" i="102" s="1"/>
  <c r="A10" i="102"/>
  <c r="A11" i="102" s="1"/>
  <c r="A12" i="102" s="1"/>
  <c r="A13" i="102" s="1"/>
  <c r="A14" i="102" s="1"/>
  <c r="A15" i="102" s="1"/>
  <c r="A16" i="102" s="1"/>
  <c r="A17" i="102" s="1"/>
  <c r="A18" i="102" s="1"/>
  <c r="A19" i="102" s="1"/>
  <c r="A20" i="102" s="1"/>
  <c r="A21" i="102" s="1"/>
  <c r="A22" i="102" s="1"/>
  <c r="A23" i="102" s="1"/>
  <c r="A24" i="102" s="1"/>
  <c r="AA20" i="102"/>
  <c r="AA21" i="102"/>
  <c r="L36" i="25"/>
  <c r="L29" i="25"/>
  <c r="C14" i="88"/>
  <c r="C38" i="88" s="1"/>
  <c r="R46" i="106"/>
  <c r="C43" i="84" s="1"/>
  <c r="B40" i="25"/>
  <c r="B35" i="25"/>
  <c r="B34" i="25"/>
  <c r="B32" i="25"/>
  <c r="I28" i="25"/>
  <c r="M28" i="25" s="1"/>
  <c r="N28" i="25" s="1"/>
  <c r="B28" i="25"/>
  <c r="I27" i="25"/>
  <c r="B27" i="25"/>
  <c r="B24" i="25"/>
  <c r="B23" i="25"/>
  <c r="B22" i="25"/>
  <c r="I22" i="25"/>
  <c r="B21" i="25"/>
  <c r="B18" i="25"/>
  <c r="B17" i="25"/>
  <c r="B16" i="25"/>
  <c r="B15" i="25"/>
  <c r="B14" i="25"/>
  <c r="B13" i="25"/>
  <c r="B12" i="25"/>
  <c r="B9" i="25"/>
  <c r="A9" i="25"/>
  <c r="A10" i="25" s="1"/>
  <c r="A11" i="25" s="1"/>
  <c r="A12" i="25" s="1"/>
  <c r="A13" i="25" s="1"/>
  <c r="A14" i="25" s="1"/>
  <c r="A15" i="25" s="1"/>
  <c r="A16" i="25" s="1"/>
  <c r="A17" i="25" s="1"/>
  <c r="A18" i="25" s="1"/>
  <c r="A19" i="25" s="1"/>
  <c r="A20" i="25" s="1"/>
  <c r="A21" i="25" s="1"/>
  <c r="A22" i="25" s="1"/>
  <c r="A23" i="25" s="1"/>
  <c r="A24" i="25" s="1"/>
  <c r="A25" i="25" s="1"/>
  <c r="A26" i="25" s="1"/>
  <c r="A27" i="25" s="1"/>
  <c r="A28" i="25" s="1"/>
  <c r="A29" i="25" s="1"/>
  <c r="A30" i="25" s="1"/>
  <c r="A31" i="25" s="1"/>
  <c r="A32" i="25" s="1"/>
  <c r="A33" i="25" s="1"/>
  <c r="A34" i="25" s="1"/>
  <c r="A35" i="25" s="1"/>
  <c r="A36" i="25" s="1"/>
  <c r="A37" i="25" s="1"/>
  <c r="A38" i="25" s="1"/>
  <c r="A39" i="25" s="1"/>
  <c r="A40" i="25" s="1"/>
  <c r="A41" i="25" s="1"/>
  <c r="A42" i="25" s="1"/>
  <c r="B8" i="25"/>
  <c r="M7" i="25"/>
  <c r="K7" i="25"/>
  <c r="J7" i="25"/>
  <c r="I7" i="25"/>
  <c r="H7" i="25"/>
  <c r="G7" i="25"/>
  <c r="F7" i="25"/>
  <c r="E7" i="25"/>
  <c r="L6" i="25"/>
  <c r="K6" i="25"/>
  <c r="H6" i="25"/>
  <c r="A1" i="25"/>
  <c r="M39" i="101"/>
  <c r="S39" i="101" s="1"/>
  <c r="L39" i="101"/>
  <c r="R39" i="101" s="1"/>
  <c r="B39" i="101"/>
  <c r="Q35" i="101"/>
  <c r="E35" i="101"/>
  <c r="M34" i="101"/>
  <c r="S34" i="101" s="1"/>
  <c r="K34" i="101"/>
  <c r="B34" i="101"/>
  <c r="M33" i="101"/>
  <c r="S33" i="101" s="1"/>
  <c r="L33" i="101"/>
  <c r="R33" i="101" s="1"/>
  <c r="K33" i="101"/>
  <c r="B33" i="101"/>
  <c r="M31" i="101"/>
  <c r="S31" i="101" s="1"/>
  <c r="K31" i="101"/>
  <c r="L31" i="101"/>
  <c r="R31" i="101" s="1"/>
  <c r="B31" i="101"/>
  <c r="M28" i="101"/>
  <c r="S28" i="101" s="1"/>
  <c r="L28" i="101"/>
  <c r="P39" i="43" s="1"/>
  <c r="B28" i="101"/>
  <c r="M27" i="101"/>
  <c r="S27" i="101" s="1"/>
  <c r="L27" i="101"/>
  <c r="B27" i="101"/>
  <c r="M24" i="101"/>
  <c r="S24" i="101" s="1"/>
  <c r="L24" i="101"/>
  <c r="R24" i="101" s="1"/>
  <c r="B24" i="101"/>
  <c r="M23" i="101"/>
  <c r="S23" i="101" s="1"/>
  <c r="L23" i="101"/>
  <c r="R23" i="101" s="1"/>
  <c r="B23" i="101"/>
  <c r="M22" i="101"/>
  <c r="S22" i="101" s="1"/>
  <c r="B22" i="101"/>
  <c r="M21" i="101"/>
  <c r="S21" i="101" s="1"/>
  <c r="K21" i="101"/>
  <c r="J21" i="101"/>
  <c r="L22" i="101"/>
  <c r="R22" i="101" s="1"/>
  <c r="S51" i="41" s="1"/>
  <c r="B21" i="101"/>
  <c r="M18" i="101"/>
  <c r="S18" i="101" s="1"/>
  <c r="L18" i="101"/>
  <c r="B18" i="101"/>
  <c r="L17" i="101"/>
  <c r="B17" i="101"/>
  <c r="K16" i="101"/>
  <c r="J16" i="101"/>
  <c r="B16" i="101"/>
  <c r="M15" i="101"/>
  <c r="S15" i="101" s="1"/>
  <c r="B15" i="101"/>
  <c r="M14" i="101"/>
  <c r="S14" i="101" s="1"/>
  <c r="K14" i="101"/>
  <c r="J14" i="101"/>
  <c r="B14" i="101"/>
  <c r="M13" i="101"/>
  <c r="S13" i="101" s="1"/>
  <c r="L13" i="101"/>
  <c r="R13" i="101" s="1"/>
  <c r="AD44" i="108" s="1"/>
  <c r="AE44" i="108" s="1"/>
  <c r="K13" i="101"/>
  <c r="B13" i="101"/>
  <c r="M12" i="101"/>
  <c r="S12" i="101" s="1"/>
  <c r="K12" i="101"/>
  <c r="J12" i="101"/>
  <c r="L12" i="101"/>
  <c r="R12" i="101"/>
  <c r="B12" i="101"/>
  <c r="Q10" i="101"/>
  <c r="E10" i="101"/>
  <c r="M9" i="101"/>
  <c r="S9" i="101" s="1"/>
  <c r="K9" i="101"/>
  <c r="J9" i="101"/>
  <c r="B9" i="101"/>
  <c r="A9" i="101"/>
  <c r="A10" i="101" s="1"/>
  <c r="A11" i="101" s="1"/>
  <c r="A12" i="101" s="1"/>
  <c r="A13" i="101" s="1"/>
  <c r="A14" i="101" s="1"/>
  <c r="A15" i="101" s="1"/>
  <c r="A16" i="101" s="1"/>
  <c r="A17" i="101" s="1"/>
  <c r="A18" i="101" s="1"/>
  <c r="A19" i="101" s="1"/>
  <c r="A20" i="101" s="1"/>
  <c r="A21" i="101" s="1"/>
  <c r="A22" i="101" s="1"/>
  <c r="A23" i="101" s="1"/>
  <c r="A24" i="101" s="1"/>
  <c r="A25" i="101" s="1"/>
  <c r="A26" i="101" s="1"/>
  <c r="A27" i="101" s="1"/>
  <c r="A28" i="101" s="1"/>
  <c r="A29" i="101" s="1"/>
  <c r="A30" i="101" s="1"/>
  <c r="A31" i="101" s="1"/>
  <c r="A32" i="101" s="1"/>
  <c r="A33" i="101" s="1"/>
  <c r="A34" i="101" s="1"/>
  <c r="A35" i="101" s="1"/>
  <c r="A36" i="101" s="1"/>
  <c r="A37" i="101" s="1"/>
  <c r="A38" i="101" s="1"/>
  <c r="A39" i="101" s="1"/>
  <c r="A40" i="101" s="1"/>
  <c r="A41" i="101" s="1"/>
  <c r="M8" i="101"/>
  <c r="S8" i="101" s="1"/>
  <c r="L8" i="101"/>
  <c r="R8" i="101" s="1"/>
  <c r="W45" i="106" s="1"/>
  <c r="K8" i="101"/>
  <c r="B8" i="101"/>
  <c r="R7" i="101"/>
  <c r="Q7" i="101"/>
  <c r="O7" i="101"/>
  <c r="N7" i="101"/>
  <c r="L7" i="101"/>
  <c r="J7" i="101"/>
  <c r="I7" i="101"/>
  <c r="H7" i="101"/>
  <c r="F7" i="101"/>
  <c r="P6" i="101"/>
  <c r="O6" i="101"/>
  <c r="J6" i="101"/>
  <c r="A1" i="101"/>
  <c r="M39" i="24"/>
  <c r="S39" i="24" s="1"/>
  <c r="M34" i="24"/>
  <c r="S34" i="24" s="1"/>
  <c r="M33" i="24"/>
  <c r="S33" i="24" s="1"/>
  <c r="M31" i="24"/>
  <c r="S31" i="24" s="1"/>
  <c r="M28" i="24"/>
  <c r="S28" i="24" s="1"/>
  <c r="M27" i="24"/>
  <c r="S27" i="24" s="1"/>
  <c r="M24" i="24"/>
  <c r="S24" i="24" s="1"/>
  <c r="M23" i="24"/>
  <c r="M18" i="24"/>
  <c r="S18" i="24" s="1"/>
  <c r="M15" i="24"/>
  <c r="S15" i="24" s="1"/>
  <c r="M14" i="24"/>
  <c r="S14" i="24" s="1"/>
  <c r="M13" i="24"/>
  <c r="S13" i="24" s="1"/>
  <c r="M12" i="24"/>
  <c r="S12" i="24" s="1"/>
  <c r="M9" i="24"/>
  <c r="M8" i="24"/>
  <c r="S8" i="24" s="1"/>
  <c r="L39" i="24"/>
  <c r="R39" i="24" s="1"/>
  <c r="L34" i="24"/>
  <c r="R34" i="24" s="1"/>
  <c r="L33" i="24"/>
  <c r="R33" i="24" s="1"/>
  <c r="L31" i="24"/>
  <c r="R31" i="24" s="1"/>
  <c r="N64" i="40"/>
  <c r="N38" i="42"/>
  <c r="L24" i="24"/>
  <c r="R24" i="24" s="1"/>
  <c r="L23" i="24"/>
  <c r="R23" i="24" s="1"/>
  <c r="F17" i="24"/>
  <c r="L17" i="24" s="1"/>
  <c r="F13" i="24"/>
  <c r="R44" i="106"/>
  <c r="C41" i="84" s="1"/>
  <c r="B39" i="24"/>
  <c r="Q35" i="24"/>
  <c r="E35" i="24"/>
  <c r="K34" i="24"/>
  <c r="K35" i="24" s="1"/>
  <c r="B34" i="24"/>
  <c r="K33" i="24"/>
  <c r="B33" i="24"/>
  <c r="K31" i="24"/>
  <c r="B31" i="24"/>
  <c r="B28" i="24"/>
  <c r="B27" i="24"/>
  <c r="B24" i="24"/>
  <c r="S23" i="24"/>
  <c r="B23" i="24"/>
  <c r="B22" i="24"/>
  <c r="K21" i="24"/>
  <c r="J21" i="24"/>
  <c r="B21" i="24"/>
  <c r="B18" i="24"/>
  <c r="B17" i="24"/>
  <c r="K16" i="24"/>
  <c r="J16" i="24"/>
  <c r="B16" i="24"/>
  <c r="B15" i="24"/>
  <c r="K14" i="24"/>
  <c r="J14" i="24"/>
  <c r="B14" i="24"/>
  <c r="K13" i="24"/>
  <c r="B13" i="24"/>
  <c r="K12" i="24"/>
  <c r="J12" i="24"/>
  <c r="B12" i="24"/>
  <c r="Q10" i="24"/>
  <c r="E10" i="24"/>
  <c r="S9" i="24"/>
  <c r="K9" i="24"/>
  <c r="J9" i="24"/>
  <c r="B9" i="24"/>
  <c r="A9" i="24"/>
  <c r="A10" i="24" s="1"/>
  <c r="A11" i="24" s="1"/>
  <c r="A12" i="24" s="1"/>
  <c r="A13" i="24" s="1"/>
  <c r="A14" i="24" s="1"/>
  <c r="A15" i="24" s="1"/>
  <c r="A16" i="24" s="1"/>
  <c r="A17" i="24" s="1"/>
  <c r="A18" i="24" s="1"/>
  <c r="A19" i="24" s="1"/>
  <c r="A20" i="24" s="1"/>
  <c r="A21" i="24" s="1"/>
  <c r="A22" i="24" s="1"/>
  <c r="A23" i="24" s="1"/>
  <c r="A24" i="24" s="1"/>
  <c r="A25" i="24" s="1"/>
  <c r="A26" i="24" s="1"/>
  <c r="A27" i="24" s="1"/>
  <c r="A28" i="24" s="1"/>
  <c r="A29" i="24" s="1"/>
  <c r="A30" i="24" s="1"/>
  <c r="A31" i="24" s="1"/>
  <c r="A32" i="24" s="1"/>
  <c r="A33" i="24" s="1"/>
  <c r="A34" i="24" s="1"/>
  <c r="A35" i="24" s="1"/>
  <c r="A36" i="24" s="1"/>
  <c r="A37" i="24" s="1"/>
  <c r="A38" i="24" s="1"/>
  <c r="A39" i="24" s="1"/>
  <c r="A40" i="24" s="1"/>
  <c r="A41" i="24" s="1"/>
  <c r="K8" i="24"/>
  <c r="B8" i="24"/>
  <c r="R7" i="24"/>
  <c r="Q7" i="24"/>
  <c r="O7" i="24"/>
  <c r="N7" i="24"/>
  <c r="L7" i="24"/>
  <c r="J7" i="24"/>
  <c r="I7" i="24"/>
  <c r="H7" i="24"/>
  <c r="F7" i="24"/>
  <c r="P6" i="24"/>
  <c r="O6" i="24"/>
  <c r="J6" i="24"/>
  <c r="A1" i="24"/>
  <c r="AA7" i="96"/>
  <c r="Q42" i="106" s="1"/>
  <c r="AB7" i="96"/>
  <c r="Q43" i="106" s="1"/>
  <c r="AC7" i="96"/>
  <c r="Q44" i="106" s="1"/>
  <c r="AD7" i="96"/>
  <c r="Q45" i="106"/>
  <c r="AE7" i="96"/>
  <c r="Q46" i="106" s="1"/>
  <c r="I39" i="59"/>
  <c r="M39" i="59" s="1"/>
  <c r="B39" i="59"/>
  <c r="I34" i="59"/>
  <c r="M34" i="59"/>
  <c r="B34" i="59"/>
  <c r="I33" i="59"/>
  <c r="M33" i="59" s="1"/>
  <c r="B33" i="59"/>
  <c r="I31" i="59"/>
  <c r="M31" i="59" s="1"/>
  <c r="B31" i="59"/>
  <c r="I28" i="59"/>
  <c r="M28" i="59" s="1"/>
  <c r="S37" i="43" s="1"/>
  <c r="B28" i="59"/>
  <c r="I27" i="59"/>
  <c r="M27" i="59" s="1"/>
  <c r="S37" i="42" s="1"/>
  <c r="B27" i="59"/>
  <c r="I24" i="59"/>
  <c r="M24" i="59" s="1"/>
  <c r="B24" i="59"/>
  <c r="I23" i="59"/>
  <c r="M23" i="59" s="1"/>
  <c r="B23" i="59"/>
  <c r="I22" i="59"/>
  <c r="P49" i="41" s="1"/>
  <c r="B22" i="59"/>
  <c r="I21" i="59"/>
  <c r="H21" i="59"/>
  <c r="B21" i="59"/>
  <c r="I18" i="59"/>
  <c r="M18" i="59" s="1"/>
  <c r="S63" i="40" s="1"/>
  <c r="B18" i="59"/>
  <c r="I17" i="59"/>
  <c r="M17" i="59" s="1"/>
  <c r="S47" i="39" s="1"/>
  <c r="B17" i="59"/>
  <c r="I16" i="59"/>
  <c r="M16" i="59" s="1"/>
  <c r="N16" i="59" s="1"/>
  <c r="H16" i="59"/>
  <c r="B16" i="59"/>
  <c r="I15" i="59"/>
  <c r="P57" i="109" s="1"/>
  <c r="B15" i="59"/>
  <c r="I14" i="59"/>
  <c r="M14" i="59" s="1"/>
  <c r="N14" i="59" s="1"/>
  <c r="H14" i="59"/>
  <c r="B14" i="59"/>
  <c r="I13" i="59"/>
  <c r="B13" i="59"/>
  <c r="I12" i="59"/>
  <c r="M12" i="59" s="1"/>
  <c r="N12" i="59" s="1"/>
  <c r="H12" i="59"/>
  <c r="B12" i="59"/>
  <c r="I9" i="59"/>
  <c r="M9" i="59" s="1"/>
  <c r="N9" i="59" s="1"/>
  <c r="H9" i="59"/>
  <c r="B9" i="59"/>
  <c r="A9" i="59"/>
  <c r="A10" i="59"/>
  <c r="A11" i="59" s="1"/>
  <c r="A12" i="59" s="1"/>
  <c r="A13" i="59" s="1"/>
  <c r="A14" i="59" s="1"/>
  <c r="A15" i="59" s="1"/>
  <c r="A16" i="59" s="1"/>
  <c r="A17" i="59" s="1"/>
  <c r="A18" i="59" s="1"/>
  <c r="A19" i="59" s="1"/>
  <c r="A20" i="59" s="1"/>
  <c r="A21" i="59" s="1"/>
  <c r="A22" i="59" s="1"/>
  <c r="A23" i="59" s="1"/>
  <c r="A24" i="59" s="1"/>
  <c r="A25" i="59" s="1"/>
  <c r="A26" i="59" s="1"/>
  <c r="A27" i="59" s="1"/>
  <c r="A28" i="59" s="1"/>
  <c r="A29" i="59" s="1"/>
  <c r="A30" i="59" s="1"/>
  <c r="A31" i="59" s="1"/>
  <c r="A32" i="59" s="1"/>
  <c r="A33" i="59" s="1"/>
  <c r="A34" i="59" s="1"/>
  <c r="A35" i="59" s="1"/>
  <c r="A36" i="59" s="1"/>
  <c r="A37" i="59" s="1"/>
  <c r="A38" i="59" s="1"/>
  <c r="A39" i="59" s="1"/>
  <c r="A40" i="59" s="1"/>
  <c r="A41" i="59" s="1"/>
  <c r="I8" i="59"/>
  <c r="M8" i="59" s="1"/>
  <c r="W43" i="106" s="1"/>
  <c r="B8" i="59"/>
  <c r="M7" i="59"/>
  <c r="K7" i="59"/>
  <c r="J7" i="59"/>
  <c r="I7" i="59"/>
  <c r="H7" i="59"/>
  <c r="G7" i="59"/>
  <c r="F7" i="59"/>
  <c r="E7" i="59"/>
  <c r="L6" i="59"/>
  <c r="K6" i="59"/>
  <c r="H6" i="59"/>
  <c r="A1" i="59"/>
  <c r="I39" i="50"/>
  <c r="M39" i="50" s="1"/>
  <c r="B39" i="50"/>
  <c r="I34" i="50"/>
  <c r="M34" i="50" s="1"/>
  <c r="B34" i="50"/>
  <c r="I33" i="50"/>
  <c r="M33" i="50" s="1"/>
  <c r="B33" i="50"/>
  <c r="I31" i="50"/>
  <c r="B31" i="50"/>
  <c r="I28" i="50"/>
  <c r="P36" i="43" s="1"/>
  <c r="B28" i="50"/>
  <c r="B27" i="50"/>
  <c r="I24" i="50"/>
  <c r="M24" i="50" s="1"/>
  <c r="B24" i="50"/>
  <c r="I23" i="50"/>
  <c r="M23" i="50" s="1"/>
  <c r="B23" i="50"/>
  <c r="B22" i="50"/>
  <c r="I21" i="50"/>
  <c r="M21" i="50" s="1"/>
  <c r="N21" i="50" s="1"/>
  <c r="H21" i="50"/>
  <c r="I22" i="50"/>
  <c r="B21" i="50"/>
  <c r="I18" i="50"/>
  <c r="M18" i="50" s="1"/>
  <c r="S62" i="40" s="1"/>
  <c r="B18" i="50"/>
  <c r="B17" i="50"/>
  <c r="H16" i="50"/>
  <c r="B16" i="50"/>
  <c r="B15" i="50"/>
  <c r="H14" i="50"/>
  <c r="B14" i="50"/>
  <c r="B13" i="50"/>
  <c r="H12" i="50"/>
  <c r="I12" i="50"/>
  <c r="B12" i="50"/>
  <c r="I9" i="50"/>
  <c r="M9" i="50" s="1"/>
  <c r="N9" i="50" s="1"/>
  <c r="H9" i="50"/>
  <c r="J9" i="50" s="1"/>
  <c r="B9" i="50"/>
  <c r="A9" i="50"/>
  <c r="A10" i="50" s="1"/>
  <c r="A11" i="50" s="1"/>
  <c r="A12" i="50" s="1"/>
  <c r="A13" i="50" s="1"/>
  <c r="A14" i="50" s="1"/>
  <c r="A15" i="50" s="1"/>
  <c r="A16" i="50" s="1"/>
  <c r="A17" i="50" s="1"/>
  <c r="A18" i="50" s="1"/>
  <c r="A19" i="50" s="1"/>
  <c r="A20" i="50" s="1"/>
  <c r="A21" i="50" s="1"/>
  <c r="A22" i="50" s="1"/>
  <c r="A23" i="50" s="1"/>
  <c r="A24" i="50" s="1"/>
  <c r="A25" i="50" s="1"/>
  <c r="A26" i="50" s="1"/>
  <c r="A27" i="50" s="1"/>
  <c r="A28" i="50" s="1"/>
  <c r="A29" i="50" s="1"/>
  <c r="A30" i="50" s="1"/>
  <c r="A31" i="50" s="1"/>
  <c r="A32" i="50" s="1"/>
  <c r="A33" i="50" s="1"/>
  <c r="A34" i="50" s="1"/>
  <c r="A35" i="50" s="1"/>
  <c r="A36" i="50" s="1"/>
  <c r="A37" i="50" s="1"/>
  <c r="A38" i="50" s="1"/>
  <c r="A39" i="50" s="1"/>
  <c r="A40" i="50" s="1"/>
  <c r="A41" i="50" s="1"/>
  <c r="I8" i="50"/>
  <c r="M8" i="50" s="1"/>
  <c r="W42" i="106" s="1"/>
  <c r="B8" i="50"/>
  <c r="M7" i="50"/>
  <c r="K7" i="50"/>
  <c r="J7" i="50"/>
  <c r="I7" i="50"/>
  <c r="H7" i="50"/>
  <c r="G7" i="50"/>
  <c r="F7" i="50"/>
  <c r="E7" i="50"/>
  <c r="L6" i="50"/>
  <c r="K6" i="50"/>
  <c r="H6" i="50"/>
  <c r="A1" i="50"/>
  <c r="P37" i="42"/>
  <c r="R17" i="101"/>
  <c r="S49" i="39" s="1"/>
  <c r="P49" i="39"/>
  <c r="R18" i="101"/>
  <c r="S65" i="40" s="1"/>
  <c r="P65" i="40"/>
  <c r="P37" i="43"/>
  <c r="T45" i="106"/>
  <c r="R28" i="101"/>
  <c r="S39" i="43" s="1"/>
  <c r="M15" i="59"/>
  <c r="S57" i="109" s="1"/>
  <c r="U45" i="108"/>
  <c r="M40" i="42" s="1"/>
  <c r="B43" i="85"/>
  <c r="B43" i="84"/>
  <c r="F14" i="24"/>
  <c r="F15" i="24" s="1"/>
  <c r="H9" i="24"/>
  <c r="L9" i="24"/>
  <c r="I24" i="25"/>
  <c r="M24" i="25" s="1"/>
  <c r="N24" i="25" s="1"/>
  <c r="M27" i="25"/>
  <c r="N27" i="25" s="1"/>
  <c r="I15" i="25"/>
  <c r="M15" i="25" s="1"/>
  <c r="N15" i="25" s="1"/>
  <c r="M22" i="25"/>
  <c r="N22" i="25" s="1"/>
  <c r="I13" i="25"/>
  <c r="M13" i="25" s="1"/>
  <c r="N13" i="25" s="1"/>
  <c r="I17" i="25"/>
  <c r="M17" i="101"/>
  <c r="S17" i="101" s="1"/>
  <c r="L14" i="101"/>
  <c r="R14" i="101" s="1"/>
  <c r="L16" i="101"/>
  <c r="R16" i="101" s="1"/>
  <c r="M16" i="101"/>
  <c r="S16" i="101" s="1"/>
  <c r="L21" i="101"/>
  <c r="N21" i="101" s="1"/>
  <c r="L9" i="101"/>
  <c r="L34" i="101"/>
  <c r="R34" i="101" s="1"/>
  <c r="I17" i="50"/>
  <c r="P46" i="39" s="1"/>
  <c r="M31" i="50"/>
  <c r="I14" i="50"/>
  <c r="I15" i="50"/>
  <c r="M15" i="50" s="1"/>
  <c r="S56" i="109" s="1"/>
  <c r="I27" i="50"/>
  <c r="P36" i="42"/>
  <c r="I16" i="50"/>
  <c r="J16" i="50" s="1"/>
  <c r="I34" i="100"/>
  <c r="M34" i="100" s="1"/>
  <c r="B39" i="100"/>
  <c r="B34" i="100"/>
  <c r="B33" i="100"/>
  <c r="B31" i="100"/>
  <c r="B28" i="100"/>
  <c r="B27" i="100"/>
  <c r="B24" i="100"/>
  <c r="B23" i="100"/>
  <c r="B22" i="100"/>
  <c r="H21" i="100"/>
  <c r="B21" i="100"/>
  <c r="B18" i="100"/>
  <c r="B17" i="100"/>
  <c r="H16" i="100"/>
  <c r="B16" i="100"/>
  <c r="B15" i="100"/>
  <c r="H14" i="100"/>
  <c r="B14" i="100"/>
  <c r="B13" i="100"/>
  <c r="H12" i="100"/>
  <c r="B12" i="100"/>
  <c r="H9" i="100"/>
  <c r="B9" i="100"/>
  <c r="A9" i="100"/>
  <c r="A10" i="100" s="1"/>
  <c r="A11" i="100" s="1"/>
  <c r="A12" i="100" s="1"/>
  <c r="A13" i="100" s="1"/>
  <c r="A14" i="100" s="1"/>
  <c r="A15" i="100" s="1"/>
  <c r="A16" i="100" s="1"/>
  <c r="A17" i="100" s="1"/>
  <c r="A18" i="100" s="1"/>
  <c r="A19" i="100" s="1"/>
  <c r="A20" i="100" s="1"/>
  <c r="A21" i="100" s="1"/>
  <c r="A22" i="100" s="1"/>
  <c r="A23" i="100" s="1"/>
  <c r="A24" i="100" s="1"/>
  <c r="A25" i="100" s="1"/>
  <c r="A26" i="100" s="1"/>
  <c r="A27" i="100" s="1"/>
  <c r="A28" i="100" s="1"/>
  <c r="A29" i="100" s="1"/>
  <c r="A30" i="100" s="1"/>
  <c r="A31" i="100" s="1"/>
  <c r="A32" i="100" s="1"/>
  <c r="A33" i="100" s="1"/>
  <c r="A34" i="100" s="1"/>
  <c r="A35" i="100" s="1"/>
  <c r="A36" i="100" s="1"/>
  <c r="A37" i="100" s="1"/>
  <c r="A38" i="100" s="1"/>
  <c r="A39" i="100" s="1"/>
  <c r="A40" i="100" s="1"/>
  <c r="A41" i="100" s="1"/>
  <c r="B8" i="100"/>
  <c r="M7" i="100"/>
  <c r="K7" i="100"/>
  <c r="J7" i="100"/>
  <c r="I7" i="100"/>
  <c r="H7" i="100"/>
  <c r="G7" i="100"/>
  <c r="F7" i="100"/>
  <c r="E7" i="100"/>
  <c r="L6" i="100"/>
  <c r="K6" i="100"/>
  <c r="H6" i="100"/>
  <c r="A1" i="100"/>
  <c r="N33" i="43"/>
  <c r="N33" i="42"/>
  <c r="T22" i="70"/>
  <c r="G22" i="70"/>
  <c r="N45" i="41" s="1"/>
  <c r="N59" i="40"/>
  <c r="H17" i="70"/>
  <c r="T17" i="70"/>
  <c r="G17" i="70"/>
  <c r="N43" i="39" s="1"/>
  <c r="I12" i="70"/>
  <c r="H14" i="70"/>
  <c r="H15" i="70" s="1"/>
  <c r="T15" i="70"/>
  <c r="G14" i="70"/>
  <c r="G15" i="70" s="1"/>
  <c r="N53" i="109" s="1"/>
  <c r="R39" i="106"/>
  <c r="C36" i="84" s="1"/>
  <c r="X36" i="84" s="1"/>
  <c r="S39" i="70"/>
  <c r="T39" i="70"/>
  <c r="B39" i="70"/>
  <c r="R35" i="70"/>
  <c r="E35" i="70"/>
  <c r="T34" i="70"/>
  <c r="L34" i="70"/>
  <c r="S34" i="70"/>
  <c r="B34" i="70"/>
  <c r="B33" i="70"/>
  <c r="T31" i="70"/>
  <c r="L31" i="70"/>
  <c r="S31" i="70"/>
  <c r="B31" i="70"/>
  <c r="T28" i="70"/>
  <c r="B28" i="70"/>
  <c r="S27" i="70"/>
  <c r="S33" i="42" s="1"/>
  <c r="B27" i="70"/>
  <c r="T24" i="70"/>
  <c r="S24" i="70"/>
  <c r="B24" i="70"/>
  <c r="T23" i="70"/>
  <c r="S23" i="70"/>
  <c r="B23" i="70"/>
  <c r="B22" i="70"/>
  <c r="S21" i="70"/>
  <c r="L21" i="70"/>
  <c r="K21" i="70"/>
  <c r="O21" i="70" s="1"/>
  <c r="B21" i="70"/>
  <c r="T18" i="70"/>
  <c r="S18" i="70"/>
  <c r="S59" i="40" s="1"/>
  <c r="B18" i="70"/>
  <c r="S17" i="70"/>
  <c r="S43" i="39" s="1"/>
  <c r="B17" i="70"/>
  <c r="L16" i="70"/>
  <c r="K16" i="70"/>
  <c r="B16" i="70"/>
  <c r="B15" i="70"/>
  <c r="L14" i="70"/>
  <c r="K14" i="70"/>
  <c r="B14" i="70"/>
  <c r="T13" i="70"/>
  <c r="L13" i="70"/>
  <c r="B13" i="70"/>
  <c r="T12" i="70"/>
  <c r="S12" i="70"/>
  <c r="L12" i="70"/>
  <c r="K12" i="70"/>
  <c r="O12" i="70" s="1"/>
  <c r="B12" i="70"/>
  <c r="R10" i="70"/>
  <c r="E10" i="70"/>
  <c r="L9" i="70"/>
  <c r="K9" i="70"/>
  <c r="T9" i="70"/>
  <c r="B9" i="70"/>
  <c r="A9" i="70"/>
  <c r="A10" i="70" s="1"/>
  <c r="A11" i="70" s="1"/>
  <c r="A12" i="70" s="1"/>
  <c r="A13" i="70" s="1"/>
  <c r="A14" i="70" s="1"/>
  <c r="A15" i="70" s="1"/>
  <c r="A16" i="70" s="1"/>
  <c r="A17" i="70" s="1"/>
  <c r="A18" i="70" s="1"/>
  <c r="A19" i="70" s="1"/>
  <c r="A20" i="70" s="1"/>
  <c r="A21" i="70" s="1"/>
  <c r="A22" i="70" s="1"/>
  <c r="A23" i="70" s="1"/>
  <c r="A24" i="70" s="1"/>
  <c r="A25" i="70" s="1"/>
  <c r="A26" i="70" s="1"/>
  <c r="A27" i="70" s="1"/>
  <c r="A28" i="70" s="1"/>
  <c r="A29" i="70" s="1"/>
  <c r="A30" i="70" s="1"/>
  <c r="A31" i="70" s="1"/>
  <c r="A32" i="70" s="1"/>
  <c r="A33" i="70" s="1"/>
  <c r="A34" i="70" s="1"/>
  <c r="A35" i="70" s="1"/>
  <c r="A36" i="70" s="1"/>
  <c r="A37" i="70" s="1"/>
  <c r="A38" i="70" s="1"/>
  <c r="A39" i="70" s="1"/>
  <c r="A40" i="70" s="1"/>
  <c r="A41" i="70" s="1"/>
  <c r="T8" i="70"/>
  <c r="L8" i="70"/>
  <c r="S8" i="70"/>
  <c r="W39" i="106" s="1"/>
  <c r="B8" i="70"/>
  <c r="S7" i="70"/>
  <c r="P7" i="70"/>
  <c r="O7" i="70"/>
  <c r="M7" i="70"/>
  <c r="L7" i="70"/>
  <c r="R7" i="70" s="1"/>
  <c r="K7" i="70"/>
  <c r="J7" i="70"/>
  <c r="I7" i="70"/>
  <c r="G7" i="70"/>
  <c r="E7" i="70"/>
  <c r="Q6" i="70"/>
  <c r="P6" i="70"/>
  <c r="K6" i="70"/>
  <c r="A1" i="70"/>
  <c r="L35" i="70"/>
  <c r="M66" i="40"/>
  <c r="G13" i="70"/>
  <c r="V38" i="108" s="1"/>
  <c r="W38" i="108" s="1"/>
  <c r="S13" i="70"/>
  <c r="AD38" i="108" s="1"/>
  <c r="AE38" i="108" s="1"/>
  <c r="S22" i="70"/>
  <c r="S45" i="41" s="1"/>
  <c r="M17" i="25"/>
  <c r="N17" i="25" s="1"/>
  <c r="L15" i="101"/>
  <c r="P59" i="109" s="1"/>
  <c r="I13" i="50"/>
  <c r="M27" i="50"/>
  <c r="S36" i="42" s="1"/>
  <c r="S9" i="70"/>
  <c r="U9" i="70" s="1"/>
  <c r="S16" i="70"/>
  <c r="T27" i="70"/>
  <c r="S28" i="70"/>
  <c r="S33" i="43" s="1"/>
  <c r="T16" i="70"/>
  <c r="U16" i="70" s="1"/>
  <c r="T14" i="70"/>
  <c r="T21" i="70"/>
  <c r="E35" i="69"/>
  <c r="E10" i="69"/>
  <c r="R35" i="69"/>
  <c r="R10" i="69"/>
  <c r="Q35" i="99"/>
  <c r="Q10" i="99"/>
  <c r="E35" i="99"/>
  <c r="E10" i="99"/>
  <c r="T39" i="69"/>
  <c r="T31" i="69"/>
  <c r="T24" i="69"/>
  <c r="T23" i="69"/>
  <c r="T21" i="69"/>
  <c r="T18" i="69"/>
  <c r="H17" i="69"/>
  <c r="T17" i="69"/>
  <c r="H14" i="69"/>
  <c r="H15" i="69" s="1"/>
  <c r="S39" i="69"/>
  <c r="S34" i="69"/>
  <c r="S33" i="69"/>
  <c r="S31" i="69"/>
  <c r="N32" i="42"/>
  <c r="S24" i="69"/>
  <c r="G22" i="69"/>
  <c r="N44" i="41" s="1"/>
  <c r="N58" i="40"/>
  <c r="G17" i="69"/>
  <c r="N42" i="39" s="1"/>
  <c r="G14" i="69"/>
  <c r="G15" i="69" s="1"/>
  <c r="N52" i="109" s="1"/>
  <c r="R38" i="106"/>
  <c r="C35" i="84" s="1"/>
  <c r="B39" i="69"/>
  <c r="T34" i="69"/>
  <c r="L34" i="69"/>
  <c r="B34" i="69"/>
  <c r="T33" i="69"/>
  <c r="B33" i="69"/>
  <c r="L31" i="69"/>
  <c r="B31" i="69"/>
  <c r="T28" i="69"/>
  <c r="B28" i="69"/>
  <c r="T27" i="69"/>
  <c r="B27" i="69"/>
  <c r="B24" i="69"/>
  <c r="S23" i="69"/>
  <c r="B23" i="69"/>
  <c r="B22" i="69"/>
  <c r="K21" i="69"/>
  <c r="L21" i="69"/>
  <c r="B21" i="69"/>
  <c r="S18" i="69"/>
  <c r="S58" i="40" s="1"/>
  <c r="B18" i="69"/>
  <c r="B17" i="69"/>
  <c r="K16" i="69"/>
  <c r="O16" i="69" s="1"/>
  <c r="L16" i="69"/>
  <c r="B16" i="69"/>
  <c r="B15" i="69"/>
  <c r="K14" i="69"/>
  <c r="L14" i="69"/>
  <c r="O14" i="69" s="1"/>
  <c r="B14" i="69"/>
  <c r="T13" i="69"/>
  <c r="L13" i="69"/>
  <c r="B13" i="69"/>
  <c r="T12" i="69"/>
  <c r="K12" i="69"/>
  <c r="B12" i="69"/>
  <c r="K9" i="69"/>
  <c r="O9" i="69" s="1"/>
  <c r="L9" i="69"/>
  <c r="B9" i="69"/>
  <c r="A9" i="69"/>
  <c r="A10" i="69" s="1"/>
  <c r="A11" i="69" s="1"/>
  <c r="A12" i="69" s="1"/>
  <c r="A13" i="69" s="1"/>
  <c r="A14" i="69" s="1"/>
  <c r="A15" i="69" s="1"/>
  <c r="A16" i="69" s="1"/>
  <c r="A17" i="69" s="1"/>
  <c r="A18" i="69" s="1"/>
  <c r="A19" i="69" s="1"/>
  <c r="A20" i="69" s="1"/>
  <c r="A21" i="69" s="1"/>
  <c r="A22" i="69" s="1"/>
  <c r="A23" i="69" s="1"/>
  <c r="A24" i="69" s="1"/>
  <c r="A25" i="69" s="1"/>
  <c r="A26" i="69" s="1"/>
  <c r="A27" i="69" s="1"/>
  <c r="A28" i="69" s="1"/>
  <c r="A29" i="69" s="1"/>
  <c r="A30" i="69" s="1"/>
  <c r="A31" i="69" s="1"/>
  <c r="A32" i="69" s="1"/>
  <c r="A33" i="69" s="1"/>
  <c r="A34" i="69" s="1"/>
  <c r="A35" i="69" s="1"/>
  <c r="A36" i="69" s="1"/>
  <c r="A37" i="69" s="1"/>
  <c r="A38" i="69" s="1"/>
  <c r="A39" i="69" s="1"/>
  <c r="A40" i="69" s="1"/>
  <c r="A41" i="69" s="1"/>
  <c r="T8" i="69"/>
  <c r="B8" i="69"/>
  <c r="S7" i="69"/>
  <c r="P7" i="69"/>
  <c r="O7" i="69"/>
  <c r="M7" i="69"/>
  <c r="L7" i="69"/>
  <c r="R7" i="69" s="1"/>
  <c r="K7" i="69"/>
  <c r="J7" i="69"/>
  <c r="I7" i="69"/>
  <c r="G7" i="69"/>
  <c r="E7" i="69"/>
  <c r="Q6" i="69"/>
  <c r="P6" i="69"/>
  <c r="K6" i="69"/>
  <c r="A1" i="69"/>
  <c r="M39" i="99"/>
  <c r="S39" i="99" s="1"/>
  <c r="L39" i="99"/>
  <c r="R39" i="99" s="1"/>
  <c r="L34" i="99"/>
  <c r="R34" i="99" s="1"/>
  <c r="L33" i="99"/>
  <c r="R33" i="99" s="1"/>
  <c r="L31" i="99"/>
  <c r="R31" i="99" s="1"/>
  <c r="M28" i="99"/>
  <c r="S28" i="99" s="1"/>
  <c r="M27" i="99"/>
  <c r="S27" i="99" s="1"/>
  <c r="L28" i="99"/>
  <c r="P31" i="43" s="1"/>
  <c r="N31" i="42"/>
  <c r="M24" i="99"/>
  <c r="S24" i="99" s="1"/>
  <c r="M23" i="99"/>
  <c r="S23" i="99" s="1"/>
  <c r="L24" i="99"/>
  <c r="R24" i="99" s="1"/>
  <c r="L23" i="99"/>
  <c r="R23" i="99" s="1"/>
  <c r="F22" i="99"/>
  <c r="N43" i="41" s="1"/>
  <c r="M18" i="99"/>
  <c r="S18" i="99" s="1"/>
  <c r="G17" i="99"/>
  <c r="M17" i="99" s="1"/>
  <c r="S17" i="99" s="1"/>
  <c r="L18" i="99"/>
  <c r="L16" i="99"/>
  <c r="R16" i="99" s="1"/>
  <c r="L12" i="99"/>
  <c r="M9" i="99"/>
  <c r="S9" i="99" s="1"/>
  <c r="L8" i="99"/>
  <c r="M8" i="99"/>
  <c r="S8" i="99"/>
  <c r="K31" i="99"/>
  <c r="K14" i="99"/>
  <c r="K7" i="99"/>
  <c r="Q7" i="99" s="1"/>
  <c r="E7" i="99"/>
  <c r="B39" i="99"/>
  <c r="K34" i="99"/>
  <c r="B34" i="99"/>
  <c r="K33" i="99"/>
  <c r="K35" i="99" s="1"/>
  <c r="B33" i="99"/>
  <c r="B31" i="99"/>
  <c r="B28" i="99"/>
  <c r="B27" i="99"/>
  <c r="B24" i="99"/>
  <c r="B23" i="99"/>
  <c r="B22" i="99"/>
  <c r="K21" i="99"/>
  <c r="J21" i="99"/>
  <c r="B21" i="99"/>
  <c r="B18" i="99"/>
  <c r="B17" i="99"/>
  <c r="K16" i="99"/>
  <c r="J16" i="99"/>
  <c r="B16" i="99"/>
  <c r="B15" i="99"/>
  <c r="J14" i="99"/>
  <c r="B14" i="99"/>
  <c r="B13" i="99"/>
  <c r="K12" i="99"/>
  <c r="J12" i="99"/>
  <c r="B12" i="99"/>
  <c r="K9" i="99"/>
  <c r="J9" i="99"/>
  <c r="B9" i="99"/>
  <c r="A9" i="99"/>
  <c r="A10" i="99" s="1"/>
  <c r="A11" i="99" s="1"/>
  <c r="A12" i="99" s="1"/>
  <c r="A13" i="99" s="1"/>
  <c r="A14" i="99" s="1"/>
  <c r="A15" i="99" s="1"/>
  <c r="A16" i="99" s="1"/>
  <c r="A17" i="99" s="1"/>
  <c r="A18" i="99" s="1"/>
  <c r="A19" i="99" s="1"/>
  <c r="A20" i="99" s="1"/>
  <c r="A21" i="99" s="1"/>
  <c r="A22" i="99" s="1"/>
  <c r="A23" i="99" s="1"/>
  <c r="A24" i="99" s="1"/>
  <c r="A25" i="99" s="1"/>
  <c r="A26" i="99" s="1"/>
  <c r="A27" i="99" s="1"/>
  <c r="A28" i="99" s="1"/>
  <c r="A29" i="99" s="1"/>
  <c r="A30" i="99" s="1"/>
  <c r="A31" i="99" s="1"/>
  <c r="A32" i="99" s="1"/>
  <c r="A33" i="99" s="1"/>
  <c r="A34" i="99" s="1"/>
  <c r="A35" i="99" s="1"/>
  <c r="A36" i="99" s="1"/>
  <c r="A37" i="99" s="1"/>
  <c r="A38" i="99" s="1"/>
  <c r="A39" i="99" s="1"/>
  <c r="A40" i="99" s="1"/>
  <c r="A41" i="99" s="1"/>
  <c r="B8" i="99"/>
  <c r="R7" i="99"/>
  <c r="O7" i="99"/>
  <c r="N7" i="99"/>
  <c r="L7" i="99"/>
  <c r="J7" i="99"/>
  <c r="I7" i="99"/>
  <c r="H7" i="99"/>
  <c r="F7" i="99"/>
  <c r="P6" i="99"/>
  <c r="O6" i="99"/>
  <c r="J6" i="99"/>
  <c r="A1" i="99"/>
  <c r="S16" i="69"/>
  <c r="S8" i="69"/>
  <c r="W38" i="106" s="1"/>
  <c r="S28" i="69"/>
  <c r="S32" i="43" s="1"/>
  <c r="N32" i="43"/>
  <c r="S14" i="70"/>
  <c r="T22" i="69"/>
  <c r="S21" i="69"/>
  <c r="U21" i="69" s="1"/>
  <c r="S13" i="69"/>
  <c r="AD37" i="108"/>
  <c r="AE37" i="108" s="1"/>
  <c r="T15" i="69"/>
  <c r="T14" i="69"/>
  <c r="S27" i="69"/>
  <c r="S32" i="42" s="1"/>
  <c r="S17" i="69"/>
  <c r="S42" i="39" s="1"/>
  <c r="L33" i="69"/>
  <c r="L8" i="69"/>
  <c r="L10" i="69" s="1"/>
  <c r="L12" i="69"/>
  <c r="T9" i="69"/>
  <c r="T16" i="69"/>
  <c r="K13" i="99"/>
  <c r="K8" i="99"/>
  <c r="I21" i="100"/>
  <c r="F16" i="100"/>
  <c r="I9" i="100"/>
  <c r="M9" i="100" s="1"/>
  <c r="N9" i="100" s="1"/>
  <c r="I12" i="100"/>
  <c r="R40" i="106"/>
  <c r="C37" i="84" s="1"/>
  <c r="AG37" i="84" s="1"/>
  <c r="C37" i="85" s="1"/>
  <c r="I37" i="85" s="1"/>
  <c r="S22" i="69"/>
  <c r="S44" i="41"/>
  <c r="I39" i="100"/>
  <c r="M39" i="100" s="1"/>
  <c r="I18" i="100"/>
  <c r="M18" i="100" s="1"/>
  <c r="S60" i="40" s="1"/>
  <c r="I24" i="100"/>
  <c r="M24" i="100" s="1"/>
  <c r="I33" i="100"/>
  <c r="M33" i="100" s="1"/>
  <c r="N34" i="42"/>
  <c r="I31" i="100"/>
  <c r="M31" i="100" s="1"/>
  <c r="I23" i="100"/>
  <c r="M23" i="100" s="1"/>
  <c r="S15" i="70"/>
  <c r="S53" i="109" s="1"/>
  <c r="S9" i="69"/>
  <c r="S12" i="69"/>
  <c r="S14" i="69"/>
  <c r="S15" i="69"/>
  <c r="S52" i="109" s="1"/>
  <c r="N28" i="43"/>
  <c r="N28" i="42"/>
  <c r="G22" i="68"/>
  <c r="F22" i="68"/>
  <c r="N40" i="41" s="1"/>
  <c r="G17" i="68"/>
  <c r="N54" i="40"/>
  <c r="H12" i="68"/>
  <c r="G14" i="68"/>
  <c r="G15" i="68" s="1"/>
  <c r="R34" i="106"/>
  <c r="C31" i="84" s="1"/>
  <c r="Q35" i="68"/>
  <c r="Q10" i="68"/>
  <c r="Q7" i="68"/>
  <c r="K34" i="68"/>
  <c r="K33" i="68"/>
  <c r="K35" i="68" s="1"/>
  <c r="K31" i="68"/>
  <c r="K21" i="68"/>
  <c r="K16" i="68"/>
  <c r="K14" i="68"/>
  <c r="K13" i="68"/>
  <c r="K12" i="68"/>
  <c r="K9" i="68"/>
  <c r="K8" i="68"/>
  <c r="S34" i="68"/>
  <c r="S33" i="68"/>
  <c r="S31" i="68"/>
  <c r="S8" i="68"/>
  <c r="S39" i="68"/>
  <c r="S28" i="68"/>
  <c r="S27" i="68"/>
  <c r="S24" i="68"/>
  <c r="S23" i="68"/>
  <c r="S22" i="68"/>
  <c r="S21" i="68"/>
  <c r="S18" i="68"/>
  <c r="S17" i="68"/>
  <c r="S16" i="68"/>
  <c r="S15" i="68"/>
  <c r="S14" i="68"/>
  <c r="S13" i="68"/>
  <c r="S12" i="68"/>
  <c r="S9" i="68"/>
  <c r="E35" i="68"/>
  <c r="E10" i="68"/>
  <c r="L7" i="68"/>
  <c r="R39" i="68"/>
  <c r="B39" i="68"/>
  <c r="R34" i="68"/>
  <c r="B34" i="68"/>
  <c r="B33" i="68"/>
  <c r="R31" i="68"/>
  <c r="B31" i="68"/>
  <c r="R28" i="68"/>
  <c r="S28" i="43" s="1"/>
  <c r="B28" i="68"/>
  <c r="R27" i="68"/>
  <c r="S28" i="42" s="1"/>
  <c r="B27" i="68"/>
  <c r="R24" i="68"/>
  <c r="B24" i="68"/>
  <c r="B23" i="68"/>
  <c r="B22" i="68"/>
  <c r="R21" i="68"/>
  <c r="T21" i="68" s="1"/>
  <c r="J21" i="68"/>
  <c r="B21" i="68"/>
  <c r="B18" i="68"/>
  <c r="R17" i="68"/>
  <c r="S38" i="39" s="1"/>
  <c r="B17" i="68"/>
  <c r="R16" i="68"/>
  <c r="J16" i="68"/>
  <c r="B16" i="68"/>
  <c r="B15" i="68"/>
  <c r="J14" i="68"/>
  <c r="N14" i="68" s="1"/>
  <c r="B14" i="68"/>
  <c r="B13" i="68"/>
  <c r="R12" i="68"/>
  <c r="J12" i="68"/>
  <c r="B12" i="68"/>
  <c r="R9" i="68"/>
  <c r="J9" i="68"/>
  <c r="B9" i="68"/>
  <c r="A9" i="68"/>
  <c r="A10" i="68" s="1"/>
  <c r="A11" i="68" s="1"/>
  <c r="A12" i="68" s="1"/>
  <c r="A13" i="68" s="1"/>
  <c r="A14" i="68" s="1"/>
  <c r="A15" i="68" s="1"/>
  <c r="A16" i="68" s="1"/>
  <c r="A17" i="68" s="1"/>
  <c r="A18" i="68" s="1"/>
  <c r="A19" i="68" s="1"/>
  <c r="A20" i="68" s="1"/>
  <c r="A21" i="68" s="1"/>
  <c r="A22" i="68" s="1"/>
  <c r="A23" i="68" s="1"/>
  <c r="A24" i="68" s="1"/>
  <c r="A25" i="68" s="1"/>
  <c r="A26" i="68" s="1"/>
  <c r="A27" i="68" s="1"/>
  <c r="A28" i="68" s="1"/>
  <c r="A29" i="68" s="1"/>
  <c r="A30" i="68" s="1"/>
  <c r="A31" i="68" s="1"/>
  <c r="A32" i="68" s="1"/>
  <c r="A33" i="68" s="1"/>
  <c r="A34" i="68" s="1"/>
  <c r="A35" i="68" s="1"/>
  <c r="A36" i="68" s="1"/>
  <c r="A37" i="68" s="1"/>
  <c r="A38" i="68" s="1"/>
  <c r="A39" i="68" s="1"/>
  <c r="A40" i="68" s="1"/>
  <c r="A41" i="68" s="1"/>
  <c r="B8" i="68"/>
  <c r="R7" i="68"/>
  <c r="O7" i="68"/>
  <c r="N7" i="68"/>
  <c r="J7" i="68"/>
  <c r="I7" i="68"/>
  <c r="H7" i="68"/>
  <c r="F7" i="68"/>
  <c r="P6" i="68"/>
  <c r="O6" i="68"/>
  <c r="J6" i="68"/>
  <c r="A1" i="68"/>
  <c r="S7" i="96"/>
  <c r="Q34" i="106" s="1"/>
  <c r="Y7" i="96"/>
  <c r="Q40" i="106" s="1"/>
  <c r="B37" i="84" s="1"/>
  <c r="R7" i="96"/>
  <c r="Q33" i="106" s="1"/>
  <c r="U32" i="108" s="1"/>
  <c r="I21" i="95"/>
  <c r="I16" i="95"/>
  <c r="I14" i="95"/>
  <c r="I12" i="95"/>
  <c r="I9" i="95"/>
  <c r="N7" i="95"/>
  <c r="J39" i="95"/>
  <c r="N39" i="95" s="1"/>
  <c r="J34" i="95"/>
  <c r="N34" i="95" s="1"/>
  <c r="J33" i="95"/>
  <c r="N33" i="95" s="1"/>
  <c r="J31" i="95"/>
  <c r="N31" i="95" s="1"/>
  <c r="J28" i="95"/>
  <c r="N28" i="95" s="1"/>
  <c r="S27" i="43" s="1"/>
  <c r="J27" i="95"/>
  <c r="J24" i="95"/>
  <c r="N24" i="95" s="1"/>
  <c r="J23" i="95"/>
  <c r="N23" i="95" s="1"/>
  <c r="J21" i="95"/>
  <c r="N21" i="95" s="1"/>
  <c r="J16" i="95"/>
  <c r="J12" i="95"/>
  <c r="B39" i="95"/>
  <c r="B34" i="95"/>
  <c r="B33" i="95"/>
  <c r="B31" i="95"/>
  <c r="B28" i="95"/>
  <c r="B27" i="95"/>
  <c r="B24" i="95"/>
  <c r="B23" i="95"/>
  <c r="B22" i="95"/>
  <c r="B21" i="95"/>
  <c r="B18" i="95"/>
  <c r="B17" i="95"/>
  <c r="B16" i="95"/>
  <c r="B15" i="95"/>
  <c r="B14" i="95"/>
  <c r="B13" i="95"/>
  <c r="B12" i="95"/>
  <c r="B9" i="95"/>
  <c r="A9" i="95"/>
  <c r="A10" i="95" s="1"/>
  <c r="A11" i="95" s="1"/>
  <c r="A12" i="95" s="1"/>
  <c r="A13" i="95" s="1"/>
  <c r="A14" i="95" s="1"/>
  <c r="A15" i="95" s="1"/>
  <c r="A16" i="95" s="1"/>
  <c r="A17" i="95" s="1"/>
  <c r="A18" i="95" s="1"/>
  <c r="A19" i="95" s="1"/>
  <c r="A20" i="95" s="1"/>
  <c r="A21" i="95" s="1"/>
  <c r="A22" i="95" s="1"/>
  <c r="A23" i="95" s="1"/>
  <c r="A24" i="95" s="1"/>
  <c r="A25" i="95" s="1"/>
  <c r="A26" i="95" s="1"/>
  <c r="A27" i="95" s="1"/>
  <c r="A28" i="95" s="1"/>
  <c r="A29" i="95" s="1"/>
  <c r="A30" i="95" s="1"/>
  <c r="A31" i="95" s="1"/>
  <c r="A32" i="95" s="1"/>
  <c r="A33" i="95" s="1"/>
  <c r="A34" i="95" s="1"/>
  <c r="A35" i="95" s="1"/>
  <c r="A36" i="95" s="1"/>
  <c r="A37" i="95" s="1"/>
  <c r="A38" i="95" s="1"/>
  <c r="A39" i="95" s="1"/>
  <c r="A40" i="95" s="1"/>
  <c r="A41" i="95" s="1"/>
  <c r="B8" i="95"/>
  <c r="L7" i="95"/>
  <c r="K7" i="95"/>
  <c r="J7" i="95"/>
  <c r="I7" i="95"/>
  <c r="H7" i="95"/>
  <c r="G7" i="95"/>
  <c r="F7" i="95"/>
  <c r="E7" i="95"/>
  <c r="M6" i="95"/>
  <c r="L6" i="95"/>
  <c r="I6" i="95"/>
  <c r="A1" i="95"/>
  <c r="Q7" i="96"/>
  <c r="Q32" i="106"/>
  <c r="U31" i="108" s="1"/>
  <c r="I39" i="23"/>
  <c r="B39" i="23"/>
  <c r="I34" i="23"/>
  <c r="M34" i="23" s="1"/>
  <c r="B34" i="23"/>
  <c r="I33" i="23"/>
  <c r="M33" i="23" s="1"/>
  <c r="B33" i="23"/>
  <c r="I31" i="23"/>
  <c r="M31" i="23" s="1"/>
  <c r="B31" i="23"/>
  <c r="I28" i="23"/>
  <c r="P26" i="43" s="1"/>
  <c r="B28" i="23"/>
  <c r="I27" i="23"/>
  <c r="P26" i="42" s="1"/>
  <c r="B27" i="23"/>
  <c r="I24" i="23"/>
  <c r="M24" i="23" s="1"/>
  <c r="B24" i="23"/>
  <c r="I23" i="23"/>
  <c r="M23" i="23" s="1"/>
  <c r="B23" i="23"/>
  <c r="E22" i="23"/>
  <c r="I22" i="23" s="1"/>
  <c r="B22" i="23"/>
  <c r="I21" i="23"/>
  <c r="H21" i="23"/>
  <c r="J21" i="23" s="1"/>
  <c r="B21" i="23"/>
  <c r="I18" i="23"/>
  <c r="P52" i="40" s="1"/>
  <c r="B18" i="23"/>
  <c r="E17" i="23"/>
  <c r="I17" i="23" s="1"/>
  <c r="M17" i="23" s="1"/>
  <c r="S36" i="39" s="1"/>
  <c r="B17" i="23"/>
  <c r="H16" i="23"/>
  <c r="I16" i="23"/>
  <c r="B16" i="23"/>
  <c r="B15" i="23"/>
  <c r="H14" i="23"/>
  <c r="B14" i="23"/>
  <c r="E13" i="23"/>
  <c r="V31" i="108" s="1"/>
  <c r="W31" i="108" s="1"/>
  <c r="B13" i="23"/>
  <c r="H12" i="23"/>
  <c r="I12" i="23"/>
  <c r="M12" i="23" s="1"/>
  <c r="N12" i="23" s="1"/>
  <c r="B12" i="23"/>
  <c r="I9" i="23"/>
  <c r="M9" i="23" s="1"/>
  <c r="N9" i="23" s="1"/>
  <c r="H9" i="23"/>
  <c r="E14" i="23"/>
  <c r="B9" i="23"/>
  <c r="A9" i="23"/>
  <c r="A10" i="23" s="1"/>
  <c r="A11" i="23" s="1"/>
  <c r="A12" i="23" s="1"/>
  <c r="A13" i="23" s="1"/>
  <c r="A14" i="23" s="1"/>
  <c r="A15" i="23" s="1"/>
  <c r="A16" i="23" s="1"/>
  <c r="A17" i="23" s="1"/>
  <c r="A18" i="23" s="1"/>
  <c r="A19" i="23" s="1"/>
  <c r="A20" i="23" s="1"/>
  <c r="A21" i="23" s="1"/>
  <c r="A22" i="23" s="1"/>
  <c r="A23" i="23" s="1"/>
  <c r="A24" i="23" s="1"/>
  <c r="A25" i="23" s="1"/>
  <c r="A26" i="23" s="1"/>
  <c r="A27" i="23" s="1"/>
  <c r="A28" i="23" s="1"/>
  <c r="A29" i="23" s="1"/>
  <c r="A30" i="23" s="1"/>
  <c r="A31" i="23" s="1"/>
  <c r="A32" i="23" s="1"/>
  <c r="A33" i="23" s="1"/>
  <c r="A34" i="23" s="1"/>
  <c r="A35" i="23" s="1"/>
  <c r="A36" i="23" s="1"/>
  <c r="A37" i="23" s="1"/>
  <c r="A38" i="23" s="1"/>
  <c r="A39" i="23" s="1"/>
  <c r="A40" i="23" s="1"/>
  <c r="A41" i="23" s="1"/>
  <c r="B8" i="23"/>
  <c r="M7" i="23"/>
  <c r="K7" i="23"/>
  <c r="J7" i="23"/>
  <c r="I7" i="23"/>
  <c r="H7" i="23"/>
  <c r="G7" i="23"/>
  <c r="F7" i="23"/>
  <c r="E7" i="23"/>
  <c r="L6" i="23"/>
  <c r="K6" i="23"/>
  <c r="H6" i="23"/>
  <c r="A1" i="23"/>
  <c r="P7" i="96"/>
  <c r="Q31" i="106" s="1"/>
  <c r="I39" i="22"/>
  <c r="M39" i="22" s="1"/>
  <c r="I34" i="22"/>
  <c r="M34" i="22" s="1"/>
  <c r="I33" i="22"/>
  <c r="M33" i="22" s="1"/>
  <c r="I31" i="22"/>
  <c r="M31" i="22" s="1"/>
  <c r="N25" i="43"/>
  <c r="I24" i="22"/>
  <c r="M24" i="22" s="1"/>
  <c r="I23" i="22"/>
  <c r="M23" i="22" s="1"/>
  <c r="E22" i="22"/>
  <c r="I22" i="22" s="1"/>
  <c r="N51" i="40"/>
  <c r="E17" i="22"/>
  <c r="N35" i="39" s="1"/>
  <c r="B39" i="22"/>
  <c r="B34" i="22"/>
  <c r="B33" i="22"/>
  <c r="B31" i="22"/>
  <c r="B28" i="22"/>
  <c r="B27" i="22"/>
  <c r="B24" i="22"/>
  <c r="B23" i="22"/>
  <c r="B22" i="22"/>
  <c r="H21" i="22"/>
  <c r="B21" i="22"/>
  <c r="B18" i="22"/>
  <c r="B17" i="22"/>
  <c r="H16" i="22"/>
  <c r="B16" i="22"/>
  <c r="B15" i="22"/>
  <c r="H14" i="22"/>
  <c r="B14" i="22"/>
  <c r="B13" i="22"/>
  <c r="H12" i="22"/>
  <c r="B12" i="22"/>
  <c r="H9" i="22"/>
  <c r="B9" i="22"/>
  <c r="A9" i="22"/>
  <c r="A10" i="22" s="1"/>
  <c r="A11" i="22" s="1"/>
  <c r="A12" i="22" s="1"/>
  <c r="A13" i="22" s="1"/>
  <c r="A14" i="22" s="1"/>
  <c r="A15" i="22" s="1"/>
  <c r="A16" i="22" s="1"/>
  <c r="A17" i="22" s="1"/>
  <c r="A18" i="22" s="1"/>
  <c r="A19" i="22" s="1"/>
  <c r="A20" i="22" s="1"/>
  <c r="A21" i="22" s="1"/>
  <c r="A22" i="22" s="1"/>
  <c r="A23" i="22" s="1"/>
  <c r="A24" i="22" s="1"/>
  <c r="A25" i="22" s="1"/>
  <c r="A26" i="22" s="1"/>
  <c r="A27" i="22" s="1"/>
  <c r="A28" i="22" s="1"/>
  <c r="A29" i="22" s="1"/>
  <c r="A30" i="22" s="1"/>
  <c r="A31" i="22" s="1"/>
  <c r="A32" i="22" s="1"/>
  <c r="A33" i="22" s="1"/>
  <c r="A34" i="22" s="1"/>
  <c r="A35" i="22" s="1"/>
  <c r="A36" i="22" s="1"/>
  <c r="A37" i="22" s="1"/>
  <c r="A38" i="22" s="1"/>
  <c r="A39" i="22" s="1"/>
  <c r="A40" i="22" s="1"/>
  <c r="A41" i="22" s="1"/>
  <c r="B8" i="22"/>
  <c r="M7" i="22"/>
  <c r="K7" i="22"/>
  <c r="J7" i="22"/>
  <c r="I7" i="22"/>
  <c r="H7" i="22"/>
  <c r="G7" i="22"/>
  <c r="F7" i="22"/>
  <c r="E7" i="22"/>
  <c r="L6" i="22"/>
  <c r="K6" i="22"/>
  <c r="H6" i="22"/>
  <c r="A1" i="22"/>
  <c r="N7" i="96"/>
  <c r="Q29" i="106" s="1"/>
  <c r="O7" i="96"/>
  <c r="Q30" i="106" s="1"/>
  <c r="I31" i="98"/>
  <c r="M31" i="98" s="1"/>
  <c r="D7" i="98"/>
  <c r="B39" i="98"/>
  <c r="B34" i="98"/>
  <c r="B33" i="98"/>
  <c r="B31" i="98"/>
  <c r="B28" i="98"/>
  <c r="B27" i="98"/>
  <c r="B24" i="98"/>
  <c r="B23" i="98"/>
  <c r="B22" i="98"/>
  <c r="B21" i="98"/>
  <c r="B18" i="98"/>
  <c r="B17" i="98"/>
  <c r="B16" i="98"/>
  <c r="B15" i="98"/>
  <c r="B14" i="98"/>
  <c r="B13" i="98"/>
  <c r="M12" i="98"/>
  <c r="B12" i="98"/>
  <c r="B9" i="98"/>
  <c r="A9" i="98"/>
  <c r="A10" i="98" s="1"/>
  <c r="A11" i="98" s="1"/>
  <c r="A12" i="98" s="1"/>
  <c r="A13" i="98" s="1"/>
  <c r="A14" i="98" s="1"/>
  <c r="A15" i="98" s="1"/>
  <c r="A16" i="98" s="1"/>
  <c r="A17" i="98" s="1"/>
  <c r="A18" i="98" s="1"/>
  <c r="A19" i="98" s="1"/>
  <c r="A20" i="98" s="1"/>
  <c r="A21" i="98" s="1"/>
  <c r="A22" i="98" s="1"/>
  <c r="A23" i="98" s="1"/>
  <c r="A24" i="98" s="1"/>
  <c r="A25" i="98" s="1"/>
  <c r="A26" i="98" s="1"/>
  <c r="A27" i="98" s="1"/>
  <c r="A28" i="98" s="1"/>
  <c r="A29" i="98" s="1"/>
  <c r="A30" i="98" s="1"/>
  <c r="A31" i="98" s="1"/>
  <c r="A32" i="98" s="1"/>
  <c r="A33" i="98" s="1"/>
  <c r="A34" i="98" s="1"/>
  <c r="A35" i="98" s="1"/>
  <c r="A36" i="98" s="1"/>
  <c r="A37" i="98" s="1"/>
  <c r="A38" i="98" s="1"/>
  <c r="A39" i="98" s="1"/>
  <c r="A40" i="98" s="1"/>
  <c r="A41" i="98" s="1"/>
  <c r="B8" i="98"/>
  <c r="M7" i="98"/>
  <c r="K7" i="98"/>
  <c r="J7" i="98"/>
  <c r="I7" i="98"/>
  <c r="H7" i="98"/>
  <c r="G7" i="98"/>
  <c r="F7" i="98"/>
  <c r="E7" i="98"/>
  <c r="L6" i="98"/>
  <c r="K6" i="98"/>
  <c r="H6" i="98"/>
  <c r="A1" i="98"/>
  <c r="N38" i="41"/>
  <c r="N36" i="39"/>
  <c r="M21" i="23"/>
  <c r="N21" i="23" s="1"/>
  <c r="B30" i="84"/>
  <c r="B30" i="85"/>
  <c r="I21" i="22"/>
  <c r="I18" i="22"/>
  <c r="M18" i="22" s="1"/>
  <c r="S51" i="40" s="1"/>
  <c r="I21" i="98"/>
  <c r="M21" i="98" s="1"/>
  <c r="I34" i="98"/>
  <c r="M34" i="98" s="1"/>
  <c r="I14" i="98"/>
  <c r="M14" i="98" s="1"/>
  <c r="E17" i="98"/>
  <c r="I17" i="98" s="1"/>
  <c r="M17" i="98" s="1"/>
  <c r="R15" i="68"/>
  <c r="S48" i="109" s="1"/>
  <c r="R14" i="68"/>
  <c r="R23" i="68"/>
  <c r="R13" i="68"/>
  <c r="AD33" i="108" s="1"/>
  <c r="AE33" i="108" s="1"/>
  <c r="R8" i="68"/>
  <c r="W34" i="106" s="1"/>
  <c r="R18" i="68"/>
  <c r="S54" i="40" s="1"/>
  <c r="R33" i="68"/>
  <c r="M39" i="23"/>
  <c r="M27" i="23"/>
  <c r="S26" i="42" s="1"/>
  <c r="I8" i="23"/>
  <c r="M8" i="23" s="1"/>
  <c r="W32" i="106" s="1"/>
  <c r="I23" i="98"/>
  <c r="M23" i="98" s="1"/>
  <c r="I39" i="98"/>
  <c r="M39" i="98" s="1"/>
  <c r="I16" i="98"/>
  <c r="M16" i="98" s="1"/>
  <c r="I33" i="98"/>
  <c r="M33" i="98" s="1"/>
  <c r="I18" i="98"/>
  <c r="M18" i="98" s="1"/>
  <c r="R22" i="68"/>
  <c r="S40" i="41" s="1"/>
  <c r="Z12" i="67"/>
  <c r="AI12" i="67" s="1"/>
  <c r="Y12" i="67"/>
  <c r="AH12" i="67" s="1"/>
  <c r="AG14" i="67"/>
  <c r="U12" i="67"/>
  <c r="AD12" i="67" s="1"/>
  <c r="V16" i="67"/>
  <c r="W12" i="67"/>
  <c r="AF12" i="67" s="1"/>
  <c r="J26" i="67"/>
  <c r="G28" i="67"/>
  <c r="H24" i="67"/>
  <c r="D18" i="67"/>
  <c r="J23" i="67"/>
  <c r="A1" i="67"/>
  <c r="J38" i="67"/>
  <c r="S38" i="67" s="1"/>
  <c r="M22" i="102" s="1"/>
  <c r="I34" i="67"/>
  <c r="H34" i="67"/>
  <c r="G34" i="67"/>
  <c r="F34" i="67"/>
  <c r="E34" i="67"/>
  <c r="D34" i="67"/>
  <c r="J33" i="67"/>
  <c r="J32" i="67"/>
  <c r="AB32" i="67" s="1"/>
  <c r="N20" i="96" s="1"/>
  <c r="J30" i="67"/>
  <c r="AK30" i="67" s="1"/>
  <c r="H28" i="67"/>
  <c r="E28" i="67"/>
  <c r="D28" i="67"/>
  <c r="F28" i="67"/>
  <c r="E24" i="67"/>
  <c r="J22" i="67"/>
  <c r="G24" i="67"/>
  <c r="F24" i="67"/>
  <c r="D24" i="67"/>
  <c r="J20" i="67"/>
  <c r="S20" i="67" s="1"/>
  <c r="J17" i="67"/>
  <c r="E18" i="95" s="1"/>
  <c r="J15" i="67"/>
  <c r="AB15" i="67" s="1"/>
  <c r="J13" i="67"/>
  <c r="D14" i="98" s="1"/>
  <c r="E18" i="67"/>
  <c r="J11" i="67"/>
  <c r="I9" i="67"/>
  <c r="H9" i="67"/>
  <c r="G9" i="67"/>
  <c r="F9" i="67"/>
  <c r="E9" i="67"/>
  <c r="D9" i="67"/>
  <c r="J8" i="67"/>
  <c r="E9" i="95" s="1"/>
  <c r="A8" i="67"/>
  <c r="A9" i="67" s="1"/>
  <c r="A10" i="67" s="1"/>
  <c r="A11" i="67" s="1"/>
  <c r="A12" i="67" s="1"/>
  <c r="A13" i="67" s="1"/>
  <c r="A14" i="67" s="1"/>
  <c r="A15" i="67" s="1"/>
  <c r="A16" i="67" s="1"/>
  <c r="A17" i="67" s="1"/>
  <c r="A18" i="67" s="1"/>
  <c r="A19" i="67" s="1"/>
  <c r="A20" i="67" s="1"/>
  <c r="A21" i="67" s="1"/>
  <c r="A22" i="67" s="1"/>
  <c r="A23" i="67" s="1"/>
  <c r="A24" i="67" s="1"/>
  <c r="A25" i="67" s="1"/>
  <c r="A26" i="67" s="1"/>
  <c r="A27" i="67" s="1"/>
  <c r="A28" i="67" s="1"/>
  <c r="A29" i="67" s="1"/>
  <c r="A30" i="67" s="1"/>
  <c r="A31" i="67" s="1"/>
  <c r="A32" i="67" s="1"/>
  <c r="A33" i="67" s="1"/>
  <c r="A34" i="67" s="1"/>
  <c r="A35" i="67" s="1"/>
  <c r="A36" i="67" s="1"/>
  <c r="A37" i="67" s="1"/>
  <c r="A38" i="67" s="1"/>
  <c r="A39" i="67" s="1"/>
  <c r="A40" i="67" s="1"/>
  <c r="J7" i="67"/>
  <c r="D8" i="98" s="1"/>
  <c r="AA6" i="67"/>
  <c r="AJ6" i="67" s="1"/>
  <c r="Q6" i="67"/>
  <c r="Z6" i="67" s="1"/>
  <c r="AI6" i="67" s="1"/>
  <c r="P6" i="67"/>
  <c r="Y6" i="67" s="1"/>
  <c r="AH6" i="67" s="1"/>
  <c r="O6" i="67"/>
  <c r="X6" i="67" s="1"/>
  <c r="AG6" i="67" s="1"/>
  <c r="N6" i="67"/>
  <c r="W6" i="67"/>
  <c r="AF6" i="67" s="1"/>
  <c r="M6" i="67"/>
  <c r="V6" i="67" s="1"/>
  <c r="AE6" i="67" s="1"/>
  <c r="L6" i="67"/>
  <c r="U6" i="67" s="1"/>
  <c r="AD6" i="67" s="1"/>
  <c r="M39" i="62"/>
  <c r="M34" i="62"/>
  <c r="M33" i="62"/>
  <c r="M31" i="62"/>
  <c r="M28" i="62"/>
  <c r="S18" i="43" s="1"/>
  <c r="M27" i="62"/>
  <c r="S18" i="42" s="1"/>
  <c r="M24" i="62"/>
  <c r="M23" i="62"/>
  <c r="M22" i="62"/>
  <c r="S30" i="41"/>
  <c r="M21" i="62"/>
  <c r="N21" i="62" s="1"/>
  <c r="M18" i="62"/>
  <c r="S44" i="40" s="1"/>
  <c r="M17" i="62"/>
  <c r="S28" i="39" s="1"/>
  <c r="M16" i="62"/>
  <c r="N16" i="62" s="1"/>
  <c r="M15" i="62"/>
  <c r="S38" i="109" s="1"/>
  <c r="M14" i="62"/>
  <c r="N14" i="62" s="1"/>
  <c r="M13" i="62"/>
  <c r="AD23" i="108" s="1"/>
  <c r="AE23" i="108" s="1"/>
  <c r="M12" i="62"/>
  <c r="N12" i="62" s="1"/>
  <c r="M9" i="62"/>
  <c r="N9" i="62" s="1"/>
  <c r="M8" i="62"/>
  <c r="W22" i="106" s="1"/>
  <c r="M34" i="19"/>
  <c r="N24" i="43"/>
  <c r="N24" i="42"/>
  <c r="M24" i="19"/>
  <c r="F21" i="19"/>
  <c r="N50" i="40"/>
  <c r="F9" i="19"/>
  <c r="R28" i="106"/>
  <c r="C25" i="84" s="1"/>
  <c r="B39" i="19"/>
  <c r="B38" i="67" s="1"/>
  <c r="B34" i="19"/>
  <c r="B33" i="67" s="1"/>
  <c r="B33" i="19"/>
  <c r="B32" i="67" s="1"/>
  <c r="B31" i="19"/>
  <c r="B30" i="67" s="1"/>
  <c r="B28" i="19"/>
  <c r="B27" i="67" s="1"/>
  <c r="B27" i="19"/>
  <c r="B26" i="67" s="1"/>
  <c r="B24" i="19"/>
  <c r="B23" i="67" s="1"/>
  <c r="B23" i="19"/>
  <c r="B22" i="67" s="1"/>
  <c r="B22" i="19"/>
  <c r="B21" i="67" s="1"/>
  <c r="H21" i="19"/>
  <c r="J21" i="19" s="1"/>
  <c r="B21" i="19"/>
  <c r="B20" i="67" s="1"/>
  <c r="B18" i="19"/>
  <c r="B17" i="67" s="1"/>
  <c r="B17" i="19"/>
  <c r="B16" i="67" s="1"/>
  <c r="H16" i="19"/>
  <c r="J16" i="19" s="1"/>
  <c r="B16" i="19"/>
  <c r="B15" i="67" s="1"/>
  <c r="B15" i="19"/>
  <c r="B14" i="67" s="1"/>
  <c r="H14" i="19"/>
  <c r="J14" i="19" s="1"/>
  <c r="B14" i="19"/>
  <c r="B13" i="67"/>
  <c r="B13" i="19"/>
  <c r="B12" i="67" s="1"/>
  <c r="H12" i="19"/>
  <c r="J12" i="19" s="1"/>
  <c r="B12" i="19"/>
  <c r="B11" i="67" s="1"/>
  <c r="H9" i="19"/>
  <c r="J9" i="19" s="1"/>
  <c r="B9" i="19"/>
  <c r="B8" i="67" s="1"/>
  <c r="A9" i="19"/>
  <c r="A10" i="19" s="1"/>
  <c r="A11" i="19" s="1"/>
  <c r="A12" i="19" s="1"/>
  <c r="A13" i="19" s="1"/>
  <c r="A14" i="19" s="1"/>
  <c r="A15" i="19" s="1"/>
  <c r="A16" i="19" s="1"/>
  <c r="A17" i="19" s="1"/>
  <c r="A18" i="19" s="1"/>
  <c r="A19" i="19" s="1"/>
  <c r="A20" i="19" s="1"/>
  <c r="A21" i="19" s="1"/>
  <c r="A22" i="19" s="1"/>
  <c r="A23" i="19" s="1"/>
  <c r="A24" i="19" s="1"/>
  <c r="A25" i="19" s="1"/>
  <c r="A26" i="19" s="1"/>
  <c r="A27" i="19" s="1"/>
  <c r="A28" i="19" s="1"/>
  <c r="A29" i="19" s="1"/>
  <c r="A30" i="19" s="1"/>
  <c r="A31" i="19" s="1"/>
  <c r="A32" i="19" s="1"/>
  <c r="A33" i="19" s="1"/>
  <c r="A34" i="19" s="1"/>
  <c r="A35" i="19" s="1"/>
  <c r="A36" i="19" s="1"/>
  <c r="A37" i="19" s="1"/>
  <c r="A38" i="19" s="1"/>
  <c r="A39" i="19" s="1"/>
  <c r="A40" i="19" s="1"/>
  <c r="A41" i="19" s="1"/>
  <c r="B8" i="19"/>
  <c r="B7" i="67"/>
  <c r="M7" i="19"/>
  <c r="K7" i="19"/>
  <c r="J7" i="19"/>
  <c r="I7" i="19"/>
  <c r="H7" i="19"/>
  <c r="G7" i="19"/>
  <c r="F7" i="19"/>
  <c r="E7" i="19"/>
  <c r="L6" i="19"/>
  <c r="K6" i="19"/>
  <c r="H6" i="19"/>
  <c r="A1" i="19"/>
  <c r="I39" i="97"/>
  <c r="M39" i="97" s="1"/>
  <c r="I34" i="97"/>
  <c r="M34" i="97" s="1"/>
  <c r="I33" i="97"/>
  <c r="M33" i="97" s="1"/>
  <c r="I31" i="97"/>
  <c r="M31" i="97" s="1"/>
  <c r="N23" i="43"/>
  <c r="I27" i="97"/>
  <c r="I24" i="97"/>
  <c r="M24" i="97" s="1"/>
  <c r="I23" i="97"/>
  <c r="M23" i="97" s="1"/>
  <c r="E22" i="97"/>
  <c r="I22" i="97" s="1"/>
  <c r="M22" i="97" s="1"/>
  <c r="S35" i="41" s="1"/>
  <c r="N49" i="40"/>
  <c r="I16" i="97"/>
  <c r="F12" i="97"/>
  <c r="I8" i="97"/>
  <c r="B39" i="97"/>
  <c r="B34" i="97"/>
  <c r="B33" i="97"/>
  <c r="B31" i="97"/>
  <c r="B28" i="97"/>
  <c r="B27" i="97"/>
  <c r="B24" i="97"/>
  <c r="B23" i="97"/>
  <c r="B22" i="97"/>
  <c r="H21" i="97"/>
  <c r="B21" i="97"/>
  <c r="B18" i="97"/>
  <c r="B17" i="97"/>
  <c r="H16" i="97"/>
  <c r="B16" i="97"/>
  <c r="B15" i="97"/>
  <c r="H14" i="97"/>
  <c r="B14" i="97"/>
  <c r="B13" i="97"/>
  <c r="H12" i="97"/>
  <c r="B12" i="97"/>
  <c r="H9" i="97"/>
  <c r="B9" i="97"/>
  <c r="A9" i="97"/>
  <c r="A10" i="97" s="1"/>
  <c r="A11" i="97" s="1"/>
  <c r="A12" i="97" s="1"/>
  <c r="A13" i="97" s="1"/>
  <c r="A14" i="97" s="1"/>
  <c r="A15" i="97" s="1"/>
  <c r="A16" i="97" s="1"/>
  <c r="A17" i="97" s="1"/>
  <c r="A18" i="97" s="1"/>
  <c r="A19" i="97" s="1"/>
  <c r="A20" i="97" s="1"/>
  <c r="A21" i="97" s="1"/>
  <c r="A22" i="97" s="1"/>
  <c r="A23" i="97" s="1"/>
  <c r="A24" i="97" s="1"/>
  <c r="A25" i="97" s="1"/>
  <c r="A26" i="97" s="1"/>
  <c r="A27" i="97" s="1"/>
  <c r="A28" i="97" s="1"/>
  <c r="A29" i="97" s="1"/>
  <c r="A30" i="97" s="1"/>
  <c r="A31" i="97" s="1"/>
  <c r="A32" i="97" s="1"/>
  <c r="A33" i="97" s="1"/>
  <c r="A34" i="97" s="1"/>
  <c r="A35" i="97" s="1"/>
  <c r="A36" i="97" s="1"/>
  <c r="A37" i="97" s="1"/>
  <c r="A38" i="97" s="1"/>
  <c r="A39" i="97" s="1"/>
  <c r="A40" i="97" s="1"/>
  <c r="A41" i="97" s="1"/>
  <c r="B8" i="97"/>
  <c r="M7" i="97"/>
  <c r="K7" i="97"/>
  <c r="J7" i="97"/>
  <c r="I7" i="97"/>
  <c r="H7" i="97"/>
  <c r="G7" i="97"/>
  <c r="F7" i="97"/>
  <c r="E7" i="97"/>
  <c r="L6" i="97"/>
  <c r="K6" i="97"/>
  <c r="H6" i="97"/>
  <c r="A1" i="97"/>
  <c r="H7" i="96"/>
  <c r="Q23" i="106" s="1"/>
  <c r="I7" i="96"/>
  <c r="Q24" i="106" s="1"/>
  <c r="B21" i="85" s="1"/>
  <c r="J7" i="96"/>
  <c r="Q25" i="106" s="1"/>
  <c r="U26" i="108" s="1"/>
  <c r="M31" i="39" s="1"/>
  <c r="K7" i="96"/>
  <c r="Q26" i="106" s="1"/>
  <c r="L7" i="96"/>
  <c r="Q27" i="106" s="1"/>
  <c r="M7" i="96"/>
  <c r="Q28" i="106" s="1"/>
  <c r="G7" i="96"/>
  <c r="Q22" i="106"/>
  <c r="B19" i="84" s="1"/>
  <c r="I39" i="16"/>
  <c r="M39" i="16" s="1"/>
  <c r="I34" i="16"/>
  <c r="M34" i="16" s="1"/>
  <c r="I33" i="16"/>
  <c r="M33" i="16" s="1"/>
  <c r="I31" i="16"/>
  <c r="M31" i="16" s="1"/>
  <c r="N22" i="43"/>
  <c r="I27" i="16"/>
  <c r="M27" i="16" s="1"/>
  <c r="S22" i="42" s="1"/>
  <c r="I24" i="16"/>
  <c r="M24" i="16" s="1"/>
  <c r="I23" i="16"/>
  <c r="M23" i="16" s="1"/>
  <c r="E22" i="16"/>
  <c r="I22" i="16" s="1"/>
  <c r="N48" i="40"/>
  <c r="E17" i="16"/>
  <c r="F12" i="16"/>
  <c r="F9" i="16"/>
  <c r="R26" i="106"/>
  <c r="C23" i="84" s="1"/>
  <c r="R23" i="84" s="1"/>
  <c r="B39" i="16"/>
  <c r="B34" i="16"/>
  <c r="B33" i="16"/>
  <c r="B31" i="16"/>
  <c r="B28" i="16"/>
  <c r="B27" i="16"/>
  <c r="B24" i="16"/>
  <c r="B23" i="16"/>
  <c r="B22" i="16"/>
  <c r="H21" i="16"/>
  <c r="B21" i="16"/>
  <c r="B18" i="16"/>
  <c r="B17" i="16"/>
  <c r="H16" i="16"/>
  <c r="B16" i="16"/>
  <c r="B15" i="16"/>
  <c r="H14" i="16"/>
  <c r="B14" i="16"/>
  <c r="B13" i="16"/>
  <c r="H12" i="16"/>
  <c r="B12" i="16"/>
  <c r="H9" i="16"/>
  <c r="B9" i="16"/>
  <c r="A9" i="16"/>
  <c r="A10" i="16" s="1"/>
  <c r="A11" i="16" s="1"/>
  <c r="A12" i="16" s="1"/>
  <c r="A13" i="16" s="1"/>
  <c r="A14" i="16" s="1"/>
  <c r="A15" i="16" s="1"/>
  <c r="A16" i="16" s="1"/>
  <c r="A17" i="16" s="1"/>
  <c r="A18" i="16" s="1"/>
  <c r="A19" i="16" s="1"/>
  <c r="A20" i="16" s="1"/>
  <c r="A21" i="16" s="1"/>
  <c r="A22" i="16" s="1"/>
  <c r="A23" i="16" s="1"/>
  <c r="A24" i="16" s="1"/>
  <c r="A25" i="16" s="1"/>
  <c r="A26" i="16" s="1"/>
  <c r="A27" i="16" s="1"/>
  <c r="A28" i="16" s="1"/>
  <c r="A29" i="16" s="1"/>
  <c r="A30" i="16" s="1"/>
  <c r="A31" i="16" s="1"/>
  <c r="A32" i="16" s="1"/>
  <c r="A33" i="16" s="1"/>
  <c r="A34" i="16" s="1"/>
  <c r="A35" i="16" s="1"/>
  <c r="A36" i="16" s="1"/>
  <c r="A37" i="16" s="1"/>
  <c r="A38" i="16" s="1"/>
  <c r="A39" i="16" s="1"/>
  <c r="A40" i="16" s="1"/>
  <c r="A41" i="16" s="1"/>
  <c r="B8" i="16"/>
  <c r="M7" i="16"/>
  <c r="K7" i="16"/>
  <c r="J7" i="16"/>
  <c r="I7" i="16"/>
  <c r="H7" i="16"/>
  <c r="G7" i="16"/>
  <c r="F7" i="16"/>
  <c r="E7" i="16"/>
  <c r="L6" i="16"/>
  <c r="K6" i="16"/>
  <c r="H6" i="16"/>
  <c r="A1" i="16"/>
  <c r="AK17" i="67"/>
  <c r="D18" i="98"/>
  <c r="F18" i="98" s="1"/>
  <c r="N13" i="102" s="1"/>
  <c r="AB13" i="67"/>
  <c r="D34" i="98"/>
  <c r="H34" i="98" s="1"/>
  <c r="L34" i="98" s="1"/>
  <c r="S30" i="67"/>
  <c r="M19" i="102" s="1"/>
  <c r="D31" i="98"/>
  <c r="F31" i="98" s="1"/>
  <c r="N19" i="102" s="1"/>
  <c r="E31" i="95"/>
  <c r="B19" i="85"/>
  <c r="M21" i="19"/>
  <c r="N21" i="19" s="1"/>
  <c r="E14" i="19"/>
  <c r="F14" i="19" s="1"/>
  <c r="M33" i="19"/>
  <c r="M23" i="19"/>
  <c r="M31" i="19"/>
  <c r="M17" i="19"/>
  <c r="S34" i="39" s="1"/>
  <c r="M27" i="19"/>
  <c r="S24" i="42" s="1"/>
  <c r="M13" i="19"/>
  <c r="AD29" i="108" s="1"/>
  <c r="AE29" i="108" s="1"/>
  <c r="M16" i="19"/>
  <c r="N16" i="19" s="1"/>
  <c r="M8" i="19"/>
  <c r="W28" i="106" s="1"/>
  <c r="M39" i="19"/>
  <c r="M12" i="19"/>
  <c r="N12" i="19"/>
  <c r="M22" i="19"/>
  <c r="S36" i="41" s="1"/>
  <c r="M41" i="109"/>
  <c r="M18" i="19"/>
  <c r="S50" i="40" s="1"/>
  <c r="M14" i="19"/>
  <c r="N14" i="19" s="1"/>
  <c r="M9" i="19"/>
  <c r="N9" i="19" s="1"/>
  <c r="M28" i="19"/>
  <c r="S24" i="43" s="1"/>
  <c r="I39" i="13"/>
  <c r="M39" i="13" s="1"/>
  <c r="I34" i="13"/>
  <c r="M34" i="13" s="1"/>
  <c r="I33" i="13"/>
  <c r="M33" i="13" s="1"/>
  <c r="I31" i="13"/>
  <c r="M31" i="13" s="1"/>
  <c r="I28" i="13"/>
  <c r="M28" i="13" s="1"/>
  <c r="S21" i="43" s="1"/>
  <c r="N21" i="42"/>
  <c r="I24" i="13"/>
  <c r="M24" i="13" s="1"/>
  <c r="I23" i="13"/>
  <c r="M23" i="13" s="1"/>
  <c r="F21" i="13"/>
  <c r="I18" i="13"/>
  <c r="I16" i="13"/>
  <c r="E13" i="13"/>
  <c r="F9" i="13"/>
  <c r="R25" i="106"/>
  <c r="C22" i="84" s="1"/>
  <c r="B39" i="13"/>
  <c r="B34" i="13"/>
  <c r="B33" i="13"/>
  <c r="B31" i="13"/>
  <c r="B28" i="13"/>
  <c r="B27" i="13"/>
  <c r="B24" i="13"/>
  <c r="B23" i="13"/>
  <c r="B22" i="13"/>
  <c r="H21" i="13"/>
  <c r="B21" i="13"/>
  <c r="B18" i="13"/>
  <c r="B17" i="13"/>
  <c r="H16" i="13"/>
  <c r="B16" i="13"/>
  <c r="B15" i="13"/>
  <c r="H14" i="13"/>
  <c r="B14" i="13"/>
  <c r="B13" i="13"/>
  <c r="H12" i="13"/>
  <c r="B12" i="13"/>
  <c r="H9" i="13"/>
  <c r="B9" i="13"/>
  <c r="A9" i="13"/>
  <c r="A10" i="13" s="1"/>
  <c r="A11" i="13" s="1"/>
  <c r="A12" i="13" s="1"/>
  <c r="A13" i="13" s="1"/>
  <c r="A14" i="13" s="1"/>
  <c r="A15" i="13" s="1"/>
  <c r="A16" i="13" s="1"/>
  <c r="A17" i="13" s="1"/>
  <c r="A18" i="13" s="1"/>
  <c r="A19" i="13" s="1"/>
  <c r="A20" i="13" s="1"/>
  <c r="A21" i="13" s="1"/>
  <c r="A22" i="13" s="1"/>
  <c r="A23" i="13" s="1"/>
  <c r="A24" i="13" s="1"/>
  <c r="A25" i="13" s="1"/>
  <c r="A26" i="13" s="1"/>
  <c r="A27" i="13" s="1"/>
  <c r="A28" i="13" s="1"/>
  <c r="A29" i="13" s="1"/>
  <c r="A30" i="13" s="1"/>
  <c r="A31" i="13" s="1"/>
  <c r="A32" i="13" s="1"/>
  <c r="A33" i="13" s="1"/>
  <c r="A34" i="13" s="1"/>
  <c r="A35" i="13" s="1"/>
  <c r="A36" i="13" s="1"/>
  <c r="A37" i="13" s="1"/>
  <c r="A38" i="13" s="1"/>
  <c r="A39" i="13" s="1"/>
  <c r="A40" i="13" s="1"/>
  <c r="A41" i="13" s="1"/>
  <c r="B8" i="13"/>
  <c r="M7" i="13"/>
  <c r="K7" i="13"/>
  <c r="J7" i="13"/>
  <c r="I7" i="13"/>
  <c r="H7" i="13"/>
  <c r="G7" i="13"/>
  <c r="F7" i="13"/>
  <c r="E7" i="13"/>
  <c r="L6" i="13"/>
  <c r="K6" i="13"/>
  <c r="H6" i="13"/>
  <c r="A1" i="13"/>
  <c r="B39" i="4"/>
  <c r="B34" i="4"/>
  <c r="B33" i="4"/>
  <c r="B31" i="4"/>
  <c r="B28" i="4"/>
  <c r="B27" i="4"/>
  <c r="B24" i="4"/>
  <c r="B23" i="4"/>
  <c r="B22" i="4"/>
  <c r="B21" i="4"/>
  <c r="B18" i="4"/>
  <c r="B17" i="4"/>
  <c r="B16" i="4"/>
  <c r="B15" i="4"/>
  <c r="B14" i="4"/>
  <c r="B13" i="4"/>
  <c r="B12" i="4"/>
  <c r="B9" i="4"/>
  <c r="B8" i="4"/>
  <c r="M7" i="4"/>
  <c r="K7" i="4"/>
  <c r="J7" i="4"/>
  <c r="I7" i="4"/>
  <c r="H7" i="4"/>
  <c r="G7" i="4"/>
  <c r="F7" i="4"/>
  <c r="E7" i="4"/>
  <c r="L6" i="4"/>
  <c r="K6" i="4"/>
  <c r="H6" i="4"/>
  <c r="L6" i="3"/>
  <c r="K6" i="3"/>
  <c r="H6" i="3"/>
  <c r="M7" i="3"/>
  <c r="K7" i="3"/>
  <c r="J7" i="3"/>
  <c r="I7" i="3"/>
  <c r="H7" i="3"/>
  <c r="G7" i="3"/>
  <c r="F7" i="3"/>
  <c r="E7" i="3"/>
  <c r="B39" i="3"/>
  <c r="B34" i="3"/>
  <c r="B33" i="3"/>
  <c r="B31" i="3"/>
  <c r="B28" i="3"/>
  <c r="B27" i="3"/>
  <c r="B24" i="3"/>
  <c r="B23" i="3"/>
  <c r="B22" i="3"/>
  <c r="B21" i="3"/>
  <c r="B18" i="3"/>
  <c r="B17" i="3"/>
  <c r="B16" i="3"/>
  <c r="B15" i="3"/>
  <c r="B14" i="3"/>
  <c r="B13" i="3"/>
  <c r="B12" i="3"/>
  <c r="B9" i="3"/>
  <c r="B8" i="3"/>
  <c r="I39" i="4"/>
  <c r="M39" i="4" s="1"/>
  <c r="I34" i="4"/>
  <c r="M34" i="4" s="1"/>
  <c r="I33" i="4"/>
  <c r="M33" i="4" s="1"/>
  <c r="I31" i="4"/>
  <c r="M31" i="4" s="1"/>
  <c r="I28" i="4"/>
  <c r="N20" i="42"/>
  <c r="I24" i="4"/>
  <c r="M24" i="4" s="1"/>
  <c r="I23" i="4"/>
  <c r="M23" i="4" s="1"/>
  <c r="F21" i="4"/>
  <c r="I18" i="4"/>
  <c r="F16" i="4"/>
  <c r="R24" i="106"/>
  <c r="C21" i="84" s="1"/>
  <c r="H21" i="4"/>
  <c r="H16" i="4"/>
  <c r="H14" i="4"/>
  <c r="H12" i="4"/>
  <c r="H9" i="4"/>
  <c r="A9" i="4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1" i="4"/>
  <c r="I39" i="3"/>
  <c r="M39" i="3" s="1"/>
  <c r="I34" i="3"/>
  <c r="M34" i="3" s="1"/>
  <c r="I33" i="3"/>
  <c r="M33" i="3" s="1"/>
  <c r="I31" i="3"/>
  <c r="M31" i="3" s="1"/>
  <c r="N19" i="43"/>
  <c r="N19" i="42"/>
  <c r="I24" i="3"/>
  <c r="M24" i="3" s="1"/>
  <c r="I23" i="3"/>
  <c r="M23" i="3" s="1"/>
  <c r="N45" i="40"/>
  <c r="I16" i="3"/>
  <c r="E13" i="3"/>
  <c r="I9" i="3"/>
  <c r="N18" i="43"/>
  <c r="N18" i="42"/>
  <c r="F21" i="62"/>
  <c r="N44" i="40"/>
  <c r="E13" i="62"/>
  <c r="V23" i="108" s="1"/>
  <c r="W23" i="108" s="1"/>
  <c r="F9" i="62"/>
  <c r="R22" i="106"/>
  <c r="C19" i="84" s="1"/>
  <c r="I21" i="13"/>
  <c r="M15" i="19"/>
  <c r="S44" i="109"/>
  <c r="AA14" i="67"/>
  <c r="R14" i="67"/>
  <c r="AJ26" i="67"/>
  <c r="AJ14" i="67"/>
  <c r="AJ16" i="67"/>
  <c r="R26" i="67"/>
  <c r="R23" i="67"/>
  <c r="R27" i="67"/>
  <c r="R21" i="67"/>
  <c r="AA26" i="67"/>
  <c r="AA27" i="67"/>
  <c r="AA21" i="67"/>
  <c r="R16" i="67"/>
  <c r="AA16" i="67"/>
  <c r="AJ27" i="67"/>
  <c r="AJ21" i="67"/>
  <c r="AJ23" i="67"/>
  <c r="AA23" i="67"/>
  <c r="AD27" i="67"/>
  <c r="U16" i="67"/>
  <c r="AD23" i="67"/>
  <c r="AF21" i="67"/>
  <c r="AF27" i="67"/>
  <c r="AF16" i="67"/>
  <c r="N16" i="67"/>
  <c r="W16" i="67"/>
  <c r="W21" i="67"/>
  <c r="N23" i="67"/>
  <c r="AH16" i="67"/>
  <c r="AH23" i="67"/>
  <c r="Y26" i="67"/>
  <c r="AH27" i="67"/>
  <c r="O21" i="67"/>
  <c r="O23" i="67"/>
  <c r="H9" i="62"/>
  <c r="J9" i="62" s="1"/>
  <c r="H12" i="62"/>
  <c r="J12" i="62" s="1"/>
  <c r="H14" i="62"/>
  <c r="J14" i="62" s="1"/>
  <c r="H16" i="62"/>
  <c r="J16" i="62"/>
  <c r="H21" i="62"/>
  <c r="J21" i="62" s="1"/>
  <c r="H21" i="3"/>
  <c r="H16" i="3"/>
  <c r="H14" i="3"/>
  <c r="H12" i="3"/>
  <c r="H9" i="3"/>
  <c r="A9" i="3"/>
  <c r="A10" i="3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1" i="3"/>
  <c r="AF7" i="96"/>
  <c r="AG7" i="96"/>
  <c r="A2" i="96"/>
  <c r="A1" i="96"/>
  <c r="C17" i="96"/>
  <c r="C18" i="96"/>
  <c r="B10" i="96"/>
  <c r="B11" i="96"/>
  <c r="B12" i="96"/>
  <c r="B13" i="96"/>
  <c r="B14" i="96"/>
  <c r="B15" i="96"/>
  <c r="B16" i="96"/>
  <c r="B17" i="96"/>
  <c r="B18" i="96"/>
  <c r="B19" i="96"/>
  <c r="B20" i="96"/>
  <c r="B21" i="96"/>
  <c r="B22" i="96"/>
  <c r="B9" i="96"/>
  <c r="D29" i="25"/>
  <c r="H27" i="25"/>
  <c r="H29" i="25" s="1"/>
  <c r="H28" i="25"/>
  <c r="J28" i="25" s="1"/>
  <c r="AE18" i="96" s="1"/>
  <c r="D7" i="62"/>
  <c r="D7" i="24" s="1"/>
  <c r="D7" i="103"/>
  <c r="D7" i="104"/>
  <c r="D7" i="101"/>
  <c r="D7" i="99"/>
  <c r="D7" i="97"/>
  <c r="D7" i="3"/>
  <c r="D7" i="4"/>
  <c r="H32" i="25"/>
  <c r="J32" i="25" s="1"/>
  <c r="H40" i="25"/>
  <c r="J40" i="25" s="1"/>
  <c r="AE22" i="96" s="1"/>
  <c r="H35" i="25"/>
  <c r="J35" i="25" s="1"/>
  <c r="AE21" i="96" s="1"/>
  <c r="H34" i="25"/>
  <c r="J34" i="25" s="1"/>
  <c r="AE20" i="96" s="1"/>
  <c r="D36" i="25"/>
  <c r="H24" i="25"/>
  <c r="J24" i="25" s="1"/>
  <c r="AE16" i="96" s="1"/>
  <c r="H22" i="25"/>
  <c r="J22" i="25" s="1"/>
  <c r="H17" i="25"/>
  <c r="H13" i="25"/>
  <c r="H15" i="25"/>
  <c r="A9" i="62"/>
  <c r="A10" i="62"/>
  <c r="A11" i="62" s="1"/>
  <c r="A12" i="62" s="1"/>
  <c r="A13" i="62" s="1"/>
  <c r="A14" i="62" s="1"/>
  <c r="A15" i="62" s="1"/>
  <c r="A16" i="62" s="1"/>
  <c r="A17" i="62" s="1"/>
  <c r="A18" i="62" s="1"/>
  <c r="A19" i="62" s="1"/>
  <c r="A20" i="62" s="1"/>
  <c r="A21" i="62" s="1"/>
  <c r="A22" i="62" s="1"/>
  <c r="A23" i="62" s="1"/>
  <c r="A24" i="62" s="1"/>
  <c r="A25" i="62" s="1"/>
  <c r="A26" i="62" s="1"/>
  <c r="A27" i="62" s="1"/>
  <c r="A28" i="62" s="1"/>
  <c r="A29" i="62" s="1"/>
  <c r="A30" i="62" s="1"/>
  <c r="A31" i="62" s="1"/>
  <c r="A32" i="62" s="1"/>
  <c r="A33" i="62" s="1"/>
  <c r="A34" i="62" s="1"/>
  <c r="A35" i="62" s="1"/>
  <c r="A36" i="62" s="1"/>
  <c r="A37" i="62" s="1"/>
  <c r="A38" i="62" s="1"/>
  <c r="A39" i="62" s="1"/>
  <c r="A40" i="62" s="1"/>
  <c r="A41" i="62" s="1"/>
  <c r="A1" i="62"/>
  <c r="A2" i="72"/>
  <c r="A2" i="104" s="1"/>
  <c r="AO7" i="96"/>
  <c r="A10" i="96"/>
  <c r="A11" i="96" s="1"/>
  <c r="A12" i="96" s="1"/>
  <c r="A13" i="96" s="1"/>
  <c r="A14" i="96" s="1"/>
  <c r="A15" i="96" s="1"/>
  <c r="A16" i="96" s="1"/>
  <c r="A17" i="96" s="1"/>
  <c r="A18" i="96" s="1"/>
  <c r="A19" i="96" s="1"/>
  <c r="A20" i="96" s="1"/>
  <c r="A21" i="96" s="1"/>
  <c r="A22" i="96" s="1"/>
  <c r="A23" i="96" s="1"/>
  <c r="A24" i="96" s="1"/>
  <c r="O9" i="84"/>
  <c r="A12" i="88"/>
  <c r="A13" i="88" s="1"/>
  <c r="A14" i="88" s="1"/>
  <c r="A15" i="88" s="1"/>
  <c r="A16" i="88" s="1"/>
  <c r="A17" i="88" s="1"/>
  <c r="A18" i="88" s="1"/>
  <c r="A19" i="88" s="1"/>
  <c r="A20" i="88" s="1"/>
  <c r="A21" i="88" s="1"/>
  <c r="A22" i="88" s="1"/>
  <c r="A23" i="88" s="1"/>
  <c r="A24" i="88" s="1"/>
  <c r="A25" i="88" s="1"/>
  <c r="I9" i="88"/>
  <c r="H9" i="88"/>
  <c r="E9" i="88"/>
  <c r="A10" i="84"/>
  <c r="A11" i="84" s="1"/>
  <c r="A12" i="84" s="1"/>
  <c r="A13" i="84" s="1"/>
  <c r="A14" i="84" s="1"/>
  <c r="A15" i="84" s="1"/>
  <c r="A16" i="84" s="1"/>
  <c r="A17" i="84" s="1"/>
  <c r="A18" i="84" s="1"/>
  <c r="A19" i="84" s="1"/>
  <c r="A20" i="84" s="1"/>
  <c r="A21" i="84" s="1"/>
  <c r="A22" i="84" s="1"/>
  <c r="A23" i="84" s="1"/>
  <c r="A24" i="84" s="1"/>
  <c r="A25" i="84" s="1"/>
  <c r="A26" i="84" s="1"/>
  <c r="A27" i="84" s="1"/>
  <c r="A28" i="84" s="1"/>
  <c r="A29" i="84" s="1"/>
  <c r="A30" i="84" s="1"/>
  <c r="A31" i="84" s="1"/>
  <c r="A32" i="84" s="1"/>
  <c r="A33" i="84" s="1"/>
  <c r="A34" i="84" s="1"/>
  <c r="A35" i="84" s="1"/>
  <c r="A36" i="84" s="1"/>
  <c r="A37" i="84" s="1"/>
  <c r="A38" i="84" s="1"/>
  <c r="A39" i="84" s="1"/>
  <c r="A40" i="84" s="1"/>
  <c r="A41" i="84" s="1"/>
  <c r="A42" i="84" s="1"/>
  <c r="A43" i="84" s="1"/>
  <c r="A44" i="84" s="1"/>
  <c r="A45" i="84" s="1"/>
  <c r="A46" i="84" s="1"/>
  <c r="A47" i="84" s="1"/>
  <c r="A48" i="84" s="1"/>
  <c r="A49" i="84" s="1"/>
  <c r="A50" i="84" s="1"/>
  <c r="A51" i="84" s="1"/>
  <c r="A52" i="84" s="1"/>
  <c r="A53" i="84" s="1"/>
  <c r="AD9" i="84"/>
  <c r="R9" i="84"/>
  <c r="I9" i="84"/>
  <c r="L9" i="84"/>
  <c r="AA9" i="84"/>
  <c r="A11" i="77"/>
  <c r="A12" i="77" s="1"/>
  <c r="A13" i="77" s="1"/>
  <c r="A14" i="77" s="1"/>
  <c r="A15" i="77" s="1"/>
  <c r="A16" i="77" s="1"/>
  <c r="A17" i="77" s="1"/>
  <c r="A18" i="77" s="1"/>
  <c r="A19" i="77" s="1"/>
  <c r="A20" i="77" s="1"/>
  <c r="A21" i="77" s="1"/>
  <c r="A22" i="77" s="1"/>
  <c r="A23" i="77" s="1"/>
  <c r="A24" i="77" s="1"/>
  <c r="A11" i="72"/>
  <c r="A12" i="72" s="1"/>
  <c r="A13" i="72" s="1"/>
  <c r="A14" i="72" s="1"/>
  <c r="A15" i="72" s="1"/>
  <c r="A16" i="72" s="1"/>
  <c r="A17" i="72" s="1"/>
  <c r="A18" i="72" s="1"/>
  <c r="A19" i="72" s="1"/>
  <c r="A20" i="72" s="1"/>
  <c r="A21" i="72" s="1"/>
  <c r="A22" i="72" s="1"/>
  <c r="A23" i="72" s="1"/>
  <c r="A24" i="72" s="1"/>
  <c r="N7" i="62"/>
  <c r="T7" i="104" s="1"/>
  <c r="L7" i="62"/>
  <c r="P7" i="104" s="1"/>
  <c r="Q7" i="70"/>
  <c r="Q7" i="69"/>
  <c r="M7" i="95"/>
  <c r="L7" i="22"/>
  <c r="L7" i="4"/>
  <c r="L7" i="3"/>
  <c r="D10" i="42"/>
  <c r="D11" i="42"/>
  <c r="D12" i="42"/>
  <c r="D14" i="42"/>
  <c r="D15" i="42"/>
  <c r="D16" i="42"/>
  <c r="D18" i="42"/>
  <c r="D19" i="42"/>
  <c r="D20" i="42"/>
  <c r="D22" i="42"/>
  <c r="D23" i="42"/>
  <c r="D24" i="42"/>
  <c r="D26" i="42"/>
  <c r="D27" i="42"/>
  <c r="D28" i="42"/>
  <c r="D30" i="42"/>
  <c r="D31" i="42"/>
  <c r="D32" i="42"/>
  <c r="D10" i="41"/>
  <c r="B11" i="41"/>
  <c r="D11" i="41"/>
  <c r="D12" i="41"/>
  <c r="D11" i="40"/>
  <c r="B12" i="40"/>
  <c r="B13" i="40" s="1"/>
  <c r="D12" i="40"/>
  <c r="D13" i="40"/>
  <c r="D15" i="40"/>
  <c r="B16" i="40"/>
  <c r="B17" i="40" s="1"/>
  <c r="D16" i="40"/>
  <c r="D17" i="40"/>
  <c r="D19" i="40"/>
  <c r="B20" i="40"/>
  <c r="B21" i="40" s="1"/>
  <c r="D20" i="40"/>
  <c r="D21" i="40"/>
  <c r="D24" i="40"/>
  <c r="B25" i="40"/>
  <c r="B26" i="40" s="1"/>
  <c r="D25" i="40"/>
  <c r="D26" i="40"/>
  <c r="D28" i="40"/>
  <c r="B29" i="40"/>
  <c r="B30" i="40" s="1"/>
  <c r="D29" i="40"/>
  <c r="D30" i="40"/>
  <c r="D32" i="40"/>
  <c r="B33" i="40"/>
  <c r="B34" i="40" s="1"/>
  <c r="D33" i="40"/>
  <c r="D34" i="40"/>
  <c r="D36" i="40"/>
  <c r="B37" i="40"/>
  <c r="B38" i="40" s="1"/>
  <c r="D37" i="40"/>
  <c r="D38" i="40"/>
  <c r="D10" i="39"/>
  <c r="B11" i="39"/>
  <c r="B12" i="39" s="1"/>
  <c r="B14" i="39" s="1"/>
  <c r="D11" i="39"/>
  <c r="D12" i="39"/>
  <c r="B12" i="41"/>
  <c r="B14" i="41" s="1"/>
  <c r="P38" i="41" l="1"/>
  <c r="M22" i="23"/>
  <c r="S38" i="41" s="1"/>
  <c r="H14" i="98"/>
  <c r="F14" i="98"/>
  <c r="U42" i="108"/>
  <c r="M63" i="40" s="1"/>
  <c r="B40" i="85"/>
  <c r="M39" i="41"/>
  <c r="M47" i="109"/>
  <c r="M27" i="42"/>
  <c r="M27" i="43"/>
  <c r="M53" i="40"/>
  <c r="M37" i="39"/>
  <c r="K10" i="99"/>
  <c r="N9" i="68"/>
  <c r="AG9" i="84"/>
  <c r="AB38" i="67"/>
  <c r="N22" i="96" s="1"/>
  <c r="T9" i="68"/>
  <c r="N16" i="68"/>
  <c r="E39" i="95"/>
  <c r="D39" i="98"/>
  <c r="F39" i="98" s="1"/>
  <c r="N22" i="102" s="1"/>
  <c r="M8" i="98"/>
  <c r="W30" i="106" s="1"/>
  <c r="J16" i="59"/>
  <c r="AK38" i="67"/>
  <c r="D7" i="19"/>
  <c r="AB17" i="67"/>
  <c r="N13" i="96" s="1"/>
  <c r="M18" i="23"/>
  <c r="S52" i="40" s="1"/>
  <c r="L32" i="84"/>
  <c r="N34" i="98"/>
  <c r="I13" i="23"/>
  <c r="Y31" i="108" s="1"/>
  <c r="Z31" i="108" s="1"/>
  <c r="S8" i="67"/>
  <c r="D7" i="100"/>
  <c r="J21" i="13"/>
  <c r="S32" i="67"/>
  <c r="M20" i="102" s="1"/>
  <c r="AK32" i="67"/>
  <c r="O14" i="70"/>
  <c r="N9" i="101"/>
  <c r="S17" i="67"/>
  <c r="M13" i="102" s="1"/>
  <c r="D33" i="98"/>
  <c r="F33" i="98" s="1"/>
  <c r="F35" i="98" s="1"/>
  <c r="J21" i="59"/>
  <c r="AK13" i="67"/>
  <c r="E33" i="95"/>
  <c r="T14" i="68"/>
  <c r="K35" i="101"/>
  <c r="K10" i="103"/>
  <c r="F9" i="84"/>
  <c r="J12" i="100"/>
  <c r="P47" i="39"/>
  <c r="S13" i="67"/>
  <c r="U9" i="84"/>
  <c r="H31" i="98"/>
  <c r="J31" i="98" s="1"/>
  <c r="O19" i="96" s="1"/>
  <c r="B21" i="84"/>
  <c r="E14" i="95"/>
  <c r="U21" i="70"/>
  <c r="M21" i="59"/>
  <c r="N21" i="59" s="1"/>
  <c r="K10" i="101"/>
  <c r="K35" i="104"/>
  <c r="F36" i="25"/>
  <c r="J27" i="25"/>
  <c r="J29" i="25" s="1"/>
  <c r="U25" i="108"/>
  <c r="R15" i="101"/>
  <c r="S59" i="109" s="1"/>
  <c r="C22" i="96"/>
  <c r="C16" i="88"/>
  <c r="C40" i="88" s="1"/>
  <c r="C24" i="88"/>
  <c r="C48" i="88" s="1"/>
  <c r="C23" i="88"/>
  <c r="C47" i="88" s="1"/>
  <c r="A2" i="62"/>
  <c r="A2" i="13"/>
  <c r="A2" i="97"/>
  <c r="A2" i="19"/>
  <c r="A2" i="98"/>
  <c r="A2" i="50"/>
  <c r="A2" i="95"/>
  <c r="A2" i="23"/>
  <c r="A2" i="59"/>
  <c r="A2" i="25"/>
  <c r="A2" i="67"/>
  <c r="A2" i="24"/>
  <c r="A2" i="103"/>
  <c r="A2" i="105"/>
  <c r="A2" i="69"/>
  <c r="B24" i="84"/>
  <c r="U28" i="108"/>
  <c r="M33" i="39" s="1"/>
  <c r="X40" i="84"/>
  <c r="AG40" i="84"/>
  <c r="C40" i="85" s="1"/>
  <c r="U37" i="108"/>
  <c r="B35" i="85"/>
  <c r="L7" i="13"/>
  <c r="L7" i="59"/>
  <c r="D7" i="95"/>
  <c r="R28" i="99"/>
  <c r="S31" i="43" s="1"/>
  <c r="O16" i="70"/>
  <c r="P63" i="40"/>
  <c r="J12" i="59"/>
  <c r="N16" i="101"/>
  <c r="I32" i="84"/>
  <c r="J13" i="25"/>
  <c r="L10" i="70"/>
  <c r="O9" i="70"/>
  <c r="L7" i="98"/>
  <c r="L7" i="50"/>
  <c r="N7" i="97"/>
  <c r="L7" i="105"/>
  <c r="A2" i="3"/>
  <c r="A2" i="99"/>
  <c r="J17" i="25"/>
  <c r="D7" i="69"/>
  <c r="J34" i="67"/>
  <c r="N12" i="101"/>
  <c r="L31" i="98"/>
  <c r="N31" i="98" s="1"/>
  <c r="I36" i="85"/>
  <c r="N7" i="100"/>
  <c r="P7" i="103"/>
  <c r="D7" i="70"/>
  <c r="E21" i="95"/>
  <c r="K21" i="95" s="1"/>
  <c r="T32" i="106"/>
  <c r="T42" i="106"/>
  <c r="N12" i="68"/>
  <c r="E36" i="67"/>
  <c r="E40" i="67" s="1"/>
  <c r="B29" i="84"/>
  <c r="L42" i="84"/>
  <c r="J9" i="59"/>
  <c r="J14" i="59"/>
  <c r="M22" i="59"/>
  <c r="S49" i="41" s="1"/>
  <c r="R32" i="84"/>
  <c r="I28" i="22"/>
  <c r="N57" i="40"/>
  <c r="I8" i="13"/>
  <c r="M8" i="13" s="1"/>
  <c r="W25" i="106" s="1"/>
  <c r="E31" i="25"/>
  <c r="I31" i="25" s="1"/>
  <c r="M31" i="25" s="1"/>
  <c r="H8" i="98"/>
  <c r="J8" i="98" s="1"/>
  <c r="F8" i="98"/>
  <c r="N9" i="102" s="1"/>
  <c r="U24" i="108"/>
  <c r="M31" i="41" s="1"/>
  <c r="B20" i="84"/>
  <c r="B20" i="85"/>
  <c r="B28" i="85"/>
  <c r="U30" i="108"/>
  <c r="M25" i="43" s="1"/>
  <c r="B28" i="84"/>
  <c r="M38" i="41"/>
  <c r="M26" i="43"/>
  <c r="M26" i="42"/>
  <c r="M52" i="40"/>
  <c r="M46" i="109"/>
  <c r="M36" i="39"/>
  <c r="T16" i="101"/>
  <c r="U29" i="108"/>
  <c r="M50" i="40" s="1"/>
  <c r="B25" i="85"/>
  <c r="B25" i="84"/>
  <c r="F25" i="85"/>
  <c r="O25" i="85"/>
  <c r="I25" i="85"/>
  <c r="R25" i="85"/>
  <c r="L25" i="85"/>
  <c r="T7" i="103"/>
  <c r="T12" i="101"/>
  <c r="L33" i="84"/>
  <c r="L7" i="16"/>
  <c r="N7" i="16"/>
  <c r="U7" i="70"/>
  <c r="P7" i="68"/>
  <c r="P7" i="101"/>
  <c r="D7" i="22"/>
  <c r="D7" i="25"/>
  <c r="P23" i="67"/>
  <c r="Y14" i="67"/>
  <c r="AH21" i="67"/>
  <c r="D21" i="98"/>
  <c r="E34" i="95"/>
  <c r="E35" i="95" s="1"/>
  <c r="E8" i="95"/>
  <c r="E10" i="95" s="1"/>
  <c r="AB7" i="67"/>
  <c r="B29" i="85"/>
  <c r="M51" i="109"/>
  <c r="I42" i="84"/>
  <c r="L7" i="97"/>
  <c r="N7" i="22"/>
  <c r="N7" i="50"/>
  <c r="L7" i="23"/>
  <c r="L7" i="25"/>
  <c r="D7" i="68"/>
  <c r="Y23" i="67"/>
  <c r="P27" i="67"/>
  <c r="AH26" i="67"/>
  <c r="M30" i="39"/>
  <c r="H18" i="98"/>
  <c r="L18" i="98" s="1"/>
  <c r="S33" i="67"/>
  <c r="M21" i="102" s="1"/>
  <c r="AB20" i="67"/>
  <c r="AB33" i="67"/>
  <c r="AK33" i="67"/>
  <c r="AK34" i="67" s="1"/>
  <c r="J9" i="67"/>
  <c r="AB8" i="67"/>
  <c r="J16" i="97"/>
  <c r="AK20" i="67"/>
  <c r="U16" i="69"/>
  <c r="U12" i="70"/>
  <c r="P56" i="109"/>
  <c r="L8" i="24"/>
  <c r="T44" i="106" s="1"/>
  <c r="Y44" i="108"/>
  <c r="Z44" i="108" s="1"/>
  <c r="P62" i="40"/>
  <c r="M41" i="39"/>
  <c r="AG29" i="84"/>
  <c r="C29" i="85" s="1"/>
  <c r="O29" i="85" s="1"/>
  <c r="X33" i="84"/>
  <c r="Q36" i="106"/>
  <c r="AD33" i="84"/>
  <c r="N14" i="101"/>
  <c r="N7" i="98"/>
  <c r="E16" i="95"/>
  <c r="U14" i="69"/>
  <c r="U14" i="70"/>
  <c r="M17" i="50"/>
  <c r="S46" i="39" s="1"/>
  <c r="R9" i="101"/>
  <c r="T9" i="101" s="1"/>
  <c r="R21" i="101"/>
  <c r="T21" i="101" s="1"/>
  <c r="T43" i="106"/>
  <c r="P51" i="41"/>
  <c r="J21" i="50"/>
  <c r="M31" i="43"/>
  <c r="O42" i="84"/>
  <c r="F9" i="85"/>
  <c r="B34" i="84"/>
  <c r="T7" i="24"/>
  <c r="D16" i="98"/>
  <c r="H16" i="98" s="1"/>
  <c r="L16" i="98" s="1"/>
  <c r="N16" i="98" s="1"/>
  <c r="B34" i="85"/>
  <c r="AH14" i="67"/>
  <c r="P16" i="67"/>
  <c r="N7" i="13"/>
  <c r="N7" i="23"/>
  <c r="N7" i="59"/>
  <c r="Y27" i="67"/>
  <c r="P21" i="67"/>
  <c r="I18" i="3"/>
  <c r="P45" i="40" s="1"/>
  <c r="M35" i="41"/>
  <c r="F34" i="98"/>
  <c r="N21" i="102" s="1"/>
  <c r="S15" i="67"/>
  <c r="AK15" i="67"/>
  <c r="D9" i="98"/>
  <c r="D10" i="98" s="1"/>
  <c r="M28" i="23"/>
  <c r="S26" i="43" s="1"/>
  <c r="J12" i="23"/>
  <c r="O12" i="69"/>
  <c r="L35" i="69"/>
  <c r="Q35" i="106"/>
  <c r="B32" i="84" s="1"/>
  <c r="N7" i="4"/>
  <c r="T7" i="101"/>
  <c r="N7" i="3"/>
  <c r="U7" i="69"/>
  <c r="N7" i="25"/>
  <c r="L7" i="100"/>
  <c r="J15" i="25"/>
  <c r="P26" i="67"/>
  <c r="Y16" i="67"/>
  <c r="AK8" i="67"/>
  <c r="AB30" i="67"/>
  <c r="N19" i="96" s="1"/>
  <c r="D36" i="67"/>
  <c r="D40" i="67" s="1"/>
  <c r="N29" i="25"/>
  <c r="F40" i="84"/>
  <c r="T7" i="68"/>
  <c r="T14" i="101"/>
  <c r="N7" i="19"/>
  <c r="T7" i="99"/>
  <c r="P14" i="67"/>
  <c r="Y21" i="67"/>
  <c r="I18" i="97"/>
  <c r="P36" i="39"/>
  <c r="T12" i="68"/>
  <c r="T16" i="68"/>
  <c r="E14" i="25"/>
  <c r="I14" i="25" s="1"/>
  <c r="M14" i="25" s="1"/>
  <c r="K10" i="104"/>
  <c r="C12" i="96"/>
  <c r="N12" i="99"/>
  <c r="R12" i="99"/>
  <c r="T12" i="99" s="1"/>
  <c r="AF26" i="67"/>
  <c r="W14" i="67"/>
  <c r="W27" i="67"/>
  <c r="N46" i="40"/>
  <c r="F13" i="99"/>
  <c r="V36" i="108" s="1"/>
  <c r="W36" i="108" s="1"/>
  <c r="O16" i="67"/>
  <c r="W23" i="67"/>
  <c r="W26" i="67"/>
  <c r="AG21" i="67"/>
  <c r="AF23" i="67"/>
  <c r="N14" i="67"/>
  <c r="H12" i="99"/>
  <c r="X21" i="67"/>
  <c r="N21" i="67"/>
  <c r="N26" i="67"/>
  <c r="N20" i="43"/>
  <c r="F16" i="16"/>
  <c r="AF14" i="67"/>
  <c r="N27" i="67"/>
  <c r="E17" i="100"/>
  <c r="I12" i="16"/>
  <c r="M12" i="16" s="1"/>
  <c r="N12" i="16" s="1"/>
  <c r="E13" i="16"/>
  <c r="V27" i="108" s="1"/>
  <c r="W27" i="108" s="1"/>
  <c r="E17" i="97"/>
  <c r="N33" i="39" s="1"/>
  <c r="F16" i="97"/>
  <c r="I16" i="16"/>
  <c r="J16" i="16" s="1"/>
  <c r="C14" i="96"/>
  <c r="AE14" i="67"/>
  <c r="I8" i="25"/>
  <c r="M8" i="25" s="1"/>
  <c r="W46" i="106" s="1"/>
  <c r="F17" i="95"/>
  <c r="J17" i="95" s="1"/>
  <c r="M21" i="67"/>
  <c r="C18" i="88"/>
  <c r="C42" i="88" s="1"/>
  <c r="G16" i="95"/>
  <c r="L16" i="24"/>
  <c r="R16" i="24" s="1"/>
  <c r="I27" i="13"/>
  <c r="M27" i="13" s="1"/>
  <c r="S21" i="42" s="1"/>
  <c r="I16" i="100"/>
  <c r="E18" i="25"/>
  <c r="N66" i="40" s="1"/>
  <c r="C16" i="96"/>
  <c r="I16" i="4"/>
  <c r="J16" i="4" s="1"/>
  <c r="E12" i="25"/>
  <c r="I12" i="25" s="1"/>
  <c r="M12" i="25" s="1"/>
  <c r="E16" i="25"/>
  <c r="I16" i="25" s="1"/>
  <c r="M16" i="25" s="1"/>
  <c r="F41" i="84"/>
  <c r="I41" i="84"/>
  <c r="AD41" i="84"/>
  <c r="P37" i="41"/>
  <c r="M22" i="22"/>
  <c r="S37" i="41" s="1"/>
  <c r="E22" i="13"/>
  <c r="N33" i="41" s="1"/>
  <c r="F9" i="3"/>
  <c r="F21" i="22"/>
  <c r="N48" i="39"/>
  <c r="L27" i="24"/>
  <c r="AI23" i="67"/>
  <c r="AG23" i="84"/>
  <c r="C23" i="85" s="1"/>
  <c r="F23" i="85" s="1"/>
  <c r="C22" i="72"/>
  <c r="C22" i="77" s="1"/>
  <c r="AI27" i="67"/>
  <c r="X23" i="84"/>
  <c r="I8" i="16"/>
  <c r="T26" i="106" s="1"/>
  <c r="F17" i="99"/>
  <c r="G14" i="99"/>
  <c r="M14" i="99" s="1"/>
  <c r="S14" i="99" s="1"/>
  <c r="E14" i="3"/>
  <c r="I14" i="3" s="1"/>
  <c r="N27" i="42"/>
  <c r="H16" i="68"/>
  <c r="M16" i="99"/>
  <c r="S16" i="99" s="1"/>
  <c r="T16" i="99" s="1"/>
  <c r="I16" i="22"/>
  <c r="M16" i="22" s="1"/>
  <c r="N16" i="22" s="1"/>
  <c r="G19" i="110"/>
  <c r="G13" i="110"/>
  <c r="G9" i="110"/>
  <c r="H16" i="99"/>
  <c r="U25" i="84"/>
  <c r="AA25" i="84"/>
  <c r="Z14" i="67"/>
  <c r="Z27" i="67"/>
  <c r="N22" i="42"/>
  <c r="F13" i="95"/>
  <c r="J13" i="95" s="1"/>
  <c r="N13" i="95" s="1"/>
  <c r="AD32" i="108" s="1"/>
  <c r="AE32" i="108" s="1"/>
  <c r="Z16" i="67"/>
  <c r="AI21" i="67"/>
  <c r="L27" i="99"/>
  <c r="P31" i="42" s="1"/>
  <c r="Z23" i="67"/>
  <c r="Q21" i="67"/>
  <c r="AI16" i="67"/>
  <c r="Q14" i="67"/>
  <c r="Q27" i="67"/>
  <c r="F16" i="3"/>
  <c r="I9" i="16"/>
  <c r="E22" i="19"/>
  <c r="N36" i="41" s="1"/>
  <c r="I9" i="70"/>
  <c r="N47" i="40"/>
  <c r="Q26" i="67"/>
  <c r="Q16" i="67"/>
  <c r="Z26" i="67"/>
  <c r="Z21" i="67"/>
  <c r="AI14" i="67"/>
  <c r="Q23" i="67"/>
  <c r="AI26" i="67"/>
  <c r="E22" i="62"/>
  <c r="N30" i="41" s="1"/>
  <c r="I18" i="16"/>
  <c r="P48" i="40" s="1"/>
  <c r="N31" i="43"/>
  <c r="I28" i="97"/>
  <c r="M28" i="97" s="1"/>
  <c r="S23" i="43" s="1"/>
  <c r="I16" i="70"/>
  <c r="I16" i="69"/>
  <c r="L18" i="24"/>
  <c r="E14" i="62"/>
  <c r="E15" i="62" s="1"/>
  <c r="N38" i="109" s="1"/>
  <c r="F17" i="68"/>
  <c r="N38" i="39" s="1"/>
  <c r="E17" i="4"/>
  <c r="I17" i="4" s="1"/>
  <c r="M17" i="4" s="1"/>
  <c r="S30" i="39" s="1"/>
  <c r="P22" i="42"/>
  <c r="G9" i="95"/>
  <c r="P27" i="43"/>
  <c r="I12" i="13"/>
  <c r="J12" i="13" s="1"/>
  <c r="I27" i="4"/>
  <c r="P20" i="42" s="1"/>
  <c r="N34" i="41"/>
  <c r="C12" i="72"/>
  <c r="C12" i="77" s="1"/>
  <c r="C13" i="88"/>
  <c r="C37" i="88" s="1"/>
  <c r="C12" i="88"/>
  <c r="C36" i="88" s="1"/>
  <c r="C10" i="72"/>
  <c r="C10" i="77" s="1"/>
  <c r="C21" i="88"/>
  <c r="C45" i="88" s="1"/>
  <c r="C9" i="96"/>
  <c r="C20" i="72"/>
  <c r="C20" i="77" s="1"/>
  <c r="C10" i="96"/>
  <c r="U33" i="108"/>
  <c r="B31" i="84"/>
  <c r="B31" i="85"/>
  <c r="P47" i="40"/>
  <c r="M18" i="13"/>
  <c r="S47" i="40" s="1"/>
  <c r="D16" i="39"/>
  <c r="B15" i="39"/>
  <c r="B16" i="39" s="1"/>
  <c r="B18" i="39" s="1"/>
  <c r="D14" i="39"/>
  <c r="D15" i="39"/>
  <c r="M18" i="4"/>
  <c r="S46" i="40" s="1"/>
  <c r="P46" i="40"/>
  <c r="O9" i="96"/>
  <c r="D16" i="41"/>
  <c r="B15" i="41"/>
  <c r="B16" i="41" s="1"/>
  <c r="B18" i="41" s="1"/>
  <c r="D14" i="41"/>
  <c r="D15" i="41"/>
  <c r="I21" i="3"/>
  <c r="J21" i="3" s="1"/>
  <c r="E22" i="3"/>
  <c r="I22" i="3" s="1"/>
  <c r="M22" i="3" s="1"/>
  <c r="S31" i="41" s="1"/>
  <c r="M16" i="23"/>
  <c r="N16" i="23" s="1"/>
  <c r="J16" i="23"/>
  <c r="M23" i="43"/>
  <c r="V12" i="67"/>
  <c r="AE12" i="67" s="1"/>
  <c r="V14" i="67"/>
  <c r="V23" i="67"/>
  <c r="AE27" i="67"/>
  <c r="M27" i="67"/>
  <c r="X16" i="67"/>
  <c r="M14" i="67"/>
  <c r="M49" i="40"/>
  <c r="B24" i="85"/>
  <c r="M21" i="42"/>
  <c r="M33" i="41"/>
  <c r="M47" i="40"/>
  <c r="N12" i="95"/>
  <c r="L35" i="84"/>
  <c r="U35" i="84"/>
  <c r="F35" i="84"/>
  <c r="AD35" i="84"/>
  <c r="G11" i="110"/>
  <c r="P35" i="41"/>
  <c r="F21" i="3"/>
  <c r="I12" i="69"/>
  <c r="G13" i="69"/>
  <c r="V37" i="108" s="1"/>
  <c r="W37" i="108" s="1"/>
  <c r="V21" i="67"/>
  <c r="J21" i="22"/>
  <c r="M21" i="22"/>
  <c r="N21" i="22" s="1"/>
  <c r="AE16" i="67"/>
  <c r="M21" i="43"/>
  <c r="M32" i="41"/>
  <c r="U23" i="108"/>
  <c r="F14" i="23"/>
  <c r="I14" i="23"/>
  <c r="E15" i="23"/>
  <c r="M24" i="43"/>
  <c r="M36" i="41"/>
  <c r="V27" i="67"/>
  <c r="X12" i="67"/>
  <c r="AG12" i="67" s="1"/>
  <c r="X14" i="67"/>
  <c r="X23" i="67"/>
  <c r="O14" i="67"/>
  <c r="X26" i="67"/>
  <c r="I27" i="22"/>
  <c r="P25" i="42" s="1"/>
  <c r="N25" i="42"/>
  <c r="O27" i="67"/>
  <c r="AE21" i="67"/>
  <c r="M16" i="97"/>
  <c r="N16" i="97" s="1"/>
  <c r="M28" i="50"/>
  <c r="S36" i="43" s="1"/>
  <c r="M23" i="42"/>
  <c r="L23" i="85"/>
  <c r="I17" i="16"/>
  <c r="P32" i="39" s="1"/>
  <c r="N32" i="39"/>
  <c r="AG27" i="67"/>
  <c r="M23" i="67"/>
  <c r="M16" i="67"/>
  <c r="T25" i="106"/>
  <c r="E17" i="62"/>
  <c r="N28" i="39" s="1"/>
  <c r="F16" i="62"/>
  <c r="R23" i="106"/>
  <c r="C20" i="84" s="1"/>
  <c r="AD20" i="84" s="1"/>
  <c r="I8" i="3"/>
  <c r="T23" i="106" s="1"/>
  <c r="I9" i="4"/>
  <c r="J9" i="4" s="1"/>
  <c r="E14" i="4"/>
  <c r="I21" i="97"/>
  <c r="M21" i="97" s="1"/>
  <c r="N21" i="97" s="1"/>
  <c r="F21" i="97"/>
  <c r="E23" i="95"/>
  <c r="AB22" i="67"/>
  <c r="N15" i="96" s="1"/>
  <c r="S22" i="67"/>
  <c r="M15" i="102" s="1"/>
  <c r="AK22" i="67"/>
  <c r="F14" i="95"/>
  <c r="J9" i="95"/>
  <c r="AA39" i="84"/>
  <c r="L39" i="84"/>
  <c r="U39" i="84"/>
  <c r="X39" i="84"/>
  <c r="O39" i="84"/>
  <c r="F39" i="84"/>
  <c r="AG39" i="84"/>
  <c r="C39" i="85" s="1"/>
  <c r="I39" i="84"/>
  <c r="AD39" i="84"/>
  <c r="R39" i="84"/>
  <c r="M49" i="41"/>
  <c r="J16" i="98"/>
  <c r="L8" i="98"/>
  <c r="I17" i="100"/>
  <c r="P44" i="39" s="1"/>
  <c r="N44" i="39"/>
  <c r="O27" i="84"/>
  <c r="AG27" i="84"/>
  <c r="C27" i="85" s="1"/>
  <c r="L27" i="84"/>
  <c r="F27" i="84"/>
  <c r="AD27" i="84"/>
  <c r="AA27" i="84"/>
  <c r="X27" i="84"/>
  <c r="U27" i="84"/>
  <c r="R27" i="84"/>
  <c r="I27" i="84"/>
  <c r="M21" i="13"/>
  <c r="N21" i="13" s="1"/>
  <c r="H36" i="25"/>
  <c r="O26" i="67"/>
  <c r="N18" i="98"/>
  <c r="N16" i="95"/>
  <c r="O16" i="95" s="1"/>
  <c r="K16" i="95"/>
  <c r="P7" i="24"/>
  <c r="L7" i="19"/>
  <c r="A2" i="101"/>
  <c r="A2" i="68"/>
  <c r="A2" i="70"/>
  <c r="A2" i="16"/>
  <c r="A2" i="100"/>
  <c r="A2" i="4"/>
  <c r="AG23" i="67"/>
  <c r="AG26" i="67"/>
  <c r="V26" i="67"/>
  <c r="J34" i="98"/>
  <c r="O21" i="96" s="1"/>
  <c r="F16" i="98"/>
  <c r="B22" i="85"/>
  <c r="D12" i="98"/>
  <c r="AK11" i="67"/>
  <c r="S11" i="67"/>
  <c r="AB11" i="67"/>
  <c r="E12" i="95"/>
  <c r="G12" i="95" s="1"/>
  <c r="F12" i="22"/>
  <c r="I12" i="22"/>
  <c r="M12" i="22" s="1"/>
  <c r="N12" i="22" s="1"/>
  <c r="E13" i="22"/>
  <c r="I13" i="22" s="1"/>
  <c r="M13" i="22" s="1"/>
  <c r="AD30" i="108" s="1"/>
  <c r="AE30" i="108" s="1"/>
  <c r="M13" i="50"/>
  <c r="AD41" i="108" s="1"/>
  <c r="AE41" i="108" s="1"/>
  <c r="Y41" i="108"/>
  <c r="Z41" i="108" s="1"/>
  <c r="R17" i="24"/>
  <c r="S48" i="39" s="1"/>
  <c r="P48" i="39"/>
  <c r="M22" i="50"/>
  <c r="S48" i="41" s="1"/>
  <c r="P48" i="41"/>
  <c r="X27" i="67"/>
  <c r="AE23" i="67"/>
  <c r="AK23" i="67" s="1"/>
  <c r="AE26" i="67"/>
  <c r="I12" i="4"/>
  <c r="M12" i="4" s="1"/>
  <c r="N12" i="4" s="1"/>
  <c r="E13" i="4"/>
  <c r="I13" i="4" s="1"/>
  <c r="Y25" i="108" s="1"/>
  <c r="Z25" i="108" s="1"/>
  <c r="B27" i="84"/>
  <c r="B27" i="85"/>
  <c r="E14" i="22"/>
  <c r="E15" i="22" s="1"/>
  <c r="N45" i="109" s="1"/>
  <c r="F9" i="22"/>
  <c r="I9" i="22"/>
  <c r="P7" i="99"/>
  <c r="N7" i="105"/>
  <c r="O7" i="95"/>
  <c r="A2" i="22"/>
  <c r="J36" i="25"/>
  <c r="D7" i="105"/>
  <c r="D7" i="23"/>
  <c r="D7" i="59"/>
  <c r="D7" i="16"/>
  <c r="D7" i="50"/>
  <c r="D7" i="13"/>
  <c r="AG16" i="67"/>
  <c r="M26" i="67"/>
  <c r="I28" i="3"/>
  <c r="P19" i="43" s="1"/>
  <c r="J18" i="98"/>
  <c r="O13" i="96" s="1"/>
  <c r="N35" i="41"/>
  <c r="M43" i="109"/>
  <c r="B22" i="84"/>
  <c r="D23" i="98"/>
  <c r="U27" i="108"/>
  <c r="B23" i="84"/>
  <c r="B23" i="85"/>
  <c r="P25" i="43"/>
  <c r="M28" i="22"/>
  <c r="S25" i="43" s="1"/>
  <c r="B40" i="84"/>
  <c r="J12" i="50"/>
  <c r="M12" i="50"/>
  <c r="N12" i="50" s="1"/>
  <c r="B41" i="84"/>
  <c r="B41" i="85"/>
  <c r="R40" i="85"/>
  <c r="L40" i="85"/>
  <c r="O40" i="85"/>
  <c r="I40" i="85"/>
  <c r="U41" i="108"/>
  <c r="B39" i="85"/>
  <c r="B39" i="84"/>
  <c r="O36" i="85"/>
  <c r="L36" i="85"/>
  <c r="R36" i="85"/>
  <c r="L19" i="85"/>
  <c r="R19" i="85"/>
  <c r="O19" i="85"/>
  <c r="I19" i="85"/>
  <c r="F19" i="85"/>
  <c r="C14" i="72"/>
  <c r="C14" i="77" s="1"/>
  <c r="C15" i="88"/>
  <c r="C39" i="88" s="1"/>
  <c r="E15" i="110"/>
  <c r="M13" i="23"/>
  <c r="AD31" i="108" s="1"/>
  <c r="AE31" i="108" s="1"/>
  <c r="N27" i="43"/>
  <c r="B37" i="85"/>
  <c r="J9" i="23"/>
  <c r="B26" i="85"/>
  <c r="B26" i="84"/>
  <c r="U9" i="69"/>
  <c r="N34" i="43"/>
  <c r="I28" i="100"/>
  <c r="P34" i="43" s="1"/>
  <c r="U43" i="108"/>
  <c r="U39" i="108"/>
  <c r="J18" i="95"/>
  <c r="N18" i="95" s="1"/>
  <c r="S53" i="40" s="1"/>
  <c r="N53" i="40"/>
  <c r="L13" i="24"/>
  <c r="R13" i="24" s="1"/>
  <c r="AD43" i="108" s="1"/>
  <c r="AE43" i="108" s="1"/>
  <c r="V43" i="108"/>
  <c r="W43" i="108" s="1"/>
  <c r="F40" i="85"/>
  <c r="O35" i="85"/>
  <c r="L35" i="85"/>
  <c r="F35" i="85"/>
  <c r="R35" i="85"/>
  <c r="I35" i="85"/>
  <c r="Y42" i="108"/>
  <c r="Z42" i="108" s="1"/>
  <c r="M13" i="59"/>
  <c r="AD42" i="108" s="1"/>
  <c r="AE42" i="108" s="1"/>
  <c r="S7" i="67"/>
  <c r="AK7" i="67"/>
  <c r="R37" i="106"/>
  <c r="C34" i="84" s="1"/>
  <c r="F34" i="84" s="1"/>
  <c r="J14" i="50"/>
  <c r="M14" i="50"/>
  <c r="N14" i="50" s="1"/>
  <c r="U35" i="108"/>
  <c r="B33" i="84"/>
  <c r="B33" i="85"/>
  <c r="M32" i="43"/>
  <c r="M58" i="40"/>
  <c r="M52" i="109"/>
  <c r="M32" i="42"/>
  <c r="M44" i="41"/>
  <c r="M42" i="39"/>
  <c r="L12" i="24"/>
  <c r="R12" i="24" s="1"/>
  <c r="T12" i="24" s="1"/>
  <c r="H12" i="24"/>
  <c r="R27" i="101"/>
  <c r="S39" i="42" s="1"/>
  <c r="P39" i="42"/>
  <c r="N21" i="68"/>
  <c r="R8" i="99"/>
  <c r="W37" i="106" s="1"/>
  <c r="T37" i="106"/>
  <c r="U44" i="108"/>
  <c r="B42" i="84"/>
  <c r="B42" i="85"/>
  <c r="AL7" i="96"/>
  <c r="AQ7" i="96" s="1"/>
  <c r="Q41" i="106"/>
  <c r="M40" i="43"/>
  <c r="M52" i="41"/>
  <c r="M50" i="39"/>
  <c r="M60" i="109"/>
  <c r="AD40" i="84"/>
  <c r="L40" i="84"/>
  <c r="AA40" i="84"/>
  <c r="U40" i="84"/>
  <c r="O40" i="84"/>
  <c r="I40" i="84"/>
  <c r="R40" i="84"/>
  <c r="B36" i="85"/>
  <c r="B36" i="84"/>
  <c r="U38" i="108"/>
  <c r="AA18" i="102"/>
  <c r="F29" i="25"/>
  <c r="F23" i="110"/>
  <c r="F19" i="110"/>
  <c r="C15" i="96"/>
  <c r="C17" i="88"/>
  <c r="C41" i="88" s="1"/>
  <c r="R38" i="84"/>
  <c r="L38" i="84"/>
  <c r="F38" i="84"/>
  <c r="U38" i="84"/>
  <c r="O38" i="84"/>
  <c r="AA38" i="84"/>
  <c r="O21" i="95"/>
  <c r="K10" i="68"/>
  <c r="K10" i="24"/>
  <c r="I38" i="84"/>
  <c r="F26" i="110"/>
  <c r="F24" i="110"/>
  <c r="F18" i="110"/>
  <c r="E16" i="110"/>
  <c r="F15" i="110"/>
  <c r="E12" i="110"/>
  <c r="F10" i="110"/>
  <c r="E8" i="110"/>
  <c r="F21" i="100"/>
  <c r="E22" i="100"/>
  <c r="L21" i="24"/>
  <c r="R21" i="24" s="1"/>
  <c r="F22" i="24"/>
  <c r="H21" i="24"/>
  <c r="I31" i="85"/>
  <c r="L31" i="85"/>
  <c r="F31" i="85"/>
  <c r="O31" i="85"/>
  <c r="R31" i="85"/>
  <c r="C21" i="72"/>
  <c r="C21" i="77" s="1"/>
  <c r="C22" i="88"/>
  <c r="C46" i="88" s="1"/>
  <c r="U12" i="69"/>
  <c r="O21" i="69"/>
  <c r="G22" i="24"/>
  <c r="M22" i="24" s="1"/>
  <c r="S22" i="24" s="1"/>
  <c r="M21" i="24"/>
  <c r="S21" i="24" s="1"/>
  <c r="E9" i="25"/>
  <c r="I9" i="25" s="1"/>
  <c r="M9" i="25" s="1"/>
  <c r="E21" i="25"/>
  <c r="I21" i="25" s="1"/>
  <c r="M21" i="25" s="1"/>
  <c r="E23" i="25"/>
  <c r="I23" i="25" s="1"/>
  <c r="M23" i="25" s="1"/>
  <c r="I29" i="84"/>
  <c r="AA29" i="84"/>
  <c r="R29" i="84"/>
  <c r="O29" i="84"/>
  <c r="U29" i="84"/>
  <c r="F29" i="84"/>
  <c r="AD29" i="84"/>
  <c r="X29" i="84"/>
  <c r="P60" i="40"/>
  <c r="L21" i="99"/>
  <c r="R21" i="99" s="1"/>
  <c r="N9" i="24"/>
  <c r="R9" i="24"/>
  <c r="T9" i="24" s="1"/>
  <c r="F42" i="85"/>
  <c r="I42" i="85"/>
  <c r="R42" i="85"/>
  <c r="F33" i="84"/>
  <c r="R33" i="84"/>
  <c r="O33" i="84"/>
  <c r="U33" i="84"/>
  <c r="I8" i="100"/>
  <c r="M8" i="100" s="1"/>
  <c r="W40" i="106" s="1"/>
  <c r="M43" i="41"/>
  <c r="M31" i="42"/>
  <c r="AA42" i="84"/>
  <c r="U42" i="84"/>
  <c r="M16" i="50"/>
  <c r="N16" i="50" s="1"/>
  <c r="U34" i="108"/>
  <c r="B32" i="85"/>
  <c r="F32" i="84"/>
  <c r="AD32" i="84"/>
  <c r="O32" i="84"/>
  <c r="U32" i="84"/>
  <c r="T38" i="40"/>
  <c r="B35" i="84"/>
  <c r="F29" i="110"/>
  <c r="E24" i="110"/>
  <c r="E21" i="110"/>
  <c r="G27" i="110"/>
  <c r="U19" i="84"/>
  <c r="F19" i="84"/>
  <c r="AA19" i="84"/>
  <c r="O19" i="84"/>
  <c r="L19" i="84"/>
  <c r="AD19" i="84"/>
  <c r="R19" i="84"/>
  <c r="X19" i="84"/>
  <c r="U31" i="84"/>
  <c r="AA31" i="84"/>
  <c r="AD31" i="84"/>
  <c r="R31" i="84"/>
  <c r="F31" i="84"/>
  <c r="P57" i="40"/>
  <c r="R18" i="99"/>
  <c r="S57" i="40" s="1"/>
  <c r="L15" i="24"/>
  <c r="N58" i="109"/>
  <c r="M8" i="97"/>
  <c r="W27" i="106" s="1"/>
  <c r="T27" i="106"/>
  <c r="M27" i="97"/>
  <c r="S23" i="42" s="1"/>
  <c r="P23" i="42"/>
  <c r="L26" i="67"/>
  <c r="U14" i="67"/>
  <c r="U26" i="67"/>
  <c r="N23" i="42"/>
  <c r="C16" i="72"/>
  <c r="C16" i="77" s="1"/>
  <c r="T32" i="109"/>
  <c r="F27" i="110"/>
  <c r="G16" i="110"/>
  <c r="U23" i="67"/>
  <c r="U27" i="67"/>
  <c r="E17" i="13"/>
  <c r="N21" i="43"/>
  <c r="F12" i="3"/>
  <c r="N60" i="40"/>
  <c r="I13" i="98"/>
  <c r="M13" i="98" s="1"/>
  <c r="G29" i="110"/>
  <c r="F21" i="110"/>
  <c r="L23" i="67"/>
  <c r="AD16" i="67"/>
  <c r="I27" i="3"/>
  <c r="F12" i="4"/>
  <c r="H21" i="68"/>
  <c r="AD21" i="67"/>
  <c r="L16" i="67"/>
  <c r="G21" i="95"/>
  <c r="R27" i="106"/>
  <c r="C24" i="84" s="1"/>
  <c r="F24" i="84" s="1"/>
  <c r="H18" i="67"/>
  <c r="H36" i="67" s="1"/>
  <c r="H40" i="67" s="1"/>
  <c r="I27" i="100"/>
  <c r="I9" i="69"/>
  <c r="H14" i="24"/>
  <c r="F12" i="110"/>
  <c r="U21" i="67"/>
  <c r="L14" i="67"/>
  <c r="L14" i="24"/>
  <c r="R14" i="24" s="1"/>
  <c r="T14" i="24" s="1"/>
  <c r="G21" i="110"/>
  <c r="F14" i="4"/>
  <c r="E15" i="19"/>
  <c r="N44" i="109" s="1"/>
  <c r="E27" i="98"/>
  <c r="I27" i="98" s="1"/>
  <c r="M27" i="98" s="1"/>
  <c r="F16" i="110"/>
  <c r="L21" i="67"/>
  <c r="AD14" i="67"/>
  <c r="AD26" i="67"/>
  <c r="L27" i="67"/>
  <c r="F22" i="95"/>
  <c r="J9" i="100"/>
  <c r="E15" i="98"/>
  <c r="I15" i="98" s="1"/>
  <c r="M15" i="98" s="1"/>
  <c r="E22" i="98"/>
  <c r="I22" i="98" s="1"/>
  <c r="M22" i="98" s="1"/>
  <c r="F25" i="110"/>
  <c r="G24" i="110"/>
  <c r="F22" i="110"/>
  <c r="F20" i="110"/>
  <c r="M14" i="3"/>
  <c r="N14" i="3" s="1"/>
  <c r="J14" i="3"/>
  <c r="M16" i="13"/>
  <c r="N16" i="13" s="1"/>
  <c r="J16" i="13"/>
  <c r="M28" i="4"/>
  <c r="S20" i="43" s="1"/>
  <c r="P20" i="43"/>
  <c r="M9" i="3"/>
  <c r="N9" i="3" s="1"/>
  <c r="J9" i="3"/>
  <c r="V24" i="108"/>
  <c r="W24" i="108" s="1"/>
  <c r="I13" i="3"/>
  <c r="M22" i="16"/>
  <c r="S34" i="41" s="1"/>
  <c r="P34" i="41"/>
  <c r="V26" i="108"/>
  <c r="W26" i="108" s="1"/>
  <c r="I13" i="13"/>
  <c r="J16" i="3"/>
  <c r="M16" i="3"/>
  <c r="N16" i="3" s="1"/>
  <c r="U22" i="84"/>
  <c r="O22" i="84"/>
  <c r="AG22" i="84"/>
  <c r="C22" i="85" s="1"/>
  <c r="X22" i="84"/>
  <c r="I22" i="84"/>
  <c r="L22" i="84"/>
  <c r="R22" i="84"/>
  <c r="AA22" i="84"/>
  <c r="F22" i="84"/>
  <c r="AD22" i="84"/>
  <c r="F21" i="84"/>
  <c r="AA21" i="84"/>
  <c r="AD21" i="84"/>
  <c r="X21" i="84"/>
  <c r="L21" i="84"/>
  <c r="AG21" i="84"/>
  <c r="C21" i="85" s="1"/>
  <c r="R21" i="84"/>
  <c r="U21" i="84"/>
  <c r="I21" i="84"/>
  <c r="O21" i="84"/>
  <c r="D27" i="98"/>
  <c r="E27" i="95"/>
  <c r="I8" i="22"/>
  <c r="R31" i="106"/>
  <c r="C28" i="84" s="1"/>
  <c r="G17" i="110"/>
  <c r="H31" i="110"/>
  <c r="E17" i="110"/>
  <c r="E17" i="3"/>
  <c r="F9" i="4"/>
  <c r="F12" i="13"/>
  <c r="E13" i="97"/>
  <c r="F25" i="84"/>
  <c r="AD25" i="84"/>
  <c r="X25" i="84"/>
  <c r="I25" i="84"/>
  <c r="O25" i="84"/>
  <c r="R25" i="84"/>
  <c r="E17" i="19"/>
  <c r="N34" i="39" s="1"/>
  <c r="F16" i="19"/>
  <c r="I21" i="4"/>
  <c r="F16" i="13"/>
  <c r="L23" i="84"/>
  <c r="J9" i="16"/>
  <c r="M9" i="16"/>
  <c r="N9" i="16" s="1"/>
  <c r="F21" i="16"/>
  <c r="I21" i="16"/>
  <c r="F9" i="97"/>
  <c r="I9" i="97"/>
  <c r="E14" i="97"/>
  <c r="E22" i="4"/>
  <c r="E24" i="95"/>
  <c r="D24" i="98"/>
  <c r="Y32" i="108"/>
  <c r="Z32" i="108" s="1"/>
  <c r="F14" i="3"/>
  <c r="P21" i="42"/>
  <c r="P21" i="43"/>
  <c r="E14" i="13"/>
  <c r="I8" i="4"/>
  <c r="I12" i="3"/>
  <c r="I28" i="16"/>
  <c r="P51" i="40"/>
  <c r="I17" i="22"/>
  <c r="R33" i="106"/>
  <c r="C30" i="84" s="1"/>
  <c r="J8" i="95"/>
  <c r="F37" i="85"/>
  <c r="O37" i="85"/>
  <c r="R37" i="85"/>
  <c r="L37" i="85"/>
  <c r="L37" i="84"/>
  <c r="U37" i="84"/>
  <c r="R37" i="84"/>
  <c r="AA37" i="84"/>
  <c r="I37" i="84"/>
  <c r="X37" i="84"/>
  <c r="O37" i="84"/>
  <c r="AD37" i="84"/>
  <c r="I14" i="70"/>
  <c r="F13" i="110"/>
  <c r="E13" i="110"/>
  <c r="M16" i="4"/>
  <c r="N16" i="4" s="1"/>
  <c r="F12" i="62"/>
  <c r="AD23" i="84"/>
  <c r="F23" i="84"/>
  <c r="I23" i="84"/>
  <c r="O23" i="84"/>
  <c r="E15" i="3"/>
  <c r="I9" i="13"/>
  <c r="AA23" i="84"/>
  <c r="P27" i="42"/>
  <c r="N27" i="95"/>
  <c r="S27" i="42" s="1"/>
  <c r="F37" i="84"/>
  <c r="E25" i="110"/>
  <c r="G25" i="110"/>
  <c r="J31" i="110"/>
  <c r="F14" i="68"/>
  <c r="H9" i="68"/>
  <c r="M18" i="97"/>
  <c r="S49" i="40" s="1"/>
  <c r="P49" i="40"/>
  <c r="F12" i="19"/>
  <c r="E13" i="19"/>
  <c r="V29" i="108" s="1"/>
  <c r="W29" i="108" s="1"/>
  <c r="U23" i="84"/>
  <c r="I12" i="97"/>
  <c r="M21" i="100"/>
  <c r="N21" i="100" s="1"/>
  <c r="J21" i="100"/>
  <c r="E28" i="110"/>
  <c r="M31" i="110"/>
  <c r="Q31" i="110"/>
  <c r="I31" i="84"/>
  <c r="F13" i="68"/>
  <c r="V33" i="108" s="1"/>
  <c r="W33" i="108" s="1"/>
  <c r="M21" i="99"/>
  <c r="G22" i="99"/>
  <c r="M22" i="99" s="1"/>
  <c r="S22" i="99" s="1"/>
  <c r="I21" i="69"/>
  <c r="H22" i="69"/>
  <c r="AA43" i="84"/>
  <c r="R43" i="84"/>
  <c r="I43" i="84"/>
  <c r="L43" i="84"/>
  <c r="AG43" i="84"/>
  <c r="C43" i="85" s="1"/>
  <c r="F43" i="84"/>
  <c r="U43" i="84"/>
  <c r="X43" i="84"/>
  <c r="O43" i="84"/>
  <c r="E23" i="110"/>
  <c r="G23" i="110"/>
  <c r="E14" i="16"/>
  <c r="X31" i="84"/>
  <c r="J16" i="100"/>
  <c r="M16" i="100"/>
  <c r="N16" i="100" s="1"/>
  <c r="F12" i="100"/>
  <c r="H21" i="99"/>
  <c r="P64" i="40"/>
  <c r="R18" i="24"/>
  <c r="S64" i="40" s="1"/>
  <c r="P38" i="42"/>
  <c r="R27" i="24"/>
  <c r="S38" i="42" s="1"/>
  <c r="G30" i="110"/>
  <c r="E30" i="110"/>
  <c r="G28" i="110"/>
  <c r="E27" i="110"/>
  <c r="G26" i="110"/>
  <c r="G15" i="110"/>
  <c r="E9" i="110"/>
  <c r="I31" i="110"/>
  <c r="L9" i="99"/>
  <c r="H9" i="99"/>
  <c r="F14" i="99"/>
  <c r="L36" i="84"/>
  <c r="R36" i="84"/>
  <c r="O36" i="84"/>
  <c r="F36" i="84"/>
  <c r="AD36" i="84"/>
  <c r="AA36" i="84"/>
  <c r="H22" i="70"/>
  <c r="I21" i="70"/>
  <c r="L28" i="24"/>
  <c r="N38" i="43"/>
  <c r="F14" i="110"/>
  <c r="S31" i="110"/>
  <c r="K31" i="110"/>
  <c r="F8" i="110"/>
  <c r="O31" i="110"/>
  <c r="E7" i="110"/>
  <c r="F16" i="22"/>
  <c r="M12" i="100"/>
  <c r="N12" i="100" s="1"/>
  <c r="E14" i="100"/>
  <c r="F9" i="100"/>
  <c r="AA34" i="84"/>
  <c r="I36" i="84"/>
  <c r="M16" i="24"/>
  <c r="G17" i="24"/>
  <c r="M17" i="24" s="1"/>
  <c r="S17" i="24" s="1"/>
  <c r="H16" i="24"/>
  <c r="F28" i="110"/>
  <c r="E22" i="110"/>
  <c r="G22" i="110"/>
  <c r="E20" i="110"/>
  <c r="G20" i="110"/>
  <c r="G18" i="110"/>
  <c r="F17" i="110"/>
  <c r="R31" i="110"/>
  <c r="G8" i="110"/>
  <c r="N31" i="110"/>
  <c r="N37" i="41"/>
  <c r="L31" i="84"/>
  <c r="L13" i="99"/>
  <c r="AA35" i="84"/>
  <c r="O35" i="84"/>
  <c r="X35" i="84"/>
  <c r="I35" i="84"/>
  <c r="I14" i="69"/>
  <c r="I18" i="25"/>
  <c r="AD43" i="84"/>
  <c r="AA41" i="84"/>
  <c r="O41" i="84"/>
  <c r="AG41" i="84"/>
  <c r="C41" i="85" s="1"/>
  <c r="X41" i="84"/>
  <c r="L41" i="84"/>
  <c r="R41" i="84"/>
  <c r="U41" i="84"/>
  <c r="E29" i="110"/>
  <c r="E19" i="110"/>
  <c r="E13" i="100"/>
  <c r="L22" i="99"/>
  <c r="F30" i="110"/>
  <c r="G14" i="110"/>
  <c r="E14" i="110"/>
  <c r="G12" i="110"/>
  <c r="E11" i="110"/>
  <c r="F11" i="110"/>
  <c r="P31" i="110"/>
  <c r="G10" i="110"/>
  <c r="F9" i="110"/>
  <c r="E24" i="98"/>
  <c r="I24" i="98" s="1"/>
  <c r="M24" i="98" s="1"/>
  <c r="T21" i="40"/>
  <c r="E10" i="110"/>
  <c r="E26" i="110"/>
  <c r="L31" i="110"/>
  <c r="G7" i="110"/>
  <c r="E18" i="110"/>
  <c r="F7" i="110"/>
  <c r="J14" i="67"/>
  <c r="I18" i="67"/>
  <c r="J21" i="67"/>
  <c r="I24" i="67"/>
  <c r="I28" i="67"/>
  <c r="J27" i="67"/>
  <c r="J12" i="67"/>
  <c r="F18" i="67"/>
  <c r="F36" i="67" s="1"/>
  <c r="F40" i="67" s="1"/>
  <c r="J16" i="67"/>
  <c r="G18" i="67"/>
  <c r="G36" i="67" s="1"/>
  <c r="G40" i="67" s="1"/>
  <c r="P23" i="43" l="1"/>
  <c r="S23" i="67"/>
  <c r="M16" i="102" s="1"/>
  <c r="J12" i="16"/>
  <c r="M40" i="109"/>
  <c r="M20" i="43"/>
  <c r="M46" i="40"/>
  <c r="N20" i="102"/>
  <c r="N16" i="99"/>
  <c r="S34" i="67"/>
  <c r="H33" i="98"/>
  <c r="M8" i="3"/>
  <c r="W23" i="106" s="1"/>
  <c r="M27" i="22"/>
  <c r="S25" i="42" s="1"/>
  <c r="L29" i="85"/>
  <c r="M35" i="39"/>
  <c r="I13" i="16"/>
  <c r="N37" i="39"/>
  <c r="D35" i="98"/>
  <c r="AE17" i="96"/>
  <c r="H39" i="98"/>
  <c r="L39" i="98" s="1"/>
  <c r="N39" i="98" s="1"/>
  <c r="R8" i="24"/>
  <c r="W44" i="106" s="1"/>
  <c r="M57" i="109"/>
  <c r="M47" i="39"/>
  <c r="M45" i="40"/>
  <c r="J14" i="98"/>
  <c r="L14" i="98"/>
  <c r="N14" i="98" s="1"/>
  <c r="M37" i="42"/>
  <c r="M16" i="16"/>
  <c r="N16" i="16" s="1"/>
  <c r="M19" i="42"/>
  <c r="AG20" i="84"/>
  <c r="C20" i="85" s="1"/>
  <c r="F20" i="85" s="1"/>
  <c r="M37" i="43"/>
  <c r="M20" i="42"/>
  <c r="N12" i="24"/>
  <c r="M18" i="3"/>
  <c r="S45" i="40" s="1"/>
  <c r="H35" i="98"/>
  <c r="I17" i="97"/>
  <c r="M17" i="97" s="1"/>
  <c r="S33" i="39" s="1"/>
  <c r="J16" i="22"/>
  <c r="R23" i="85"/>
  <c r="N17" i="95"/>
  <c r="S37" i="39" s="1"/>
  <c r="P37" i="39"/>
  <c r="J12" i="22"/>
  <c r="F21" i="98"/>
  <c r="H21" i="98"/>
  <c r="P53" i="40"/>
  <c r="N8" i="98"/>
  <c r="J39" i="98"/>
  <c r="O22" i="96" s="1"/>
  <c r="K12" i="95"/>
  <c r="O23" i="85"/>
  <c r="N21" i="96"/>
  <c r="AB34" i="67"/>
  <c r="M39" i="109"/>
  <c r="M29" i="39"/>
  <c r="M19" i="43"/>
  <c r="M9" i="4"/>
  <c r="N9" i="4" s="1"/>
  <c r="M27" i="4"/>
  <c r="S20" i="42" s="1"/>
  <c r="T29" i="106"/>
  <c r="N9" i="96"/>
  <c r="AB9" i="67"/>
  <c r="M34" i="39"/>
  <c r="M44" i="109"/>
  <c r="M24" i="42"/>
  <c r="P30" i="39"/>
  <c r="M28" i="3"/>
  <c r="S19" i="43" s="1"/>
  <c r="F9" i="98"/>
  <c r="F10" i="98" s="1"/>
  <c r="H9" i="98"/>
  <c r="F29" i="85"/>
  <c r="R29" i="85"/>
  <c r="I29" i="85"/>
  <c r="M45" i="109"/>
  <c r="M25" i="42"/>
  <c r="M37" i="41"/>
  <c r="M51" i="40"/>
  <c r="T46" i="106"/>
  <c r="I22" i="13"/>
  <c r="M22" i="13" s="1"/>
  <c r="S33" i="41" s="1"/>
  <c r="M17" i="100"/>
  <c r="S44" i="39" s="1"/>
  <c r="M13" i="4"/>
  <c r="AD25" i="108" s="1"/>
  <c r="AE25" i="108" s="1"/>
  <c r="I23" i="85"/>
  <c r="O34" i="84"/>
  <c r="V32" i="108"/>
  <c r="W32" i="108" s="1"/>
  <c r="G15" i="99"/>
  <c r="M15" i="99" s="1"/>
  <c r="S15" i="99" s="1"/>
  <c r="M8" i="16"/>
  <c r="W26" i="106" s="1"/>
  <c r="L17" i="99"/>
  <c r="N41" i="39"/>
  <c r="AB14" i="67"/>
  <c r="N11" i="96" s="1"/>
  <c r="X34" i="84"/>
  <c r="N30" i="39"/>
  <c r="AA20" i="84"/>
  <c r="F14" i="22"/>
  <c r="T40" i="106"/>
  <c r="J12" i="4"/>
  <c r="T21" i="24"/>
  <c r="R27" i="99"/>
  <c r="S31" i="42" s="1"/>
  <c r="R20" i="84"/>
  <c r="V25" i="108"/>
  <c r="W25" i="108" s="1"/>
  <c r="M18" i="16"/>
  <c r="S48" i="40" s="1"/>
  <c r="M12" i="13"/>
  <c r="N12" i="13" s="1"/>
  <c r="U20" i="84"/>
  <c r="N21" i="24"/>
  <c r="AB26" i="67"/>
  <c r="N17" i="96" s="1"/>
  <c r="AK26" i="67"/>
  <c r="AB23" i="67"/>
  <c r="N16" i="96" s="1"/>
  <c r="F14" i="62"/>
  <c r="S21" i="67"/>
  <c r="S24" i="67" s="1"/>
  <c r="Y43" i="108"/>
  <c r="Z43" i="108" s="1"/>
  <c r="S26" i="67"/>
  <c r="M17" i="102" s="1"/>
  <c r="AK14" i="67"/>
  <c r="R24" i="84"/>
  <c r="N14" i="24"/>
  <c r="L20" i="84"/>
  <c r="M48" i="39"/>
  <c r="M58" i="109"/>
  <c r="M50" i="41"/>
  <c r="M38" i="42"/>
  <c r="M38" i="43"/>
  <c r="M64" i="40"/>
  <c r="P33" i="39"/>
  <c r="O20" i="84"/>
  <c r="N46" i="41"/>
  <c r="I22" i="100"/>
  <c r="M36" i="42"/>
  <c r="M36" i="43"/>
  <c r="M56" i="109"/>
  <c r="M46" i="39"/>
  <c r="M48" i="41"/>
  <c r="M62" i="40"/>
  <c r="J9" i="22"/>
  <c r="M9" i="22"/>
  <c r="N9" i="22" s="1"/>
  <c r="R39" i="85"/>
  <c r="F39" i="85"/>
  <c r="O39" i="85"/>
  <c r="L39" i="85"/>
  <c r="I39" i="85"/>
  <c r="B38" i="85"/>
  <c r="B38" i="84"/>
  <c r="U40" i="108"/>
  <c r="M50" i="109"/>
  <c r="M40" i="39"/>
  <c r="M42" i="41"/>
  <c r="M56" i="40"/>
  <c r="M30" i="43"/>
  <c r="M30" i="42"/>
  <c r="F23" i="98"/>
  <c r="N15" i="102" s="1"/>
  <c r="H23" i="98"/>
  <c r="I14" i="4"/>
  <c r="E15" i="4"/>
  <c r="J21" i="97"/>
  <c r="F20" i="84"/>
  <c r="N31" i="41"/>
  <c r="I15" i="23"/>
  <c r="N46" i="109"/>
  <c r="AK27" i="67"/>
  <c r="I24" i="84"/>
  <c r="P31" i="41"/>
  <c r="M28" i="100"/>
  <c r="S34" i="43" s="1"/>
  <c r="M14" i="23"/>
  <c r="N14" i="23" s="1"/>
  <c r="J14" i="23"/>
  <c r="O12" i="95"/>
  <c r="D18" i="41"/>
  <c r="B19" i="41"/>
  <c r="B20" i="41" s="1"/>
  <c r="B22" i="41" s="1"/>
  <c r="D19" i="41"/>
  <c r="D20" i="41"/>
  <c r="M22" i="42"/>
  <c r="M34" i="41"/>
  <c r="M48" i="40"/>
  <c r="M32" i="39"/>
  <c r="M22" i="43"/>
  <c r="M42" i="109"/>
  <c r="N9" i="95"/>
  <c r="O9" i="95" s="1"/>
  <c r="K9" i="95"/>
  <c r="X24" i="84"/>
  <c r="Y30" i="108"/>
  <c r="Z30" i="108" s="1"/>
  <c r="I20" i="84"/>
  <c r="M21" i="3"/>
  <c r="N21" i="3" s="1"/>
  <c r="V30" i="108"/>
  <c r="W30" i="108" s="1"/>
  <c r="I14" i="22"/>
  <c r="J14" i="22" s="1"/>
  <c r="M17" i="16"/>
  <c r="S32" i="39" s="1"/>
  <c r="M59" i="109"/>
  <c r="M39" i="43"/>
  <c r="M39" i="42"/>
  <c r="M51" i="41"/>
  <c r="M49" i="39"/>
  <c r="M65" i="40"/>
  <c r="AK9" i="67"/>
  <c r="W29" i="106"/>
  <c r="J14" i="95"/>
  <c r="G14" i="95"/>
  <c r="F15" i="95"/>
  <c r="M38" i="109"/>
  <c r="M30" i="41"/>
  <c r="M18" i="42"/>
  <c r="M44" i="40"/>
  <c r="M28" i="39"/>
  <c r="M18" i="43"/>
  <c r="B19" i="39"/>
  <c r="B20" i="39" s="1"/>
  <c r="B22" i="39" s="1"/>
  <c r="D19" i="39"/>
  <c r="D20" i="39"/>
  <c r="D18" i="39"/>
  <c r="I15" i="22"/>
  <c r="P45" i="109" s="1"/>
  <c r="M39" i="39"/>
  <c r="M41" i="41"/>
  <c r="M49" i="109"/>
  <c r="M29" i="42"/>
  <c r="M55" i="40"/>
  <c r="M29" i="43"/>
  <c r="U24" i="84"/>
  <c r="X20" i="84"/>
  <c r="R29" i="106"/>
  <c r="C26" i="84" s="1"/>
  <c r="S9" i="67"/>
  <c r="M9" i="102"/>
  <c r="I27" i="85"/>
  <c r="R27" i="85"/>
  <c r="L27" i="85"/>
  <c r="O27" i="85"/>
  <c r="F27" i="85"/>
  <c r="H12" i="98"/>
  <c r="F12" i="98"/>
  <c r="M53" i="109"/>
  <c r="M59" i="40"/>
  <c r="M43" i="39"/>
  <c r="M33" i="42"/>
  <c r="M33" i="43"/>
  <c r="M45" i="41"/>
  <c r="AD34" i="84"/>
  <c r="L34" i="84"/>
  <c r="I34" i="84"/>
  <c r="R34" i="84"/>
  <c r="AG34" i="84"/>
  <c r="C34" i="85" s="1"/>
  <c r="U34" i="84"/>
  <c r="L22" i="24"/>
  <c r="N50" i="41"/>
  <c r="M34" i="43"/>
  <c r="M54" i="109"/>
  <c r="M44" i="39"/>
  <c r="M46" i="41"/>
  <c r="M34" i="42"/>
  <c r="M60" i="40"/>
  <c r="M28" i="42"/>
  <c r="M48" i="109"/>
  <c r="M38" i="39"/>
  <c r="M40" i="41"/>
  <c r="M28" i="43"/>
  <c r="M54" i="40"/>
  <c r="M27" i="3"/>
  <c r="S19" i="42" s="1"/>
  <c r="P19" i="42"/>
  <c r="P58" i="109"/>
  <c r="R15" i="24"/>
  <c r="S58" i="109" s="1"/>
  <c r="P34" i="42"/>
  <c r="M27" i="100"/>
  <c r="S34" i="42" s="1"/>
  <c r="N39" i="41"/>
  <c r="J22" i="95"/>
  <c r="I17" i="13"/>
  <c r="N31" i="39"/>
  <c r="AA24" i="84"/>
  <c r="AG24" i="84"/>
  <c r="C24" i="85" s="1"/>
  <c r="O24" i="84"/>
  <c r="AD24" i="84"/>
  <c r="L24" i="84"/>
  <c r="AA28" i="84"/>
  <c r="F28" i="84"/>
  <c r="O28" i="84"/>
  <c r="AD28" i="84"/>
  <c r="U28" i="84"/>
  <c r="I28" i="84"/>
  <c r="R28" i="84"/>
  <c r="AG28" i="84"/>
  <c r="C28" i="85" s="1"/>
  <c r="L28" i="84"/>
  <c r="X28" i="84"/>
  <c r="T33" i="106"/>
  <c r="N8" i="95"/>
  <c r="W33" i="106" s="1"/>
  <c r="I13" i="97"/>
  <c r="V28" i="108"/>
  <c r="W28" i="108" s="1"/>
  <c r="M8" i="22"/>
  <c r="W31" i="106" s="1"/>
  <c r="T31" i="106"/>
  <c r="O43" i="85"/>
  <c r="I43" i="85"/>
  <c r="R43" i="85"/>
  <c r="L43" i="85"/>
  <c r="F43" i="85"/>
  <c r="J12" i="97"/>
  <c r="M12" i="97"/>
  <c r="N12" i="97" s="1"/>
  <c r="AG30" i="84"/>
  <c r="C30" i="85" s="1"/>
  <c r="AD30" i="84"/>
  <c r="O30" i="84"/>
  <c r="L30" i="84"/>
  <c r="X30" i="84"/>
  <c r="F30" i="84"/>
  <c r="R30" i="84"/>
  <c r="U30" i="84"/>
  <c r="AA30" i="84"/>
  <c r="I30" i="84"/>
  <c r="N32" i="41"/>
  <c r="I22" i="4"/>
  <c r="M15" i="22"/>
  <c r="S45" i="109" s="1"/>
  <c r="O21" i="85"/>
  <c r="L21" i="85"/>
  <c r="I21" i="85"/>
  <c r="F21" i="85"/>
  <c r="R21" i="85"/>
  <c r="G31" i="110"/>
  <c r="D30" i="110" s="1"/>
  <c r="E32" i="106" s="1"/>
  <c r="M13" i="13"/>
  <c r="AD26" i="108" s="1"/>
  <c r="AE26" i="108" s="1"/>
  <c r="Y26" i="108"/>
  <c r="Z26" i="108" s="1"/>
  <c r="P66" i="40"/>
  <c r="M18" i="25"/>
  <c r="S66" i="40" s="1"/>
  <c r="H14" i="68"/>
  <c r="F15" i="68"/>
  <c r="N48" i="109" s="1"/>
  <c r="R22" i="85"/>
  <c r="O22" i="85"/>
  <c r="I22" i="85"/>
  <c r="L22" i="85"/>
  <c r="F22" i="85"/>
  <c r="AB21" i="67"/>
  <c r="N14" i="96" s="1"/>
  <c r="P43" i="41"/>
  <c r="R22" i="99"/>
  <c r="S43" i="41" s="1"/>
  <c r="R28" i="24"/>
  <c r="S38" i="43" s="1"/>
  <c r="P38" i="43"/>
  <c r="P35" i="39"/>
  <c r="M17" i="22"/>
  <c r="S35" i="39" s="1"/>
  <c r="P22" i="43"/>
  <c r="M28" i="16"/>
  <c r="S22" i="43" s="1"/>
  <c r="E15" i="97"/>
  <c r="I14" i="97"/>
  <c r="F14" i="97"/>
  <c r="F27" i="98"/>
  <c r="N17" i="102" s="1"/>
  <c r="H27" i="98"/>
  <c r="V39" i="108"/>
  <c r="W39" i="108" s="1"/>
  <c r="I13" i="100"/>
  <c r="L14" i="99"/>
  <c r="H14" i="99"/>
  <c r="F15" i="99"/>
  <c r="S21" i="99"/>
  <c r="T21" i="99" s="1"/>
  <c r="N21" i="99"/>
  <c r="J12" i="3"/>
  <c r="M12" i="3"/>
  <c r="N12" i="3" s="1"/>
  <c r="M9" i="97"/>
  <c r="N9" i="97" s="1"/>
  <c r="J9" i="97"/>
  <c r="R13" i="99"/>
  <c r="AD36" i="108" s="1"/>
  <c r="AE36" i="108" s="1"/>
  <c r="Y36" i="108"/>
  <c r="Z36" i="108" s="1"/>
  <c r="AK21" i="67"/>
  <c r="AK24" i="67" s="1"/>
  <c r="L41" i="85"/>
  <c r="F41" i="85"/>
  <c r="R41" i="85"/>
  <c r="I41" i="85"/>
  <c r="O41" i="85"/>
  <c r="S16" i="24"/>
  <c r="T16" i="24" s="1"/>
  <c r="N16" i="24"/>
  <c r="M8" i="4"/>
  <c r="W24" i="106" s="1"/>
  <c r="T24" i="106"/>
  <c r="N29" i="39"/>
  <c r="I17" i="3"/>
  <c r="F31" i="110"/>
  <c r="C30" i="110" s="1"/>
  <c r="D32" i="106" s="1"/>
  <c r="F14" i="100"/>
  <c r="I14" i="100"/>
  <c r="E15" i="100"/>
  <c r="R9" i="99"/>
  <c r="T9" i="99" s="1"/>
  <c r="N9" i="99"/>
  <c r="I14" i="16"/>
  <c r="E15" i="16"/>
  <c r="F14" i="16"/>
  <c r="J9" i="13"/>
  <c r="M9" i="13"/>
  <c r="N9" i="13" s="1"/>
  <c r="M21" i="16"/>
  <c r="N21" i="16" s="1"/>
  <c r="J21" i="16"/>
  <c r="M21" i="4"/>
  <c r="N21" i="4" s="1"/>
  <c r="J21" i="4"/>
  <c r="R20" i="85"/>
  <c r="I20" i="85"/>
  <c r="M13" i="3"/>
  <c r="AD24" i="108" s="1"/>
  <c r="AE24" i="108" s="1"/>
  <c r="Y24" i="108"/>
  <c r="Z24" i="108" s="1"/>
  <c r="F24" i="98"/>
  <c r="N16" i="102" s="1"/>
  <c r="H24" i="98"/>
  <c r="E31" i="110"/>
  <c r="B28" i="110" s="1"/>
  <c r="C30" i="106" s="1"/>
  <c r="I15" i="3"/>
  <c r="N39" i="109"/>
  <c r="E15" i="13"/>
  <c r="I14" i="13"/>
  <c r="F14" i="13"/>
  <c r="J24" i="67"/>
  <c r="D22" i="98"/>
  <c r="E22" i="95"/>
  <c r="E25" i="95" s="1"/>
  <c r="E17" i="95"/>
  <c r="D17" i="98"/>
  <c r="S16" i="67"/>
  <c r="M12" i="102" s="1"/>
  <c r="AB16" i="67"/>
  <c r="N12" i="96" s="1"/>
  <c r="AK16" i="67"/>
  <c r="AB27" i="67"/>
  <c r="S14" i="67"/>
  <c r="M11" i="102" s="1"/>
  <c r="S27" i="67"/>
  <c r="AB12" i="67"/>
  <c r="S12" i="67"/>
  <c r="E13" i="95"/>
  <c r="J18" i="67"/>
  <c r="D13" i="98"/>
  <c r="AK12" i="67"/>
  <c r="I36" i="67"/>
  <c r="I40" i="67" s="1"/>
  <c r="J28" i="67"/>
  <c r="E28" i="95"/>
  <c r="E29" i="95" s="1"/>
  <c r="D28" i="98"/>
  <c r="D15" i="98"/>
  <c r="E15" i="95"/>
  <c r="O20" i="85" l="1"/>
  <c r="J33" i="98"/>
  <c r="L33" i="98"/>
  <c r="Y27" i="108"/>
  <c r="Z27" i="108" s="1"/>
  <c r="M13" i="16"/>
  <c r="AD27" i="108" s="1"/>
  <c r="AE27" i="108" s="1"/>
  <c r="L20" i="85"/>
  <c r="M14" i="102"/>
  <c r="P33" i="41"/>
  <c r="J9" i="98"/>
  <c r="J10" i="98" s="1"/>
  <c r="L9" i="98"/>
  <c r="H10" i="98"/>
  <c r="L21" i="98"/>
  <c r="N21" i="98" s="1"/>
  <c r="J21" i="98"/>
  <c r="D15" i="110"/>
  <c r="E17" i="106" s="1"/>
  <c r="D20" i="110"/>
  <c r="E22" i="106" s="1"/>
  <c r="P41" i="39"/>
  <c r="R17" i="99"/>
  <c r="S41" i="39" s="1"/>
  <c r="AB24" i="67"/>
  <c r="D28" i="110"/>
  <c r="E30" i="106" s="1"/>
  <c r="AK28" i="67"/>
  <c r="D22" i="110"/>
  <c r="E24" i="106" s="1"/>
  <c r="D8" i="110"/>
  <c r="E10" i="106" s="1"/>
  <c r="N47" i="109"/>
  <c r="J15" i="95"/>
  <c r="AG26" i="84"/>
  <c r="C26" i="85" s="1"/>
  <c r="AA26" i="84"/>
  <c r="L26" i="84"/>
  <c r="AD26" i="84"/>
  <c r="O26" i="84"/>
  <c r="I26" i="84"/>
  <c r="X26" i="84"/>
  <c r="R26" i="84"/>
  <c r="U26" i="84"/>
  <c r="F26" i="84"/>
  <c r="D23" i="41"/>
  <c r="D24" i="41"/>
  <c r="B23" i="41"/>
  <c r="B24" i="41" s="1"/>
  <c r="B26" i="41" s="1"/>
  <c r="D22" i="41"/>
  <c r="M35" i="42"/>
  <c r="M47" i="41"/>
  <c r="M35" i="43"/>
  <c r="M55" i="109"/>
  <c r="M45" i="39"/>
  <c r="M61" i="40"/>
  <c r="D24" i="39"/>
  <c r="B23" i="39"/>
  <c r="B24" i="39" s="1"/>
  <c r="B26" i="39" s="1"/>
  <c r="D23" i="39"/>
  <c r="D22" i="39"/>
  <c r="P46" i="109"/>
  <c r="M15" i="23"/>
  <c r="S46" i="109" s="1"/>
  <c r="D14" i="110"/>
  <c r="E16" i="106" s="1"/>
  <c r="D25" i="110"/>
  <c r="E27" i="106" s="1"/>
  <c r="R22" i="24"/>
  <c r="S50" i="41" s="1"/>
  <c r="P50" i="41"/>
  <c r="N40" i="109"/>
  <c r="I15" i="4"/>
  <c r="N14" i="95"/>
  <c r="O14" i="95" s="1"/>
  <c r="K14" i="95"/>
  <c r="J14" i="4"/>
  <c r="M14" i="4"/>
  <c r="N14" i="4" s="1"/>
  <c r="M14" i="22"/>
  <c r="N14" i="22" s="1"/>
  <c r="B7" i="110"/>
  <c r="C9" i="106" s="1"/>
  <c r="C7" i="110"/>
  <c r="D9" i="106" s="1"/>
  <c r="O34" i="85"/>
  <c r="L34" i="85"/>
  <c r="F34" i="85"/>
  <c r="I34" i="85"/>
  <c r="R34" i="85"/>
  <c r="L12" i="98"/>
  <c r="N12" i="98" s="1"/>
  <c r="J12" i="98"/>
  <c r="J23" i="98"/>
  <c r="O15" i="96" s="1"/>
  <c r="L23" i="98"/>
  <c r="N23" i="98" s="1"/>
  <c r="M22" i="100"/>
  <c r="S46" i="41" s="1"/>
  <c r="P46" i="41"/>
  <c r="D12" i="110"/>
  <c r="E14" i="106" s="1"/>
  <c r="B19" i="110"/>
  <c r="C21" i="106" s="1"/>
  <c r="O24" i="85"/>
  <c r="L24" i="85"/>
  <c r="I24" i="85"/>
  <c r="F24" i="85"/>
  <c r="R24" i="85"/>
  <c r="B18" i="110"/>
  <c r="C20" i="106" s="1"/>
  <c r="B25" i="110"/>
  <c r="C27" i="106" s="1"/>
  <c r="B14" i="110"/>
  <c r="C16" i="106" s="1"/>
  <c r="B27" i="110"/>
  <c r="C29" i="106" s="1"/>
  <c r="P31" i="39"/>
  <c r="M17" i="13"/>
  <c r="S31" i="39" s="1"/>
  <c r="B10" i="110"/>
  <c r="C12" i="106" s="1"/>
  <c r="C28" i="110"/>
  <c r="D30" i="106" s="1"/>
  <c r="P39" i="41"/>
  <c r="N22" i="95"/>
  <c r="S39" i="41" s="1"/>
  <c r="B11" i="110"/>
  <c r="C13" i="106" s="1"/>
  <c r="J14" i="100"/>
  <c r="M14" i="100"/>
  <c r="N14" i="100" s="1"/>
  <c r="M17" i="3"/>
  <c r="S29" i="39" s="1"/>
  <c r="P29" i="39"/>
  <c r="J27" i="98"/>
  <c r="O17" i="96" s="1"/>
  <c r="L27" i="98"/>
  <c r="N27" i="98" s="1"/>
  <c r="N14" i="99"/>
  <c r="R14" i="99"/>
  <c r="T14" i="99" s="1"/>
  <c r="C13" i="110"/>
  <c r="D15" i="106" s="1"/>
  <c r="O28" i="85"/>
  <c r="I28" i="85"/>
  <c r="R28" i="85"/>
  <c r="F28" i="85"/>
  <c r="L28" i="85"/>
  <c r="J36" i="67"/>
  <c r="J40" i="67" s="1"/>
  <c r="E42" i="95" s="1"/>
  <c r="E19" i="95"/>
  <c r="E37" i="95" s="1"/>
  <c r="E41" i="95" s="1"/>
  <c r="B21" i="110"/>
  <c r="C23" i="106" s="1"/>
  <c r="B16" i="110"/>
  <c r="C18" i="106" s="1"/>
  <c r="B8" i="110"/>
  <c r="C10" i="106" s="1"/>
  <c r="B15" i="110"/>
  <c r="C17" i="106" s="1"/>
  <c r="B12" i="110"/>
  <c r="C14" i="106" s="1"/>
  <c r="B24" i="110"/>
  <c r="C26" i="106" s="1"/>
  <c r="N42" i="109"/>
  <c r="I15" i="16"/>
  <c r="B20" i="110"/>
  <c r="C22" i="106" s="1"/>
  <c r="D18" i="110"/>
  <c r="E20" i="106" s="1"/>
  <c r="B17" i="110"/>
  <c r="C19" i="106" s="1"/>
  <c r="D17" i="110"/>
  <c r="E19" i="106" s="1"/>
  <c r="M22" i="4"/>
  <c r="S32" i="41" s="1"/>
  <c r="P32" i="41"/>
  <c r="D23" i="110"/>
  <c r="E25" i="106" s="1"/>
  <c r="M14" i="16"/>
  <c r="N14" i="16" s="1"/>
  <c r="J14" i="16"/>
  <c r="B29" i="110"/>
  <c r="C31" i="106" s="1"/>
  <c r="M13" i="100"/>
  <c r="AD39" i="108" s="1"/>
  <c r="AE39" i="108" s="1"/>
  <c r="Y39" i="108"/>
  <c r="Z39" i="108" s="1"/>
  <c r="J14" i="97"/>
  <c r="M14" i="97"/>
  <c r="N14" i="97" s="1"/>
  <c r="B22" i="110"/>
  <c r="C24" i="106" s="1"/>
  <c r="D7" i="110"/>
  <c r="J14" i="13"/>
  <c r="M14" i="13"/>
  <c r="N14" i="13" s="1"/>
  <c r="C25" i="110"/>
  <c r="D27" i="106" s="1"/>
  <c r="C12" i="110"/>
  <c r="D14" i="106" s="1"/>
  <c r="C29" i="110"/>
  <c r="D31" i="106" s="1"/>
  <c r="C21" i="110"/>
  <c r="D23" i="106" s="1"/>
  <c r="C15" i="110"/>
  <c r="D17" i="106" s="1"/>
  <c r="C26" i="110"/>
  <c r="D28" i="106" s="1"/>
  <c r="C22" i="110"/>
  <c r="D24" i="106" s="1"/>
  <c r="C20" i="110"/>
  <c r="D22" i="106" s="1"/>
  <c r="C23" i="110"/>
  <c r="D25" i="106" s="1"/>
  <c r="C10" i="110"/>
  <c r="D12" i="106" s="1"/>
  <c r="C27" i="110"/>
  <c r="D29" i="106" s="1"/>
  <c r="C18" i="110"/>
  <c r="D20" i="106" s="1"/>
  <c r="C24" i="110"/>
  <c r="D26" i="106" s="1"/>
  <c r="C16" i="110"/>
  <c r="D18" i="106" s="1"/>
  <c r="C19" i="110"/>
  <c r="D21" i="106" s="1"/>
  <c r="C9" i="110"/>
  <c r="D11" i="106" s="1"/>
  <c r="I15" i="97"/>
  <c r="N43" i="109"/>
  <c r="C17" i="110"/>
  <c r="D19" i="106" s="1"/>
  <c r="D19" i="110"/>
  <c r="E21" i="106" s="1"/>
  <c r="D27" i="110"/>
  <c r="E29" i="106" s="1"/>
  <c r="D16" i="110"/>
  <c r="E18" i="106" s="1"/>
  <c r="D24" i="110"/>
  <c r="E26" i="106" s="1"/>
  <c r="D11" i="110"/>
  <c r="E13" i="106" s="1"/>
  <c r="D29" i="110"/>
  <c r="E31" i="106" s="1"/>
  <c r="D13" i="110"/>
  <c r="E15" i="106" s="1"/>
  <c r="D21" i="110"/>
  <c r="E23" i="106" s="1"/>
  <c r="D9" i="110"/>
  <c r="E11" i="106" s="1"/>
  <c r="C8" i="110"/>
  <c r="D10" i="106" s="1"/>
  <c r="I15" i="13"/>
  <c r="N41" i="109"/>
  <c r="J24" i="98"/>
  <c r="O16" i="96" s="1"/>
  <c r="L24" i="98"/>
  <c r="N24" i="98" s="1"/>
  <c r="C14" i="110"/>
  <c r="D16" i="106" s="1"/>
  <c r="D26" i="110"/>
  <c r="E28" i="106" s="1"/>
  <c r="B26" i="110"/>
  <c r="C28" i="106" s="1"/>
  <c r="B23" i="110"/>
  <c r="C25" i="106" s="1"/>
  <c r="Y28" i="108"/>
  <c r="Z28" i="108" s="1"/>
  <c r="M13" i="97"/>
  <c r="AD28" i="108" s="1"/>
  <c r="AE28" i="108" s="1"/>
  <c r="I30" i="85"/>
  <c r="L30" i="85"/>
  <c r="R30" i="85"/>
  <c r="O30" i="85"/>
  <c r="F30" i="85"/>
  <c r="P39" i="109"/>
  <c r="M15" i="3"/>
  <c r="S39" i="109" s="1"/>
  <c r="N54" i="109"/>
  <c r="I15" i="100"/>
  <c r="B13" i="110"/>
  <c r="C15" i="106" s="1"/>
  <c r="B30" i="110"/>
  <c r="C32" i="106" s="1"/>
  <c r="N51" i="109"/>
  <c r="L15" i="99"/>
  <c r="C11" i="110"/>
  <c r="D13" i="106" s="1"/>
  <c r="D10" i="110"/>
  <c r="E12" i="106" s="1"/>
  <c r="B9" i="110"/>
  <c r="C11" i="106" s="1"/>
  <c r="N10" i="96"/>
  <c r="AB18" i="67"/>
  <c r="N18" i="96"/>
  <c r="AB28" i="67"/>
  <c r="H15" i="98"/>
  <c r="F15" i="98"/>
  <c r="N11" i="102" s="1"/>
  <c r="H28" i="98"/>
  <c r="D29" i="98"/>
  <c r="F28" i="98"/>
  <c r="AK18" i="67"/>
  <c r="S28" i="67"/>
  <c r="M18" i="102"/>
  <c r="D19" i="98"/>
  <c r="H13" i="98"/>
  <c r="F13" i="98"/>
  <c r="F17" i="98"/>
  <c r="N12" i="102" s="1"/>
  <c r="H17" i="98"/>
  <c r="F22" i="98"/>
  <c r="D25" i="98"/>
  <c r="H22" i="98"/>
  <c r="M10" i="102"/>
  <c r="S18" i="67"/>
  <c r="L35" i="98" l="1"/>
  <c r="N33" i="98"/>
  <c r="N35" i="98" s="1"/>
  <c r="O20" i="96"/>
  <c r="J35" i="98"/>
  <c r="N9" i="98"/>
  <c r="N10" i="98" s="1"/>
  <c r="L10" i="98"/>
  <c r="AK36" i="67"/>
  <c r="AK40" i="67" s="1"/>
  <c r="D42" i="98"/>
  <c r="E43" i="95"/>
  <c r="M24" i="102"/>
  <c r="M15" i="4"/>
  <c r="S40" i="109" s="1"/>
  <c r="P40" i="109"/>
  <c r="AB36" i="67"/>
  <c r="AB40" i="67" s="1"/>
  <c r="N26" i="96" s="1"/>
  <c r="D26" i="39"/>
  <c r="B27" i="39"/>
  <c r="B28" i="39" s="1"/>
  <c r="B30" i="39" s="1"/>
  <c r="D28" i="39"/>
  <c r="D27" i="39"/>
  <c r="D27" i="41"/>
  <c r="D28" i="41"/>
  <c r="B27" i="41"/>
  <c r="B28" i="41" s="1"/>
  <c r="B30" i="41" s="1"/>
  <c r="D26" i="41"/>
  <c r="R26" i="85"/>
  <c r="I26" i="85"/>
  <c r="O26" i="85"/>
  <c r="L26" i="85"/>
  <c r="F26" i="85"/>
  <c r="P47" i="109"/>
  <c r="N15" i="95"/>
  <c r="S47" i="109" s="1"/>
  <c r="S36" i="67"/>
  <c r="S40" i="67" s="1"/>
  <c r="M26" i="102" s="1"/>
  <c r="M15" i="13"/>
  <c r="S41" i="109" s="1"/>
  <c r="P41" i="109"/>
  <c r="E9" i="106"/>
  <c r="E33" i="106" s="1"/>
  <c r="D31" i="110"/>
  <c r="M15" i="100"/>
  <c r="S54" i="109" s="1"/>
  <c r="P54" i="109"/>
  <c r="C33" i="106"/>
  <c r="D33" i="106"/>
  <c r="B31" i="110"/>
  <c r="P42" i="109"/>
  <c r="M15" i="16"/>
  <c r="S42" i="109" s="1"/>
  <c r="C31" i="110"/>
  <c r="P51" i="109"/>
  <c r="R15" i="99"/>
  <c r="S51" i="109" s="1"/>
  <c r="P43" i="109"/>
  <c r="M15" i="97"/>
  <c r="S43" i="109" s="1"/>
  <c r="N10" i="102"/>
  <c r="F19" i="98"/>
  <c r="L22" i="98"/>
  <c r="H25" i="98"/>
  <c r="J22" i="98"/>
  <c r="H19" i="98"/>
  <c r="J13" i="98"/>
  <c r="L13" i="98"/>
  <c r="D37" i="98"/>
  <c r="D41" i="98" s="1"/>
  <c r="F25" i="98"/>
  <c r="N14" i="102"/>
  <c r="N18" i="102"/>
  <c r="F29" i="98"/>
  <c r="J17" i="98"/>
  <c r="O12" i="96" s="1"/>
  <c r="L17" i="98"/>
  <c r="N17" i="98" s="1"/>
  <c r="N24" i="96"/>
  <c r="L28" i="98"/>
  <c r="J28" i="98"/>
  <c r="H29" i="98"/>
  <c r="J15" i="98"/>
  <c r="O11" i="96" s="1"/>
  <c r="L15" i="98"/>
  <c r="N15" i="98" s="1"/>
  <c r="M27" i="102" l="1"/>
  <c r="N27" i="96"/>
  <c r="D30" i="39"/>
  <c r="D32" i="39"/>
  <c r="D31" i="39"/>
  <c r="B31" i="39"/>
  <c r="B32" i="39" s="1"/>
  <c r="B34" i="39" s="1"/>
  <c r="B31" i="41"/>
  <c r="B32" i="41" s="1"/>
  <c r="B34" i="41" s="1"/>
  <c r="D31" i="41"/>
  <c r="D30" i="41"/>
  <c r="D32" i="41"/>
  <c r="H37" i="98"/>
  <c r="H41" i="98" s="1"/>
  <c r="O14" i="96"/>
  <c r="J25" i="98"/>
  <c r="H42" i="98"/>
  <c r="D43" i="98"/>
  <c r="N22" i="98"/>
  <c r="N25" i="98" s="1"/>
  <c r="L25" i="98"/>
  <c r="O18" i="96"/>
  <c r="J29" i="98"/>
  <c r="F37" i="98"/>
  <c r="F41" i="98" s="1"/>
  <c r="N26" i="102" s="1"/>
  <c r="N28" i="98"/>
  <c r="N29" i="98" s="1"/>
  <c r="L29" i="98"/>
  <c r="L19" i="98"/>
  <c r="N13" i="98"/>
  <c r="N19" i="98" s="1"/>
  <c r="N24" i="102"/>
  <c r="O10" i="96"/>
  <c r="J19" i="98"/>
  <c r="L37" i="98" l="1"/>
  <c r="L41" i="98" s="1"/>
  <c r="B35" i="41"/>
  <c r="B36" i="41" s="1"/>
  <c r="D34" i="41"/>
  <c r="D35" i="41"/>
  <c r="D36" i="41"/>
  <c r="D36" i="39"/>
  <c r="D35" i="39"/>
  <c r="B35" i="39"/>
  <c r="B36" i="39" s="1"/>
  <c r="D34" i="39"/>
  <c r="J37" i="98"/>
  <c r="J41" i="98" s="1"/>
  <c r="O26" i="96" s="1"/>
  <c r="O24" i="96"/>
  <c r="N37" i="98"/>
  <c r="N41" i="98" s="1"/>
  <c r="L42" i="98"/>
  <c r="H43" i="98"/>
  <c r="N27" i="102"/>
  <c r="L43" i="98" l="1"/>
  <c r="O27" i="96"/>
  <c r="H12" i="25" l="1"/>
  <c r="N12" i="25"/>
  <c r="F21" i="25"/>
  <c r="N21" i="25"/>
  <c r="N18" i="25"/>
  <c r="N23" i="25"/>
  <c r="N14" i="25"/>
  <c r="N31" i="25"/>
  <c r="N9" i="25"/>
  <c r="N16" i="25"/>
  <c r="Q29" i="68" l="1"/>
  <c r="H21" i="25"/>
  <c r="Q29" i="103"/>
  <c r="D25" i="25"/>
  <c r="Q29" i="24"/>
  <c r="F12" i="25"/>
  <c r="AA10" i="102" s="1"/>
  <c r="N25" i="25"/>
  <c r="R29" i="70"/>
  <c r="L25" i="25"/>
  <c r="D19" i="25"/>
  <c r="Q29" i="101"/>
  <c r="L18" i="70"/>
  <c r="K18" i="68"/>
  <c r="R29" i="69"/>
  <c r="Q29" i="104"/>
  <c r="N19" i="25"/>
  <c r="K39" i="68"/>
  <c r="L39" i="70"/>
  <c r="K39" i="24"/>
  <c r="L39" i="69"/>
  <c r="K39" i="99"/>
  <c r="K39" i="101"/>
  <c r="K39" i="103"/>
  <c r="K39" i="104"/>
  <c r="Q29" i="99"/>
  <c r="H23" i="25"/>
  <c r="J23" i="25" s="1"/>
  <c r="AE15" i="96" s="1"/>
  <c r="F23" i="25"/>
  <c r="AA15" i="102" s="1"/>
  <c r="K27" i="99"/>
  <c r="F14" i="25"/>
  <c r="H14" i="25"/>
  <c r="J14" i="25" s="1"/>
  <c r="L19" i="25"/>
  <c r="K27" i="101"/>
  <c r="H9" i="25"/>
  <c r="J9" i="25" s="1"/>
  <c r="F9" i="25"/>
  <c r="L27" i="70"/>
  <c r="K28" i="68"/>
  <c r="K28" i="103"/>
  <c r="K28" i="104"/>
  <c r="L28" i="70"/>
  <c r="K28" i="99"/>
  <c r="K28" i="101"/>
  <c r="K28" i="24"/>
  <c r="L28" i="69"/>
  <c r="D10" i="25"/>
  <c r="H8" i="25"/>
  <c r="F8" i="25"/>
  <c r="K27" i="104"/>
  <c r="F18" i="25"/>
  <c r="AA13" i="102" s="1"/>
  <c r="H18" i="25"/>
  <c r="J18" i="25" s="1"/>
  <c r="AE13" i="96" s="1"/>
  <c r="H31" i="25"/>
  <c r="J31" i="25" s="1"/>
  <c r="AE19" i="96" s="1"/>
  <c r="F31" i="25"/>
  <c r="AA19" i="102" s="1"/>
  <c r="K27" i="68"/>
  <c r="J21" i="25"/>
  <c r="J12" i="25"/>
  <c r="L27" i="69"/>
  <c r="H16" i="25"/>
  <c r="J16" i="25" s="1"/>
  <c r="AE12" i="96" s="1"/>
  <c r="F16" i="25"/>
  <c r="AA12" i="102" s="1"/>
  <c r="AA14" i="102"/>
  <c r="N8" i="25"/>
  <c r="N10" i="25" s="1"/>
  <c r="L10" i="25"/>
  <c r="K27" i="24"/>
  <c r="K24" i="68"/>
  <c r="L24" i="70"/>
  <c r="K24" i="99"/>
  <c r="L24" i="69"/>
  <c r="K24" i="101"/>
  <c r="K24" i="104"/>
  <c r="K24" i="24"/>
  <c r="K24" i="103"/>
  <c r="K27" i="103"/>
  <c r="F25" i="25" l="1"/>
  <c r="D38" i="25"/>
  <c r="D42" i="25" s="1"/>
  <c r="E29" i="103"/>
  <c r="K29" i="68"/>
  <c r="E29" i="104"/>
  <c r="H25" i="25"/>
  <c r="N38" i="25"/>
  <c r="N42" i="25" s="1"/>
  <c r="L18" i="69"/>
  <c r="K18" i="24"/>
  <c r="E29" i="99"/>
  <c r="K18" i="101"/>
  <c r="E29" i="68"/>
  <c r="K29" i="99"/>
  <c r="K18" i="99"/>
  <c r="K18" i="104"/>
  <c r="L38" i="25"/>
  <c r="L42" i="25" s="1"/>
  <c r="L44" i="25" s="1"/>
  <c r="K18" i="103"/>
  <c r="F19" i="25"/>
  <c r="K29" i="101"/>
  <c r="E29" i="69"/>
  <c r="K29" i="104"/>
  <c r="E29" i="101"/>
  <c r="L29" i="69"/>
  <c r="H10" i="25"/>
  <c r="J8" i="25"/>
  <c r="AE11" i="96"/>
  <c r="E29" i="24"/>
  <c r="D44" i="25"/>
  <c r="H43" i="25"/>
  <c r="AA11" i="102"/>
  <c r="K29" i="24"/>
  <c r="J25" i="25"/>
  <c r="AE14" i="96"/>
  <c r="K29" i="103"/>
  <c r="E29" i="70"/>
  <c r="H19" i="25"/>
  <c r="L29" i="70"/>
  <c r="AE10" i="96"/>
  <c r="J19" i="25"/>
  <c r="F10" i="25"/>
  <c r="AA9" i="102"/>
  <c r="AA24" i="102" l="1"/>
  <c r="F38" i="25"/>
  <c r="F42" i="25" s="1"/>
  <c r="AA26" i="102" s="1"/>
  <c r="AA27" i="102" s="1"/>
  <c r="Q25" i="103"/>
  <c r="Q25" i="24"/>
  <c r="R25" i="70"/>
  <c r="Q25" i="104"/>
  <c r="Q25" i="99"/>
  <c r="R25" i="69"/>
  <c r="Q25" i="68"/>
  <c r="Q25" i="101"/>
  <c r="K17" i="68"/>
  <c r="K17" i="99"/>
  <c r="K17" i="24"/>
  <c r="K17" i="104"/>
  <c r="L17" i="70"/>
  <c r="K17" i="103"/>
  <c r="L17" i="69"/>
  <c r="K17" i="101"/>
  <c r="L23" i="70"/>
  <c r="K23" i="104"/>
  <c r="K23" i="99"/>
  <c r="K23" i="103"/>
  <c r="K23" i="24"/>
  <c r="L23" i="69"/>
  <c r="K23" i="101"/>
  <c r="K23" i="68"/>
  <c r="J10" i="25"/>
  <c r="J38" i="25" s="1"/>
  <c r="J42" i="25" s="1"/>
  <c r="AE26" i="96" s="1"/>
  <c r="AE9" i="96"/>
  <c r="AE24" i="96" s="1"/>
  <c r="Q19" i="101"/>
  <c r="Q19" i="99"/>
  <c r="Q19" i="24"/>
  <c r="R19" i="69"/>
  <c r="R19" i="70"/>
  <c r="Q19" i="104"/>
  <c r="Q19" i="103"/>
  <c r="Q19" i="68"/>
  <c r="H38" i="25"/>
  <c r="H42" i="25" s="1"/>
  <c r="H44" i="25" s="1"/>
  <c r="R37" i="69" l="1"/>
  <c r="R41" i="69" s="1"/>
  <c r="Q37" i="68"/>
  <c r="Q41" i="68" s="1"/>
  <c r="Q37" i="103"/>
  <c r="Q41" i="103" s="1"/>
  <c r="Q37" i="24"/>
  <c r="Q41" i="24" s="1"/>
  <c r="Q37" i="104"/>
  <c r="Q41" i="104" s="1"/>
  <c r="Q37" i="99"/>
  <c r="Q41" i="99" s="1"/>
  <c r="Q37" i="101"/>
  <c r="Q41" i="101" s="1"/>
  <c r="AE27" i="96"/>
  <c r="R37" i="70"/>
  <c r="R41" i="70" s="1"/>
  <c r="E19" i="104"/>
  <c r="K15" i="104"/>
  <c r="K19" i="104" s="1"/>
  <c r="K22" i="99"/>
  <c r="K25" i="99" s="1"/>
  <c r="E25" i="99"/>
  <c r="L15" i="69"/>
  <c r="L19" i="69" s="1"/>
  <c r="E19" i="69"/>
  <c r="E25" i="70"/>
  <c r="L22" i="70"/>
  <c r="L25" i="70" s="1"/>
  <c r="K15" i="24"/>
  <c r="K19" i="24" s="1"/>
  <c r="E19" i="24"/>
  <c r="K22" i="103"/>
  <c r="K25" i="103" s="1"/>
  <c r="E25" i="103"/>
  <c r="E19" i="101"/>
  <c r="K15" i="101"/>
  <c r="K19" i="101" s="1"/>
  <c r="E25" i="104"/>
  <c r="K22" i="104"/>
  <c r="K25" i="104" s="1"/>
  <c r="K15" i="103"/>
  <c r="K19" i="103" s="1"/>
  <c r="E19" i="103"/>
  <c r="L22" i="69"/>
  <c r="L25" i="69" s="1"/>
  <c r="E25" i="69"/>
  <c r="E19" i="68"/>
  <c r="K15" i="68"/>
  <c r="K19" i="68" s="1"/>
  <c r="K22" i="24"/>
  <c r="K25" i="24" s="1"/>
  <c r="E25" i="24"/>
  <c r="K15" i="99"/>
  <c r="K19" i="99" s="1"/>
  <c r="E19" i="99"/>
  <c r="E25" i="101"/>
  <c r="K22" i="101"/>
  <c r="K25" i="101" s="1"/>
  <c r="Q43" i="103"/>
  <c r="Q43" i="68"/>
  <c r="Q43" i="24"/>
  <c r="R43" i="69"/>
  <c r="Q43" i="104"/>
  <c r="L15" i="70"/>
  <c r="L19" i="70" s="1"/>
  <c r="E19" i="70"/>
  <c r="E25" i="68"/>
  <c r="K22" i="68"/>
  <c r="K25" i="68" s="1"/>
  <c r="Q43" i="101" l="1"/>
  <c r="Q43" i="99"/>
  <c r="E37" i="99"/>
  <c r="E41" i="99" s="1"/>
  <c r="R43" i="70"/>
  <c r="K37" i="103"/>
  <c r="K41" i="103" s="1"/>
  <c r="L37" i="70"/>
  <c r="L41" i="70" s="1"/>
  <c r="E37" i="103"/>
  <c r="E41" i="103" s="1"/>
  <c r="E43" i="103" s="1"/>
  <c r="E37" i="70"/>
  <c r="E41" i="70" s="1"/>
  <c r="L42" i="70" s="1"/>
  <c r="K37" i="99"/>
  <c r="K41" i="99" s="1"/>
  <c r="K37" i="101"/>
  <c r="K41" i="101" s="1"/>
  <c r="E37" i="24"/>
  <c r="E41" i="24" s="1"/>
  <c r="K42" i="99"/>
  <c r="E43" i="99"/>
  <c r="E37" i="101"/>
  <c r="E41" i="101" s="1"/>
  <c r="K37" i="24"/>
  <c r="K41" i="24" s="1"/>
  <c r="E37" i="69"/>
  <c r="E41" i="69" s="1"/>
  <c r="K37" i="68"/>
  <c r="K41" i="68" s="1"/>
  <c r="L37" i="69"/>
  <c r="L41" i="69" s="1"/>
  <c r="E37" i="68"/>
  <c r="E41" i="68" s="1"/>
  <c r="K37" i="104"/>
  <c r="K41" i="104" s="1"/>
  <c r="E37" i="104"/>
  <c r="E41" i="104" s="1"/>
  <c r="K42" i="103" l="1"/>
  <c r="K43" i="103" s="1"/>
  <c r="L43" i="70"/>
  <c r="E43" i="70"/>
  <c r="K43" i="99"/>
  <c r="K42" i="68"/>
  <c r="K43" i="68" s="1"/>
  <c r="E43" i="68"/>
  <c r="E43" i="69"/>
  <c r="L42" i="69"/>
  <c r="L43" i="69" s="1"/>
  <c r="E43" i="24"/>
  <c r="K42" i="24"/>
  <c r="K43" i="24" s="1"/>
  <c r="E43" i="101"/>
  <c r="K42" i="101"/>
  <c r="K43" i="101" s="1"/>
  <c r="K42" i="104"/>
  <c r="K43" i="104" s="1"/>
  <c r="E43" i="104"/>
  <c r="Q32" i="109" l="1"/>
  <c r="N14" i="41" l="1"/>
  <c r="N24" i="40"/>
  <c r="N61" i="109"/>
  <c r="V14" i="108"/>
  <c r="W14" i="108" s="1"/>
  <c r="W11" i="108"/>
  <c r="C16" i="84"/>
  <c r="N10" i="40"/>
  <c r="N14" i="39"/>
  <c r="N21" i="109"/>
  <c r="N10" i="41"/>
  <c r="N68" i="40"/>
  <c r="N10" i="39"/>
  <c r="V11" i="108"/>
  <c r="N27" i="40"/>
  <c r="N62" i="109"/>
  <c r="N10" i="109"/>
  <c r="R9" i="106"/>
  <c r="N10" i="42"/>
  <c r="N23" i="40"/>
  <c r="N67" i="40"/>
  <c r="N18" i="39"/>
  <c r="N24" i="109"/>
  <c r="N15" i="41"/>
  <c r="N18" i="40"/>
  <c r="N20" i="109"/>
  <c r="W19" i="108"/>
  <c r="N10" i="43"/>
  <c r="N12" i="41"/>
  <c r="N16" i="109"/>
  <c r="N41" i="42"/>
  <c r="N41" i="43"/>
  <c r="N18" i="41"/>
  <c r="N69" i="40"/>
  <c r="N11" i="40"/>
  <c r="N15" i="39"/>
  <c r="N12" i="39"/>
  <c r="R11" i="106"/>
  <c r="N12" i="109"/>
  <c r="C12" i="84"/>
  <c r="V13" i="108"/>
  <c r="W13" i="108" s="1"/>
  <c r="Q38" i="40"/>
  <c r="N21" i="40"/>
  <c r="Q21" i="40" s="1"/>
  <c r="V46" i="108" l="1"/>
  <c r="N13" i="40"/>
  <c r="R10" i="106"/>
  <c r="G11" i="106" s="1"/>
  <c r="N11" i="42"/>
  <c r="F19" i="42" s="1"/>
  <c r="N51" i="39"/>
  <c r="N70" i="40"/>
  <c r="N14" i="40"/>
  <c r="C17" i="84"/>
  <c r="AA17" i="84" s="1"/>
  <c r="R47" i="106"/>
  <c r="W20" i="108"/>
  <c r="W46" i="108" s="1"/>
  <c r="N11" i="43"/>
  <c r="F27" i="43" s="1"/>
  <c r="N53" i="41"/>
  <c r="R48" i="106"/>
  <c r="N63" i="109"/>
  <c r="N13" i="109"/>
  <c r="N17" i="40"/>
  <c r="I16" i="84"/>
  <c r="I45" i="84" s="1"/>
  <c r="J45" i="84" s="1"/>
  <c r="R16" i="84"/>
  <c r="R45" i="84" s="1"/>
  <c r="S45" i="84" s="1"/>
  <c r="O16" i="84"/>
  <c r="O45" i="84" s="1"/>
  <c r="P45" i="84" s="1"/>
  <c r="L16" i="84"/>
  <c r="L45" i="84" s="1"/>
  <c r="M45" i="84" s="1"/>
  <c r="AD16" i="84"/>
  <c r="X16" i="84"/>
  <c r="AA16" i="84"/>
  <c r="C45" i="84"/>
  <c r="D45" i="84" s="1"/>
  <c r="U16" i="84"/>
  <c r="U45" i="84" s="1"/>
  <c r="V45" i="84" s="1"/>
  <c r="G22" i="106"/>
  <c r="G28" i="106"/>
  <c r="G24" i="106"/>
  <c r="G26" i="106"/>
  <c r="G29" i="106"/>
  <c r="G25" i="106"/>
  <c r="G30" i="106"/>
  <c r="G9" i="106"/>
  <c r="G17" i="106"/>
  <c r="G21" i="106"/>
  <c r="G15" i="106"/>
  <c r="G20" i="106"/>
  <c r="G18" i="106"/>
  <c r="G23" i="106"/>
  <c r="G13" i="106"/>
  <c r="F32" i="42"/>
  <c r="F11" i="42"/>
  <c r="F31" i="42"/>
  <c r="F26" i="42"/>
  <c r="F23" i="42"/>
  <c r="F20" i="42"/>
  <c r="F28" i="42"/>
  <c r="F27" i="42"/>
  <c r="I12" i="84"/>
  <c r="AD12" i="84"/>
  <c r="AE12" i="84" s="1"/>
  <c r="AE13" i="84" s="1"/>
  <c r="O12" i="84"/>
  <c r="P12" i="84" s="1"/>
  <c r="P13" i="84" s="1"/>
  <c r="X12" i="84"/>
  <c r="Y12" i="84" s="1"/>
  <c r="Y13" i="84" s="1"/>
  <c r="U12" i="84"/>
  <c r="V12" i="84" s="1"/>
  <c r="V13" i="84" s="1"/>
  <c r="AA12" i="84"/>
  <c r="AB12" i="84" s="1"/>
  <c r="AB13" i="84" s="1"/>
  <c r="D12" i="84"/>
  <c r="D13" i="84" s="1"/>
  <c r="R12" i="84"/>
  <c r="S12" i="84" s="1"/>
  <c r="S13" i="84" s="1"/>
  <c r="J12" i="84"/>
  <c r="J13" i="84" s="1"/>
  <c r="L12" i="84"/>
  <c r="M12" i="84" s="1"/>
  <c r="M13" i="84" s="1"/>
  <c r="F30" i="42" l="1"/>
  <c r="F16" i="42"/>
  <c r="F24" i="42"/>
  <c r="F15" i="42"/>
  <c r="F22" i="42"/>
  <c r="G14" i="106"/>
  <c r="G10" i="106"/>
  <c r="G16" i="106"/>
  <c r="G31" i="106"/>
  <c r="F16" i="43"/>
  <c r="F18" i="43"/>
  <c r="F20" i="43"/>
  <c r="F28" i="43"/>
  <c r="F10" i="43"/>
  <c r="F14" i="42"/>
  <c r="F10" i="42"/>
  <c r="G19" i="106"/>
  <c r="F26" i="43"/>
  <c r="F24" i="43"/>
  <c r="F11" i="43"/>
  <c r="F19" i="43"/>
  <c r="F12" i="42"/>
  <c r="F22" i="43"/>
  <c r="F15" i="43"/>
  <c r="F18" i="42"/>
  <c r="G12" i="106"/>
  <c r="G27" i="106"/>
  <c r="R17" i="84"/>
  <c r="R46" i="84" s="1"/>
  <c r="S46" i="84" s="1"/>
  <c r="S47" i="84" s="1"/>
  <c r="S49" i="84" s="1"/>
  <c r="L17" i="84"/>
  <c r="L46" i="84" s="1"/>
  <c r="M46" i="84" s="1"/>
  <c r="M47" i="84" s="1"/>
  <c r="M49" i="84" s="1"/>
  <c r="U17" i="84"/>
  <c r="U46" i="84" s="1"/>
  <c r="V46" i="84" s="1"/>
  <c r="V47" i="84" s="1"/>
  <c r="V49" i="84" s="1"/>
  <c r="C46" i="84"/>
  <c r="D46" i="84" s="1"/>
  <c r="D47" i="84" s="1"/>
  <c r="D49" i="84" s="1"/>
  <c r="O17" i="84"/>
  <c r="O46" i="84" s="1"/>
  <c r="P46" i="84" s="1"/>
  <c r="P47" i="84" s="1"/>
  <c r="P49" i="84" s="1"/>
  <c r="X17" i="84"/>
  <c r="AD17" i="84"/>
  <c r="I17" i="84"/>
  <c r="I46" i="84" s="1"/>
  <c r="J46" i="84" s="1"/>
  <c r="J47" i="84" s="1"/>
  <c r="J49" i="84" s="1"/>
  <c r="F12" i="43"/>
  <c r="F32" i="43"/>
  <c r="F31" i="43"/>
  <c r="F30" i="43"/>
  <c r="F23" i="43"/>
  <c r="F14" i="43"/>
  <c r="P50" i="84" l="1"/>
  <c r="P51" i="84" s="1"/>
  <c r="M50" i="84"/>
  <c r="M51" i="84" s="1"/>
  <c r="J50" i="84"/>
  <c r="J51" i="84" s="1"/>
  <c r="V50" i="84"/>
  <c r="V51" i="84" s="1"/>
  <c r="S50" i="84"/>
  <c r="S51" i="84" s="1"/>
  <c r="N19" i="40" l="1"/>
  <c r="P27" i="40"/>
  <c r="Q27" i="40" s="1"/>
  <c r="Q21" i="39" l="1"/>
  <c r="P10" i="39"/>
  <c r="P21" i="109"/>
  <c r="Q21" i="109" s="1"/>
  <c r="Q34" i="109"/>
  <c r="P11" i="40"/>
  <c r="Q31" i="40"/>
  <c r="Q27" i="109"/>
  <c r="P10" i="109"/>
  <c r="Q40" i="40"/>
  <c r="P24" i="40"/>
  <c r="Q24" i="40" s="1"/>
  <c r="P24" i="109"/>
  <c r="Q24" i="109" s="1"/>
  <c r="Q36" i="109"/>
  <c r="Q24" i="41"/>
  <c r="Q30" i="40"/>
  <c r="P10" i="40"/>
  <c r="P10" i="43"/>
  <c r="Q10" i="43" s="1"/>
  <c r="Q14" i="43"/>
  <c r="Q23" i="41"/>
  <c r="Q39" i="40"/>
  <c r="P23" i="40"/>
  <c r="Q23" i="40" s="1"/>
  <c r="N25" i="40"/>
  <c r="N22" i="109"/>
  <c r="N16" i="41"/>
  <c r="N14" i="109"/>
  <c r="S27" i="40"/>
  <c r="T27" i="40" s="1"/>
  <c r="N15" i="40"/>
  <c r="Q10" i="109" l="1"/>
  <c r="P14" i="39"/>
  <c r="Q14" i="39" s="1"/>
  <c r="Q23" i="39"/>
  <c r="AA18" i="108"/>
  <c r="AA46" i="108" s="1"/>
  <c r="Y11" i="108"/>
  <c r="Q10" i="40"/>
  <c r="Q26" i="41"/>
  <c r="P18" i="41"/>
  <c r="Q18" i="41" s="1"/>
  <c r="Z11" i="108"/>
  <c r="AB18" i="108"/>
  <c r="AB46" i="108" s="1"/>
  <c r="F19" i="109"/>
  <c r="F15" i="109"/>
  <c r="F16" i="109"/>
  <c r="F31" i="109"/>
  <c r="F35" i="109"/>
  <c r="F18" i="109"/>
  <c r="F34" i="109"/>
  <c r="F23" i="109"/>
  <c r="F14" i="109"/>
  <c r="F24" i="109"/>
  <c r="F36" i="109"/>
  <c r="F12" i="109"/>
  <c r="F11" i="109"/>
  <c r="F22" i="109"/>
  <c r="F26" i="109"/>
  <c r="F10" i="109"/>
  <c r="F30" i="109"/>
  <c r="F20" i="109"/>
  <c r="F28" i="109"/>
  <c r="F27" i="109"/>
  <c r="F32" i="109"/>
  <c r="T39" i="40"/>
  <c r="S23" i="40"/>
  <c r="T23" i="40" s="1"/>
  <c r="S10" i="39"/>
  <c r="T21" i="39"/>
  <c r="T40" i="40"/>
  <c r="S24" i="40"/>
  <c r="T24" i="40" s="1"/>
  <c r="Q21" i="41"/>
  <c r="P10" i="41"/>
  <c r="Q11" i="40"/>
  <c r="P20" i="109"/>
  <c r="Q20" i="109" s="1"/>
  <c r="Q33" i="109"/>
  <c r="T14" i="43"/>
  <c r="S10" i="43"/>
  <c r="T10" i="43" s="1"/>
  <c r="T23" i="41"/>
  <c r="S11" i="40"/>
  <c r="T31" i="40"/>
  <c r="F16" i="40"/>
  <c r="F34" i="40"/>
  <c r="F25" i="40"/>
  <c r="F12" i="40"/>
  <c r="F28" i="40"/>
  <c r="F38" i="40"/>
  <c r="F33" i="40"/>
  <c r="F29" i="40"/>
  <c r="F20" i="40"/>
  <c r="F24" i="40"/>
  <c r="F15" i="40"/>
  <c r="F30" i="40"/>
  <c r="F17" i="40"/>
  <c r="F19" i="40"/>
  <c r="F32" i="40"/>
  <c r="F11" i="40"/>
  <c r="F26" i="40"/>
  <c r="F37" i="40"/>
  <c r="F36" i="40"/>
  <c r="F21" i="40"/>
  <c r="F13" i="40"/>
  <c r="T27" i="109"/>
  <c r="S10" i="109"/>
  <c r="F19" i="41"/>
  <c r="F32" i="41"/>
  <c r="F23" i="41"/>
  <c r="F27" i="41"/>
  <c r="F15" i="41"/>
  <c r="F22" i="41"/>
  <c r="F28" i="41"/>
  <c r="F35" i="41"/>
  <c r="F18" i="41"/>
  <c r="F12" i="41"/>
  <c r="F36" i="41"/>
  <c r="F31" i="41"/>
  <c r="F24" i="41"/>
  <c r="F34" i="41"/>
  <c r="F11" i="41"/>
  <c r="F20" i="41"/>
  <c r="F30" i="41"/>
  <c r="F14" i="41"/>
  <c r="F10" i="41"/>
  <c r="F16" i="41"/>
  <c r="F26" i="41"/>
  <c r="P18" i="39"/>
  <c r="Q18" i="39" s="1"/>
  <c r="Q26" i="39"/>
  <c r="P15" i="39"/>
  <c r="Q24" i="39"/>
  <c r="P10" i="42"/>
  <c r="Q10" i="42" s="1"/>
  <c r="Q14" i="42"/>
  <c r="T30" i="40"/>
  <c r="S10" i="40"/>
  <c r="T24" i="41"/>
  <c r="F12" i="84"/>
  <c r="T9" i="106"/>
  <c r="U9" i="106" s="1"/>
  <c r="U16" i="106"/>
  <c r="Q10" i="39"/>
  <c r="T34" i="109"/>
  <c r="S21" i="109"/>
  <c r="T21" i="109" s="1"/>
  <c r="T36" i="109"/>
  <c r="S24" i="109"/>
  <c r="T24" i="109" s="1"/>
  <c r="N16" i="39"/>
  <c r="AB11" i="108" l="1"/>
  <c r="S18" i="41"/>
  <c r="T18" i="41" s="1"/>
  <c r="T26" i="41"/>
  <c r="F20" i="39"/>
  <c r="F31" i="39"/>
  <c r="F27" i="39"/>
  <c r="F14" i="39"/>
  <c r="F15" i="39"/>
  <c r="F35" i="39"/>
  <c r="F10" i="39"/>
  <c r="F11" i="39"/>
  <c r="F12" i="39"/>
  <c r="F24" i="39"/>
  <c r="F30" i="39"/>
  <c r="F32" i="39"/>
  <c r="F22" i="39"/>
  <c r="F34" i="39"/>
  <c r="F28" i="39"/>
  <c r="F26" i="39"/>
  <c r="F19" i="39"/>
  <c r="F23" i="39"/>
  <c r="F18" i="39"/>
  <c r="F36" i="39"/>
  <c r="F16" i="39"/>
  <c r="T10" i="40"/>
  <c r="Q10" i="41"/>
  <c r="T14" i="42"/>
  <c r="S10" i="42"/>
  <c r="T10" i="42" s="1"/>
  <c r="S18" i="39"/>
  <c r="T18" i="39" s="1"/>
  <c r="T26" i="39"/>
  <c r="AD11" i="108"/>
  <c r="AF18" i="108"/>
  <c r="AF46" i="108" s="1"/>
  <c r="X16" i="106"/>
  <c r="F12" i="85"/>
  <c r="W9" i="106"/>
  <c r="X9" i="106" s="1"/>
  <c r="T24" i="39"/>
  <c r="S15" i="39"/>
  <c r="AE11" i="108"/>
  <c r="AG18" i="108"/>
  <c r="AG46" i="108" s="1"/>
  <c r="T23" i="39"/>
  <c r="S14" i="39"/>
  <c r="T14" i="39" s="1"/>
  <c r="T21" i="41"/>
  <c r="S10" i="41"/>
  <c r="G12" i="84"/>
  <c r="G13" i="84" s="1"/>
  <c r="AG12" i="84"/>
  <c r="T10" i="109"/>
  <c r="T11" i="40"/>
  <c r="AA11" i="108"/>
  <c r="S20" i="109"/>
  <c r="T20" i="109" s="1"/>
  <c r="T33" i="109"/>
  <c r="T10" i="39"/>
  <c r="AG11" i="108" l="1"/>
  <c r="AF11" i="108"/>
  <c r="AG13" i="84"/>
  <c r="C12" i="85"/>
  <c r="AH12" i="84"/>
  <c r="AH13" i="84" s="1"/>
  <c r="T10" i="41"/>
  <c r="R12" i="85"/>
  <c r="G12" i="85"/>
  <c r="G13" i="85" s="1"/>
  <c r="S12" i="85" l="1"/>
  <c r="S13" i="85" s="1"/>
  <c r="R13" i="85"/>
  <c r="I12" i="85"/>
  <c r="J12" i="85" s="1"/>
  <c r="J13" i="85" s="1"/>
  <c r="O12" i="85"/>
  <c r="P12" i="85" s="1"/>
  <c r="P13" i="85" s="1"/>
  <c r="D12" i="85"/>
  <c r="D13" i="85" s="1"/>
  <c r="L12" i="85"/>
  <c r="M12" i="85" s="1"/>
  <c r="M13" i="85" s="1"/>
  <c r="W21" i="108" l="1"/>
  <c r="V15" i="108"/>
  <c r="W15" i="108" l="1"/>
  <c r="C19" i="108"/>
  <c r="C25" i="108"/>
  <c r="C37" i="108"/>
  <c r="C11" i="108"/>
  <c r="C39" i="108"/>
  <c r="C17" i="108"/>
  <c r="C35" i="108"/>
  <c r="C32" i="108"/>
  <c r="C36" i="108"/>
  <c r="C40" i="108"/>
  <c r="C28" i="108"/>
  <c r="C16" i="108"/>
  <c r="C27" i="108"/>
  <c r="C31" i="108"/>
  <c r="C20" i="108"/>
  <c r="C24" i="108"/>
  <c r="C23" i="108"/>
  <c r="C15" i="108"/>
  <c r="C41" i="108"/>
  <c r="C13" i="108"/>
  <c r="C12" i="108"/>
  <c r="C21" i="108"/>
  <c r="C29" i="108"/>
  <c r="C33" i="108"/>
  <c r="D33" i="108" l="1"/>
  <c r="D25" i="108"/>
  <c r="D36" i="108"/>
  <c r="D32" i="108"/>
  <c r="D11" i="108"/>
  <c r="D16" i="108"/>
  <c r="D24" i="108"/>
  <c r="D31" i="108"/>
  <c r="D20" i="108"/>
  <c r="D41" i="108"/>
  <c r="D21" i="108"/>
  <c r="D15" i="108"/>
  <c r="D12" i="108"/>
  <c r="D13" i="108"/>
  <c r="D39" i="108"/>
  <c r="D29" i="108"/>
  <c r="D28" i="108"/>
  <c r="D23" i="108"/>
  <c r="D40" i="108"/>
  <c r="D19" i="108"/>
  <c r="D17" i="108"/>
  <c r="D37" i="108"/>
  <c r="D35" i="108"/>
  <c r="D27" i="108"/>
  <c r="M28" i="95" l="1"/>
  <c r="O28" i="95" s="1"/>
  <c r="D44" i="88"/>
  <c r="H44" i="88" s="1"/>
  <c r="L28" i="50"/>
  <c r="N28" i="50" s="1"/>
  <c r="P28" i="68"/>
  <c r="T28" i="68" s="1"/>
  <c r="P28" i="104"/>
  <c r="L28" i="3"/>
  <c r="N28" i="3" s="1"/>
  <c r="Q28" i="69"/>
  <c r="U28" i="69" s="1"/>
  <c r="L28" i="4"/>
  <c r="N28" i="4" s="1"/>
  <c r="L28" i="100"/>
  <c r="N28" i="100" s="1"/>
  <c r="P28" i="103"/>
  <c r="D19" i="77"/>
  <c r="L28" i="13"/>
  <c r="N28" i="13" s="1"/>
  <c r="L28" i="105"/>
  <c r="L28" i="23"/>
  <c r="N28" i="23" s="1"/>
  <c r="Q28" i="70"/>
  <c r="U28" i="70" s="1"/>
  <c r="L28" i="19"/>
  <c r="N28" i="19" s="1"/>
  <c r="P28" i="99"/>
  <c r="T28" i="99" s="1"/>
  <c r="L28" i="59"/>
  <c r="N28" i="59" s="1"/>
  <c r="L28" i="22"/>
  <c r="N28" i="22" s="1"/>
  <c r="L28" i="62"/>
  <c r="N28" i="62" s="1"/>
  <c r="L28" i="97"/>
  <c r="N28" i="97" s="1"/>
  <c r="P28" i="24"/>
  <c r="T28" i="24" s="1"/>
  <c r="L28" i="16"/>
  <c r="N28" i="16" s="1"/>
  <c r="P28" i="101"/>
  <c r="T28" i="101" s="1"/>
  <c r="AE19" i="102"/>
  <c r="AE17" i="102"/>
  <c r="P25" i="40" l="1"/>
  <c r="Q25" i="40" s="1"/>
  <c r="Q41" i="40"/>
  <c r="D27" i="3"/>
  <c r="D27" i="16"/>
  <c r="D27" i="4"/>
  <c r="D27" i="99"/>
  <c r="D27" i="70"/>
  <c r="D27" i="23"/>
  <c r="D27" i="100"/>
  <c r="D27" i="59"/>
  <c r="D27" i="24"/>
  <c r="D27" i="22"/>
  <c r="D27" i="101"/>
  <c r="D27" i="62"/>
  <c r="D27" i="19"/>
  <c r="D27" i="104"/>
  <c r="D27" i="95"/>
  <c r="D27" i="103"/>
  <c r="D18" i="72"/>
  <c r="D27" i="69"/>
  <c r="D27" i="13"/>
  <c r="D19" i="88"/>
  <c r="H19" i="88" s="1"/>
  <c r="D27" i="97"/>
  <c r="D27" i="105"/>
  <c r="D27" i="50"/>
  <c r="D27" i="68"/>
  <c r="L27" i="59"/>
  <c r="P27" i="24"/>
  <c r="L27" i="100"/>
  <c r="Q27" i="69"/>
  <c r="P27" i="103"/>
  <c r="M27" i="95"/>
  <c r="P27" i="104"/>
  <c r="L27" i="50"/>
  <c r="L27" i="4"/>
  <c r="P27" i="101"/>
  <c r="Q27" i="70"/>
  <c r="P27" i="68"/>
  <c r="D43" i="88"/>
  <c r="H43" i="88" s="1"/>
  <c r="L27" i="22"/>
  <c r="L27" i="13"/>
  <c r="L27" i="3"/>
  <c r="P27" i="99"/>
  <c r="L27" i="19"/>
  <c r="L27" i="62"/>
  <c r="L27" i="23"/>
  <c r="L27" i="97"/>
  <c r="L27" i="105"/>
  <c r="L29" i="105" s="1"/>
  <c r="L27" i="16"/>
  <c r="D18" i="77"/>
  <c r="D28" i="4"/>
  <c r="D28" i="100"/>
  <c r="D28" i="24"/>
  <c r="D28" i="103"/>
  <c r="D28" i="70"/>
  <c r="D28" i="95"/>
  <c r="D28" i="16"/>
  <c r="D28" i="68"/>
  <c r="D28" i="50"/>
  <c r="D28" i="23"/>
  <c r="D28" i="101"/>
  <c r="D28" i="104"/>
  <c r="D28" i="105"/>
  <c r="D28" i="19"/>
  <c r="D28" i="13"/>
  <c r="D28" i="59"/>
  <c r="D19" i="72"/>
  <c r="D28" i="97"/>
  <c r="D28" i="69"/>
  <c r="D28" i="99"/>
  <c r="D28" i="22"/>
  <c r="D28" i="3"/>
  <c r="D20" i="88"/>
  <c r="H20" i="88" s="1"/>
  <c r="D28" i="62"/>
  <c r="AE18" i="102"/>
  <c r="AE22" i="102"/>
  <c r="AE10" i="102"/>
  <c r="L29" i="59" l="1"/>
  <c r="N27" i="59"/>
  <c r="N29" i="59" s="1"/>
  <c r="F27" i="16"/>
  <c r="H27" i="16"/>
  <c r="D29" i="16"/>
  <c r="F28" i="62"/>
  <c r="F18" i="102" s="1"/>
  <c r="H28" i="62"/>
  <c r="J28" i="62" s="1"/>
  <c r="H28" i="59"/>
  <c r="J28" i="59" s="1"/>
  <c r="AB18" i="96" s="1"/>
  <c r="F28" i="59"/>
  <c r="X18" i="102" s="1"/>
  <c r="H28" i="68"/>
  <c r="R18" i="102" s="1"/>
  <c r="AH18" i="102" s="1"/>
  <c r="J28" i="68"/>
  <c r="N28" i="68" s="1"/>
  <c r="L29" i="3"/>
  <c r="N27" i="3"/>
  <c r="N29" i="3" s="1"/>
  <c r="L29" i="50"/>
  <c r="N27" i="50"/>
  <c r="N29" i="50" s="1"/>
  <c r="H27" i="24"/>
  <c r="J27" i="24"/>
  <c r="D29" i="24"/>
  <c r="D29" i="3"/>
  <c r="H27" i="3"/>
  <c r="F27" i="3"/>
  <c r="L31" i="59"/>
  <c r="N31" i="59" s="1"/>
  <c r="L31" i="13"/>
  <c r="N31" i="13" s="1"/>
  <c r="L31" i="23"/>
  <c r="N31" i="23" s="1"/>
  <c r="P31" i="24"/>
  <c r="T31" i="24" s="1"/>
  <c r="Q31" i="69"/>
  <c r="U31" i="69" s="1"/>
  <c r="L31" i="4"/>
  <c r="N31" i="4" s="1"/>
  <c r="L31" i="3"/>
  <c r="N31" i="3" s="1"/>
  <c r="Q31" i="70"/>
  <c r="U31" i="70" s="1"/>
  <c r="L31" i="62"/>
  <c r="N31" i="62" s="1"/>
  <c r="P31" i="104"/>
  <c r="D20" i="77"/>
  <c r="P31" i="68"/>
  <c r="T31" i="68" s="1"/>
  <c r="L31" i="22"/>
  <c r="N31" i="22" s="1"/>
  <c r="P31" i="103"/>
  <c r="L31" i="105"/>
  <c r="D45" i="88"/>
  <c r="H45" i="88" s="1"/>
  <c r="P31" i="101"/>
  <c r="T31" i="101" s="1"/>
  <c r="L31" i="16"/>
  <c r="N31" i="16" s="1"/>
  <c r="P31" i="99"/>
  <c r="T31" i="99" s="1"/>
  <c r="M31" i="95"/>
  <c r="O31" i="95" s="1"/>
  <c r="L31" i="100"/>
  <c r="N31" i="100" s="1"/>
  <c r="L31" i="50"/>
  <c r="N31" i="50" s="1"/>
  <c r="L31" i="97"/>
  <c r="N31" i="97" s="1"/>
  <c r="L31" i="19"/>
  <c r="N31" i="19" s="1"/>
  <c r="D29" i="13"/>
  <c r="F27" i="13"/>
  <c r="H27" i="13"/>
  <c r="N27" i="4"/>
  <c r="N29" i="4" s="1"/>
  <c r="L29" i="4"/>
  <c r="F28" i="16"/>
  <c r="J18" i="102" s="1"/>
  <c r="H28" i="16"/>
  <c r="J28" i="16" s="1"/>
  <c r="K18" i="96" s="1"/>
  <c r="P29" i="104"/>
  <c r="F27" i="59"/>
  <c r="D29" i="59"/>
  <c r="H27" i="59"/>
  <c r="H28" i="23"/>
  <c r="J28" i="23" s="1"/>
  <c r="Q18" i="96" s="1"/>
  <c r="F28" i="23"/>
  <c r="P18" i="102" s="1"/>
  <c r="J27" i="101"/>
  <c r="H27" i="101"/>
  <c r="D29" i="101"/>
  <c r="L29" i="16"/>
  <c r="N27" i="16"/>
  <c r="N29" i="16" s="1"/>
  <c r="D31" i="3"/>
  <c r="D31" i="101"/>
  <c r="D31" i="22"/>
  <c r="D31" i="62"/>
  <c r="D31" i="69"/>
  <c r="D31" i="59"/>
  <c r="D31" i="68"/>
  <c r="D31" i="50"/>
  <c r="D31" i="97"/>
  <c r="D31" i="103"/>
  <c r="D31" i="24"/>
  <c r="D31" i="13"/>
  <c r="D31" i="99"/>
  <c r="D31" i="23"/>
  <c r="D31" i="105"/>
  <c r="D21" i="88"/>
  <c r="H21" i="88" s="1"/>
  <c r="D31" i="100"/>
  <c r="D31" i="95"/>
  <c r="D31" i="70"/>
  <c r="D31" i="16"/>
  <c r="D31" i="19"/>
  <c r="D31" i="104"/>
  <c r="D20" i="72"/>
  <c r="D31" i="4"/>
  <c r="L24" i="13"/>
  <c r="N24" i="13" s="1"/>
  <c r="P24" i="68"/>
  <c r="T24" i="68" s="1"/>
  <c r="L24" i="62"/>
  <c r="N24" i="62" s="1"/>
  <c r="P24" i="99"/>
  <c r="T24" i="99" s="1"/>
  <c r="P24" i="104"/>
  <c r="L24" i="4"/>
  <c r="N24" i="4" s="1"/>
  <c r="L24" i="105"/>
  <c r="L24" i="97"/>
  <c r="N24" i="97" s="1"/>
  <c r="L24" i="100"/>
  <c r="N24" i="100" s="1"/>
  <c r="L24" i="22"/>
  <c r="N24" i="22" s="1"/>
  <c r="D42" i="88"/>
  <c r="H42" i="88" s="1"/>
  <c r="D17" i="77"/>
  <c r="Q24" i="69"/>
  <c r="U24" i="69" s="1"/>
  <c r="P24" i="24"/>
  <c r="T24" i="24" s="1"/>
  <c r="L24" i="50"/>
  <c r="N24" i="50" s="1"/>
  <c r="L24" i="59"/>
  <c r="N24" i="59" s="1"/>
  <c r="P24" i="103"/>
  <c r="P24" i="101"/>
  <c r="T24" i="101" s="1"/>
  <c r="L24" i="19"/>
  <c r="N24" i="19" s="1"/>
  <c r="L24" i="23"/>
  <c r="N24" i="23" s="1"/>
  <c r="M24" i="95"/>
  <c r="O24" i="95" s="1"/>
  <c r="Q24" i="70"/>
  <c r="U24" i="70" s="1"/>
  <c r="L24" i="16"/>
  <c r="N24" i="16" s="1"/>
  <c r="L24" i="3"/>
  <c r="N24" i="3" s="1"/>
  <c r="D13" i="4"/>
  <c r="D13" i="100"/>
  <c r="D13" i="22"/>
  <c r="D13" i="3"/>
  <c r="D13" i="68"/>
  <c r="D13" i="16"/>
  <c r="D13" i="95"/>
  <c r="D13" i="97"/>
  <c r="D13" i="19"/>
  <c r="D13" i="24"/>
  <c r="D13" i="101"/>
  <c r="D13" i="62"/>
  <c r="D13" i="59"/>
  <c r="D13" i="105"/>
  <c r="D13" i="50"/>
  <c r="D11" i="72"/>
  <c r="D13" i="99"/>
  <c r="D13" i="70"/>
  <c r="D13" i="23"/>
  <c r="D13" i="69"/>
  <c r="D13" i="103"/>
  <c r="D12" i="88"/>
  <c r="H12" i="88" s="1"/>
  <c r="D13" i="13"/>
  <c r="D13" i="104"/>
  <c r="F28" i="3"/>
  <c r="G18" i="102" s="1"/>
  <c r="H28" i="3"/>
  <c r="J28" i="3" s="1"/>
  <c r="H18" i="96" s="1"/>
  <c r="H28" i="19"/>
  <c r="J28" i="19" s="1"/>
  <c r="F28" i="19"/>
  <c r="L18" i="102" s="1"/>
  <c r="AG18" i="102" s="1"/>
  <c r="G28" i="95"/>
  <c r="Q18" i="102" s="1"/>
  <c r="I28" i="95"/>
  <c r="K28" i="95" s="1"/>
  <c r="R18" i="96" s="1"/>
  <c r="L29" i="22"/>
  <c r="N27" i="22"/>
  <c r="N29" i="22" s="1"/>
  <c r="O27" i="95"/>
  <c r="O29" i="95" s="1"/>
  <c r="M29" i="95"/>
  <c r="F27" i="50"/>
  <c r="H27" i="50"/>
  <c r="D29" i="50"/>
  <c r="D29" i="95"/>
  <c r="G27" i="95"/>
  <c r="I27" i="95"/>
  <c r="F27" i="100"/>
  <c r="H27" i="100"/>
  <c r="D29" i="100"/>
  <c r="H27" i="4"/>
  <c r="D29" i="4"/>
  <c r="F27" i="4"/>
  <c r="T27" i="99"/>
  <c r="T29" i="99" s="1"/>
  <c r="P29" i="99"/>
  <c r="F27" i="22"/>
  <c r="D29" i="22"/>
  <c r="H27" i="22"/>
  <c r="L29" i="13"/>
  <c r="N27" i="13"/>
  <c r="N29" i="13" s="1"/>
  <c r="L39" i="4"/>
  <c r="N39" i="4" s="1"/>
  <c r="P39" i="103"/>
  <c r="L39" i="3"/>
  <c r="N39" i="3" s="1"/>
  <c r="Q39" i="69"/>
  <c r="U39" i="69" s="1"/>
  <c r="D23" i="77"/>
  <c r="P39" i="68"/>
  <c r="T39" i="68" s="1"/>
  <c r="L39" i="100"/>
  <c r="N39" i="100" s="1"/>
  <c r="L39" i="13"/>
  <c r="N39" i="13" s="1"/>
  <c r="L39" i="105"/>
  <c r="L39" i="16"/>
  <c r="N39" i="16" s="1"/>
  <c r="L39" i="59"/>
  <c r="N39" i="59" s="1"/>
  <c r="L39" i="23"/>
  <c r="N39" i="23" s="1"/>
  <c r="L39" i="62"/>
  <c r="N39" i="62" s="1"/>
  <c r="P39" i="99"/>
  <c r="T39" i="99" s="1"/>
  <c r="P39" i="101"/>
  <c r="T39" i="101" s="1"/>
  <c r="M39" i="95"/>
  <c r="O39" i="95" s="1"/>
  <c r="D48" i="88"/>
  <c r="H48" i="88" s="1"/>
  <c r="P39" i="104"/>
  <c r="L39" i="50"/>
  <c r="N39" i="50" s="1"/>
  <c r="L39" i="19"/>
  <c r="N39" i="19" s="1"/>
  <c r="P39" i="24"/>
  <c r="T39" i="24" s="1"/>
  <c r="L39" i="22"/>
  <c r="N39" i="22" s="1"/>
  <c r="Q39" i="70"/>
  <c r="U39" i="70" s="1"/>
  <c r="L39" i="97"/>
  <c r="N39" i="97" s="1"/>
  <c r="P34" i="24"/>
  <c r="T34" i="24" s="1"/>
  <c r="L34" i="100"/>
  <c r="N34" i="100" s="1"/>
  <c r="P34" i="104"/>
  <c r="L34" i="62"/>
  <c r="N34" i="62" s="1"/>
  <c r="P34" i="103"/>
  <c r="D22" i="77"/>
  <c r="L34" i="105"/>
  <c r="L34" i="3"/>
  <c r="N34" i="3" s="1"/>
  <c r="P34" i="68"/>
  <c r="T34" i="68" s="1"/>
  <c r="L34" i="13"/>
  <c r="N34" i="13" s="1"/>
  <c r="L34" i="4"/>
  <c r="N34" i="4" s="1"/>
  <c r="M34" i="95"/>
  <c r="O34" i="95" s="1"/>
  <c r="P34" i="101"/>
  <c r="T34" i="101" s="1"/>
  <c r="L34" i="19"/>
  <c r="N34" i="19" s="1"/>
  <c r="L34" i="97"/>
  <c r="N34" i="97" s="1"/>
  <c r="L34" i="16"/>
  <c r="N34" i="16" s="1"/>
  <c r="Q34" i="70"/>
  <c r="U34" i="70" s="1"/>
  <c r="L34" i="59"/>
  <c r="N34" i="59" s="1"/>
  <c r="P34" i="99"/>
  <c r="T34" i="99" s="1"/>
  <c r="L34" i="22"/>
  <c r="N34" i="22" s="1"/>
  <c r="D47" i="88"/>
  <c r="H47" i="88" s="1"/>
  <c r="L34" i="23"/>
  <c r="N34" i="23" s="1"/>
  <c r="L34" i="50"/>
  <c r="N34" i="50" s="1"/>
  <c r="Q34" i="69"/>
  <c r="U34" i="69" s="1"/>
  <c r="S16" i="39"/>
  <c r="F28" i="22"/>
  <c r="O18" i="102" s="1"/>
  <c r="H28" i="22"/>
  <c r="J28" i="22" s="1"/>
  <c r="P18" i="96" s="1"/>
  <c r="H28" i="105"/>
  <c r="F28" i="105"/>
  <c r="K28" i="70"/>
  <c r="O28" i="70" s="1"/>
  <c r="I28" i="70"/>
  <c r="U18" i="102" s="1"/>
  <c r="AJ18" i="102" s="1"/>
  <c r="L29" i="97"/>
  <c r="N27" i="97"/>
  <c r="N29" i="97" s="1"/>
  <c r="P29" i="103"/>
  <c r="D29" i="105"/>
  <c r="F27" i="105"/>
  <c r="H27" i="105"/>
  <c r="J27" i="104"/>
  <c r="H27" i="104"/>
  <c r="D29" i="104"/>
  <c r="F27" i="23"/>
  <c r="H27" i="23"/>
  <c r="D29" i="23"/>
  <c r="L29" i="19"/>
  <c r="N27" i="19"/>
  <c r="N29" i="19" s="1"/>
  <c r="D23" i="88"/>
  <c r="H23" i="88" s="1"/>
  <c r="D34" i="99"/>
  <c r="D34" i="68"/>
  <c r="D34" i="22"/>
  <c r="D34" i="97"/>
  <c r="D34" i="23"/>
  <c r="D22" i="72"/>
  <c r="D34" i="13"/>
  <c r="D34" i="101"/>
  <c r="D34" i="104"/>
  <c r="D34" i="103"/>
  <c r="D34" i="50"/>
  <c r="D34" i="16"/>
  <c r="D34" i="62"/>
  <c r="D34" i="19"/>
  <c r="D34" i="69"/>
  <c r="D34" i="105"/>
  <c r="D34" i="4"/>
  <c r="D34" i="3"/>
  <c r="D34" i="59"/>
  <c r="D34" i="100"/>
  <c r="D34" i="24"/>
  <c r="D34" i="95"/>
  <c r="D34" i="70"/>
  <c r="H28" i="13"/>
  <c r="J28" i="13" s="1"/>
  <c r="J18" i="96" s="1"/>
  <c r="F28" i="13"/>
  <c r="I18" i="102" s="1"/>
  <c r="J27" i="68"/>
  <c r="D29" i="68"/>
  <c r="H27" i="68"/>
  <c r="M23" i="95"/>
  <c r="O23" i="95" s="1"/>
  <c r="L23" i="19"/>
  <c r="N23" i="19" s="1"/>
  <c r="D41" i="88"/>
  <c r="H41" i="88" s="1"/>
  <c r="D16" i="77"/>
  <c r="L23" i="100"/>
  <c r="N23" i="100" s="1"/>
  <c r="L23" i="16"/>
  <c r="N23" i="16" s="1"/>
  <c r="L23" i="59"/>
  <c r="N23" i="59" s="1"/>
  <c r="L23" i="62"/>
  <c r="N23" i="62" s="1"/>
  <c r="Q23" i="69"/>
  <c r="U23" i="69" s="1"/>
  <c r="L23" i="4"/>
  <c r="N23" i="4" s="1"/>
  <c r="L23" i="3"/>
  <c r="N23" i="3" s="1"/>
  <c r="P23" i="104"/>
  <c r="P23" i="103"/>
  <c r="P23" i="24"/>
  <c r="T23" i="24" s="1"/>
  <c r="L23" i="50"/>
  <c r="N23" i="50" s="1"/>
  <c r="P23" i="68"/>
  <c r="T23" i="68" s="1"/>
  <c r="L23" i="105"/>
  <c r="P23" i="101"/>
  <c r="T23" i="101" s="1"/>
  <c r="L23" i="97"/>
  <c r="N23" i="97" s="1"/>
  <c r="P23" i="99"/>
  <c r="T23" i="99" s="1"/>
  <c r="L23" i="22"/>
  <c r="N23" i="22" s="1"/>
  <c r="L23" i="13"/>
  <c r="N23" i="13" s="1"/>
  <c r="L23" i="23"/>
  <c r="N23" i="23" s="1"/>
  <c r="Q23" i="70"/>
  <c r="U23" i="70" s="1"/>
  <c r="H28" i="99"/>
  <c r="S18" i="102" s="1"/>
  <c r="J28" i="99"/>
  <c r="N28" i="99" s="1"/>
  <c r="V18" i="96" s="1"/>
  <c r="J28" i="104"/>
  <c r="H28" i="104"/>
  <c r="H28" i="103"/>
  <c r="J28" i="103"/>
  <c r="N27" i="23"/>
  <c r="N29" i="23" s="1"/>
  <c r="L29" i="23"/>
  <c r="T27" i="68"/>
  <c r="T29" i="68" s="1"/>
  <c r="P29" i="68"/>
  <c r="Q29" i="69"/>
  <c r="U27" i="69"/>
  <c r="U29" i="69" s="1"/>
  <c r="H27" i="97"/>
  <c r="F27" i="97"/>
  <c r="D29" i="97"/>
  <c r="H27" i="19"/>
  <c r="D29" i="19"/>
  <c r="F27" i="19"/>
  <c r="D29" i="70"/>
  <c r="I27" i="70"/>
  <c r="K27" i="70"/>
  <c r="H28" i="97"/>
  <c r="J28" i="97" s="1"/>
  <c r="L18" i="96" s="1"/>
  <c r="F28" i="97"/>
  <c r="K18" i="102" s="1"/>
  <c r="F28" i="100"/>
  <c r="V18" i="102" s="1"/>
  <c r="H28" i="100"/>
  <c r="J28" i="100" s="1"/>
  <c r="Y18" i="96" s="1"/>
  <c r="P29" i="101"/>
  <c r="T27" i="101"/>
  <c r="T29" i="101" s="1"/>
  <c r="T27" i="24"/>
  <c r="T29" i="24" s="1"/>
  <c r="P29" i="24"/>
  <c r="H28" i="50"/>
  <c r="J28" i="50" s="1"/>
  <c r="AA18" i="96" s="1"/>
  <c r="F28" i="50"/>
  <c r="W18" i="102" s="1"/>
  <c r="H28" i="4"/>
  <c r="J28" i="4" s="1"/>
  <c r="I18" i="96" s="1"/>
  <c r="F28" i="4"/>
  <c r="H18" i="102" s="1"/>
  <c r="I27" i="69"/>
  <c r="K27" i="69"/>
  <c r="D29" i="69"/>
  <c r="D29" i="103"/>
  <c r="J27" i="103"/>
  <c r="H27" i="103"/>
  <c r="L17" i="19"/>
  <c r="N17" i="19" s="1"/>
  <c r="L17" i="100"/>
  <c r="N17" i="100" s="1"/>
  <c r="P17" i="24"/>
  <c r="T17" i="24" s="1"/>
  <c r="L17" i="4"/>
  <c r="N17" i="4" s="1"/>
  <c r="L17" i="22"/>
  <c r="N17" i="22" s="1"/>
  <c r="L17" i="13"/>
  <c r="N17" i="13" s="1"/>
  <c r="L17" i="50"/>
  <c r="N17" i="50" s="1"/>
  <c r="P17" i="101"/>
  <c r="T17" i="101" s="1"/>
  <c r="P17" i="68"/>
  <c r="T17" i="68" s="1"/>
  <c r="L17" i="97"/>
  <c r="N17" i="97" s="1"/>
  <c r="Q17" i="69"/>
  <c r="U17" i="69" s="1"/>
  <c r="P17" i="104"/>
  <c r="Q17" i="70"/>
  <c r="U17" i="70" s="1"/>
  <c r="L17" i="59"/>
  <c r="N17" i="59" s="1"/>
  <c r="D38" i="88"/>
  <c r="H38" i="88" s="1"/>
  <c r="P17" i="103"/>
  <c r="P17" i="99"/>
  <c r="T17" i="99" s="1"/>
  <c r="L17" i="105"/>
  <c r="L17" i="62"/>
  <c r="N17" i="62" s="1"/>
  <c r="L17" i="23"/>
  <c r="N17" i="23" s="1"/>
  <c r="L17" i="16"/>
  <c r="N17" i="16" s="1"/>
  <c r="L17" i="3"/>
  <c r="N17" i="3" s="1"/>
  <c r="M17" i="95"/>
  <c r="O17" i="95" s="1"/>
  <c r="D13" i="77"/>
  <c r="D23" i="101"/>
  <c r="D23" i="16"/>
  <c r="D23" i="50"/>
  <c r="D23" i="23"/>
  <c r="D23" i="105"/>
  <c r="D23" i="70"/>
  <c r="D23" i="62"/>
  <c r="D23" i="69"/>
  <c r="D17" i="88"/>
  <c r="H17" i="88" s="1"/>
  <c r="D16" i="72"/>
  <c r="D23" i="4"/>
  <c r="D23" i="13"/>
  <c r="D23" i="99"/>
  <c r="D23" i="100"/>
  <c r="D23" i="103"/>
  <c r="D23" i="3"/>
  <c r="D23" i="59"/>
  <c r="D23" i="97"/>
  <c r="D23" i="68"/>
  <c r="D23" i="104"/>
  <c r="D23" i="95"/>
  <c r="D23" i="24"/>
  <c r="D23" i="19"/>
  <c r="D23" i="22"/>
  <c r="D17" i="105"/>
  <c r="D17" i="97"/>
  <c r="D17" i="16"/>
  <c r="D13" i="72"/>
  <c r="D17" i="3"/>
  <c r="D17" i="69"/>
  <c r="D17" i="68"/>
  <c r="D17" i="19"/>
  <c r="D17" i="59"/>
  <c r="D17" i="99"/>
  <c r="D17" i="70"/>
  <c r="D17" i="104"/>
  <c r="D17" i="103"/>
  <c r="D17" i="23"/>
  <c r="D17" i="22"/>
  <c r="D17" i="62"/>
  <c r="D17" i="95"/>
  <c r="D17" i="50"/>
  <c r="D14" i="88"/>
  <c r="H14" i="88" s="1"/>
  <c r="D17" i="24"/>
  <c r="D17" i="101"/>
  <c r="D17" i="13"/>
  <c r="D17" i="4"/>
  <c r="D17" i="100"/>
  <c r="S22" i="109"/>
  <c r="I28" i="69"/>
  <c r="T18" i="102" s="1"/>
  <c r="AI18" i="102" s="1"/>
  <c r="K28" i="69"/>
  <c r="O28" i="69" s="1"/>
  <c r="H28" i="101"/>
  <c r="Z18" i="102" s="1"/>
  <c r="J28" i="101"/>
  <c r="N28" i="101" s="1"/>
  <c r="AD18" i="96" s="1"/>
  <c r="H28" i="24"/>
  <c r="Y18" i="102" s="1"/>
  <c r="J28" i="24"/>
  <c r="N28" i="24" s="1"/>
  <c r="AC18" i="96" s="1"/>
  <c r="L29" i="62"/>
  <c r="N27" i="62"/>
  <c r="N29" i="62" s="1"/>
  <c r="Q29" i="70"/>
  <c r="U27" i="70"/>
  <c r="U29" i="70" s="1"/>
  <c r="N27" i="100"/>
  <c r="N29" i="100" s="1"/>
  <c r="L29" i="100"/>
  <c r="F27" i="62"/>
  <c r="H27" i="62"/>
  <c r="D29" i="62"/>
  <c r="D29" i="99"/>
  <c r="J27" i="99"/>
  <c r="H27" i="99"/>
  <c r="AE16" i="102"/>
  <c r="T25" i="39"/>
  <c r="AE13" i="102"/>
  <c r="AE11" i="102"/>
  <c r="AE15" i="102"/>
  <c r="T35" i="109"/>
  <c r="F29" i="105" l="1"/>
  <c r="P18" i="101"/>
  <c r="T18" i="101" s="1"/>
  <c r="L18" i="97"/>
  <c r="N18" i="97" s="1"/>
  <c r="L18" i="16"/>
  <c r="N18" i="16" s="1"/>
  <c r="P18" i="103"/>
  <c r="Q18" i="69"/>
  <c r="U18" i="69" s="1"/>
  <c r="D39" i="88"/>
  <c r="H39" i="88" s="1"/>
  <c r="L18" i="100"/>
  <c r="N18" i="100" s="1"/>
  <c r="L18" i="50"/>
  <c r="N18" i="50" s="1"/>
  <c r="L18" i="59"/>
  <c r="N18" i="59" s="1"/>
  <c r="L18" i="4"/>
  <c r="N18" i="4" s="1"/>
  <c r="L18" i="62"/>
  <c r="N18" i="62" s="1"/>
  <c r="P18" i="24"/>
  <c r="T18" i="24" s="1"/>
  <c r="L18" i="22"/>
  <c r="N18" i="22" s="1"/>
  <c r="Q18" i="70"/>
  <c r="U18" i="70" s="1"/>
  <c r="P18" i="68"/>
  <c r="T18" i="68" s="1"/>
  <c r="L18" i="3"/>
  <c r="N18" i="3" s="1"/>
  <c r="L18" i="23"/>
  <c r="N18" i="23" s="1"/>
  <c r="L18" i="13"/>
  <c r="N18" i="13" s="1"/>
  <c r="P18" i="99"/>
  <c r="T18" i="99" s="1"/>
  <c r="M18" i="95"/>
  <c r="O18" i="95" s="1"/>
  <c r="D14" i="77"/>
  <c r="L18" i="105"/>
  <c r="P18" i="104"/>
  <c r="L18" i="19"/>
  <c r="N18" i="19" s="1"/>
  <c r="J17" i="101"/>
  <c r="N17" i="101" s="1"/>
  <c r="AD12" i="96" s="1"/>
  <c r="H17" i="101"/>
  <c r="Z12" i="102" s="1"/>
  <c r="F23" i="105"/>
  <c r="H23" i="105"/>
  <c r="F34" i="3"/>
  <c r="G21" i="102" s="1"/>
  <c r="H34" i="3"/>
  <c r="J34" i="3" s="1"/>
  <c r="H21" i="96" s="1"/>
  <c r="U17" i="102"/>
  <c r="AJ17" i="102" s="1"/>
  <c r="I29" i="70"/>
  <c r="H34" i="4"/>
  <c r="J34" i="4" s="1"/>
  <c r="I21" i="96" s="1"/>
  <c r="F34" i="4"/>
  <c r="H21" i="102" s="1"/>
  <c r="F13" i="16"/>
  <c r="H13" i="16"/>
  <c r="AF18" i="102"/>
  <c r="AB18" i="102"/>
  <c r="AC18" i="102" s="1"/>
  <c r="L13" i="97"/>
  <c r="L13" i="105"/>
  <c r="L13" i="4"/>
  <c r="P13" i="68"/>
  <c r="L13" i="62"/>
  <c r="P13" i="99"/>
  <c r="L13" i="3"/>
  <c r="P13" i="24"/>
  <c r="Q13" i="69"/>
  <c r="L13" i="16"/>
  <c r="L13" i="19"/>
  <c r="L13" i="22"/>
  <c r="L13" i="59"/>
  <c r="P13" i="103"/>
  <c r="L13" i="13"/>
  <c r="Q13" i="70"/>
  <c r="L13" i="23"/>
  <c r="D36" i="88"/>
  <c r="H36" i="88" s="1"/>
  <c r="D11" i="77"/>
  <c r="L13" i="50"/>
  <c r="P13" i="101"/>
  <c r="L13" i="100"/>
  <c r="M13" i="95"/>
  <c r="P13" i="104"/>
  <c r="P16" i="39"/>
  <c r="T16" i="39" s="1"/>
  <c r="Q25" i="39"/>
  <c r="J29" i="99"/>
  <c r="N27" i="99"/>
  <c r="K17" i="70"/>
  <c r="O17" i="70" s="1"/>
  <c r="I17" i="70"/>
  <c r="U12" i="102" s="1"/>
  <c r="AJ12" i="102" s="1"/>
  <c r="F17" i="16"/>
  <c r="J12" i="102" s="1"/>
  <c r="H17" i="16"/>
  <c r="J17" i="16" s="1"/>
  <c r="K12" i="96" s="1"/>
  <c r="H23" i="68"/>
  <c r="R15" i="102" s="1"/>
  <c r="AH15" i="102" s="1"/>
  <c r="J23" i="68"/>
  <c r="N23" i="68" s="1"/>
  <c r="H23" i="4"/>
  <c r="J23" i="4" s="1"/>
  <c r="I15" i="96" s="1"/>
  <c r="F23" i="4"/>
  <c r="H15" i="102" s="1"/>
  <c r="H23" i="50"/>
  <c r="J23" i="50" s="1"/>
  <c r="AA15" i="96" s="1"/>
  <c r="F23" i="50"/>
  <c r="W15" i="102" s="1"/>
  <c r="I29" i="69"/>
  <c r="T17" i="102"/>
  <c r="AI17" i="102" s="1"/>
  <c r="F34" i="105"/>
  <c r="H34" i="105"/>
  <c r="H34" i="101"/>
  <c r="Z21" i="102" s="1"/>
  <c r="J34" i="101"/>
  <c r="N34" i="101" s="1"/>
  <c r="AD21" i="96" s="1"/>
  <c r="J29" i="104"/>
  <c r="H13" i="103"/>
  <c r="J13" i="103"/>
  <c r="H13" i="59"/>
  <c r="F13" i="59"/>
  <c r="J13" i="68"/>
  <c r="H13" i="68"/>
  <c r="H31" i="19"/>
  <c r="J31" i="19" s="1"/>
  <c r="F31" i="19"/>
  <c r="L19" i="102" s="1"/>
  <c r="AG19" i="102" s="1"/>
  <c r="J31" i="99"/>
  <c r="N31" i="99" s="1"/>
  <c r="V19" i="96" s="1"/>
  <c r="H31" i="99"/>
  <c r="S19" i="102" s="1"/>
  <c r="I31" i="69"/>
  <c r="T19" i="102" s="1"/>
  <c r="AI19" i="102" s="1"/>
  <c r="K31" i="69"/>
  <c r="O31" i="69" s="1"/>
  <c r="H29" i="101"/>
  <c r="Z17" i="102"/>
  <c r="G17" i="102"/>
  <c r="F29" i="3"/>
  <c r="F17" i="3"/>
  <c r="G12" i="102" s="1"/>
  <c r="H17" i="3"/>
  <c r="J17" i="3" s="1"/>
  <c r="H12" i="96" s="1"/>
  <c r="H17" i="50"/>
  <c r="J17" i="50" s="1"/>
  <c r="AA12" i="96" s="1"/>
  <c r="F17" i="50"/>
  <c r="W12" i="102" s="1"/>
  <c r="J17" i="99"/>
  <c r="N17" i="99" s="1"/>
  <c r="V12" i="96" s="1"/>
  <c r="H17" i="99"/>
  <c r="S12" i="102" s="1"/>
  <c r="H17" i="97"/>
  <c r="J17" i="97" s="1"/>
  <c r="L12" i="96" s="1"/>
  <c r="F17" i="97"/>
  <c r="K12" i="102" s="1"/>
  <c r="F23" i="97"/>
  <c r="K15" i="102" s="1"/>
  <c r="H23" i="97"/>
  <c r="J23" i="97" s="1"/>
  <c r="L15" i="96" s="1"/>
  <c r="F23" i="16"/>
  <c r="J15" i="102" s="1"/>
  <c r="H23" i="16"/>
  <c r="J23" i="16" s="1"/>
  <c r="K15" i="96" s="1"/>
  <c r="L17" i="102"/>
  <c r="AG17" i="102" s="1"/>
  <c r="F29" i="19"/>
  <c r="I34" i="70"/>
  <c r="U21" i="102" s="1"/>
  <c r="AJ21" i="102" s="1"/>
  <c r="K34" i="70"/>
  <c r="O34" i="70" s="1"/>
  <c r="K34" i="69"/>
  <c r="O34" i="69" s="1"/>
  <c r="I34" i="69"/>
  <c r="T21" i="102" s="1"/>
  <c r="AI21" i="102" s="1"/>
  <c r="H34" i="13"/>
  <c r="J34" i="13" s="1"/>
  <c r="J21" i="96" s="1"/>
  <c r="F34" i="13"/>
  <c r="I21" i="102" s="1"/>
  <c r="H29" i="105"/>
  <c r="X18" i="96"/>
  <c r="AQ18" i="102"/>
  <c r="V19" i="72" s="1"/>
  <c r="J27" i="4"/>
  <c r="H29" i="4"/>
  <c r="J27" i="50"/>
  <c r="H29" i="50"/>
  <c r="K13" i="69"/>
  <c r="I13" i="69"/>
  <c r="H13" i="62"/>
  <c r="F13" i="62"/>
  <c r="H13" i="3"/>
  <c r="F13" i="3"/>
  <c r="H31" i="16"/>
  <c r="J31" i="16" s="1"/>
  <c r="K19" i="96" s="1"/>
  <c r="F31" i="16"/>
  <c r="J19" i="102" s="1"/>
  <c r="F31" i="13"/>
  <c r="I19" i="102" s="1"/>
  <c r="H31" i="13"/>
  <c r="J31" i="13" s="1"/>
  <c r="J19" i="96" s="1"/>
  <c r="F31" i="62"/>
  <c r="F19" i="102" s="1"/>
  <c r="H31" i="62"/>
  <c r="J31" i="62" s="1"/>
  <c r="J29" i="101"/>
  <c r="N27" i="101"/>
  <c r="J27" i="3"/>
  <c r="H29" i="3"/>
  <c r="D24" i="4"/>
  <c r="D24" i="24"/>
  <c r="D24" i="23"/>
  <c r="D18" i="88"/>
  <c r="H18" i="88" s="1"/>
  <c r="D24" i="100"/>
  <c r="D24" i="69"/>
  <c r="D24" i="3"/>
  <c r="D24" i="16"/>
  <c r="D24" i="95"/>
  <c r="D24" i="97"/>
  <c r="D17" i="72"/>
  <c r="D24" i="99"/>
  <c r="D24" i="105"/>
  <c r="D24" i="68"/>
  <c r="D24" i="62"/>
  <c r="D24" i="19"/>
  <c r="D24" i="103"/>
  <c r="D24" i="13"/>
  <c r="D24" i="101"/>
  <c r="D24" i="70"/>
  <c r="D24" i="22"/>
  <c r="D24" i="104"/>
  <c r="D24" i="50"/>
  <c r="D24" i="59"/>
  <c r="J23" i="99"/>
  <c r="N23" i="99" s="1"/>
  <c r="V15" i="96" s="1"/>
  <c r="H23" i="99"/>
  <c r="S15" i="102" s="1"/>
  <c r="J34" i="68"/>
  <c r="N34" i="68" s="1"/>
  <c r="H34" i="68"/>
  <c r="R21" i="102" s="1"/>
  <c r="AH21" i="102" s="1"/>
  <c r="H13" i="13"/>
  <c r="F13" i="13"/>
  <c r="H29" i="104"/>
  <c r="F13" i="105"/>
  <c r="H13" i="105"/>
  <c r="H23" i="59"/>
  <c r="J23" i="59" s="1"/>
  <c r="AB15" i="96" s="1"/>
  <c r="F23" i="59"/>
  <c r="X15" i="102" s="1"/>
  <c r="J23" i="101"/>
  <c r="N23" i="101" s="1"/>
  <c r="AD15" i="96" s="1"/>
  <c r="H23" i="101"/>
  <c r="Z15" i="102" s="1"/>
  <c r="G34" i="95"/>
  <c r="Q21" i="102" s="1"/>
  <c r="I34" i="95"/>
  <c r="K34" i="95" s="1"/>
  <c r="R21" i="96" s="1"/>
  <c r="H34" i="19"/>
  <c r="J34" i="19" s="1"/>
  <c r="F34" i="19"/>
  <c r="L21" i="102" s="1"/>
  <c r="AG21" i="102" s="1"/>
  <c r="J27" i="22"/>
  <c r="H29" i="22"/>
  <c r="W17" i="102"/>
  <c r="F29" i="50"/>
  <c r="AN18" i="102"/>
  <c r="M19" i="72" s="1"/>
  <c r="M18" i="96"/>
  <c r="F13" i="23"/>
  <c r="H13" i="23"/>
  <c r="H13" i="101"/>
  <c r="J13" i="101"/>
  <c r="H13" i="22"/>
  <c r="F13" i="22"/>
  <c r="K31" i="70"/>
  <c r="O31" i="70" s="1"/>
  <c r="I31" i="70"/>
  <c r="U19" i="102" s="1"/>
  <c r="AJ19" i="102" s="1"/>
  <c r="H31" i="24"/>
  <c r="Y19" i="102" s="1"/>
  <c r="J31" i="24"/>
  <c r="N31" i="24" s="1"/>
  <c r="AC19" i="96" s="1"/>
  <c r="F31" i="22"/>
  <c r="O19" i="102" s="1"/>
  <c r="H31" i="22"/>
  <c r="J31" i="22" s="1"/>
  <c r="P19" i="96" s="1"/>
  <c r="AO18" i="102"/>
  <c r="P19" i="72" s="1"/>
  <c r="S18" i="96"/>
  <c r="J27" i="16"/>
  <c r="H29" i="16"/>
  <c r="J29" i="68"/>
  <c r="N27" i="68"/>
  <c r="J31" i="68"/>
  <c r="N31" i="68" s="1"/>
  <c r="H31" i="68"/>
  <c r="R19" i="102" s="1"/>
  <c r="AH19" i="102" s="1"/>
  <c r="X17" i="102"/>
  <c r="F29" i="59"/>
  <c r="F23" i="13"/>
  <c r="I15" i="102" s="1"/>
  <c r="H23" i="13"/>
  <c r="J23" i="13" s="1"/>
  <c r="J15" i="96" s="1"/>
  <c r="J34" i="99"/>
  <c r="N34" i="99" s="1"/>
  <c r="V21" i="96" s="1"/>
  <c r="H34" i="99"/>
  <c r="S21" i="102" s="1"/>
  <c r="F31" i="59"/>
  <c r="X19" i="102" s="1"/>
  <c r="H31" i="59"/>
  <c r="J31" i="59" s="1"/>
  <c r="AB19" i="96" s="1"/>
  <c r="F17" i="59"/>
  <c r="X12" i="102" s="1"/>
  <c r="H17" i="59"/>
  <c r="J17" i="59" s="1"/>
  <c r="AB12" i="96" s="1"/>
  <c r="H17" i="100"/>
  <c r="J17" i="100" s="1"/>
  <c r="Y12" i="96" s="1"/>
  <c r="F17" i="100"/>
  <c r="V12" i="102" s="1"/>
  <c r="H23" i="22"/>
  <c r="J23" i="22" s="1"/>
  <c r="P15" i="96" s="1"/>
  <c r="F23" i="22"/>
  <c r="O15" i="102" s="1"/>
  <c r="H29" i="103"/>
  <c r="H29" i="19"/>
  <c r="J27" i="19"/>
  <c r="J34" i="24"/>
  <c r="N34" i="24" s="1"/>
  <c r="AC21" i="96" s="1"/>
  <c r="H34" i="24"/>
  <c r="Y21" i="102" s="1"/>
  <c r="F34" i="62"/>
  <c r="F21" i="102" s="1"/>
  <c r="H34" i="62"/>
  <c r="J34" i="62" s="1"/>
  <c r="H34" i="23"/>
  <c r="J34" i="23" s="1"/>
  <c r="Q21" i="96" s="1"/>
  <c r="F34" i="23"/>
  <c r="P21" i="102" s="1"/>
  <c r="H29" i="100"/>
  <c r="J27" i="100"/>
  <c r="I13" i="70"/>
  <c r="K13" i="70"/>
  <c r="H13" i="24"/>
  <c r="J13" i="24"/>
  <c r="H13" i="100"/>
  <c r="F13" i="100"/>
  <c r="I31" i="95"/>
  <c r="K31" i="95" s="1"/>
  <c r="R19" i="96" s="1"/>
  <c r="G31" i="95"/>
  <c r="Q19" i="102" s="1"/>
  <c r="J31" i="103"/>
  <c r="H31" i="103"/>
  <c r="J31" i="101"/>
  <c r="N31" i="101" s="1"/>
  <c r="AD19" i="96" s="1"/>
  <c r="H31" i="101"/>
  <c r="Z19" i="102" s="1"/>
  <c r="F29" i="16"/>
  <c r="J17" i="102"/>
  <c r="J17" i="103"/>
  <c r="H17" i="103"/>
  <c r="K29" i="70"/>
  <c r="O27" i="70"/>
  <c r="Q17" i="102"/>
  <c r="G29" i="95"/>
  <c r="I13" i="95"/>
  <c r="G13" i="95"/>
  <c r="H31" i="105"/>
  <c r="F31" i="105"/>
  <c r="I17" i="102"/>
  <c r="F29" i="13"/>
  <c r="G18" i="96"/>
  <c r="AM18" i="102"/>
  <c r="Q35" i="109"/>
  <c r="P22" i="109"/>
  <c r="Q22" i="109" s="1"/>
  <c r="D8" i="23"/>
  <c r="D8" i="16"/>
  <c r="D8" i="104"/>
  <c r="D8" i="19"/>
  <c r="D8" i="59"/>
  <c r="D8" i="4"/>
  <c r="D11" i="88"/>
  <c r="D8" i="103"/>
  <c r="D8" i="50"/>
  <c r="D8" i="22"/>
  <c r="D8" i="68"/>
  <c r="D8" i="97"/>
  <c r="D8" i="95"/>
  <c r="D10" i="72"/>
  <c r="D8" i="13"/>
  <c r="D8" i="24"/>
  <c r="D8" i="99"/>
  <c r="D8" i="101"/>
  <c r="D8" i="62"/>
  <c r="D8" i="100"/>
  <c r="D8" i="105"/>
  <c r="D8" i="69"/>
  <c r="D8" i="3"/>
  <c r="D8" i="70"/>
  <c r="J17" i="24"/>
  <c r="N17" i="24" s="1"/>
  <c r="AC12" i="96" s="1"/>
  <c r="H17" i="24"/>
  <c r="Y12" i="102" s="1"/>
  <c r="K29" i="69"/>
  <c r="O27" i="69"/>
  <c r="H34" i="104"/>
  <c r="J34" i="104"/>
  <c r="F29" i="4"/>
  <c r="H17" i="102"/>
  <c r="J31" i="104"/>
  <c r="H31" i="104"/>
  <c r="D15" i="62"/>
  <c r="D15" i="104"/>
  <c r="D15" i="100"/>
  <c r="D15" i="68"/>
  <c r="D15" i="101"/>
  <c r="D15" i="95"/>
  <c r="D15" i="97"/>
  <c r="D15" i="16"/>
  <c r="D15" i="13"/>
  <c r="D15" i="24"/>
  <c r="D15" i="99"/>
  <c r="D15" i="3"/>
  <c r="D15" i="50"/>
  <c r="D15" i="4"/>
  <c r="D15" i="103"/>
  <c r="D15" i="105"/>
  <c r="D15" i="59"/>
  <c r="D15" i="70"/>
  <c r="D13" i="88"/>
  <c r="H13" i="88" s="1"/>
  <c r="D15" i="69"/>
  <c r="D15" i="22"/>
  <c r="D15" i="19"/>
  <c r="D15" i="23"/>
  <c r="D12" i="72"/>
  <c r="G17" i="95"/>
  <c r="Q12" i="102" s="1"/>
  <c r="I17" i="95"/>
  <c r="K17" i="95" s="1"/>
  <c r="R12" i="96" s="1"/>
  <c r="F17" i="105"/>
  <c r="H17" i="105"/>
  <c r="M8" i="95"/>
  <c r="L8" i="105"/>
  <c r="L10" i="105" s="1"/>
  <c r="L8" i="100"/>
  <c r="Q8" i="70"/>
  <c r="P8" i="103"/>
  <c r="L8" i="19"/>
  <c r="L8" i="4"/>
  <c r="L8" i="97"/>
  <c r="L8" i="16"/>
  <c r="L8" i="50"/>
  <c r="P8" i="104"/>
  <c r="D10" i="77"/>
  <c r="P8" i="68"/>
  <c r="L8" i="13"/>
  <c r="L8" i="62"/>
  <c r="D35" i="88"/>
  <c r="L8" i="59"/>
  <c r="L8" i="3"/>
  <c r="P8" i="101"/>
  <c r="Q8" i="69"/>
  <c r="P8" i="99"/>
  <c r="L8" i="22"/>
  <c r="P8" i="24"/>
  <c r="L8" i="23"/>
  <c r="H17" i="19"/>
  <c r="J17" i="19" s="1"/>
  <c r="F17" i="19"/>
  <c r="L12" i="102" s="1"/>
  <c r="AG12" i="102" s="1"/>
  <c r="I23" i="69"/>
  <c r="T15" i="102" s="1"/>
  <c r="AI15" i="102" s="1"/>
  <c r="K23" i="69"/>
  <c r="O23" i="69" s="1"/>
  <c r="T41" i="40"/>
  <c r="S25" i="40"/>
  <c r="T25" i="40" s="1"/>
  <c r="F17" i="102"/>
  <c r="F29" i="62"/>
  <c r="F17" i="4"/>
  <c r="H12" i="102" s="1"/>
  <c r="H17" i="4"/>
  <c r="J17" i="4" s="1"/>
  <c r="I12" i="96" s="1"/>
  <c r="F17" i="22"/>
  <c r="O12" i="102" s="1"/>
  <c r="H17" i="22"/>
  <c r="J17" i="22" s="1"/>
  <c r="P12" i="96" s="1"/>
  <c r="J17" i="68"/>
  <c r="N17" i="68" s="1"/>
  <c r="H17" i="68"/>
  <c r="R12" i="102" s="1"/>
  <c r="AH12" i="102" s="1"/>
  <c r="F23" i="19"/>
  <c r="L15" i="102" s="1"/>
  <c r="AG15" i="102" s="1"/>
  <c r="H23" i="19"/>
  <c r="J23" i="19" s="1"/>
  <c r="J23" i="103"/>
  <c r="H23" i="103"/>
  <c r="H23" i="62"/>
  <c r="J23" i="62" s="1"/>
  <c r="F23" i="62"/>
  <c r="F15" i="102" s="1"/>
  <c r="J29" i="103"/>
  <c r="H29" i="68"/>
  <c r="R17" i="102"/>
  <c r="AH17" i="102" s="1"/>
  <c r="H34" i="100"/>
  <c r="J34" i="100" s="1"/>
  <c r="Y21" i="96" s="1"/>
  <c r="F34" i="100"/>
  <c r="V21" i="102" s="1"/>
  <c r="F34" i="16"/>
  <c r="J21" i="102" s="1"/>
  <c r="H34" i="16"/>
  <c r="J34" i="16" s="1"/>
  <c r="K21" i="96" s="1"/>
  <c r="H34" i="97"/>
  <c r="J34" i="97" s="1"/>
  <c r="L21" i="96" s="1"/>
  <c r="F34" i="97"/>
  <c r="K21" i="102" s="1"/>
  <c r="H29" i="23"/>
  <c r="J27" i="23"/>
  <c r="O17" i="102"/>
  <c r="F29" i="22"/>
  <c r="F29" i="100"/>
  <c r="V17" i="102"/>
  <c r="H13" i="99"/>
  <c r="J13" i="99"/>
  <c r="F13" i="19"/>
  <c r="H13" i="19"/>
  <c r="F13" i="4"/>
  <c r="H13" i="4"/>
  <c r="F31" i="100"/>
  <c r="V19" i="102" s="1"/>
  <c r="H31" i="100"/>
  <c r="J31" i="100" s="1"/>
  <c r="Y19" i="96" s="1"/>
  <c r="F31" i="97"/>
  <c r="K19" i="102" s="1"/>
  <c r="H31" i="97"/>
  <c r="J31" i="97" s="1"/>
  <c r="L19" i="96" s="1"/>
  <c r="H31" i="3"/>
  <c r="J31" i="3" s="1"/>
  <c r="H19" i="96" s="1"/>
  <c r="F31" i="3"/>
  <c r="G19" i="102" s="1"/>
  <c r="J27" i="59"/>
  <c r="H29" i="59"/>
  <c r="J29" i="24"/>
  <c r="N27" i="24"/>
  <c r="I23" i="95"/>
  <c r="K23" i="95" s="1"/>
  <c r="R15" i="96" s="1"/>
  <c r="G23" i="95"/>
  <c r="Q15" i="102" s="1"/>
  <c r="J27" i="97"/>
  <c r="H29" i="97"/>
  <c r="J34" i="103"/>
  <c r="H34" i="103"/>
  <c r="F13" i="50"/>
  <c r="H13" i="50"/>
  <c r="S17" i="102"/>
  <c r="H29" i="99"/>
  <c r="AP18" i="102"/>
  <c r="S19" i="72" s="1"/>
  <c r="W18" i="96"/>
  <c r="J17" i="104"/>
  <c r="H17" i="104"/>
  <c r="J23" i="104"/>
  <c r="H23" i="104"/>
  <c r="F23" i="23"/>
  <c r="P15" i="102" s="1"/>
  <c r="H23" i="23"/>
  <c r="J23" i="23" s="1"/>
  <c r="Q15" i="96" s="1"/>
  <c r="F31" i="23"/>
  <c r="P19" i="102" s="1"/>
  <c r="H31" i="23"/>
  <c r="J31" i="23" s="1"/>
  <c r="Q19" i="96" s="1"/>
  <c r="D37" i="88"/>
  <c r="H37" i="88" s="1"/>
  <c r="L15" i="4"/>
  <c r="N15" i="4" s="1"/>
  <c r="L15" i="105"/>
  <c r="L15" i="100"/>
  <c r="N15" i="100" s="1"/>
  <c r="P15" i="99"/>
  <c r="T15" i="99" s="1"/>
  <c r="P15" i="104"/>
  <c r="L15" i="59"/>
  <c r="N15" i="59" s="1"/>
  <c r="D12" i="77"/>
  <c r="L15" i="13"/>
  <c r="N15" i="13" s="1"/>
  <c r="Q15" i="70"/>
  <c r="U15" i="70" s="1"/>
  <c r="L15" i="22"/>
  <c r="N15" i="22" s="1"/>
  <c r="L15" i="97"/>
  <c r="N15" i="97" s="1"/>
  <c r="L15" i="23"/>
  <c r="N15" i="23" s="1"/>
  <c r="P15" i="103"/>
  <c r="L15" i="50"/>
  <c r="N15" i="50" s="1"/>
  <c r="L15" i="19"/>
  <c r="N15" i="19" s="1"/>
  <c r="P15" i="101"/>
  <c r="T15" i="101" s="1"/>
  <c r="L15" i="16"/>
  <c r="N15" i="16" s="1"/>
  <c r="M15" i="95"/>
  <c r="O15" i="95" s="1"/>
  <c r="P15" i="68"/>
  <c r="T15" i="68" s="1"/>
  <c r="L15" i="3"/>
  <c r="N15" i="3" s="1"/>
  <c r="Q15" i="69"/>
  <c r="U15" i="69" s="1"/>
  <c r="P15" i="24"/>
  <c r="T15" i="24" s="1"/>
  <c r="L15" i="62"/>
  <c r="N15" i="62" s="1"/>
  <c r="J27" i="62"/>
  <c r="H29" i="62"/>
  <c r="F17" i="62"/>
  <c r="F12" i="102" s="1"/>
  <c r="H17" i="62"/>
  <c r="J17" i="62" s="1"/>
  <c r="H23" i="3"/>
  <c r="J23" i="3" s="1"/>
  <c r="H15" i="96" s="1"/>
  <c r="F23" i="3"/>
  <c r="G15" i="102" s="1"/>
  <c r="D18" i="100"/>
  <c r="D18" i="24"/>
  <c r="D18" i="99"/>
  <c r="D18" i="69"/>
  <c r="D18" i="13"/>
  <c r="D18" i="22"/>
  <c r="D18" i="105"/>
  <c r="D18" i="104"/>
  <c r="D18" i="62"/>
  <c r="D18" i="70"/>
  <c r="D18" i="50"/>
  <c r="D15" i="88"/>
  <c r="H15" i="88" s="1"/>
  <c r="D18" i="16"/>
  <c r="D18" i="3"/>
  <c r="D18" i="68"/>
  <c r="D18" i="101"/>
  <c r="D18" i="59"/>
  <c r="D14" i="72"/>
  <c r="D18" i="4"/>
  <c r="D18" i="19"/>
  <c r="D18" i="23"/>
  <c r="D18" i="97"/>
  <c r="D19" i="97" s="1"/>
  <c r="D18" i="95"/>
  <c r="D18" i="103"/>
  <c r="D39" i="16"/>
  <c r="D39" i="62"/>
  <c r="D39" i="95"/>
  <c r="D39" i="101"/>
  <c r="D39" i="19"/>
  <c r="D39" i="97"/>
  <c r="D39" i="50"/>
  <c r="D39" i="22"/>
  <c r="D39" i="69"/>
  <c r="D39" i="13"/>
  <c r="D24" i="88"/>
  <c r="H24" i="88" s="1"/>
  <c r="D39" i="24"/>
  <c r="D39" i="100"/>
  <c r="D39" i="99"/>
  <c r="D39" i="70"/>
  <c r="D39" i="104"/>
  <c r="D39" i="105"/>
  <c r="D23" i="72"/>
  <c r="D39" i="4"/>
  <c r="D39" i="68"/>
  <c r="D39" i="59"/>
  <c r="D39" i="103"/>
  <c r="D39" i="23"/>
  <c r="D39" i="3"/>
  <c r="F17" i="13"/>
  <c r="I12" i="102" s="1"/>
  <c r="H17" i="13"/>
  <c r="J17" i="13" s="1"/>
  <c r="J12" i="96" s="1"/>
  <c r="F17" i="23"/>
  <c r="P12" i="102" s="1"/>
  <c r="H17" i="23"/>
  <c r="J17" i="23" s="1"/>
  <c r="Q12" i="96" s="1"/>
  <c r="K17" i="69"/>
  <c r="O17" i="69" s="1"/>
  <c r="I17" i="69"/>
  <c r="T12" i="102" s="1"/>
  <c r="AI12" i="102" s="1"/>
  <c r="J23" i="24"/>
  <c r="N23" i="24" s="1"/>
  <c r="AC15" i="96" s="1"/>
  <c r="H23" i="24"/>
  <c r="Y15" i="102" s="1"/>
  <c r="F23" i="100"/>
  <c r="V15" i="102" s="1"/>
  <c r="H23" i="100"/>
  <c r="J23" i="100" s="1"/>
  <c r="Y15" i="96" s="1"/>
  <c r="I23" i="70"/>
  <c r="U15" i="102" s="1"/>
  <c r="AJ15" i="102" s="1"/>
  <c r="K23" i="70"/>
  <c r="O23" i="70" s="1"/>
  <c r="K17" i="102"/>
  <c r="F29" i="97"/>
  <c r="H34" i="59"/>
  <c r="J34" i="59" s="1"/>
  <c r="AB21" i="96" s="1"/>
  <c r="F34" i="59"/>
  <c r="X21" i="102" s="1"/>
  <c r="H34" i="50"/>
  <c r="J34" i="50" s="1"/>
  <c r="AA21" i="96" s="1"/>
  <c r="F34" i="50"/>
  <c r="W21" i="102" s="1"/>
  <c r="F34" i="22"/>
  <c r="O21" i="102" s="1"/>
  <c r="H34" i="22"/>
  <c r="J34" i="22" s="1"/>
  <c r="P21" i="96" s="1"/>
  <c r="F29" i="23"/>
  <c r="P17" i="102"/>
  <c r="K27" i="95"/>
  <c r="I29" i="95"/>
  <c r="J13" i="104"/>
  <c r="H13" i="104"/>
  <c r="H13" i="97"/>
  <c r="F13" i="97"/>
  <c r="F31" i="4"/>
  <c r="H19" i="102" s="1"/>
  <c r="H31" i="4"/>
  <c r="J31" i="4" s="1"/>
  <c r="I19" i="96" s="1"/>
  <c r="H31" i="50"/>
  <c r="J31" i="50" s="1"/>
  <c r="AA19" i="96" s="1"/>
  <c r="F31" i="50"/>
  <c r="W19" i="102" s="1"/>
  <c r="J27" i="13"/>
  <c r="H29" i="13"/>
  <c r="H29" i="24"/>
  <c r="Y17" i="102"/>
  <c r="T25" i="41"/>
  <c r="AE12" i="102"/>
  <c r="AE20" i="102"/>
  <c r="D19" i="104" l="1"/>
  <c r="D19" i="16"/>
  <c r="D19" i="23"/>
  <c r="D19" i="100"/>
  <c r="D19" i="13"/>
  <c r="D19" i="105"/>
  <c r="D19" i="95"/>
  <c r="D19" i="69"/>
  <c r="D19" i="3"/>
  <c r="D19" i="68"/>
  <c r="H39" i="4"/>
  <c r="J39" i="4" s="1"/>
  <c r="I22" i="96" s="1"/>
  <c r="F39" i="4"/>
  <c r="H22" i="102" s="1"/>
  <c r="I39" i="95"/>
  <c r="K39" i="95" s="1"/>
  <c r="R22" i="96" s="1"/>
  <c r="G39" i="95"/>
  <c r="Q22" i="102" s="1"/>
  <c r="F18" i="4"/>
  <c r="H13" i="102" s="1"/>
  <c r="H18" i="4"/>
  <c r="J18" i="4" s="1"/>
  <c r="I13" i="96" s="1"/>
  <c r="D19" i="50"/>
  <c r="F18" i="50"/>
  <c r="W13" i="102" s="1"/>
  <c r="H18" i="50"/>
  <c r="J18" i="50" s="1"/>
  <c r="AA13" i="96" s="1"/>
  <c r="H18" i="99"/>
  <c r="S13" i="102" s="1"/>
  <c r="J18" i="99"/>
  <c r="N18" i="99" s="1"/>
  <c r="V13" i="96" s="1"/>
  <c r="G17" i="96"/>
  <c r="AM17" i="102"/>
  <c r="J29" i="62"/>
  <c r="D19" i="99"/>
  <c r="AB17" i="102"/>
  <c r="AC17" i="102" s="1"/>
  <c r="AF17" i="102"/>
  <c r="L10" i="23"/>
  <c r="N8" i="23"/>
  <c r="N10" i="23" s="1"/>
  <c r="H35" i="88"/>
  <c r="L10" i="97"/>
  <c r="N8" i="97"/>
  <c r="N10" i="97" s="1"/>
  <c r="F15" i="22"/>
  <c r="O11" i="102" s="1"/>
  <c r="H15" i="22"/>
  <c r="J15" i="22" s="1"/>
  <c r="P11" i="96" s="1"/>
  <c r="F15" i="50"/>
  <c r="W11" i="102" s="1"/>
  <c r="H15" i="50"/>
  <c r="J15" i="50" s="1"/>
  <c r="AA11" i="96" s="1"/>
  <c r="J15" i="101"/>
  <c r="N15" i="101" s="1"/>
  <c r="AD11" i="96" s="1"/>
  <c r="H15" i="101"/>
  <c r="Z11" i="102" s="1"/>
  <c r="I8" i="70"/>
  <c r="D10" i="70"/>
  <c r="K8" i="70"/>
  <c r="H8" i="24"/>
  <c r="J8" i="24"/>
  <c r="D10" i="24"/>
  <c r="J8" i="103"/>
  <c r="H8" i="103"/>
  <c r="H10" i="103" s="1"/>
  <c r="D10" i="103"/>
  <c r="U10" i="102"/>
  <c r="AJ10" i="102" s="1"/>
  <c r="J13" i="23"/>
  <c r="H24" i="103"/>
  <c r="J24" i="103"/>
  <c r="I24" i="95"/>
  <c r="K24" i="95" s="1"/>
  <c r="R16" i="96" s="1"/>
  <c r="G24" i="95"/>
  <c r="Q16" i="102" s="1"/>
  <c r="F24" i="4"/>
  <c r="H16" i="102" s="1"/>
  <c r="H24" i="4"/>
  <c r="J24" i="4" s="1"/>
  <c r="I16" i="96" s="1"/>
  <c r="M19" i="95"/>
  <c r="O13" i="95"/>
  <c r="O19" i="95" s="1"/>
  <c r="L19" i="13"/>
  <c r="N13" i="13"/>
  <c r="N19" i="13" s="1"/>
  <c r="N13" i="3"/>
  <c r="N19" i="3" s="1"/>
  <c r="L19" i="3"/>
  <c r="J19" i="72"/>
  <c r="D10" i="50"/>
  <c r="H8" i="50"/>
  <c r="F8" i="50"/>
  <c r="F8" i="23"/>
  <c r="D10" i="23"/>
  <c r="H8" i="23"/>
  <c r="P19" i="104"/>
  <c r="T13" i="24"/>
  <c r="T19" i="24" s="1"/>
  <c r="P19" i="24"/>
  <c r="E20" i="88"/>
  <c r="F20" i="88" s="1"/>
  <c r="E19" i="72"/>
  <c r="T19" i="72" s="1"/>
  <c r="H39" i="62"/>
  <c r="J39" i="62" s="1"/>
  <c r="F39" i="62"/>
  <c r="F22" i="102" s="1"/>
  <c r="I18" i="70"/>
  <c r="U13" i="102" s="1"/>
  <c r="AJ13" i="102" s="1"/>
  <c r="K18" i="70"/>
  <c r="O18" i="70" s="1"/>
  <c r="J15" i="68"/>
  <c r="N15" i="68" s="1"/>
  <c r="H15" i="68"/>
  <c r="R11" i="102" s="1"/>
  <c r="AH11" i="102" s="1"/>
  <c r="F8" i="3"/>
  <c r="H8" i="3"/>
  <c r="D10" i="3"/>
  <c r="H8" i="13"/>
  <c r="F8" i="13"/>
  <c r="D10" i="13"/>
  <c r="M17" i="96"/>
  <c r="AN17" i="102"/>
  <c r="M18" i="72" s="1"/>
  <c r="J29" i="19"/>
  <c r="J29" i="16"/>
  <c r="K17" i="96"/>
  <c r="P10" i="102"/>
  <c r="F24" i="59"/>
  <c r="X16" i="102" s="1"/>
  <c r="H24" i="59"/>
  <c r="J24" i="59" s="1"/>
  <c r="AB16" i="96" s="1"/>
  <c r="L19" i="100"/>
  <c r="N13" i="100"/>
  <c r="N19" i="100" s="1"/>
  <c r="P19" i="99"/>
  <c r="T13" i="99"/>
  <c r="T19" i="99" s="1"/>
  <c r="R17" i="96"/>
  <c r="K29" i="95"/>
  <c r="H39" i="105"/>
  <c r="F39" i="105"/>
  <c r="I39" i="69"/>
  <c r="T22" i="102" s="1"/>
  <c r="AI22" i="102" s="1"/>
  <c r="K39" i="69"/>
  <c r="O39" i="69" s="1"/>
  <c r="F39" i="16"/>
  <c r="J22" i="102" s="1"/>
  <c r="H39" i="16"/>
  <c r="J39" i="16" s="1"/>
  <c r="K22" i="96" s="1"/>
  <c r="D19" i="59"/>
  <c r="F18" i="59"/>
  <c r="X13" i="102" s="1"/>
  <c r="H18" i="59"/>
  <c r="J18" i="59" s="1"/>
  <c r="AB13" i="96" s="1"/>
  <c r="D19" i="62"/>
  <c r="H18" i="62"/>
  <c r="J18" i="62" s="1"/>
  <c r="F18" i="62"/>
  <c r="F13" i="102" s="1"/>
  <c r="F18" i="100"/>
  <c r="V13" i="102" s="1"/>
  <c r="H18" i="100"/>
  <c r="J18" i="100" s="1"/>
  <c r="Y13" i="96" s="1"/>
  <c r="W10" i="102"/>
  <c r="S10" i="102"/>
  <c r="S12" i="96"/>
  <c r="AO12" i="102"/>
  <c r="P13" i="72" s="1"/>
  <c r="L10" i="22"/>
  <c r="N8" i="22"/>
  <c r="N10" i="22" s="1"/>
  <c r="N8" i="13"/>
  <c r="N10" i="13" s="1"/>
  <c r="L10" i="13"/>
  <c r="L10" i="19"/>
  <c r="N8" i="19"/>
  <c r="N10" i="19" s="1"/>
  <c r="J15" i="99"/>
  <c r="N15" i="99" s="1"/>
  <c r="V11" i="96" s="1"/>
  <c r="H15" i="99"/>
  <c r="S11" i="102" s="1"/>
  <c r="H15" i="100"/>
  <c r="J15" i="100" s="1"/>
  <c r="Y11" i="96" s="1"/>
  <c r="F15" i="100"/>
  <c r="V11" i="102" s="1"/>
  <c r="K8" i="69"/>
  <c r="I8" i="69"/>
  <c r="D10" i="69"/>
  <c r="H8" i="4"/>
  <c r="D10" i="4"/>
  <c r="F8" i="4"/>
  <c r="K13" i="95"/>
  <c r="V10" i="102"/>
  <c r="O10" i="102"/>
  <c r="F24" i="50"/>
  <c r="W16" i="102" s="1"/>
  <c r="H24" i="50"/>
  <c r="J24" i="50" s="1"/>
  <c r="AA16" i="96" s="1"/>
  <c r="F24" i="62"/>
  <c r="F16" i="102" s="1"/>
  <c r="H24" i="62"/>
  <c r="J24" i="62" s="1"/>
  <c r="F24" i="3"/>
  <c r="G16" i="102" s="1"/>
  <c r="H24" i="3"/>
  <c r="J24" i="3" s="1"/>
  <c r="H16" i="96" s="1"/>
  <c r="J29" i="3"/>
  <c r="H17" i="96"/>
  <c r="O13" i="69"/>
  <c r="W19" i="96"/>
  <c r="AP19" i="102"/>
  <c r="S20" i="72" s="1"/>
  <c r="N13" i="68"/>
  <c r="X12" i="96"/>
  <c r="AQ12" i="102"/>
  <c r="V13" i="72" s="1"/>
  <c r="T13" i="101"/>
  <c r="T19" i="101" s="1"/>
  <c r="P19" i="101"/>
  <c r="N13" i="59"/>
  <c r="N19" i="59" s="1"/>
  <c r="L19" i="59"/>
  <c r="N13" i="62"/>
  <c r="N19" i="62" s="1"/>
  <c r="L19" i="62"/>
  <c r="J13" i="16"/>
  <c r="H39" i="68"/>
  <c r="R22" i="102" s="1"/>
  <c r="AH22" i="102" s="1"/>
  <c r="J39" i="68"/>
  <c r="N39" i="68" s="1"/>
  <c r="J39" i="24"/>
  <c r="N39" i="24" s="1"/>
  <c r="AC22" i="96" s="1"/>
  <c r="H39" i="24"/>
  <c r="Y22" i="102" s="1"/>
  <c r="J39" i="101"/>
  <c r="N39" i="101" s="1"/>
  <c r="AD22" i="96" s="1"/>
  <c r="H39" i="101"/>
  <c r="Z22" i="102" s="1"/>
  <c r="D19" i="19"/>
  <c r="F18" i="19"/>
  <c r="L13" i="102" s="1"/>
  <c r="AG13" i="102" s="1"/>
  <c r="H18" i="19"/>
  <c r="J18" i="19" s="1"/>
  <c r="I18" i="69"/>
  <c r="T13" i="102" s="1"/>
  <c r="AI13" i="102" s="1"/>
  <c r="K18" i="69"/>
  <c r="O18" i="69" s="1"/>
  <c r="L10" i="102"/>
  <c r="AG10" i="102" s="1"/>
  <c r="N8" i="59"/>
  <c r="N10" i="59" s="1"/>
  <c r="L10" i="59"/>
  <c r="M10" i="95"/>
  <c r="O8" i="95"/>
  <c r="O10" i="95" s="1"/>
  <c r="F15" i="4"/>
  <c r="H11" i="102" s="1"/>
  <c r="H15" i="4"/>
  <c r="J15" i="4" s="1"/>
  <c r="I11" i="96" s="1"/>
  <c r="G15" i="95"/>
  <c r="Q11" i="102" s="1"/>
  <c r="I15" i="95"/>
  <c r="K15" i="95" s="1"/>
  <c r="R11" i="96" s="1"/>
  <c r="H8" i="99"/>
  <c r="D10" i="99"/>
  <c r="J8" i="99"/>
  <c r="F24" i="13"/>
  <c r="I16" i="102" s="1"/>
  <c r="H24" i="13"/>
  <c r="J24" i="13" s="1"/>
  <c r="J16" i="96" s="1"/>
  <c r="H24" i="24"/>
  <c r="Y16" i="102" s="1"/>
  <c r="J24" i="24"/>
  <c r="N24" i="24" s="1"/>
  <c r="AC16" i="96" s="1"/>
  <c r="F39" i="13"/>
  <c r="I22" i="102" s="1"/>
  <c r="H39" i="13"/>
  <c r="J39" i="13" s="1"/>
  <c r="J22" i="96" s="1"/>
  <c r="D19" i="24"/>
  <c r="H18" i="24"/>
  <c r="Y13" i="102" s="1"/>
  <c r="J18" i="24"/>
  <c r="N18" i="24" s="1"/>
  <c r="AC13" i="96" s="1"/>
  <c r="J13" i="50"/>
  <c r="AC17" i="96"/>
  <c r="N29" i="24"/>
  <c r="N13" i="99"/>
  <c r="T8" i="24"/>
  <c r="T10" i="24" s="1"/>
  <c r="P10" i="24"/>
  <c r="N8" i="4"/>
  <c r="N10" i="4" s="1"/>
  <c r="L10" i="4"/>
  <c r="K15" i="69"/>
  <c r="O15" i="69" s="1"/>
  <c r="I15" i="69"/>
  <c r="T11" i="102" s="1"/>
  <c r="AI11" i="102" s="1"/>
  <c r="H11" i="88"/>
  <c r="Q10" i="102"/>
  <c r="Y17" i="96"/>
  <c r="J29" i="100"/>
  <c r="X19" i="96"/>
  <c r="AQ19" i="102"/>
  <c r="V20" i="72" s="1"/>
  <c r="AN21" i="102"/>
  <c r="M22" i="72" s="1"/>
  <c r="M21" i="96"/>
  <c r="F24" i="19"/>
  <c r="L16" i="102" s="1"/>
  <c r="AG16" i="102" s="1"/>
  <c r="H24" i="19"/>
  <c r="J24" i="19" s="1"/>
  <c r="H24" i="16"/>
  <c r="J24" i="16" s="1"/>
  <c r="K16" i="96" s="1"/>
  <c r="F24" i="16"/>
  <c r="J16" i="102" s="1"/>
  <c r="T10" i="102"/>
  <c r="AI10" i="102" s="1"/>
  <c r="R10" i="102"/>
  <c r="AH10" i="102" s="1"/>
  <c r="P19" i="103"/>
  <c r="Q25" i="41"/>
  <c r="H39" i="3"/>
  <c r="J39" i="3" s="1"/>
  <c r="H22" i="96" s="1"/>
  <c r="F39" i="3"/>
  <c r="G22" i="102" s="1"/>
  <c r="J39" i="104"/>
  <c r="H39" i="104"/>
  <c r="F39" i="22"/>
  <c r="O22" i="102" s="1"/>
  <c r="H39" i="22"/>
  <c r="J39" i="22" s="1"/>
  <c r="P22" i="96" s="1"/>
  <c r="H18" i="103"/>
  <c r="J18" i="103"/>
  <c r="J18" i="101"/>
  <c r="N18" i="101" s="1"/>
  <c r="AD13" i="96" s="1"/>
  <c r="H18" i="101"/>
  <c r="Z13" i="102" s="1"/>
  <c r="H18" i="104"/>
  <c r="J18" i="104"/>
  <c r="D19" i="4"/>
  <c r="AB15" i="102"/>
  <c r="AC15" i="102" s="1"/>
  <c r="AF15" i="102"/>
  <c r="AP15" i="102"/>
  <c r="S16" i="72" s="1"/>
  <c r="W15" i="96"/>
  <c r="T8" i="99"/>
  <c r="T10" i="99" s="1"/>
  <c r="P10" i="99"/>
  <c r="T8" i="68"/>
  <c r="T10" i="68" s="1"/>
  <c r="P10" i="68"/>
  <c r="P10" i="103"/>
  <c r="I15" i="70"/>
  <c r="U11" i="102" s="1"/>
  <c r="AJ11" i="102" s="1"/>
  <c r="K15" i="70"/>
  <c r="O15" i="70" s="1"/>
  <c r="J15" i="24"/>
  <c r="N15" i="24" s="1"/>
  <c r="AC11" i="96" s="1"/>
  <c r="H15" i="24"/>
  <c r="Y11" i="102" s="1"/>
  <c r="J15" i="104"/>
  <c r="H15" i="104"/>
  <c r="AP17" i="102"/>
  <c r="S18" i="72" s="1"/>
  <c r="W17" i="96"/>
  <c r="O29" i="69"/>
  <c r="D10" i="105"/>
  <c r="F8" i="105"/>
  <c r="F10" i="105" s="1"/>
  <c r="H8" i="105"/>
  <c r="H10" i="105" s="1"/>
  <c r="G8" i="95"/>
  <c r="I8" i="95"/>
  <c r="D10" i="95"/>
  <c r="H8" i="59"/>
  <c r="D10" i="59"/>
  <c r="F8" i="59"/>
  <c r="J13" i="100"/>
  <c r="J13" i="22"/>
  <c r="I10" i="102"/>
  <c r="J24" i="104"/>
  <c r="H24" i="104"/>
  <c r="J24" i="68"/>
  <c r="N24" i="68" s="1"/>
  <c r="H24" i="68"/>
  <c r="R16" i="102" s="1"/>
  <c r="AH16" i="102" s="1"/>
  <c r="I24" i="69"/>
  <c r="T16" i="102" s="1"/>
  <c r="AI16" i="102" s="1"/>
  <c r="K24" i="69"/>
  <c r="O24" i="69" s="1"/>
  <c r="AD17" i="96"/>
  <c r="N29" i="101"/>
  <c r="X10" i="102"/>
  <c r="N29" i="99"/>
  <c r="V17" i="96"/>
  <c r="N13" i="50"/>
  <c r="N19" i="50" s="1"/>
  <c r="L19" i="50"/>
  <c r="L19" i="22"/>
  <c r="N13" i="22"/>
  <c r="N19" i="22" s="1"/>
  <c r="T13" i="68"/>
  <c r="T19" i="68" s="1"/>
  <c r="P19" i="68"/>
  <c r="J10" i="102"/>
  <c r="M15" i="96"/>
  <c r="AN15" i="102"/>
  <c r="M16" i="72" s="1"/>
  <c r="L10" i="16"/>
  <c r="N8" i="16"/>
  <c r="N10" i="16" s="1"/>
  <c r="J29" i="22"/>
  <c r="P17" i="96"/>
  <c r="F24" i="97"/>
  <c r="K16" i="102" s="1"/>
  <c r="H24" i="97"/>
  <c r="J24" i="97" s="1"/>
  <c r="L16" i="96" s="1"/>
  <c r="J13" i="62"/>
  <c r="M19" i="96"/>
  <c r="AN19" i="102"/>
  <c r="M20" i="72" s="1"/>
  <c r="Q19" i="70"/>
  <c r="U13" i="70"/>
  <c r="U19" i="70" s="1"/>
  <c r="F15" i="3"/>
  <c r="G11" i="102" s="1"/>
  <c r="H15" i="3"/>
  <c r="J15" i="3" s="1"/>
  <c r="H11" i="96" s="1"/>
  <c r="K10" i="102"/>
  <c r="F39" i="23"/>
  <c r="P22" i="102" s="1"/>
  <c r="H39" i="23"/>
  <c r="J39" i="23" s="1"/>
  <c r="Q22" i="96" s="1"/>
  <c r="I39" i="70"/>
  <c r="U22" i="102" s="1"/>
  <c r="AJ22" i="102" s="1"/>
  <c r="K39" i="70"/>
  <c r="O39" i="70" s="1"/>
  <c r="H39" i="50"/>
  <c r="J39" i="50" s="1"/>
  <c r="AA22" i="96" s="1"/>
  <c r="F39" i="50"/>
  <c r="W22" i="102" s="1"/>
  <c r="G18" i="95"/>
  <c r="Q13" i="102" s="1"/>
  <c r="I18" i="95"/>
  <c r="K18" i="95" s="1"/>
  <c r="R13" i="96" s="1"/>
  <c r="J18" i="68"/>
  <c r="N18" i="68" s="1"/>
  <c r="H18" i="68"/>
  <c r="R13" i="102" s="1"/>
  <c r="AH13" i="102" s="1"/>
  <c r="H18" i="105"/>
  <c r="F18" i="105"/>
  <c r="AB17" i="96"/>
  <c r="J29" i="59"/>
  <c r="J13" i="4"/>
  <c r="AM15" i="102"/>
  <c r="G15" i="96"/>
  <c r="U8" i="69"/>
  <c r="U10" i="69" s="1"/>
  <c r="Q10" i="69"/>
  <c r="U8" i="70"/>
  <c r="U10" i="70" s="1"/>
  <c r="Q10" i="70"/>
  <c r="T22" i="109"/>
  <c r="H15" i="59"/>
  <c r="J15" i="59" s="1"/>
  <c r="AB11" i="96" s="1"/>
  <c r="F15" i="59"/>
  <c r="X11" i="102" s="1"/>
  <c r="H15" i="13"/>
  <c r="J15" i="13" s="1"/>
  <c r="J11" i="96" s="1"/>
  <c r="F15" i="13"/>
  <c r="I11" i="102" s="1"/>
  <c r="H15" i="62"/>
  <c r="J15" i="62" s="1"/>
  <c r="F15" i="62"/>
  <c r="F11" i="102" s="1"/>
  <c r="D10" i="100"/>
  <c r="H8" i="100"/>
  <c r="F8" i="100"/>
  <c r="D10" i="97"/>
  <c r="H8" i="97"/>
  <c r="F8" i="97"/>
  <c r="H8" i="19"/>
  <c r="D10" i="19"/>
  <c r="F8" i="19"/>
  <c r="N13" i="24"/>
  <c r="D19" i="101"/>
  <c r="J13" i="13"/>
  <c r="F24" i="22"/>
  <c r="O16" i="102" s="1"/>
  <c r="H24" i="22"/>
  <c r="J24" i="22" s="1"/>
  <c r="P16" i="96" s="1"/>
  <c r="F24" i="105"/>
  <c r="H24" i="105"/>
  <c r="F24" i="100"/>
  <c r="V16" i="102" s="1"/>
  <c r="H24" i="100"/>
  <c r="J24" i="100" s="1"/>
  <c r="Y16" i="96" s="1"/>
  <c r="G10" i="102"/>
  <c r="AA17" i="96"/>
  <c r="J29" i="50"/>
  <c r="J13" i="59"/>
  <c r="L19" i="19"/>
  <c r="N13" i="19"/>
  <c r="N19" i="19" s="1"/>
  <c r="N13" i="4"/>
  <c r="N19" i="4" s="1"/>
  <c r="L19" i="4"/>
  <c r="J29" i="23"/>
  <c r="Q17" i="96"/>
  <c r="F15" i="19"/>
  <c r="L11" i="102" s="1"/>
  <c r="AG11" i="102" s="1"/>
  <c r="H15" i="19"/>
  <c r="J15" i="19" s="1"/>
  <c r="O13" i="70"/>
  <c r="N8" i="62"/>
  <c r="N10" i="62" s="1"/>
  <c r="L10" i="62"/>
  <c r="J13" i="97"/>
  <c r="AP12" i="102"/>
  <c r="S13" i="72" s="1"/>
  <c r="W12" i="96"/>
  <c r="H39" i="103"/>
  <c r="J39" i="103"/>
  <c r="J39" i="99"/>
  <c r="N39" i="99" s="1"/>
  <c r="V22" i="96" s="1"/>
  <c r="H39" i="99"/>
  <c r="S22" i="102" s="1"/>
  <c r="F39" i="97"/>
  <c r="K22" i="102" s="1"/>
  <c r="H39" i="97"/>
  <c r="J39" i="97" s="1"/>
  <c r="L22" i="96" s="1"/>
  <c r="H18" i="97"/>
  <c r="J18" i="97" s="1"/>
  <c r="L13" i="96" s="1"/>
  <c r="F18" i="97"/>
  <c r="K13" i="102" s="1"/>
  <c r="D19" i="22"/>
  <c r="F18" i="22"/>
  <c r="O13" i="102" s="1"/>
  <c r="H18" i="22"/>
  <c r="J18" i="22" s="1"/>
  <c r="P13" i="96" s="1"/>
  <c r="AM12" i="102"/>
  <c r="G12" i="96"/>
  <c r="H10" i="102"/>
  <c r="P10" i="101"/>
  <c r="T8" i="101"/>
  <c r="T10" i="101" s="1"/>
  <c r="P10" i="104"/>
  <c r="N8" i="100"/>
  <c r="N10" i="100" s="1"/>
  <c r="L10" i="100"/>
  <c r="F15" i="105"/>
  <c r="H15" i="105"/>
  <c r="H15" i="16"/>
  <c r="J15" i="16" s="1"/>
  <c r="K11" i="96" s="1"/>
  <c r="F15" i="16"/>
  <c r="J11" i="102" s="1"/>
  <c r="H8" i="62"/>
  <c r="F8" i="62"/>
  <c r="D10" i="62"/>
  <c r="D10" i="68"/>
  <c r="J8" i="68"/>
  <c r="H8" i="68"/>
  <c r="H8" i="104"/>
  <c r="H10" i="104" s="1"/>
  <c r="J8" i="104"/>
  <c r="D10" i="104"/>
  <c r="O29" i="70"/>
  <c r="X17" i="96"/>
  <c r="AQ17" i="102"/>
  <c r="V18" i="72" s="1"/>
  <c r="Y10" i="102"/>
  <c r="G21" i="96"/>
  <c r="AM21" i="102"/>
  <c r="AO19" i="102"/>
  <c r="P20" i="72" s="1"/>
  <c r="S19" i="96"/>
  <c r="N13" i="101"/>
  <c r="I24" i="70"/>
  <c r="U16" i="102" s="1"/>
  <c r="AJ16" i="102" s="1"/>
  <c r="K24" i="70"/>
  <c r="O24" i="70" s="1"/>
  <c r="H24" i="99"/>
  <c r="S16" i="102" s="1"/>
  <c r="J24" i="99"/>
  <c r="N24" i="99" s="1"/>
  <c r="V16" i="96" s="1"/>
  <c r="G19" i="96"/>
  <c r="AM19" i="102"/>
  <c r="J13" i="3"/>
  <c r="W21" i="96"/>
  <c r="AP21" i="102"/>
  <c r="S22" i="72" s="1"/>
  <c r="AO15" i="102"/>
  <c r="P16" i="72" s="1"/>
  <c r="S15" i="96"/>
  <c r="L19" i="16"/>
  <c r="N13" i="16"/>
  <c r="N19" i="16" s="1"/>
  <c r="L19" i="105"/>
  <c r="H18" i="3"/>
  <c r="J18" i="3" s="1"/>
  <c r="H13" i="96" s="1"/>
  <c r="F18" i="3"/>
  <c r="G13" i="102" s="1"/>
  <c r="AE9" i="102"/>
  <c r="J29" i="13"/>
  <c r="J17" i="96"/>
  <c r="AQ15" i="102"/>
  <c r="V16" i="72" s="1"/>
  <c r="X15" i="96"/>
  <c r="H39" i="59"/>
  <c r="J39" i="59" s="1"/>
  <c r="AB22" i="96" s="1"/>
  <c r="F39" i="59"/>
  <c r="X22" i="102" s="1"/>
  <c r="H39" i="100"/>
  <c r="J39" i="100" s="1"/>
  <c r="Y22" i="96" s="1"/>
  <c r="F39" i="100"/>
  <c r="V22" i="102" s="1"/>
  <c r="F39" i="19"/>
  <c r="L22" i="102" s="1"/>
  <c r="AG22" i="102" s="1"/>
  <c r="H39" i="19"/>
  <c r="J39" i="19" s="1"/>
  <c r="F18" i="23"/>
  <c r="P13" i="102" s="1"/>
  <c r="H18" i="23"/>
  <c r="J18" i="23" s="1"/>
  <c r="Q13" i="96" s="1"/>
  <c r="H18" i="16"/>
  <c r="J18" i="16" s="1"/>
  <c r="K13" i="96" s="1"/>
  <c r="F18" i="16"/>
  <c r="J13" i="102" s="1"/>
  <c r="F18" i="13"/>
  <c r="I13" i="102" s="1"/>
  <c r="H18" i="13"/>
  <c r="J18" i="13" s="1"/>
  <c r="J13" i="96" s="1"/>
  <c r="AF12" i="102"/>
  <c r="AB12" i="102"/>
  <c r="AC12" i="102" s="1"/>
  <c r="J29" i="97"/>
  <c r="L17" i="96"/>
  <c r="J13" i="19"/>
  <c r="M12" i="96"/>
  <c r="AN12" i="102"/>
  <c r="M13" i="72" s="1"/>
  <c r="L10" i="3"/>
  <c r="N8" i="3"/>
  <c r="N10" i="3" s="1"/>
  <c r="L10" i="50"/>
  <c r="N8" i="50"/>
  <c r="N10" i="50" s="1"/>
  <c r="H15" i="23"/>
  <c r="J15" i="23" s="1"/>
  <c r="Q11" i="96" s="1"/>
  <c r="F15" i="23"/>
  <c r="P11" i="102" s="1"/>
  <c r="H15" i="103"/>
  <c r="J15" i="103"/>
  <c r="F15" i="97"/>
  <c r="K11" i="102" s="1"/>
  <c r="H15" i="97"/>
  <c r="J15" i="97" s="1"/>
  <c r="L11" i="96" s="1"/>
  <c r="H8" i="101"/>
  <c r="J8" i="101"/>
  <c r="D10" i="101"/>
  <c r="H8" i="22"/>
  <c r="D10" i="22"/>
  <c r="F8" i="22"/>
  <c r="D10" i="16"/>
  <c r="F8" i="16"/>
  <c r="H8" i="16"/>
  <c r="D19" i="70"/>
  <c r="AB21" i="102"/>
  <c r="AF21" i="102"/>
  <c r="S17" i="96"/>
  <c r="N29" i="68"/>
  <c r="AO17" i="102"/>
  <c r="P18" i="72" s="1"/>
  <c r="Z10" i="102"/>
  <c r="AO21" i="102"/>
  <c r="P22" i="72" s="1"/>
  <c r="S21" i="96"/>
  <c r="H24" i="101"/>
  <c r="Z16" i="102" s="1"/>
  <c r="J24" i="101"/>
  <c r="N24" i="101" s="1"/>
  <c r="AD16" i="96" s="1"/>
  <c r="H24" i="23"/>
  <c r="J24" i="23" s="1"/>
  <c r="Q16" i="96" s="1"/>
  <c r="F24" i="23"/>
  <c r="P16" i="102" s="1"/>
  <c r="AF19" i="102"/>
  <c r="AB19" i="102"/>
  <c r="AC19" i="102" s="1"/>
  <c r="F10" i="102"/>
  <c r="I17" i="96"/>
  <c r="J29" i="4"/>
  <c r="AQ21" i="102"/>
  <c r="V22" i="72" s="1"/>
  <c r="X21" i="96"/>
  <c r="D19" i="103"/>
  <c r="Q16" i="39"/>
  <c r="L19" i="23"/>
  <c r="N13" i="23"/>
  <c r="N19" i="23" s="1"/>
  <c r="Q19" i="69"/>
  <c r="U13" i="69"/>
  <c r="U19" i="69" s="1"/>
  <c r="N13" i="97"/>
  <c r="N19" i="97" s="1"/>
  <c r="L19" i="97"/>
  <c r="K19" i="70" l="1"/>
  <c r="F19" i="62"/>
  <c r="J19" i="104"/>
  <c r="H19" i="103"/>
  <c r="F19" i="4"/>
  <c r="H19" i="104"/>
  <c r="G19" i="95"/>
  <c r="H19" i="24"/>
  <c r="H19" i="105"/>
  <c r="H19" i="97"/>
  <c r="H19" i="50"/>
  <c r="H19" i="59"/>
  <c r="I19" i="95"/>
  <c r="J19" i="101"/>
  <c r="H19" i="101"/>
  <c r="J22" i="72"/>
  <c r="H19" i="19"/>
  <c r="W19" i="72"/>
  <c r="K19" i="72"/>
  <c r="Q19" i="72"/>
  <c r="AM11" i="102"/>
  <c r="G11" i="96"/>
  <c r="AQ22" i="102"/>
  <c r="V23" i="72" s="1"/>
  <c r="X22" i="96"/>
  <c r="H19" i="22"/>
  <c r="H10" i="59"/>
  <c r="J8" i="59"/>
  <c r="AM16" i="102"/>
  <c r="G16" i="96"/>
  <c r="AM22" i="102"/>
  <c r="G22" i="96"/>
  <c r="J8" i="23"/>
  <c r="H10" i="23"/>
  <c r="K10" i="70"/>
  <c r="O8" i="70"/>
  <c r="E18" i="72"/>
  <c r="N18" i="72" s="1"/>
  <c r="E19" i="88"/>
  <c r="F19" i="88" s="1"/>
  <c r="D33" i="99"/>
  <c r="D33" i="70"/>
  <c r="D33" i="101"/>
  <c r="D33" i="23"/>
  <c r="D33" i="105"/>
  <c r="D33" i="97"/>
  <c r="D33" i="13"/>
  <c r="D33" i="69"/>
  <c r="D33" i="22"/>
  <c r="D33" i="104"/>
  <c r="D33" i="103"/>
  <c r="D33" i="3"/>
  <c r="D33" i="24"/>
  <c r="D33" i="100"/>
  <c r="D33" i="19"/>
  <c r="D33" i="59"/>
  <c r="D33" i="50"/>
  <c r="D22" i="88"/>
  <c r="H22" i="88" s="1"/>
  <c r="D21" i="72"/>
  <c r="D33" i="62"/>
  <c r="D33" i="95"/>
  <c r="D33" i="16"/>
  <c r="D33" i="68"/>
  <c r="D33" i="4"/>
  <c r="J19" i="19"/>
  <c r="AN10" i="102"/>
  <c r="M11" i="72" s="1"/>
  <c r="M10" i="96"/>
  <c r="AQ16" i="102"/>
  <c r="V17" i="72" s="1"/>
  <c r="X16" i="96"/>
  <c r="R9" i="102"/>
  <c r="H10" i="68"/>
  <c r="F19" i="3"/>
  <c r="H19" i="13"/>
  <c r="K9" i="102"/>
  <c r="F10" i="97"/>
  <c r="F19" i="16"/>
  <c r="P10" i="96"/>
  <c r="J19" i="22"/>
  <c r="E16" i="72"/>
  <c r="N16" i="72" s="1"/>
  <c r="E17" i="88"/>
  <c r="F17" i="88" s="1"/>
  <c r="AA10" i="96"/>
  <c r="J19" i="50"/>
  <c r="AO22" i="102"/>
  <c r="P23" i="72" s="1"/>
  <c r="S22" i="96"/>
  <c r="AF16" i="102"/>
  <c r="AB16" i="102"/>
  <c r="AC16" i="102" s="1"/>
  <c r="R10" i="96"/>
  <c r="K19" i="95"/>
  <c r="H10" i="3"/>
  <c r="J8" i="3"/>
  <c r="J16" i="72"/>
  <c r="W13" i="96"/>
  <c r="AP13" i="102"/>
  <c r="S14" i="72" s="1"/>
  <c r="AB10" i="102"/>
  <c r="AC10" i="102" s="1"/>
  <c r="AF10" i="102"/>
  <c r="N8" i="101"/>
  <c r="J10" i="101"/>
  <c r="J19" i="13"/>
  <c r="J10" i="96"/>
  <c r="S16" i="96"/>
  <c r="AO16" i="102"/>
  <c r="P17" i="72" s="1"/>
  <c r="H10" i="16"/>
  <c r="J8" i="16"/>
  <c r="G10" i="95"/>
  <c r="Q9" i="102"/>
  <c r="J10" i="99"/>
  <c r="N8" i="99"/>
  <c r="F10" i="50"/>
  <c r="W9" i="102"/>
  <c r="F19" i="105"/>
  <c r="H10" i="97"/>
  <c r="J8" i="97"/>
  <c r="I10" i="95"/>
  <c r="K8" i="95"/>
  <c r="K19" i="69"/>
  <c r="AB13" i="102"/>
  <c r="AC13" i="102" s="1"/>
  <c r="AF13" i="102"/>
  <c r="G9" i="102"/>
  <c r="F10" i="3"/>
  <c r="P9" i="102"/>
  <c r="F10" i="23"/>
  <c r="U9" i="102"/>
  <c r="I10" i="70"/>
  <c r="AO13" i="102"/>
  <c r="P14" i="72" s="1"/>
  <c r="S13" i="96"/>
  <c r="W10" i="96"/>
  <c r="O19" i="69"/>
  <c r="AP10" i="102"/>
  <c r="S11" i="72" s="1"/>
  <c r="AM13" i="102"/>
  <c r="G13" i="96"/>
  <c r="J20" i="72"/>
  <c r="J9" i="102"/>
  <c r="F10" i="16"/>
  <c r="E14" i="88"/>
  <c r="F14" i="88" s="1"/>
  <c r="E13" i="72"/>
  <c r="Q13" i="72" s="1"/>
  <c r="AN22" i="102"/>
  <c r="M23" i="72" s="1"/>
  <c r="M22" i="96"/>
  <c r="J19" i="3"/>
  <c r="H10" i="96"/>
  <c r="N19" i="101"/>
  <c r="AD10" i="96"/>
  <c r="X10" i="96"/>
  <c r="O19" i="70"/>
  <c r="AQ10" i="102"/>
  <c r="V11" i="72" s="1"/>
  <c r="J19" i="24"/>
  <c r="V9" i="102"/>
  <c r="F10" i="100"/>
  <c r="H19" i="4"/>
  <c r="F19" i="97"/>
  <c r="H19" i="100"/>
  <c r="J19" i="99"/>
  <c r="H19" i="16"/>
  <c r="F19" i="22"/>
  <c r="H10" i="4"/>
  <c r="J8" i="4"/>
  <c r="H19" i="99"/>
  <c r="AO11" i="102"/>
  <c r="P12" i="72" s="1"/>
  <c r="S11" i="96"/>
  <c r="J8" i="50"/>
  <c r="H10" i="50"/>
  <c r="J10" i="103"/>
  <c r="J10" i="68"/>
  <c r="N8" i="68"/>
  <c r="M16" i="96"/>
  <c r="AN16" i="102"/>
  <c r="M17" i="72" s="1"/>
  <c r="M13" i="96"/>
  <c r="AN13" i="102"/>
  <c r="M14" i="72" s="1"/>
  <c r="F10" i="4"/>
  <c r="H9" i="102"/>
  <c r="W22" i="96"/>
  <c r="AP22" i="102"/>
  <c r="S23" i="72" s="1"/>
  <c r="E21" i="88"/>
  <c r="F21" i="88" s="1"/>
  <c r="E20" i="72"/>
  <c r="Z9" i="102"/>
  <c r="H10" i="101"/>
  <c r="H19" i="3"/>
  <c r="F19" i="59"/>
  <c r="Y10" i="96"/>
  <c r="J19" i="100"/>
  <c r="J13" i="72"/>
  <c r="F9" i="102"/>
  <c r="F10" i="62"/>
  <c r="AN11" i="102"/>
  <c r="M12" i="72" s="1"/>
  <c r="M11" i="96"/>
  <c r="N19" i="24"/>
  <c r="AC10" i="96"/>
  <c r="J8" i="100"/>
  <c r="H10" i="100"/>
  <c r="J19" i="4"/>
  <c r="I10" i="96"/>
  <c r="F19" i="13"/>
  <c r="H19" i="68"/>
  <c r="N19" i="99"/>
  <c r="V10" i="96"/>
  <c r="S9" i="102"/>
  <c r="H10" i="99"/>
  <c r="K10" i="96"/>
  <c r="J19" i="16"/>
  <c r="X13" i="96"/>
  <c r="AQ13" i="102"/>
  <c r="V14" i="72" s="1"/>
  <c r="H19" i="23"/>
  <c r="H10" i="62"/>
  <c r="J8" i="62"/>
  <c r="L10" i="96"/>
  <c r="J19" i="97"/>
  <c r="J19" i="59"/>
  <c r="AB10" i="96"/>
  <c r="F10" i="19"/>
  <c r="L9" i="102"/>
  <c r="H19" i="62"/>
  <c r="X9" i="102"/>
  <c r="F10" i="59"/>
  <c r="X11" i="96"/>
  <c r="AQ11" i="102"/>
  <c r="V12" i="72" s="1"/>
  <c r="I19" i="69"/>
  <c r="F19" i="19"/>
  <c r="J19" i="68"/>
  <c r="I10" i="69"/>
  <c r="T9" i="102"/>
  <c r="F19" i="50"/>
  <c r="F19" i="23"/>
  <c r="F10" i="13"/>
  <c r="I9" i="102"/>
  <c r="Q10" i="96"/>
  <c r="J19" i="23"/>
  <c r="N8" i="24"/>
  <c r="J10" i="24"/>
  <c r="J8" i="22"/>
  <c r="H10" i="22"/>
  <c r="J8" i="19"/>
  <c r="H10" i="19"/>
  <c r="F10" i="22"/>
  <c r="O9" i="102"/>
  <c r="J19" i="103"/>
  <c r="J10" i="104"/>
  <c r="AB11" i="102"/>
  <c r="AC11" i="102" s="1"/>
  <c r="AF11" i="102"/>
  <c r="G10" i="96"/>
  <c r="AM10" i="102"/>
  <c r="J19" i="62"/>
  <c r="AP16" i="102"/>
  <c r="S17" i="72" s="1"/>
  <c r="W16" i="96"/>
  <c r="N19" i="72"/>
  <c r="W11" i="96"/>
  <c r="AP11" i="102"/>
  <c r="S12" i="72" s="1"/>
  <c r="AO10" i="102"/>
  <c r="P11" i="72" s="1"/>
  <c r="N19" i="68"/>
  <c r="S10" i="96"/>
  <c r="F19" i="100"/>
  <c r="K10" i="69"/>
  <c r="O8" i="69"/>
  <c r="J8" i="13"/>
  <c r="H10" i="13"/>
  <c r="AF22" i="102"/>
  <c r="AB22" i="102"/>
  <c r="AC22" i="102" s="1"/>
  <c r="I19" i="70"/>
  <c r="Y9" i="102"/>
  <c r="H10" i="24"/>
  <c r="J18" i="72"/>
  <c r="W16" i="72" l="1"/>
  <c r="T16" i="72"/>
  <c r="W13" i="72"/>
  <c r="K13" i="72"/>
  <c r="N13" i="72"/>
  <c r="T13" i="72"/>
  <c r="F33" i="97"/>
  <c r="D35" i="97"/>
  <c r="H33" i="97"/>
  <c r="J10" i="22"/>
  <c r="P9" i="96"/>
  <c r="AQ9" i="102"/>
  <c r="X9" i="96"/>
  <c r="O10" i="70"/>
  <c r="J12" i="72"/>
  <c r="AA9" i="96"/>
  <c r="J10" i="50"/>
  <c r="L9" i="96"/>
  <c r="J10" i="97"/>
  <c r="N10" i="99"/>
  <c r="V9" i="96"/>
  <c r="E18" i="88"/>
  <c r="F18" i="88" s="1"/>
  <c r="E17" i="72"/>
  <c r="Q17" i="72" s="1"/>
  <c r="Q16" i="72"/>
  <c r="F33" i="62"/>
  <c r="H33" i="62"/>
  <c r="D35" i="62"/>
  <c r="D35" i="3"/>
  <c r="F33" i="3"/>
  <c r="H33" i="3"/>
  <c r="D35" i="23"/>
  <c r="H33" i="23"/>
  <c r="F33" i="23"/>
  <c r="K18" i="72"/>
  <c r="AP9" i="102"/>
  <c r="W9" i="96"/>
  <c r="O10" i="69"/>
  <c r="E12" i="72"/>
  <c r="Q12" i="72" s="1"/>
  <c r="E13" i="88"/>
  <c r="F13" i="88" s="1"/>
  <c r="AI9" i="102"/>
  <c r="J17" i="72"/>
  <c r="T18" i="72"/>
  <c r="H33" i="103"/>
  <c r="H35" i="103" s="1"/>
  <c r="J33" i="103"/>
  <c r="J35" i="103" s="1"/>
  <c r="D35" i="103"/>
  <c r="H33" i="101"/>
  <c r="D35" i="101"/>
  <c r="J33" i="101"/>
  <c r="I33" i="95"/>
  <c r="D35" i="95"/>
  <c r="G33" i="95"/>
  <c r="J9" i="96"/>
  <c r="J10" i="13"/>
  <c r="AC9" i="96"/>
  <c r="N10" i="24"/>
  <c r="N10" i="68"/>
  <c r="AO9" i="102"/>
  <c r="S9" i="96"/>
  <c r="K20" i="72"/>
  <c r="J14" i="72"/>
  <c r="AH9" i="102"/>
  <c r="H33" i="104"/>
  <c r="H35" i="104" s="1"/>
  <c r="D35" i="104"/>
  <c r="J33" i="104"/>
  <c r="J35" i="104" s="1"/>
  <c r="I33" i="70"/>
  <c r="K33" i="70"/>
  <c r="D35" i="70"/>
  <c r="J10" i="23"/>
  <c r="Q9" i="96"/>
  <c r="AB9" i="96"/>
  <c r="J10" i="59"/>
  <c r="AB9" i="102"/>
  <c r="AF9" i="102"/>
  <c r="E14" i="72"/>
  <c r="Q14" i="72" s="1"/>
  <c r="E15" i="88"/>
  <c r="F15" i="88" s="1"/>
  <c r="K16" i="72"/>
  <c r="D35" i="50"/>
  <c r="H33" i="50"/>
  <c r="F33" i="50"/>
  <c r="D35" i="22"/>
  <c r="H33" i="22"/>
  <c r="F33" i="22"/>
  <c r="J33" i="99"/>
  <c r="H33" i="99"/>
  <c r="D35" i="99"/>
  <c r="J23" i="72"/>
  <c r="E12" i="88"/>
  <c r="F12" i="88" s="1"/>
  <c r="E11" i="72"/>
  <c r="H33" i="105"/>
  <c r="H35" i="105" s="1"/>
  <c r="F33" i="105"/>
  <c r="F35" i="105" s="1"/>
  <c r="D35" i="105"/>
  <c r="AM9" i="102"/>
  <c r="J10" i="62"/>
  <c r="G9" i="96"/>
  <c r="I9" i="96"/>
  <c r="J10" i="4"/>
  <c r="N20" i="72"/>
  <c r="W18" i="72"/>
  <c r="N10" i="101"/>
  <c r="AD9" i="96"/>
  <c r="J10" i="3"/>
  <c r="H9" i="96"/>
  <c r="F33" i="4"/>
  <c r="H33" i="4"/>
  <c r="D35" i="4"/>
  <c r="D35" i="59"/>
  <c r="F33" i="59"/>
  <c r="H33" i="59"/>
  <c r="I33" i="69"/>
  <c r="K33" i="69"/>
  <c r="D35" i="69"/>
  <c r="D35" i="16"/>
  <c r="H33" i="16"/>
  <c r="F33" i="16"/>
  <c r="D35" i="100"/>
  <c r="F33" i="100"/>
  <c r="H33" i="100"/>
  <c r="T20" i="72"/>
  <c r="D35" i="24"/>
  <c r="J33" i="24"/>
  <c r="H33" i="24"/>
  <c r="Q20" i="72"/>
  <c r="D22" i="13"/>
  <c r="D22" i="23"/>
  <c r="D22" i="24"/>
  <c r="D22" i="4"/>
  <c r="D22" i="59"/>
  <c r="D22" i="104"/>
  <c r="D22" i="50"/>
  <c r="D22" i="68"/>
  <c r="D22" i="95"/>
  <c r="D22" i="105"/>
  <c r="D22" i="97"/>
  <c r="D16" i="88"/>
  <c r="D22" i="100"/>
  <c r="D22" i="101"/>
  <c r="D22" i="70"/>
  <c r="D22" i="22"/>
  <c r="D22" i="99"/>
  <c r="D22" i="19"/>
  <c r="D22" i="62"/>
  <c r="D22" i="3"/>
  <c r="D22" i="103"/>
  <c r="D22" i="16"/>
  <c r="D15" i="72"/>
  <c r="D24" i="72" s="1"/>
  <c r="D22" i="69"/>
  <c r="D24" i="102"/>
  <c r="L33" i="59"/>
  <c r="L33" i="4"/>
  <c r="L33" i="3"/>
  <c r="L33" i="22"/>
  <c r="L33" i="97"/>
  <c r="L33" i="19"/>
  <c r="P33" i="103"/>
  <c r="P35" i="103" s="1"/>
  <c r="P33" i="24"/>
  <c r="P33" i="99"/>
  <c r="M33" i="95"/>
  <c r="L33" i="105"/>
  <c r="L35" i="105" s="1"/>
  <c r="L33" i="62"/>
  <c r="P33" i="68"/>
  <c r="L33" i="13"/>
  <c r="L33" i="50"/>
  <c r="P33" i="101"/>
  <c r="D21" i="77"/>
  <c r="Q33" i="70"/>
  <c r="D46" i="88"/>
  <c r="H46" i="88" s="1"/>
  <c r="L33" i="100"/>
  <c r="L33" i="23"/>
  <c r="P33" i="104"/>
  <c r="P35" i="104" s="1"/>
  <c r="Q33" i="69"/>
  <c r="L33" i="16"/>
  <c r="E23" i="72"/>
  <c r="Q23" i="72" s="1"/>
  <c r="E24" i="88"/>
  <c r="F24" i="88" s="1"/>
  <c r="AN9" i="102"/>
  <c r="M9" i="96"/>
  <c r="J10" i="19"/>
  <c r="W20" i="72"/>
  <c r="AG9" i="102"/>
  <c r="Y9" i="96"/>
  <c r="J10" i="100"/>
  <c r="Q18" i="72"/>
  <c r="AJ9" i="102"/>
  <c r="R9" i="96"/>
  <c r="K10" i="95"/>
  <c r="K9" i="96"/>
  <c r="J10" i="16"/>
  <c r="J11" i="72"/>
  <c r="H33" i="68"/>
  <c r="J33" i="68"/>
  <c r="D35" i="68"/>
  <c r="D35" i="19"/>
  <c r="H33" i="19"/>
  <c r="F33" i="19"/>
  <c r="H33" i="13"/>
  <c r="D35" i="13"/>
  <c r="F33" i="13"/>
  <c r="K11" i="72" l="1"/>
  <c r="W12" i="72"/>
  <c r="T17" i="72"/>
  <c r="K17" i="72"/>
  <c r="N12" i="72"/>
  <c r="W23" i="72"/>
  <c r="T23" i="72"/>
  <c r="W17" i="72"/>
  <c r="N23" i="72"/>
  <c r="N14" i="72"/>
  <c r="T14" i="72"/>
  <c r="Q35" i="69"/>
  <c r="U33" i="69"/>
  <c r="U35" i="69" s="1"/>
  <c r="H35" i="50"/>
  <c r="J33" i="50"/>
  <c r="AE14" i="102"/>
  <c r="F35" i="13"/>
  <c r="I20" i="102"/>
  <c r="R20" i="102"/>
  <c r="AH20" i="102" s="1"/>
  <c r="H35" i="68"/>
  <c r="V10" i="72"/>
  <c r="N33" i="13"/>
  <c r="N35" i="13" s="1"/>
  <c r="L35" i="13"/>
  <c r="L35" i="19"/>
  <c r="N33" i="19"/>
  <c r="N35" i="19" s="1"/>
  <c r="K22" i="70"/>
  <c r="D25" i="70"/>
  <c r="D37" i="70" s="1"/>
  <c r="D41" i="70" s="1"/>
  <c r="I22" i="70"/>
  <c r="D25" i="50"/>
  <c r="D37" i="50" s="1"/>
  <c r="D41" i="50" s="1"/>
  <c r="F22" i="50"/>
  <c r="H22" i="50"/>
  <c r="H35" i="24"/>
  <c r="Y20" i="102"/>
  <c r="F35" i="16"/>
  <c r="J20" i="102"/>
  <c r="X20" i="102"/>
  <c r="F35" i="59"/>
  <c r="J10" i="72"/>
  <c r="O33" i="70"/>
  <c r="K35" i="70"/>
  <c r="K14" i="72"/>
  <c r="Z20" i="102"/>
  <c r="H35" i="101"/>
  <c r="H35" i="3"/>
  <c r="J33" i="3"/>
  <c r="L35" i="16"/>
  <c r="N33" i="16"/>
  <c r="N35" i="16" s="1"/>
  <c r="J35" i="101"/>
  <c r="N33" i="101"/>
  <c r="J35" i="68"/>
  <c r="N33" i="68"/>
  <c r="L35" i="50"/>
  <c r="N33" i="50"/>
  <c r="N35" i="50" s="1"/>
  <c r="D25" i="68"/>
  <c r="D37" i="68" s="1"/>
  <c r="D41" i="68" s="1"/>
  <c r="J22" i="68"/>
  <c r="H22" i="68"/>
  <c r="J35" i="24"/>
  <c r="N33" i="24"/>
  <c r="W11" i="72"/>
  <c r="S20" i="102"/>
  <c r="H35" i="99"/>
  <c r="AC9" i="102"/>
  <c r="I35" i="70"/>
  <c r="U20" i="102"/>
  <c r="AJ20" i="102" s="1"/>
  <c r="G20" i="102"/>
  <c r="F35" i="3"/>
  <c r="G22" i="95"/>
  <c r="D25" i="95"/>
  <c r="D37" i="95" s="1"/>
  <c r="D41" i="95" s="1"/>
  <c r="I22" i="95"/>
  <c r="V20" i="102"/>
  <c r="F35" i="100"/>
  <c r="I35" i="69"/>
  <c r="T20" i="102"/>
  <c r="AI20" i="102" s="1"/>
  <c r="H35" i="23"/>
  <c r="J33" i="23"/>
  <c r="L35" i="23"/>
  <c r="N33" i="23"/>
  <c r="N35" i="23" s="1"/>
  <c r="T33" i="68"/>
  <c r="T35" i="68" s="1"/>
  <c r="P35" i="68"/>
  <c r="N33" i="97"/>
  <c r="N35" i="97" s="1"/>
  <c r="L35" i="97"/>
  <c r="H22" i="16"/>
  <c r="D25" i="16"/>
  <c r="D37" i="16" s="1"/>
  <c r="D41" i="16" s="1"/>
  <c r="F22" i="16"/>
  <c r="D25" i="101"/>
  <c r="D37" i="101" s="1"/>
  <c r="D41" i="101" s="1"/>
  <c r="H22" i="101"/>
  <c r="J22" i="101"/>
  <c r="D25" i="104"/>
  <c r="D37" i="104" s="1"/>
  <c r="D41" i="104" s="1"/>
  <c r="H22" i="104"/>
  <c r="H25" i="104" s="1"/>
  <c r="H37" i="104" s="1"/>
  <c r="H41" i="104" s="1"/>
  <c r="J22" i="104"/>
  <c r="J33" i="16"/>
  <c r="H35" i="16"/>
  <c r="D27" i="72"/>
  <c r="D27" i="102"/>
  <c r="H35" i="13"/>
  <c r="J33" i="13"/>
  <c r="L35" i="100"/>
  <c r="N33" i="100"/>
  <c r="N35" i="100" s="1"/>
  <c r="N33" i="62"/>
  <c r="N35" i="62" s="1"/>
  <c r="L35" i="62"/>
  <c r="N33" i="22"/>
  <c r="N35" i="22" s="1"/>
  <c r="L35" i="22"/>
  <c r="D25" i="103"/>
  <c r="D37" i="103" s="1"/>
  <c r="D41" i="103" s="1"/>
  <c r="H22" i="103"/>
  <c r="H25" i="103" s="1"/>
  <c r="H37" i="103" s="1"/>
  <c r="H41" i="103" s="1"/>
  <c r="J22" i="103"/>
  <c r="D25" i="100"/>
  <c r="D37" i="100" s="1"/>
  <c r="D41" i="100" s="1"/>
  <c r="F22" i="100"/>
  <c r="H22" i="100"/>
  <c r="F22" i="59"/>
  <c r="H22" i="59"/>
  <c r="D25" i="59"/>
  <c r="D37" i="59" s="1"/>
  <c r="D41" i="59" s="1"/>
  <c r="N33" i="99"/>
  <c r="J35" i="99"/>
  <c r="S10" i="72"/>
  <c r="N11" i="72"/>
  <c r="N17" i="72"/>
  <c r="H35" i="97"/>
  <c r="J33" i="97"/>
  <c r="D42" i="69"/>
  <c r="D42" i="70"/>
  <c r="D42" i="24"/>
  <c r="D42" i="95"/>
  <c r="I42" i="95" s="1"/>
  <c r="D42" i="13"/>
  <c r="D42" i="101"/>
  <c r="D42" i="104"/>
  <c r="D42" i="62"/>
  <c r="D42" i="19"/>
  <c r="D42" i="68"/>
  <c r="D42" i="50"/>
  <c r="D42" i="100"/>
  <c r="D42" i="4"/>
  <c r="D42" i="22"/>
  <c r="D42" i="99"/>
  <c r="D42" i="103"/>
  <c r="D42" i="3"/>
  <c r="D42" i="16"/>
  <c r="D42" i="59"/>
  <c r="D42" i="23"/>
  <c r="D42" i="97"/>
  <c r="D42" i="105"/>
  <c r="H42" i="105" s="1"/>
  <c r="D25" i="13"/>
  <c r="D37" i="13" s="1"/>
  <c r="D41" i="13" s="1"/>
  <c r="F22" i="13"/>
  <c r="H22" i="13"/>
  <c r="H35" i="4"/>
  <c r="J33" i="4"/>
  <c r="F35" i="22"/>
  <c r="O20" i="102"/>
  <c r="G35" i="95"/>
  <c r="Q20" i="102"/>
  <c r="T11" i="72"/>
  <c r="M10" i="72"/>
  <c r="T33" i="24"/>
  <c r="T35" i="24" s="1"/>
  <c r="P35" i="24"/>
  <c r="J22" i="99"/>
  <c r="D25" i="99"/>
  <c r="D37" i="99" s="1"/>
  <c r="D41" i="99" s="1"/>
  <c r="H22" i="99"/>
  <c r="F35" i="50"/>
  <c r="W20" i="102"/>
  <c r="P10" i="72"/>
  <c r="L22" i="23"/>
  <c r="P22" i="103"/>
  <c r="L22" i="105"/>
  <c r="L25" i="105" s="1"/>
  <c r="L37" i="105" s="1"/>
  <c r="L41" i="105" s="1"/>
  <c r="P22" i="24"/>
  <c r="M22" i="95"/>
  <c r="L22" i="97"/>
  <c r="L22" i="19"/>
  <c r="D40" i="88"/>
  <c r="L22" i="59"/>
  <c r="L22" i="100"/>
  <c r="D15" i="77"/>
  <c r="D24" i="77" s="1"/>
  <c r="P22" i="99"/>
  <c r="L22" i="4"/>
  <c r="L22" i="50"/>
  <c r="P22" i="68"/>
  <c r="P22" i="101"/>
  <c r="L22" i="62"/>
  <c r="L22" i="16"/>
  <c r="Q22" i="69"/>
  <c r="Q22" i="70"/>
  <c r="L22" i="3"/>
  <c r="L22" i="13"/>
  <c r="L22" i="22"/>
  <c r="P22" i="104"/>
  <c r="D24" i="96"/>
  <c r="I22" i="69"/>
  <c r="D25" i="69"/>
  <c r="D37" i="69" s="1"/>
  <c r="D41" i="69" s="1"/>
  <c r="K22" i="69"/>
  <c r="L20" i="102"/>
  <c r="AG20" i="102" s="1"/>
  <c r="F35" i="19"/>
  <c r="H16" i="88"/>
  <c r="H25" i="88" s="1"/>
  <c r="D25" i="88"/>
  <c r="J33" i="19"/>
  <c r="H35" i="19"/>
  <c r="U33" i="70"/>
  <c r="U35" i="70" s="1"/>
  <c r="Q35" i="70"/>
  <c r="O33" i="95"/>
  <c r="O35" i="95" s="1"/>
  <c r="M35" i="95"/>
  <c r="N33" i="4"/>
  <c r="N35" i="4" s="1"/>
  <c r="L35" i="4"/>
  <c r="D25" i="62"/>
  <c r="D37" i="62" s="1"/>
  <c r="D41" i="62" s="1"/>
  <c r="F22" i="62"/>
  <c r="H22" i="62"/>
  <c r="F22" i="97"/>
  <c r="D25" i="97"/>
  <c r="D37" i="97" s="1"/>
  <c r="D41" i="97" s="1"/>
  <c r="H22" i="97"/>
  <c r="D25" i="24"/>
  <c r="D37" i="24" s="1"/>
  <c r="D41" i="24" s="1"/>
  <c r="H22" i="24"/>
  <c r="J22" i="24"/>
  <c r="H20" i="102"/>
  <c r="F35" i="4"/>
  <c r="H35" i="22"/>
  <c r="J33" i="22"/>
  <c r="Q11" i="72"/>
  <c r="H35" i="62"/>
  <c r="J33" i="62"/>
  <c r="K12" i="72"/>
  <c r="K20" i="102"/>
  <c r="F35" i="97"/>
  <c r="P35" i="101"/>
  <c r="T33" i="101"/>
  <c r="T35" i="101" s="1"/>
  <c r="D25" i="22"/>
  <c r="D37" i="22" s="1"/>
  <c r="D41" i="22" s="1"/>
  <c r="H22" i="22"/>
  <c r="F22" i="22"/>
  <c r="H35" i="59"/>
  <c r="J33" i="59"/>
  <c r="N33" i="3"/>
  <c r="N35" i="3" s="1"/>
  <c r="L35" i="3"/>
  <c r="F22" i="3"/>
  <c r="H22" i="3"/>
  <c r="D25" i="3"/>
  <c r="D37" i="3" s="1"/>
  <c r="D41" i="3" s="1"/>
  <c r="F22" i="4"/>
  <c r="H22" i="4"/>
  <c r="D25" i="4"/>
  <c r="D37" i="4" s="1"/>
  <c r="D41" i="4" s="1"/>
  <c r="T33" i="99"/>
  <c r="T35" i="99" s="1"/>
  <c r="P35" i="99"/>
  <c r="N33" i="59"/>
  <c r="N35" i="59" s="1"/>
  <c r="L35" i="59"/>
  <c r="F22" i="19"/>
  <c r="H22" i="19"/>
  <c r="D25" i="19"/>
  <c r="D37" i="19" s="1"/>
  <c r="D41" i="19" s="1"/>
  <c r="D25" i="105"/>
  <c r="D37" i="105" s="1"/>
  <c r="D41" i="105" s="1"/>
  <c r="F22" i="105"/>
  <c r="F25" i="105" s="1"/>
  <c r="F37" i="105" s="1"/>
  <c r="F41" i="105" s="1"/>
  <c r="H22" i="105"/>
  <c r="H25" i="105" s="1"/>
  <c r="H37" i="105" s="1"/>
  <c r="H41" i="105" s="1"/>
  <c r="D25" i="23"/>
  <c r="D37" i="23" s="1"/>
  <c r="D41" i="23" s="1"/>
  <c r="F22" i="23"/>
  <c r="H22" i="23"/>
  <c r="J33" i="100"/>
  <c r="H35" i="100"/>
  <c r="K35" i="69"/>
  <c r="O33" i="69"/>
  <c r="K23" i="72"/>
  <c r="W14" i="72"/>
  <c r="I35" i="95"/>
  <c r="K33" i="95"/>
  <c r="T12" i="72"/>
  <c r="P20" i="102"/>
  <c r="F35" i="23"/>
  <c r="F35" i="62"/>
  <c r="F20" i="102"/>
  <c r="H43" i="105" l="1"/>
  <c r="D27" i="96"/>
  <c r="D43" i="95"/>
  <c r="D43" i="105"/>
  <c r="F14" i="102"/>
  <c r="F25" i="62"/>
  <c r="F37" i="62" s="1"/>
  <c r="F41" i="62" s="1"/>
  <c r="L25" i="16"/>
  <c r="L37" i="16" s="1"/>
  <c r="L41" i="16" s="1"/>
  <c r="N22" i="16"/>
  <c r="N25" i="16" s="1"/>
  <c r="N37" i="16" s="1"/>
  <c r="N41" i="16" s="1"/>
  <c r="AF20" i="102"/>
  <c r="AB20" i="102"/>
  <c r="AC20" i="102" s="1"/>
  <c r="J35" i="19"/>
  <c r="M20" i="96"/>
  <c r="AN20" i="102"/>
  <c r="M21" i="72" s="1"/>
  <c r="Q20" i="96"/>
  <c r="J35" i="23"/>
  <c r="Q14" i="102"/>
  <c r="Q24" i="102" s="1"/>
  <c r="G25" i="95"/>
  <c r="G37" i="95" s="1"/>
  <c r="G41" i="95" s="1"/>
  <c r="Q26" i="102" s="1"/>
  <c r="H42" i="23"/>
  <c r="D43" i="23"/>
  <c r="H25" i="3"/>
  <c r="H37" i="3" s="1"/>
  <c r="H41" i="3" s="1"/>
  <c r="J22" i="3"/>
  <c r="O14" i="102"/>
  <c r="O24" i="102" s="1"/>
  <c r="F25" i="22"/>
  <c r="F37" i="22" s="1"/>
  <c r="F41" i="22" s="1"/>
  <c r="O26" i="102" s="1"/>
  <c r="AM20" i="102"/>
  <c r="J35" i="62"/>
  <c r="G20" i="96"/>
  <c r="H25" i="24"/>
  <c r="H37" i="24" s="1"/>
  <c r="H41" i="24" s="1"/>
  <c r="Y26" i="102" s="1"/>
  <c r="Y14" i="102"/>
  <c r="Y24" i="102" s="1"/>
  <c r="P25" i="104"/>
  <c r="P37" i="104" s="1"/>
  <c r="P41" i="104" s="1"/>
  <c r="T22" i="101"/>
  <c r="T25" i="101" s="1"/>
  <c r="T37" i="101" s="1"/>
  <c r="T41" i="101" s="1"/>
  <c r="P25" i="101"/>
  <c r="P37" i="101" s="1"/>
  <c r="P41" i="101" s="1"/>
  <c r="H40" i="88"/>
  <c r="H49" i="88" s="1"/>
  <c r="D49" i="88"/>
  <c r="J35" i="4"/>
  <c r="I20" i="96"/>
  <c r="D43" i="100"/>
  <c r="H42" i="100"/>
  <c r="J25" i="104"/>
  <c r="J37" i="104" s="1"/>
  <c r="J41" i="104" s="1"/>
  <c r="H25" i="16"/>
  <c r="H37" i="16" s="1"/>
  <c r="H41" i="16" s="1"/>
  <c r="J22" i="16"/>
  <c r="H20" i="96"/>
  <c r="J35" i="3"/>
  <c r="J22" i="50"/>
  <c r="H25" i="50"/>
  <c r="H37" i="50" s="1"/>
  <c r="H41" i="50" s="1"/>
  <c r="H25" i="23"/>
  <c r="H37" i="23" s="1"/>
  <c r="H41" i="23" s="1"/>
  <c r="J22" i="23"/>
  <c r="F25" i="4"/>
  <c r="F37" i="4" s="1"/>
  <c r="F41" i="4" s="1"/>
  <c r="H26" i="102" s="1"/>
  <c r="H14" i="102"/>
  <c r="H24" i="102" s="1"/>
  <c r="L25" i="100"/>
  <c r="L37" i="100" s="1"/>
  <c r="L41" i="100" s="1"/>
  <c r="N22" i="100"/>
  <c r="N25" i="100" s="1"/>
  <c r="N37" i="100" s="1"/>
  <c r="N41" i="100" s="1"/>
  <c r="J14" i="102"/>
  <c r="J24" i="102" s="1"/>
  <c r="F25" i="16"/>
  <c r="F37" i="16" s="1"/>
  <c r="F41" i="16" s="1"/>
  <c r="J26" i="102" s="1"/>
  <c r="F25" i="23"/>
  <c r="F37" i="23" s="1"/>
  <c r="F41" i="23" s="1"/>
  <c r="P26" i="102" s="1"/>
  <c r="P14" i="102"/>
  <c r="P24" i="102" s="1"/>
  <c r="D43" i="62"/>
  <c r="H42" i="62"/>
  <c r="J35" i="16"/>
  <c r="K20" i="96"/>
  <c r="J22" i="22"/>
  <c r="H25" i="22"/>
  <c r="H37" i="22" s="1"/>
  <c r="H41" i="22" s="1"/>
  <c r="N22" i="22"/>
  <c r="N25" i="22" s="1"/>
  <c r="N37" i="22" s="1"/>
  <c r="N41" i="22" s="1"/>
  <c r="L25" i="22"/>
  <c r="L37" i="22" s="1"/>
  <c r="L41" i="22" s="1"/>
  <c r="P25" i="68"/>
  <c r="P37" i="68" s="1"/>
  <c r="P41" i="68" s="1"/>
  <c r="T22" i="68"/>
  <c r="T25" i="68" s="1"/>
  <c r="T37" i="68" s="1"/>
  <c r="T41" i="68" s="1"/>
  <c r="N22" i="19"/>
  <c r="N25" i="19" s="1"/>
  <c r="N37" i="19" s="1"/>
  <c r="N41" i="19" s="1"/>
  <c r="L25" i="19"/>
  <c r="L37" i="19" s="1"/>
  <c r="L41" i="19" s="1"/>
  <c r="J25" i="103"/>
  <c r="J37" i="103" s="1"/>
  <c r="J41" i="103" s="1"/>
  <c r="F25" i="50"/>
  <c r="F37" i="50" s="1"/>
  <c r="F41" i="50" s="1"/>
  <c r="W26" i="102" s="1"/>
  <c r="W14" i="102"/>
  <c r="W24" i="102" s="1"/>
  <c r="N35" i="99"/>
  <c r="V20" i="96"/>
  <c r="J35" i="13"/>
  <c r="J20" i="96"/>
  <c r="J42" i="104"/>
  <c r="D43" i="104"/>
  <c r="N35" i="68"/>
  <c r="AO20" i="102"/>
  <c r="P21" i="72" s="1"/>
  <c r="S20" i="96"/>
  <c r="D43" i="50"/>
  <c r="H42" i="50"/>
  <c r="N22" i="99"/>
  <c r="J25" i="99"/>
  <c r="J37" i="99" s="1"/>
  <c r="J41" i="99" s="1"/>
  <c r="H42" i="3"/>
  <c r="D43" i="3"/>
  <c r="L25" i="23"/>
  <c r="L37" i="23" s="1"/>
  <c r="L41" i="23" s="1"/>
  <c r="N22" i="23"/>
  <c r="N25" i="23" s="1"/>
  <c r="N37" i="23" s="1"/>
  <c r="N41" i="23" s="1"/>
  <c r="H42" i="16"/>
  <c r="D43" i="16"/>
  <c r="J42" i="24"/>
  <c r="D43" i="24"/>
  <c r="H42" i="22"/>
  <c r="D43" i="22"/>
  <c r="J22" i="97"/>
  <c r="H25" i="97"/>
  <c r="H37" i="97" s="1"/>
  <c r="H41" i="97" s="1"/>
  <c r="L25" i="13"/>
  <c r="L37" i="13" s="1"/>
  <c r="L41" i="13" s="1"/>
  <c r="N22" i="13"/>
  <c r="N25" i="13" s="1"/>
  <c r="N37" i="13" s="1"/>
  <c r="N41" i="13" s="1"/>
  <c r="N22" i="50"/>
  <c r="N25" i="50" s="1"/>
  <c r="N37" i="50" s="1"/>
  <c r="N41" i="50" s="1"/>
  <c r="L25" i="50"/>
  <c r="L37" i="50" s="1"/>
  <c r="L41" i="50" s="1"/>
  <c r="N22" i="97"/>
  <c r="N25" i="97" s="1"/>
  <c r="N37" i="97" s="1"/>
  <c r="N41" i="97" s="1"/>
  <c r="L25" i="97"/>
  <c r="L37" i="97" s="1"/>
  <c r="L41" i="97" s="1"/>
  <c r="H25" i="13"/>
  <c r="H37" i="13" s="1"/>
  <c r="H41" i="13" s="1"/>
  <c r="J22" i="13"/>
  <c r="J35" i="22"/>
  <c r="P20" i="96"/>
  <c r="H42" i="97"/>
  <c r="D43" i="97"/>
  <c r="N22" i="3"/>
  <c r="N25" i="3" s="1"/>
  <c r="N37" i="3" s="1"/>
  <c r="N41" i="3" s="1"/>
  <c r="L25" i="3"/>
  <c r="L37" i="3" s="1"/>
  <c r="L41" i="3" s="1"/>
  <c r="N22" i="4"/>
  <c r="N25" i="4" s="1"/>
  <c r="N37" i="4" s="1"/>
  <c r="N41" i="4" s="1"/>
  <c r="L25" i="4"/>
  <c r="L37" i="4" s="1"/>
  <c r="L41" i="4" s="1"/>
  <c r="M25" i="95"/>
  <c r="M37" i="95" s="1"/>
  <c r="M41" i="95" s="1"/>
  <c r="O22" i="95"/>
  <c r="O25" i="95" s="1"/>
  <c r="O37" i="95" s="1"/>
  <c r="O41" i="95" s="1"/>
  <c r="F25" i="13"/>
  <c r="F37" i="13" s="1"/>
  <c r="F41" i="13" s="1"/>
  <c r="I26" i="102" s="1"/>
  <c r="I14" i="102"/>
  <c r="I24" i="102" s="1"/>
  <c r="J35" i="97"/>
  <c r="L20" i="96"/>
  <c r="H42" i="59"/>
  <c r="D43" i="59"/>
  <c r="J42" i="103"/>
  <c r="D43" i="103"/>
  <c r="N22" i="101"/>
  <c r="J25" i="101"/>
  <c r="J37" i="101" s="1"/>
  <c r="J41" i="101" s="1"/>
  <c r="N35" i="24"/>
  <c r="AC20" i="96"/>
  <c r="I25" i="70"/>
  <c r="I37" i="70" s="1"/>
  <c r="I41" i="70" s="1"/>
  <c r="U14" i="102"/>
  <c r="J35" i="50"/>
  <c r="AA20" i="96"/>
  <c r="L14" i="102"/>
  <c r="F25" i="19"/>
  <c r="F37" i="19" s="1"/>
  <c r="F41" i="19" s="1"/>
  <c r="N22" i="62"/>
  <c r="N25" i="62" s="1"/>
  <c r="N37" i="62" s="1"/>
  <c r="N41" i="62" s="1"/>
  <c r="L25" i="62"/>
  <c r="L37" i="62" s="1"/>
  <c r="L41" i="62" s="1"/>
  <c r="J42" i="68"/>
  <c r="D43" i="68"/>
  <c r="W20" i="96"/>
  <c r="AP20" i="102"/>
  <c r="S21" i="72" s="1"/>
  <c r="O35" i="69"/>
  <c r="H42" i="4"/>
  <c r="D43" i="4"/>
  <c r="F25" i="97"/>
  <c r="F37" i="97" s="1"/>
  <c r="F41" i="97" s="1"/>
  <c r="K26" i="102" s="1"/>
  <c r="K14" i="102"/>
  <c r="K24" i="102" s="1"/>
  <c r="O22" i="69"/>
  <c r="K25" i="69"/>
  <c r="K37" i="69" s="1"/>
  <c r="K41" i="69" s="1"/>
  <c r="U22" i="70"/>
  <c r="U25" i="70" s="1"/>
  <c r="U37" i="70" s="1"/>
  <c r="U41" i="70" s="1"/>
  <c r="Q25" i="70"/>
  <c r="Q37" i="70" s="1"/>
  <c r="Q41" i="70" s="1"/>
  <c r="P25" i="99"/>
  <c r="P37" i="99" s="1"/>
  <c r="P41" i="99" s="1"/>
  <c r="T22" i="99"/>
  <c r="T25" i="99" s="1"/>
  <c r="T37" i="99" s="1"/>
  <c r="T41" i="99" s="1"/>
  <c r="P25" i="24"/>
  <c r="P37" i="24" s="1"/>
  <c r="P41" i="24" s="1"/>
  <c r="T22" i="24"/>
  <c r="T25" i="24" s="1"/>
  <c r="T37" i="24" s="1"/>
  <c r="T41" i="24" s="1"/>
  <c r="H25" i="99"/>
  <c r="H37" i="99" s="1"/>
  <c r="H41" i="99" s="1"/>
  <c r="S26" i="102" s="1"/>
  <c r="S14" i="102"/>
  <c r="S24" i="102" s="1"/>
  <c r="D43" i="13"/>
  <c r="H42" i="13"/>
  <c r="H25" i="59"/>
  <c r="H37" i="59" s="1"/>
  <c r="H41" i="59" s="1"/>
  <c r="J22" i="59"/>
  <c r="H25" i="101"/>
  <c r="H37" i="101" s="1"/>
  <c r="H41" i="101" s="1"/>
  <c r="Z26" i="102" s="1"/>
  <c r="Z14" i="102"/>
  <c r="Z24" i="102" s="1"/>
  <c r="N35" i="101"/>
  <c r="AD20" i="96"/>
  <c r="D43" i="70"/>
  <c r="K42" i="70"/>
  <c r="AB20" i="96"/>
  <c r="J35" i="59"/>
  <c r="P25" i="103"/>
  <c r="P37" i="103" s="1"/>
  <c r="P41" i="103" s="1"/>
  <c r="H25" i="100"/>
  <c r="H37" i="100" s="1"/>
  <c r="H41" i="100" s="1"/>
  <c r="J22" i="100"/>
  <c r="N22" i="24"/>
  <c r="J25" i="24"/>
  <c r="J37" i="24" s="1"/>
  <c r="J41" i="24" s="1"/>
  <c r="L42" i="23"/>
  <c r="L42" i="100"/>
  <c r="M42" i="95"/>
  <c r="L42" i="62"/>
  <c r="L42" i="13"/>
  <c r="L42" i="50"/>
  <c r="Q42" i="70"/>
  <c r="L42" i="19"/>
  <c r="P42" i="99"/>
  <c r="P42" i="24"/>
  <c r="P42" i="104"/>
  <c r="L42" i="59"/>
  <c r="L42" i="16"/>
  <c r="D26" i="77"/>
  <c r="D27" i="77" s="1"/>
  <c r="L42" i="105"/>
  <c r="L43" i="105" s="1"/>
  <c r="P42" i="103"/>
  <c r="L42" i="3"/>
  <c r="P42" i="68"/>
  <c r="L42" i="4"/>
  <c r="P42" i="101"/>
  <c r="L42" i="97"/>
  <c r="L42" i="22"/>
  <c r="Q42" i="69"/>
  <c r="N22" i="59"/>
  <c r="N25" i="59" s="1"/>
  <c r="N37" i="59" s="1"/>
  <c r="N41" i="59" s="1"/>
  <c r="L25" i="59"/>
  <c r="L37" i="59" s="1"/>
  <c r="L41" i="59" s="1"/>
  <c r="V14" i="102"/>
  <c r="V24" i="102" s="1"/>
  <c r="F25" i="100"/>
  <c r="F37" i="100" s="1"/>
  <c r="F41" i="100" s="1"/>
  <c r="V26" i="102" s="1"/>
  <c r="G14" i="102"/>
  <c r="G24" i="102" s="1"/>
  <c r="F25" i="3"/>
  <c r="F37" i="3" s="1"/>
  <c r="F41" i="3" s="1"/>
  <c r="G26" i="102" s="1"/>
  <c r="D43" i="19"/>
  <c r="H42" i="19"/>
  <c r="K35" i="95"/>
  <c r="R20" i="96"/>
  <c r="Y20" i="96"/>
  <c r="J35" i="100"/>
  <c r="H25" i="19"/>
  <c r="H37" i="19" s="1"/>
  <c r="H41" i="19" s="1"/>
  <c r="J22" i="19"/>
  <c r="H25" i="4"/>
  <c r="H37" i="4" s="1"/>
  <c r="H41" i="4" s="1"/>
  <c r="J22" i="4"/>
  <c r="J22" i="62"/>
  <c r="H25" i="62"/>
  <c r="H37" i="62" s="1"/>
  <c r="H41" i="62" s="1"/>
  <c r="K42" i="69"/>
  <c r="D43" i="69"/>
  <c r="Q25" i="69"/>
  <c r="Q37" i="69" s="1"/>
  <c r="Q41" i="69" s="1"/>
  <c r="U22" i="69"/>
  <c r="U25" i="69" s="1"/>
  <c r="U37" i="69" s="1"/>
  <c r="U41" i="69" s="1"/>
  <c r="D43" i="99"/>
  <c r="J42" i="99"/>
  <c r="F25" i="59"/>
  <c r="F37" i="59" s="1"/>
  <c r="F41" i="59" s="1"/>
  <c r="X26" i="102" s="1"/>
  <c r="X14" i="102"/>
  <c r="X24" i="102" s="1"/>
  <c r="J42" i="101"/>
  <c r="D43" i="101"/>
  <c r="I25" i="95"/>
  <c r="I37" i="95" s="1"/>
  <c r="I41" i="95" s="1"/>
  <c r="I43" i="95" s="1"/>
  <c r="K22" i="95"/>
  <c r="E10" i="72"/>
  <c r="E11" i="88"/>
  <c r="F11" i="88" s="1"/>
  <c r="R14" i="102"/>
  <c r="H25" i="68"/>
  <c r="H37" i="68" s="1"/>
  <c r="H41" i="68" s="1"/>
  <c r="K25" i="70"/>
  <c r="K37" i="70" s="1"/>
  <c r="K41" i="70" s="1"/>
  <c r="O22" i="70"/>
  <c r="T14" i="102"/>
  <c r="I25" i="69"/>
  <c r="I37" i="69" s="1"/>
  <c r="I41" i="69" s="1"/>
  <c r="N22" i="68"/>
  <c r="J25" i="68"/>
  <c r="J37" i="68" s="1"/>
  <c r="J41" i="68" s="1"/>
  <c r="X20" i="96"/>
  <c r="O35" i="70"/>
  <c r="AQ20" i="102"/>
  <c r="V21" i="72" s="1"/>
  <c r="H43" i="100" l="1"/>
  <c r="Q10" i="72"/>
  <c r="J27" i="102"/>
  <c r="K43" i="70"/>
  <c r="O27" i="102"/>
  <c r="G27" i="102"/>
  <c r="Q27" i="102"/>
  <c r="I27" i="102"/>
  <c r="H43" i="4"/>
  <c r="H43" i="97"/>
  <c r="H43" i="13"/>
  <c r="P43" i="103"/>
  <c r="S27" i="102"/>
  <c r="W10" i="72"/>
  <c r="M43" i="95"/>
  <c r="H43" i="16"/>
  <c r="Q43" i="69"/>
  <c r="H43" i="19"/>
  <c r="W27" i="102"/>
  <c r="P27" i="102"/>
  <c r="K10" i="72"/>
  <c r="H43" i="3"/>
  <c r="Q43" i="70"/>
  <c r="L43" i="50"/>
  <c r="J43" i="99"/>
  <c r="J25" i="16"/>
  <c r="J37" i="16" s="1"/>
  <c r="J41" i="16" s="1"/>
  <c r="K26" i="96" s="1"/>
  <c r="K14" i="96"/>
  <c r="K24" i="96" s="1"/>
  <c r="N25" i="99"/>
  <c r="N37" i="99" s="1"/>
  <c r="N41" i="99" s="1"/>
  <c r="V26" i="96" s="1"/>
  <c r="V14" i="96"/>
  <c r="V24" i="96" s="1"/>
  <c r="P43" i="68"/>
  <c r="H27" i="102"/>
  <c r="Y27" i="102"/>
  <c r="K25" i="95"/>
  <c r="K37" i="95" s="1"/>
  <c r="K41" i="95" s="1"/>
  <c r="R26" i="96" s="1"/>
  <c r="R14" i="96"/>
  <c r="R24" i="96" s="1"/>
  <c r="V27" i="102"/>
  <c r="Z27" i="102"/>
  <c r="P43" i="24"/>
  <c r="K27" i="102"/>
  <c r="L43" i="62"/>
  <c r="AJ14" i="102"/>
  <c r="U24" i="102"/>
  <c r="L43" i="4"/>
  <c r="J14" i="96"/>
  <c r="J24" i="96" s="1"/>
  <c r="J25" i="13"/>
  <c r="J37" i="13" s="1"/>
  <c r="J41" i="13" s="1"/>
  <c r="J26" i="96" s="1"/>
  <c r="L43" i="22"/>
  <c r="J25" i="23"/>
  <c r="J37" i="23" s="1"/>
  <c r="J41" i="23" s="1"/>
  <c r="Q26" i="96" s="1"/>
  <c r="Q14" i="96"/>
  <c r="Q24" i="96" s="1"/>
  <c r="E22" i="88"/>
  <c r="F22" i="88" s="1"/>
  <c r="E21" i="72"/>
  <c r="W21" i="72" s="1"/>
  <c r="AJ26" i="102"/>
  <c r="U26" i="102"/>
  <c r="L43" i="13"/>
  <c r="J43" i="103"/>
  <c r="H43" i="23"/>
  <c r="J43" i="104"/>
  <c r="J21" i="72"/>
  <c r="AN14" i="102"/>
  <c r="AN24" i="102" s="1"/>
  <c r="M14" i="96"/>
  <c r="M24" i="96" s="1"/>
  <c r="J25" i="19"/>
  <c r="J37" i="19" s="1"/>
  <c r="J41" i="19" s="1"/>
  <c r="L43" i="59"/>
  <c r="H43" i="59"/>
  <c r="P43" i="99"/>
  <c r="L26" i="102"/>
  <c r="AG26" i="102"/>
  <c r="L43" i="3"/>
  <c r="H43" i="22"/>
  <c r="H43" i="50"/>
  <c r="P43" i="101"/>
  <c r="AQ14" i="102"/>
  <c r="AQ24" i="102" s="1"/>
  <c r="X14" i="96"/>
  <c r="X24" i="96" s="1"/>
  <c r="O25" i="70"/>
  <c r="O37" i="70" s="1"/>
  <c r="O41" i="70" s="1"/>
  <c r="R26" i="102"/>
  <c r="AH26" i="102"/>
  <c r="AB14" i="96"/>
  <c r="AB24" i="96" s="1"/>
  <c r="J25" i="59"/>
  <c r="J37" i="59" s="1"/>
  <c r="J41" i="59" s="1"/>
  <c r="AB26" i="96" s="1"/>
  <c r="H43" i="62"/>
  <c r="N25" i="68"/>
  <c r="N37" i="68" s="1"/>
  <c r="N41" i="68" s="1"/>
  <c r="AO14" i="102"/>
  <c r="AO24" i="102" s="1"/>
  <c r="S14" i="96"/>
  <c r="S24" i="96" s="1"/>
  <c r="X27" i="102"/>
  <c r="J43" i="24"/>
  <c r="AG14" i="102"/>
  <c r="L24" i="102"/>
  <c r="N10" i="72"/>
  <c r="L14" i="96"/>
  <c r="L24" i="96" s="1"/>
  <c r="J25" i="97"/>
  <c r="J37" i="97" s="1"/>
  <c r="J41" i="97" s="1"/>
  <c r="L26" i="96" s="1"/>
  <c r="L43" i="23"/>
  <c r="P14" i="96"/>
  <c r="P24" i="96" s="1"/>
  <c r="J25" i="22"/>
  <c r="J37" i="22" s="1"/>
  <c r="J41" i="22" s="1"/>
  <c r="P26" i="96" s="1"/>
  <c r="AA14" i="96"/>
  <c r="AA24" i="96" s="1"/>
  <c r="J25" i="50"/>
  <c r="J37" i="50" s="1"/>
  <c r="J41" i="50" s="1"/>
  <c r="AA26" i="96" s="1"/>
  <c r="L43" i="16"/>
  <c r="J43" i="68"/>
  <c r="AM14" i="102"/>
  <c r="AM24" i="102" s="1"/>
  <c r="J25" i="62"/>
  <c r="J37" i="62" s="1"/>
  <c r="J41" i="62" s="1"/>
  <c r="G14" i="96"/>
  <c r="T26" i="102"/>
  <c r="AI26" i="102"/>
  <c r="J25" i="4"/>
  <c r="J37" i="4" s="1"/>
  <c r="J41" i="4" s="1"/>
  <c r="I26" i="96" s="1"/>
  <c r="I14" i="96"/>
  <c r="I24" i="96" s="1"/>
  <c r="AC14" i="96"/>
  <c r="AC24" i="96" s="1"/>
  <c r="N25" i="24"/>
  <c r="N37" i="24" s="1"/>
  <c r="N41" i="24" s="1"/>
  <c r="AC26" i="96" s="1"/>
  <c r="J43" i="101"/>
  <c r="L43" i="97"/>
  <c r="L43" i="19"/>
  <c r="F26" i="102"/>
  <c r="AF26" i="102"/>
  <c r="W14" i="96"/>
  <c r="W24" i="96" s="1"/>
  <c r="AP14" i="102"/>
  <c r="AP24" i="102" s="1"/>
  <c r="O25" i="69"/>
  <c r="O37" i="69" s="1"/>
  <c r="O41" i="69" s="1"/>
  <c r="AH14" i="102"/>
  <c r="R24" i="102"/>
  <c r="AI14" i="102"/>
  <c r="T24" i="102"/>
  <c r="Y14" i="96"/>
  <c r="Y24" i="96" s="1"/>
  <c r="J25" i="100"/>
  <c r="J37" i="100" s="1"/>
  <c r="J41" i="100" s="1"/>
  <c r="Y26" i="96" s="1"/>
  <c r="K43" i="69"/>
  <c r="AD14" i="96"/>
  <c r="AD24" i="96" s="1"/>
  <c r="N25" i="101"/>
  <c r="N37" i="101" s="1"/>
  <c r="N41" i="101" s="1"/>
  <c r="AD26" i="96" s="1"/>
  <c r="L43" i="100"/>
  <c r="T10" i="72"/>
  <c r="P43" i="104"/>
  <c r="H14" i="96"/>
  <c r="H24" i="96" s="1"/>
  <c r="J25" i="3"/>
  <c r="J37" i="3" s="1"/>
  <c r="J41" i="3" s="1"/>
  <c r="H26" i="96" s="1"/>
  <c r="AB14" i="102"/>
  <c r="AF14" i="102"/>
  <c r="F24" i="102"/>
  <c r="Q21" i="72" l="1"/>
  <c r="J27" i="96"/>
  <c r="V27" i="96"/>
  <c r="F27" i="102"/>
  <c r="P27" i="96"/>
  <c r="Y27" i="96"/>
  <c r="I27" i="96"/>
  <c r="AD27" i="96"/>
  <c r="AA27" i="96"/>
  <c r="AB27" i="96"/>
  <c r="U27" i="102"/>
  <c r="N21" i="72"/>
  <c r="T21" i="72"/>
  <c r="K21" i="72"/>
  <c r="H27" i="96"/>
  <c r="AC27" i="96"/>
  <c r="AN26" i="102"/>
  <c r="AN27" i="102" s="1"/>
  <c r="M26" i="96"/>
  <c r="M27" i="96" s="1"/>
  <c r="Q27" i="96"/>
  <c r="AO26" i="102"/>
  <c r="AO27" i="102" s="1"/>
  <c r="S26" i="96"/>
  <c r="S27" i="96" s="1"/>
  <c r="M15" i="72"/>
  <c r="AG24" i="102"/>
  <c r="AG27" i="102" s="1"/>
  <c r="V15" i="72"/>
  <c r="AJ24" i="102"/>
  <c r="AQ29" i="102" s="1"/>
  <c r="AB24" i="102"/>
  <c r="AC14" i="102"/>
  <c r="S15" i="72"/>
  <c r="AI24" i="102"/>
  <c r="AP29" i="102" s="1"/>
  <c r="AP26" i="102"/>
  <c r="AP27" i="102" s="1"/>
  <c r="W26" i="96"/>
  <c r="W27" i="96" s="1"/>
  <c r="T27" i="102"/>
  <c r="G24" i="96"/>
  <c r="R27" i="102"/>
  <c r="J15" i="72"/>
  <c r="AF24" i="102"/>
  <c r="AM29" i="102" s="1"/>
  <c r="P15" i="72"/>
  <c r="AH24" i="102"/>
  <c r="AH27" i="102" s="1"/>
  <c r="AM26" i="102"/>
  <c r="AM27" i="102" s="1"/>
  <c r="G26" i="96"/>
  <c r="AQ26" i="102"/>
  <c r="AQ27" i="102" s="1"/>
  <c r="X26" i="96"/>
  <c r="X27" i="96" s="1"/>
  <c r="L27" i="102"/>
  <c r="AB26" i="102"/>
  <c r="L27" i="96"/>
  <c r="R27" i="96"/>
  <c r="K27" i="96"/>
  <c r="AO29" i="102" l="1"/>
  <c r="AJ27" i="102"/>
  <c r="G27" i="96"/>
  <c r="AI27" i="102"/>
  <c r="M24" i="72"/>
  <c r="J24" i="72"/>
  <c r="S24" i="72"/>
  <c r="E15" i="72"/>
  <c r="E16" i="88"/>
  <c r="P24" i="72"/>
  <c r="V24" i="72"/>
  <c r="AF27" i="102"/>
  <c r="AB27" i="102"/>
  <c r="AN29" i="102"/>
  <c r="W15" i="72" l="1"/>
  <c r="K15" i="72"/>
  <c r="Q15" i="72"/>
  <c r="F16" i="88"/>
  <c r="T15" i="72"/>
  <c r="N15" i="72"/>
  <c r="AE21" i="102" l="1"/>
  <c r="AC21" i="102"/>
  <c r="E24" i="102"/>
  <c r="E22" i="72" l="1"/>
  <c r="E23" i="88"/>
  <c r="AC24" i="102"/>
  <c r="AE24" i="102"/>
  <c r="F23" i="88" l="1"/>
  <c r="E25" i="88"/>
  <c r="F25" i="88" s="1"/>
  <c r="T22" i="72"/>
  <c r="N22" i="72"/>
  <c r="Q22" i="72"/>
  <c r="W22" i="72"/>
  <c r="K22" i="72"/>
  <c r="E24" i="72"/>
  <c r="E27" i="72" l="1"/>
  <c r="W24" i="72"/>
  <c r="T24" i="72"/>
  <c r="Q24" i="72"/>
  <c r="K24" i="72"/>
  <c r="N24" i="72"/>
  <c r="AC26" i="102"/>
  <c r="AC27" i="102" s="1"/>
  <c r="E27" i="102"/>
  <c r="AE26" i="102"/>
  <c r="AE27" i="102" s="1"/>
  <c r="N39" i="103" l="1"/>
  <c r="T39" i="103"/>
  <c r="AO22" i="96" s="1"/>
  <c r="T33" i="103"/>
  <c r="N33" i="103"/>
  <c r="T34" i="103"/>
  <c r="AO21" i="96" s="1"/>
  <c r="N34" i="103"/>
  <c r="T31" i="103" l="1"/>
  <c r="AO19" i="96" s="1"/>
  <c r="N31" i="103"/>
  <c r="AR19" i="102" s="1"/>
  <c r="Y20" i="72" s="1"/>
  <c r="Z20" i="72" s="1"/>
  <c r="T22" i="96"/>
  <c r="AR22" i="102"/>
  <c r="Y23" i="72" s="1"/>
  <c r="Z23" i="72" s="1"/>
  <c r="T21" i="96"/>
  <c r="AR21" i="102"/>
  <c r="Y22" i="72" s="1"/>
  <c r="Z22" i="72" s="1"/>
  <c r="N35" i="103"/>
  <c r="AR20" i="102"/>
  <c r="Y21" i="72" s="1"/>
  <c r="Z21" i="72" s="1"/>
  <c r="T20" i="96"/>
  <c r="N12" i="103"/>
  <c r="L13" i="103"/>
  <c r="T35" i="103"/>
  <c r="AO20" i="96"/>
  <c r="T12" i="103"/>
  <c r="R13" i="103"/>
  <c r="S22" i="103"/>
  <c r="M22" i="103"/>
  <c r="S17" i="103"/>
  <c r="M17" i="103"/>
  <c r="T19" i="96" l="1"/>
  <c r="AJ19" i="96" s="1"/>
  <c r="K20" i="77" s="1"/>
  <c r="N23" i="103"/>
  <c r="T15" i="96" s="1"/>
  <c r="T23" i="103"/>
  <c r="AO15" i="96" s="1"/>
  <c r="AD34" i="108"/>
  <c r="T13" i="103"/>
  <c r="AO10" i="96" s="1"/>
  <c r="N16" i="103"/>
  <c r="L17" i="103"/>
  <c r="L22" i="103"/>
  <c r="N21" i="103"/>
  <c r="T16" i="103"/>
  <c r="R17" i="103"/>
  <c r="AJ20" i="96"/>
  <c r="K21" i="77" s="1"/>
  <c r="S29" i="42"/>
  <c r="T27" i="103"/>
  <c r="T35" i="106"/>
  <c r="X32" i="84" s="1"/>
  <c r="N8" i="103"/>
  <c r="P29" i="43"/>
  <c r="N28" i="103"/>
  <c r="P29" i="42"/>
  <c r="N27" i="103"/>
  <c r="AJ21" i="96"/>
  <c r="K22" i="77" s="1"/>
  <c r="N24" i="103"/>
  <c r="T21" i="103"/>
  <c r="R22" i="103"/>
  <c r="S29" i="43"/>
  <c r="T28" i="103"/>
  <c r="AO18" i="96" s="1"/>
  <c r="W35" i="106"/>
  <c r="I32" i="85" s="1"/>
  <c r="R32" i="85" s="1"/>
  <c r="T8" i="103"/>
  <c r="AO9" i="96" s="1"/>
  <c r="T24" i="103"/>
  <c r="AO16" i="96" s="1"/>
  <c r="Y34" i="108"/>
  <c r="N13" i="103"/>
  <c r="AJ22" i="96"/>
  <c r="K23" i="77" s="1"/>
  <c r="S14" i="103"/>
  <c r="S15" i="103" s="1"/>
  <c r="M14" i="103"/>
  <c r="M15" i="103" s="1"/>
  <c r="AR15" i="102" l="1"/>
  <c r="Y16" i="72" s="1"/>
  <c r="Z16" i="72" s="1"/>
  <c r="S55" i="40"/>
  <c r="T18" i="103"/>
  <c r="AO13" i="96" s="1"/>
  <c r="T29" i="103"/>
  <c r="AO17" i="96"/>
  <c r="N9" i="103"/>
  <c r="N10" i="103" s="1"/>
  <c r="L14" i="103"/>
  <c r="AJ15" i="96"/>
  <c r="K16" i="77" s="1"/>
  <c r="T10" i="96"/>
  <c r="AR10" i="102"/>
  <c r="Y11" i="72" s="1"/>
  <c r="Z11" i="72" s="1"/>
  <c r="T17" i="96"/>
  <c r="N29" i="103"/>
  <c r="AR17" i="102"/>
  <c r="Y18" i="72" s="1"/>
  <c r="Z18" i="72" s="1"/>
  <c r="P41" i="41"/>
  <c r="N22" i="103"/>
  <c r="N25" i="103" s="1"/>
  <c r="S41" i="41"/>
  <c r="T22" i="103"/>
  <c r="AO14" i="96" s="1"/>
  <c r="P39" i="39"/>
  <c r="N17" i="103"/>
  <c r="R14" i="103"/>
  <c r="T9" i="103"/>
  <c r="T10" i="103" s="1"/>
  <c r="AR18" i="102"/>
  <c r="Y19" i="72" s="1"/>
  <c r="Z19" i="72" s="1"/>
  <c r="T18" i="96"/>
  <c r="S39" i="39"/>
  <c r="T17" i="103"/>
  <c r="AO12" i="96" s="1"/>
  <c r="Z34" i="108"/>
  <c r="P55" i="40"/>
  <c r="N18" i="103"/>
  <c r="T16" i="96"/>
  <c r="AR16" i="102"/>
  <c r="Y17" i="72" s="1"/>
  <c r="Z17" i="72" s="1"/>
  <c r="AG32" i="84"/>
  <c r="C32" i="85" s="1"/>
  <c r="X45" i="84"/>
  <c r="Y45" i="84" s="1"/>
  <c r="X46" i="84"/>
  <c r="Y46" i="84" s="1"/>
  <c r="AR9" i="102"/>
  <c r="T9" i="96"/>
  <c r="AE34" i="108"/>
  <c r="Y47" i="84" l="1"/>
  <c r="Y49" i="84" s="1"/>
  <c r="Y50" i="84" s="1"/>
  <c r="Y51" i="84" s="1"/>
  <c r="AR12" i="102"/>
  <c r="Y13" i="72" s="1"/>
  <c r="Z13" i="72" s="1"/>
  <c r="T12" i="96"/>
  <c r="AJ17" i="96"/>
  <c r="K18" i="77" s="1"/>
  <c r="F32" i="85"/>
  <c r="O32" i="85"/>
  <c r="L32" i="85"/>
  <c r="N14" i="103"/>
  <c r="L15" i="103"/>
  <c r="AJ16" i="96"/>
  <c r="K17" i="77" s="1"/>
  <c r="AJ18" i="96"/>
  <c r="K19" i="77" s="1"/>
  <c r="AJ9" i="96"/>
  <c r="AJ10" i="96"/>
  <c r="K11" i="77" s="1"/>
  <c r="Y10" i="72"/>
  <c r="T13" i="96"/>
  <c r="AR13" i="102"/>
  <c r="Y14" i="72" s="1"/>
  <c r="Z14" i="72" s="1"/>
  <c r="T25" i="103"/>
  <c r="T14" i="96"/>
  <c r="AR14" i="102"/>
  <c r="Y15" i="72" s="1"/>
  <c r="Z15" i="72" s="1"/>
  <c r="T14" i="103"/>
  <c r="R15" i="103"/>
  <c r="K10" i="77" l="1"/>
  <c r="AJ13" i="96"/>
  <c r="K14" i="77" s="1"/>
  <c r="AJ14" i="96"/>
  <c r="K15" i="77" s="1"/>
  <c r="S49" i="109"/>
  <c r="T15" i="103"/>
  <c r="AO11" i="96" s="1"/>
  <c r="Z10" i="72"/>
  <c r="AJ12" i="96"/>
  <c r="K13" i="77" s="1"/>
  <c r="P49" i="109"/>
  <c r="N15" i="103"/>
  <c r="T19" i="103" l="1"/>
  <c r="T37" i="103" s="1"/>
  <c r="T41" i="103" s="1"/>
  <c r="T43" i="103" s="1"/>
  <c r="AR11" i="102"/>
  <c r="T11" i="96"/>
  <c r="N19" i="103"/>
  <c r="N37" i="103" s="1"/>
  <c r="N41" i="103" s="1"/>
  <c r="AO24" i="96"/>
  <c r="AO26" i="96" l="1"/>
  <c r="AO27" i="96" s="1"/>
  <c r="Y12" i="72"/>
  <c r="AR24" i="102"/>
  <c r="AR29" i="102" s="1"/>
  <c r="AJ11" i="96"/>
  <c r="T24" i="96"/>
  <c r="AR26" i="102"/>
  <c r="AR27" i="102" s="1"/>
  <c r="N43" i="103"/>
  <c r="T26" i="96"/>
  <c r="AJ26" i="96"/>
  <c r="T27" i="96" l="1"/>
  <c r="AJ24" i="96"/>
  <c r="AO29" i="96" s="1"/>
  <c r="K12" i="77"/>
  <c r="K26" i="77"/>
  <c r="Z12" i="72"/>
  <c r="Y24" i="72"/>
  <c r="Z24" i="72" s="1"/>
  <c r="AJ27" i="96" l="1"/>
  <c r="K24" i="77"/>
  <c r="K27" i="77" l="1"/>
  <c r="N31" i="105" l="1"/>
  <c r="AP19" i="96" s="1"/>
  <c r="J31" i="105"/>
  <c r="U19" i="96" s="1"/>
  <c r="N24" i="105"/>
  <c r="AP16" i="96" s="1"/>
  <c r="N34" i="105"/>
  <c r="AP21" i="96" s="1"/>
  <c r="N39" i="105"/>
  <c r="AP22" i="96" s="1"/>
  <c r="J39" i="105"/>
  <c r="N33" i="105"/>
  <c r="N23" i="105"/>
  <c r="AP15" i="96" s="1"/>
  <c r="AS19" i="102" l="1"/>
  <c r="AB20" i="72" s="1"/>
  <c r="AC20" i="72" s="1"/>
  <c r="AP20" i="96"/>
  <c r="N35" i="105"/>
  <c r="J34" i="105"/>
  <c r="M22" i="105"/>
  <c r="N21" i="105"/>
  <c r="J23" i="105"/>
  <c r="M14" i="105"/>
  <c r="N9" i="105"/>
  <c r="S30" i="42"/>
  <c r="N27" i="105"/>
  <c r="S56" i="40"/>
  <c r="N18" i="105"/>
  <c r="AP13" i="96" s="1"/>
  <c r="S30" i="43"/>
  <c r="N28" i="105"/>
  <c r="AP18" i="96" s="1"/>
  <c r="M17" i="105"/>
  <c r="N16" i="105"/>
  <c r="AS22" i="102"/>
  <c r="AB23" i="72" s="1"/>
  <c r="AC23" i="72" s="1"/>
  <c r="U22" i="96"/>
  <c r="N12" i="105"/>
  <c r="M13" i="105"/>
  <c r="J33" i="105"/>
  <c r="J24" i="105"/>
  <c r="AK19" i="96"/>
  <c r="N20" i="77" s="1"/>
  <c r="J35" i="105" l="1"/>
  <c r="AS20" i="102"/>
  <c r="AB21" i="72" s="1"/>
  <c r="AC21" i="72" s="1"/>
  <c r="U20" i="96"/>
  <c r="J16" i="105"/>
  <c r="I17" i="105"/>
  <c r="S40" i="39"/>
  <c r="N17" i="105"/>
  <c r="AP12" i="96" s="1"/>
  <c r="N8" i="105"/>
  <c r="W36" i="106"/>
  <c r="L33" i="85" s="1"/>
  <c r="R33" i="85" s="1"/>
  <c r="J9" i="105"/>
  <c r="I14" i="105"/>
  <c r="J12" i="105"/>
  <c r="I13" i="105"/>
  <c r="J28" i="105"/>
  <c r="P30" i="43"/>
  <c r="M15" i="105"/>
  <c r="N14" i="105"/>
  <c r="AS15" i="102"/>
  <c r="AB16" i="72" s="1"/>
  <c r="AC16" i="72" s="1"/>
  <c r="U15" i="96"/>
  <c r="U21" i="96"/>
  <c r="AS21" i="102"/>
  <c r="AB22" i="72" s="1"/>
  <c r="AC22" i="72" s="1"/>
  <c r="AD35" i="108"/>
  <c r="N13" i="105"/>
  <c r="AP10" i="96" s="1"/>
  <c r="J18" i="105"/>
  <c r="P56" i="40"/>
  <c r="I22" i="105"/>
  <c r="J21" i="105"/>
  <c r="U16" i="96"/>
  <c r="AS16" i="102"/>
  <c r="AB17" i="72" s="1"/>
  <c r="AC17" i="72" s="1"/>
  <c r="AK22" i="96"/>
  <c r="N23" i="77" s="1"/>
  <c r="N22" i="105"/>
  <c r="AP14" i="96" s="1"/>
  <c r="S42" i="41"/>
  <c r="N29" i="105"/>
  <c r="AP17" i="96"/>
  <c r="P30" i="42"/>
  <c r="J27" i="105"/>
  <c r="J8" i="105" l="1"/>
  <c r="T36" i="106"/>
  <c r="AA33" i="84" s="1"/>
  <c r="J17" i="105"/>
  <c r="P40" i="39"/>
  <c r="J29" i="105"/>
  <c r="AS17" i="102"/>
  <c r="AB18" i="72" s="1"/>
  <c r="AC18" i="72" s="1"/>
  <c r="U17" i="96"/>
  <c r="U13" i="96"/>
  <c r="AS13" i="102"/>
  <c r="AB14" i="72" s="1"/>
  <c r="AC14" i="72" s="1"/>
  <c r="AK16" i="96"/>
  <c r="N17" i="77" s="1"/>
  <c r="I15" i="105"/>
  <c r="J14" i="105"/>
  <c r="AK20" i="96"/>
  <c r="N21" i="77" s="1"/>
  <c r="N25" i="105"/>
  <c r="AE35" i="108"/>
  <c r="S50" i="109"/>
  <c r="N15" i="105"/>
  <c r="S14" i="41"/>
  <c r="S15" i="41"/>
  <c r="S16" i="41"/>
  <c r="P42" i="41"/>
  <c r="J22" i="105"/>
  <c r="J25" i="105" s="1"/>
  <c r="AK21" i="96"/>
  <c r="N22" i="77" s="1"/>
  <c r="AS18" i="102"/>
  <c r="AB19" i="72" s="1"/>
  <c r="AC19" i="72" s="1"/>
  <c r="U18" i="96"/>
  <c r="AP9" i="96"/>
  <c r="N10" i="105"/>
  <c r="AK15" i="96"/>
  <c r="N16" i="77" s="1"/>
  <c r="Y35" i="108"/>
  <c r="J13" i="105"/>
  <c r="AS10" i="102" l="1"/>
  <c r="AB11" i="72" s="1"/>
  <c r="AC11" i="72" s="1"/>
  <c r="U10" i="96"/>
  <c r="AP11" i="96"/>
  <c r="AP24" i="96" s="1"/>
  <c r="N19" i="105"/>
  <c r="N37" i="105" s="1"/>
  <c r="N41" i="105" s="1"/>
  <c r="J15" i="105"/>
  <c r="P50" i="109"/>
  <c r="Z35" i="108"/>
  <c r="AS12" i="102"/>
  <c r="AB13" i="72" s="1"/>
  <c r="AC13" i="72" s="1"/>
  <c r="U12" i="96"/>
  <c r="AS14" i="102"/>
  <c r="AB15" i="72" s="1"/>
  <c r="AC15" i="72" s="1"/>
  <c r="U14" i="96"/>
  <c r="AG33" i="84"/>
  <c r="C33" i="85" s="1"/>
  <c r="AA45" i="84"/>
  <c r="AB45" i="84" s="1"/>
  <c r="AA46" i="84"/>
  <c r="AB46" i="84" s="1"/>
  <c r="P14" i="41"/>
  <c r="Q14" i="41" s="1"/>
  <c r="P15" i="41"/>
  <c r="Q15" i="41" s="1"/>
  <c r="P16" i="41"/>
  <c r="U9" i="96"/>
  <c r="AS9" i="102"/>
  <c r="J10" i="105"/>
  <c r="AK13" i="96"/>
  <c r="N14" i="77" s="1"/>
  <c r="AK17" i="96"/>
  <c r="N18" i="77" s="1"/>
  <c r="AK18" i="96"/>
  <c r="N19" i="77" s="1"/>
  <c r="AB47" i="84" l="1"/>
  <c r="AB49" i="84" s="1"/>
  <c r="AB50" i="84" s="1"/>
  <c r="AB51" i="84" s="1"/>
  <c r="Q16" i="41"/>
  <c r="AS11" i="102"/>
  <c r="AB12" i="72" s="1"/>
  <c r="AC12" i="72" s="1"/>
  <c r="U11" i="96"/>
  <c r="U24" i="96" s="1"/>
  <c r="T15" i="41"/>
  <c r="AK12" i="96"/>
  <c r="N13" i="77" s="1"/>
  <c r="N43" i="105"/>
  <c r="AP26" i="96"/>
  <c r="AK14" i="96"/>
  <c r="N15" i="77" s="1"/>
  <c r="T14" i="41"/>
  <c r="T16" i="41"/>
  <c r="AB10" i="72"/>
  <c r="F33" i="85"/>
  <c r="I33" i="85"/>
  <c r="O33" i="85"/>
  <c r="AK10" i="96"/>
  <c r="N11" i="77" s="1"/>
  <c r="J19" i="105"/>
  <c r="J37" i="105" s="1"/>
  <c r="J41" i="105" s="1"/>
  <c r="AK9" i="96"/>
  <c r="AS24" i="102" l="1"/>
  <c r="AS29" i="102" s="1"/>
  <c r="AB24" i="72"/>
  <c r="AC24" i="72" s="1"/>
  <c r="AC10" i="72"/>
  <c r="N10" i="77"/>
  <c r="AP27" i="96"/>
  <c r="AK26" i="96"/>
  <c r="N26" i="77" s="1"/>
  <c r="AS26" i="102"/>
  <c r="J43" i="105"/>
  <c r="U26" i="96"/>
  <c r="U27" i="96" s="1"/>
  <c r="AK11" i="96"/>
  <c r="N12" i="77" s="1"/>
  <c r="AS27" i="102" l="1"/>
  <c r="AK24" i="96"/>
  <c r="AP29" i="96" s="1"/>
  <c r="N24" i="77"/>
  <c r="N27" i="77" l="1"/>
  <c r="AK27" i="96"/>
  <c r="H21" i="72" l="1"/>
  <c r="E20" i="96" l="1"/>
  <c r="H23" i="72" l="1"/>
  <c r="E22" i="96" l="1"/>
  <c r="N39" i="104" l="1"/>
  <c r="T39" i="104"/>
  <c r="AQ22" i="96" s="1"/>
  <c r="T34" i="104"/>
  <c r="AQ21" i="96" s="1"/>
  <c r="T33" i="104"/>
  <c r="T31" i="104" l="1"/>
  <c r="AQ19" i="96" s="1"/>
  <c r="S22" i="104"/>
  <c r="AQ20" i="96"/>
  <c r="T35" i="104"/>
  <c r="R13" i="104"/>
  <c r="T12" i="104"/>
  <c r="N33" i="104"/>
  <c r="S17" i="104"/>
  <c r="N34" i="104"/>
  <c r="AT22" i="102"/>
  <c r="Z22" i="96"/>
  <c r="N31" i="104"/>
  <c r="T24" i="104" l="1"/>
  <c r="AQ16" i="96" s="1"/>
  <c r="N35" i="104"/>
  <c r="AT20" i="102"/>
  <c r="Z20" i="96"/>
  <c r="L13" i="104"/>
  <c r="N12" i="104"/>
  <c r="T21" i="104"/>
  <c r="R22" i="104"/>
  <c r="M22" i="104"/>
  <c r="S14" i="104"/>
  <c r="S15" i="104" s="1"/>
  <c r="AT19" i="102"/>
  <c r="AE20" i="72" s="1"/>
  <c r="AF20" i="72" s="1"/>
  <c r="Z19" i="96"/>
  <c r="Z21" i="96"/>
  <c r="AT21" i="102"/>
  <c r="AE22" i="72" s="1"/>
  <c r="AF22" i="72" s="1"/>
  <c r="T13" i="104"/>
  <c r="AQ10" i="96" s="1"/>
  <c r="AD40" i="108"/>
  <c r="M17" i="104"/>
  <c r="AL22" i="96"/>
  <c r="AF22" i="96"/>
  <c r="R17" i="104"/>
  <c r="T16" i="104"/>
  <c r="AE23" i="72"/>
  <c r="AV22" i="102"/>
  <c r="W41" i="106"/>
  <c r="O38" i="85" s="1"/>
  <c r="R38" i="85" s="1"/>
  <c r="T8" i="104"/>
  <c r="AQ9" i="96" s="1"/>
  <c r="T23" i="104"/>
  <c r="AQ15" i="96" s="1"/>
  <c r="N24" i="104" l="1"/>
  <c r="AT16" i="102" s="1"/>
  <c r="AE17" i="72" s="1"/>
  <c r="AF17" i="72" s="1"/>
  <c r="S61" i="40"/>
  <c r="T18" i="104"/>
  <c r="AQ13" i="96" s="1"/>
  <c r="T28" i="104"/>
  <c r="AQ18" i="96" s="1"/>
  <c r="S35" i="43"/>
  <c r="M14" i="104"/>
  <c r="M15" i="104" s="1"/>
  <c r="T22" i="104"/>
  <c r="AQ14" i="96" s="1"/>
  <c r="S47" i="41"/>
  <c r="N8" i="104"/>
  <c r="T41" i="106"/>
  <c r="AD38" i="84" s="1"/>
  <c r="T17" i="104"/>
  <c r="AQ12" i="96" s="1"/>
  <c r="S45" i="39"/>
  <c r="N16" i="104"/>
  <c r="L17" i="104"/>
  <c r="N21" i="104"/>
  <c r="L22" i="104"/>
  <c r="AX22" i="102"/>
  <c r="AW22" i="102"/>
  <c r="I24" i="88" s="1"/>
  <c r="R14" i="104"/>
  <c r="T9" i="104"/>
  <c r="T10" i="104" s="1"/>
  <c r="AE40" i="108"/>
  <c r="AE46" i="108" s="1"/>
  <c r="AD46" i="108"/>
  <c r="N13" i="104"/>
  <c r="Y40" i="108"/>
  <c r="AF23" i="72"/>
  <c r="AH23" i="72"/>
  <c r="Q23" i="77"/>
  <c r="N23" i="104"/>
  <c r="AL20" i="96"/>
  <c r="AF20" i="96"/>
  <c r="T27" i="104"/>
  <c r="S35" i="42"/>
  <c r="AE21" i="72"/>
  <c r="AV20" i="102"/>
  <c r="AL21" i="96"/>
  <c r="Q22" i="77" s="1"/>
  <c r="AF21" i="96"/>
  <c r="AL19" i="96"/>
  <c r="Q20" i="77" s="1"/>
  <c r="AF19" i="96"/>
  <c r="Z16" i="96" l="1"/>
  <c r="AF16" i="96" s="1"/>
  <c r="T25" i="104"/>
  <c r="P35" i="43"/>
  <c r="N28" i="104"/>
  <c r="N27" i="104"/>
  <c r="P35" i="42"/>
  <c r="AX20" i="102"/>
  <c r="AW20" i="102"/>
  <c r="I22" i="88" s="1"/>
  <c r="AF21" i="72"/>
  <c r="AH21" i="72"/>
  <c r="Z40" i="108"/>
  <c r="Z46" i="108" s="1"/>
  <c r="Y46" i="108"/>
  <c r="L24" i="88"/>
  <c r="J24" i="88"/>
  <c r="AT10" i="102"/>
  <c r="AE11" i="72" s="1"/>
  <c r="AF11" i="72" s="1"/>
  <c r="Z10" i="96"/>
  <c r="N9" i="104"/>
  <c r="N10" i="104" s="1"/>
  <c r="L14" i="104"/>
  <c r="Q21" i="77"/>
  <c r="P47" i="41"/>
  <c r="N22" i="104"/>
  <c r="AT15" i="102"/>
  <c r="AE16" i="72" s="1"/>
  <c r="AF16" i="72" s="1"/>
  <c r="Z15" i="96"/>
  <c r="AQ17" i="96"/>
  <c r="T29" i="104"/>
  <c r="P45" i="39"/>
  <c r="N17" i="104"/>
  <c r="R15" i="104"/>
  <c r="T14" i="104"/>
  <c r="AG38" i="84"/>
  <c r="C38" i="85" s="1"/>
  <c r="AD45" i="84"/>
  <c r="AE45" i="84" s="1"/>
  <c r="AD46" i="84"/>
  <c r="AE46" i="84" s="1"/>
  <c r="AK23" i="72"/>
  <c r="E23" i="77" s="1"/>
  <c r="AI23" i="72"/>
  <c r="AT9" i="102"/>
  <c r="Z9" i="96"/>
  <c r="P61" i="40"/>
  <c r="N18" i="104"/>
  <c r="AL16" i="96" l="1"/>
  <c r="Q17" i="77" s="1"/>
  <c r="AE47" i="84"/>
  <c r="AE49" i="84" s="1"/>
  <c r="AE50" i="84" s="1"/>
  <c r="AE51" i="84" s="1"/>
  <c r="N24" i="88"/>
  <c r="L22" i="88"/>
  <c r="J22" i="88"/>
  <c r="AT13" i="102"/>
  <c r="AE14" i="72" s="1"/>
  <c r="AF14" i="72" s="1"/>
  <c r="Z13" i="96"/>
  <c r="L38" i="85"/>
  <c r="F38" i="85"/>
  <c r="I38" i="85"/>
  <c r="AL9" i="96"/>
  <c r="AF9" i="96"/>
  <c r="T15" i="104"/>
  <c r="AQ11" i="96" s="1"/>
  <c r="S55" i="109"/>
  <c r="AL15" i="96"/>
  <c r="Q16" i="77" s="1"/>
  <c r="AF15" i="96"/>
  <c r="L15" i="104"/>
  <c r="N14" i="104"/>
  <c r="AE10" i="72"/>
  <c r="AT12" i="102"/>
  <c r="AE13" i="72" s="1"/>
  <c r="AF13" i="72" s="1"/>
  <c r="Z12" i="96"/>
  <c r="AL10" i="96"/>
  <c r="Q11" i="77" s="1"/>
  <c r="AF10" i="96"/>
  <c r="AI21" i="72"/>
  <c r="AK21" i="72"/>
  <c r="E21" i="77" s="1"/>
  <c r="N29" i="104"/>
  <c r="Z17" i="96"/>
  <c r="AT17" i="102"/>
  <c r="AE18" i="72" s="1"/>
  <c r="AF18" i="72" s="1"/>
  <c r="N25" i="104"/>
  <c r="AT14" i="102"/>
  <c r="AE15" i="72" s="1"/>
  <c r="AF15" i="72" s="1"/>
  <c r="Z14" i="96"/>
  <c r="AT18" i="102"/>
  <c r="AE19" i="72" s="1"/>
  <c r="AF19" i="72" s="1"/>
  <c r="Z18" i="96"/>
  <c r="AL14" i="96" l="1"/>
  <c r="Q15" i="77" s="1"/>
  <c r="AF14" i="96"/>
  <c r="AL17" i="96"/>
  <c r="Q18" i="77" s="1"/>
  <c r="AF17" i="96"/>
  <c r="AF10" i="72"/>
  <c r="AQ24" i="96"/>
  <c r="AL13" i="96"/>
  <c r="Q14" i="77" s="1"/>
  <c r="AF13" i="96"/>
  <c r="Q10" i="77"/>
  <c r="N22" i="88"/>
  <c r="AL18" i="96"/>
  <c r="Q19" i="77" s="1"/>
  <c r="AF18" i="96"/>
  <c r="P55" i="109"/>
  <c r="N15" i="104"/>
  <c r="T19" i="104"/>
  <c r="T37" i="104" s="1"/>
  <c r="T41" i="104" s="1"/>
  <c r="AL12" i="96"/>
  <c r="Q13" i="77" s="1"/>
  <c r="AF12" i="96"/>
  <c r="AH22" i="72"/>
  <c r="H22" i="72"/>
  <c r="N19" i="104" l="1"/>
  <c r="N37" i="104" s="1"/>
  <c r="N41" i="104" s="1"/>
  <c r="Z11" i="96"/>
  <c r="AT11" i="102"/>
  <c r="T43" i="104"/>
  <c r="AQ26" i="96"/>
  <c r="AV9" i="102"/>
  <c r="AH17" i="72"/>
  <c r="E21" i="96"/>
  <c r="AV21" i="102"/>
  <c r="AI22" i="72"/>
  <c r="AK22" i="72"/>
  <c r="E22" i="77" s="1"/>
  <c r="E9" i="96" l="1"/>
  <c r="AV10" i="102"/>
  <c r="AQ27" i="96"/>
  <c r="AE12" i="72"/>
  <c r="AT24" i="102"/>
  <c r="AT29" i="102" s="1"/>
  <c r="AL11" i="96"/>
  <c r="AF11" i="96"/>
  <c r="AF24" i="96" s="1"/>
  <c r="Z24" i="96"/>
  <c r="AF26" i="96" s="1"/>
  <c r="AL26" i="96"/>
  <c r="AT26" i="102"/>
  <c r="N43" i="104"/>
  <c r="Z26" i="96"/>
  <c r="H11" i="72"/>
  <c r="AB48" i="108" s="1"/>
  <c r="AH16" i="72"/>
  <c r="AH20" i="72"/>
  <c r="AH14" i="72"/>
  <c r="H17" i="72"/>
  <c r="AV16" i="102"/>
  <c r="AH13" i="72"/>
  <c r="AX21" i="102"/>
  <c r="AW21" i="102"/>
  <c r="I23" i="88" s="1"/>
  <c r="AK17" i="72"/>
  <c r="E17" i="77" s="1"/>
  <c r="AI17" i="72"/>
  <c r="AH15" i="72"/>
  <c r="H15" i="72"/>
  <c r="Q55" i="41" s="1"/>
  <c r="AX9" i="102"/>
  <c r="AW9" i="102"/>
  <c r="AK16" i="72" l="1"/>
  <c r="E16" i="77" s="1"/>
  <c r="H10" i="72"/>
  <c r="U50" i="106" s="1"/>
  <c r="AH10" i="72"/>
  <c r="AH12" i="72"/>
  <c r="AI12" i="72" s="1"/>
  <c r="E10" i="96"/>
  <c r="AH11" i="72"/>
  <c r="AF27" i="96"/>
  <c r="AL24" i="96"/>
  <c r="AQ29" i="96" s="1"/>
  <c r="Q12" i="77"/>
  <c r="AF12" i="72"/>
  <c r="AE24" i="72"/>
  <c r="AF24" i="72" s="1"/>
  <c r="Q26" i="77"/>
  <c r="AT27" i="102"/>
  <c r="H12" i="72"/>
  <c r="Q65" i="109" s="1"/>
  <c r="AI16" i="72"/>
  <c r="H20" i="72"/>
  <c r="H14" i="72"/>
  <c r="Q72" i="40" s="1"/>
  <c r="H16" i="72"/>
  <c r="E19" i="96"/>
  <c r="E12" i="96"/>
  <c r="H13" i="72"/>
  <c r="Q53" i="39" s="1"/>
  <c r="AV13" i="102"/>
  <c r="E16" i="96"/>
  <c r="J23" i="88"/>
  <c r="L23" i="88"/>
  <c r="N23" i="88" s="1"/>
  <c r="AK14" i="72"/>
  <c r="E14" i="77" s="1"/>
  <c r="AI14" i="72"/>
  <c r="AX16" i="102"/>
  <c r="AW16" i="102"/>
  <c r="I18" i="88" s="1"/>
  <c r="AV14" i="102"/>
  <c r="E14" i="96"/>
  <c r="AI20" i="72"/>
  <c r="AK20" i="72"/>
  <c r="E20" i="77" s="1"/>
  <c r="AI13" i="72"/>
  <c r="AK13" i="72"/>
  <c r="E13" i="77" s="1"/>
  <c r="E11" i="96"/>
  <c r="AV11" i="102"/>
  <c r="AK15" i="72"/>
  <c r="E15" i="77" s="1"/>
  <c r="AI15" i="72"/>
  <c r="I11" i="88"/>
  <c r="L11" i="88" s="1"/>
  <c r="AW10" i="102"/>
  <c r="I12" i="88" s="1"/>
  <c r="AX10" i="102"/>
  <c r="AK12" i="72" l="1"/>
  <c r="E12" i="77" s="1"/>
  <c r="Q24" i="77"/>
  <c r="AI11" i="72"/>
  <c r="AB49" i="108"/>
  <c r="AI10" i="72"/>
  <c r="AK10" i="72"/>
  <c r="E10" i="77" s="1"/>
  <c r="AK11" i="72"/>
  <c r="E11" i="77" s="1"/>
  <c r="AV19" i="102"/>
  <c r="AX19" i="102" s="1"/>
  <c r="Q27" i="77"/>
  <c r="AL27" i="96"/>
  <c r="E13" i="96"/>
  <c r="AV12" i="102"/>
  <c r="AW12" i="102" s="1"/>
  <c r="I14" i="88" s="1"/>
  <c r="E15" i="96"/>
  <c r="AV15" i="102"/>
  <c r="AX14" i="102"/>
  <c r="AW14" i="102"/>
  <c r="I16" i="88" s="1"/>
  <c r="AX11" i="102"/>
  <c r="AW11" i="102"/>
  <c r="I13" i="88" s="1"/>
  <c r="Q54" i="39"/>
  <c r="L18" i="88"/>
  <c r="N18" i="88" s="1"/>
  <c r="J18" i="88"/>
  <c r="L12" i="88"/>
  <c r="N12" i="88" s="1"/>
  <c r="J12" i="88"/>
  <c r="AW13" i="102"/>
  <c r="I15" i="88" s="1"/>
  <c r="AX13" i="102"/>
  <c r="Q66" i="109"/>
  <c r="Q73" i="40"/>
  <c r="J11" i="88"/>
  <c r="Q56" i="41"/>
  <c r="U51" i="106" l="1"/>
  <c r="N11" i="88"/>
  <c r="AW19" i="102"/>
  <c r="I21" i="88" s="1"/>
  <c r="L21" i="88" s="1"/>
  <c r="N21" i="88" s="1"/>
  <c r="AX12" i="102"/>
  <c r="AW15" i="102"/>
  <c r="I17" i="88" s="1"/>
  <c r="AX15" i="102"/>
  <c r="J15" i="88"/>
  <c r="L15" i="88"/>
  <c r="N15" i="88" s="1"/>
  <c r="AH19" i="72"/>
  <c r="H19" i="72"/>
  <c r="Q43" i="43" s="1"/>
  <c r="AH18" i="72"/>
  <c r="H18" i="72"/>
  <c r="Q43" i="42" s="1"/>
  <c r="G24" i="72"/>
  <c r="J14" i="88"/>
  <c r="L14" i="88"/>
  <c r="N14" i="88" s="1"/>
  <c r="L13" i="88"/>
  <c r="N13" i="88" s="1"/>
  <c r="J13" i="88"/>
  <c r="L16" i="88"/>
  <c r="N16" i="88" s="1"/>
  <c r="J16" i="88"/>
  <c r="J21" i="88" l="1"/>
  <c r="J17" i="88"/>
  <c r="L17" i="88"/>
  <c r="N17" i="88" s="1"/>
  <c r="AK18" i="72"/>
  <c r="AI18" i="72"/>
  <c r="AH24" i="72"/>
  <c r="AK19" i="72"/>
  <c r="E19" i="77" s="1"/>
  <c r="AI19" i="72"/>
  <c r="H24" i="72"/>
  <c r="G27" i="72"/>
  <c r="H24" i="77"/>
  <c r="T48" i="106"/>
  <c r="U18" i="106"/>
  <c r="F17" i="84"/>
  <c r="T11" i="106"/>
  <c r="U11" i="106" s="1"/>
  <c r="F16" i="84"/>
  <c r="U17" i="106"/>
  <c r="T47" i="106"/>
  <c r="T10" i="106"/>
  <c r="H27" i="77" l="1"/>
  <c r="AI24" i="72"/>
  <c r="E18" i="77"/>
  <c r="AK24" i="72"/>
  <c r="Q44" i="43"/>
  <c r="E17" i="96"/>
  <c r="AV17" i="102"/>
  <c r="AL24" i="102"/>
  <c r="AG16" i="84"/>
  <c r="F45" i="84"/>
  <c r="G45" i="84" s="1"/>
  <c r="P11" i="42"/>
  <c r="P41" i="42"/>
  <c r="Q15" i="42"/>
  <c r="AA20" i="108"/>
  <c r="Z20" i="108"/>
  <c r="AB20" i="108" s="1"/>
  <c r="Y14" i="108"/>
  <c r="Q22" i="41"/>
  <c r="P53" i="41"/>
  <c r="P12" i="41"/>
  <c r="H19" i="106"/>
  <c r="K19" i="106" s="1"/>
  <c r="H14" i="106"/>
  <c r="K14" i="106" s="1"/>
  <c r="N14" i="106" s="1"/>
  <c r="H22" i="106"/>
  <c r="K22" i="106" s="1"/>
  <c r="N22" i="106" s="1"/>
  <c r="H10" i="106"/>
  <c r="K10" i="106" s="1"/>
  <c r="N10" i="106" s="1"/>
  <c r="H15" i="106"/>
  <c r="K15" i="106" s="1"/>
  <c r="N15" i="106" s="1"/>
  <c r="H30" i="106"/>
  <c r="K30" i="106" s="1"/>
  <c r="N30" i="106" s="1"/>
  <c r="H23" i="106"/>
  <c r="K23" i="106" s="1"/>
  <c r="N23" i="106" s="1"/>
  <c r="H28" i="106"/>
  <c r="K28" i="106" s="1"/>
  <c r="N28" i="106" s="1"/>
  <c r="H20" i="106"/>
  <c r="K20" i="106" s="1"/>
  <c r="N20" i="106" s="1"/>
  <c r="H27" i="106"/>
  <c r="K27" i="106" s="1"/>
  <c r="N27" i="106" s="1"/>
  <c r="H12" i="106"/>
  <c r="K12" i="106" s="1"/>
  <c r="N12" i="106" s="1"/>
  <c r="H13" i="106"/>
  <c r="K13" i="106" s="1"/>
  <c r="N13" i="106" s="1"/>
  <c r="H29" i="106"/>
  <c r="K29" i="106" s="1"/>
  <c r="N29" i="106" s="1"/>
  <c r="H31" i="106"/>
  <c r="K31" i="106" s="1"/>
  <c r="N31" i="106" s="1"/>
  <c r="H11" i="106"/>
  <c r="K11" i="106" s="1"/>
  <c r="N11" i="106" s="1"/>
  <c r="H21" i="106"/>
  <c r="K21" i="106" s="1"/>
  <c r="N21" i="106" s="1"/>
  <c r="U10" i="106"/>
  <c r="H17" i="106"/>
  <c r="K17" i="106" s="1"/>
  <c r="N17" i="106" s="1"/>
  <c r="H26" i="106"/>
  <c r="K26" i="106" s="1"/>
  <c r="N26" i="106" s="1"/>
  <c r="H25" i="106"/>
  <c r="K25" i="106" s="1"/>
  <c r="N25" i="106" s="1"/>
  <c r="H9" i="106"/>
  <c r="K9" i="106" s="1"/>
  <c r="N9" i="106" s="1"/>
  <c r="H24" i="106"/>
  <c r="K24" i="106" s="1"/>
  <c r="N24" i="106" s="1"/>
  <c r="H16" i="106"/>
  <c r="K16" i="106" s="1"/>
  <c r="N16" i="106" s="1"/>
  <c r="H18" i="106"/>
  <c r="K18" i="106" s="1"/>
  <c r="N18" i="106" s="1"/>
  <c r="Q44" i="42"/>
  <c r="AG17" i="84"/>
  <c r="F46" i="84"/>
  <c r="G46" i="84" s="1"/>
  <c r="Y13" i="108"/>
  <c r="AA19" i="108"/>
  <c r="Z19" i="108"/>
  <c r="AB19" i="108" s="1"/>
  <c r="Q15" i="43"/>
  <c r="P41" i="43"/>
  <c r="P11" i="43"/>
  <c r="W11" i="106"/>
  <c r="X11" i="106" s="1"/>
  <c r="F17" i="85"/>
  <c r="X18" i="106"/>
  <c r="W48" i="106"/>
  <c r="E18" i="96"/>
  <c r="AV18" i="102"/>
  <c r="N19" i="106" l="1"/>
  <c r="AE19" i="108"/>
  <c r="AG19" i="108" s="1"/>
  <c r="AD13" i="108"/>
  <c r="AF19" i="108"/>
  <c r="Q30" i="109"/>
  <c r="P14" i="109"/>
  <c r="T22" i="41"/>
  <c r="S53" i="41"/>
  <c r="S12" i="41"/>
  <c r="G24" i="42"/>
  <c r="J24" i="42" s="1"/>
  <c r="G32" i="42"/>
  <c r="J32" i="42" s="1"/>
  <c r="G20" i="42"/>
  <c r="J20" i="42" s="1"/>
  <c r="G30" i="42"/>
  <c r="J30" i="42" s="1"/>
  <c r="G12" i="42"/>
  <c r="J12" i="42" s="1"/>
  <c r="G10" i="42"/>
  <c r="J10" i="42" s="1"/>
  <c r="G26" i="42"/>
  <c r="J26" i="42" s="1"/>
  <c r="G19" i="42"/>
  <c r="J19" i="42" s="1"/>
  <c r="G27" i="42"/>
  <c r="J27" i="42" s="1"/>
  <c r="G15" i="42"/>
  <c r="J15" i="42" s="1"/>
  <c r="G18" i="42"/>
  <c r="J18" i="42" s="1"/>
  <c r="G16" i="42"/>
  <c r="J16" i="42" s="1"/>
  <c r="G23" i="42"/>
  <c r="J23" i="42" s="1"/>
  <c r="Q11" i="42"/>
  <c r="G31" i="42"/>
  <c r="J31" i="42" s="1"/>
  <c r="G11" i="42"/>
  <c r="J11" i="42" s="1"/>
  <c r="G22" i="42"/>
  <c r="J22" i="42" s="1"/>
  <c r="G14" i="42"/>
  <c r="J14" i="42" s="1"/>
  <c r="G28" i="42"/>
  <c r="J28" i="42" s="1"/>
  <c r="S41" i="42"/>
  <c r="T15" i="42"/>
  <c r="S11" i="42"/>
  <c r="G47" i="84"/>
  <c r="G49" i="84" s="1"/>
  <c r="G50" i="84" s="1"/>
  <c r="G51" i="84" s="1"/>
  <c r="E24" i="96"/>
  <c r="P12" i="109"/>
  <c r="Q12" i="109" s="1"/>
  <c r="P61" i="109"/>
  <c r="Q28" i="109"/>
  <c r="R17" i="85"/>
  <c r="R46" i="85" s="1"/>
  <c r="S46" i="85" s="1"/>
  <c r="F46" i="85"/>
  <c r="G46" i="85" s="1"/>
  <c r="Q22" i="39"/>
  <c r="P51" i="39"/>
  <c r="P12" i="39"/>
  <c r="C16" i="85"/>
  <c r="AG45" i="84"/>
  <c r="AH45" i="84" s="1"/>
  <c r="F16" i="85"/>
  <c r="X17" i="106"/>
  <c r="W47" i="106"/>
  <c r="W10" i="106"/>
  <c r="Q32" i="40"/>
  <c r="P67" i="40"/>
  <c r="P13" i="40"/>
  <c r="Q13" i="40" s="1"/>
  <c r="Z14" i="108"/>
  <c r="AB14" i="108" s="1"/>
  <c r="AA14" i="108"/>
  <c r="AL29" i="102"/>
  <c r="E26" i="96"/>
  <c r="AL27" i="102"/>
  <c r="G22" i="41"/>
  <c r="J22" i="41" s="1"/>
  <c r="G12" i="41"/>
  <c r="J12" i="41" s="1"/>
  <c r="G31" i="41"/>
  <c r="J31" i="41" s="1"/>
  <c r="G23" i="41"/>
  <c r="J23" i="41" s="1"/>
  <c r="G35" i="41"/>
  <c r="J35" i="41" s="1"/>
  <c r="G26" i="41"/>
  <c r="J26" i="41" s="1"/>
  <c r="G32" i="41"/>
  <c r="J32" i="41" s="1"/>
  <c r="G30" i="41"/>
  <c r="J30" i="41" s="1"/>
  <c r="G19" i="41"/>
  <c r="J19" i="41" s="1"/>
  <c r="G15" i="41"/>
  <c r="J15" i="41" s="1"/>
  <c r="G14" i="41"/>
  <c r="J14" i="41" s="1"/>
  <c r="G16" i="41"/>
  <c r="J16" i="41" s="1"/>
  <c r="G10" i="41"/>
  <c r="J10" i="41" s="1"/>
  <c r="G18" i="41"/>
  <c r="J18" i="41" s="1"/>
  <c r="G24" i="41"/>
  <c r="J24" i="41" s="1"/>
  <c r="G20" i="41"/>
  <c r="J20" i="41" s="1"/>
  <c r="G11" i="41"/>
  <c r="J11" i="41" s="1"/>
  <c r="G27" i="41"/>
  <c r="J27" i="41" s="1"/>
  <c r="Q12" i="41"/>
  <c r="G34" i="41"/>
  <c r="J34" i="41" s="1"/>
  <c r="G28" i="41"/>
  <c r="J28" i="41" s="1"/>
  <c r="G36" i="41"/>
  <c r="J36" i="41" s="1"/>
  <c r="Z21" i="108"/>
  <c r="AB21" i="108" s="1"/>
  <c r="AA21" i="108"/>
  <c r="Y15" i="108"/>
  <c r="AA13" i="108"/>
  <c r="Z13" i="108"/>
  <c r="AB13" i="108" s="1"/>
  <c r="S41" i="43"/>
  <c r="T15" i="43"/>
  <c r="S11" i="43"/>
  <c r="AW18" i="102"/>
  <c r="I20" i="88" s="1"/>
  <c r="AX18" i="102"/>
  <c r="G20" i="43"/>
  <c r="J20" i="43" s="1"/>
  <c r="G26" i="43"/>
  <c r="J26" i="43" s="1"/>
  <c r="G32" i="43"/>
  <c r="J32" i="43" s="1"/>
  <c r="G15" i="43"/>
  <c r="J15" i="43" s="1"/>
  <c r="G10" i="43"/>
  <c r="J10" i="43" s="1"/>
  <c r="G12" i="43"/>
  <c r="J12" i="43" s="1"/>
  <c r="G27" i="43"/>
  <c r="J27" i="43" s="1"/>
  <c r="G28" i="43"/>
  <c r="J28" i="43" s="1"/>
  <c r="G31" i="43"/>
  <c r="J31" i="43" s="1"/>
  <c r="G22" i="43"/>
  <c r="J22" i="43" s="1"/>
  <c r="G16" i="43"/>
  <c r="J16" i="43" s="1"/>
  <c r="G24" i="43"/>
  <c r="J24" i="43" s="1"/>
  <c r="G18" i="43"/>
  <c r="J18" i="43" s="1"/>
  <c r="G23" i="43"/>
  <c r="J23" i="43" s="1"/>
  <c r="G11" i="43"/>
  <c r="J11" i="43" s="1"/>
  <c r="G30" i="43"/>
  <c r="J30" i="43" s="1"/>
  <c r="G14" i="43"/>
  <c r="J14" i="43" s="1"/>
  <c r="Q11" i="43"/>
  <c r="G19" i="43"/>
  <c r="J19" i="43" s="1"/>
  <c r="AD14" i="108"/>
  <c r="AE20" i="108"/>
  <c r="AG20" i="108" s="1"/>
  <c r="AF20" i="108"/>
  <c r="AG46" i="84"/>
  <c r="AH46" i="84" s="1"/>
  <c r="C17" i="85"/>
  <c r="AN24" i="96"/>
  <c r="AX17" i="102"/>
  <c r="AW17" i="102"/>
  <c r="AV24" i="102"/>
  <c r="E24" i="77"/>
  <c r="P19" i="40" l="1"/>
  <c r="Q19" i="40" s="1"/>
  <c r="S13" i="40"/>
  <c r="T13" i="40" s="1"/>
  <c r="T32" i="40"/>
  <c r="S67" i="40"/>
  <c r="AH47" i="84"/>
  <c r="AH49" i="84" s="1"/>
  <c r="AH50" i="84" s="1"/>
  <c r="AH51" i="84" s="1"/>
  <c r="P17" i="40"/>
  <c r="Q17" i="40" s="1"/>
  <c r="Q35" i="40"/>
  <c r="P69" i="40"/>
  <c r="AF14" i="108"/>
  <c r="AE14" i="108"/>
  <c r="AG14" i="108" s="1"/>
  <c r="AE21" i="108"/>
  <c r="AG21" i="108" s="1"/>
  <c r="AD15" i="108"/>
  <c r="AF21" i="108"/>
  <c r="I16" i="85"/>
  <c r="I45" i="85" s="1"/>
  <c r="J45" i="85" s="1"/>
  <c r="C45" i="85"/>
  <c r="D45" i="85" s="1"/>
  <c r="L16" i="85"/>
  <c r="L45" i="85" s="1"/>
  <c r="M45" i="85" s="1"/>
  <c r="O16" i="85"/>
  <c r="O45" i="85" s="1"/>
  <c r="P45" i="85" s="1"/>
  <c r="H34" i="41"/>
  <c r="K34" i="41" s="1"/>
  <c r="H12" i="41"/>
  <c r="K12" i="41" s="1"/>
  <c r="H14" i="41"/>
  <c r="K14" i="41" s="1"/>
  <c r="H36" i="41"/>
  <c r="K36" i="41" s="1"/>
  <c r="H20" i="41"/>
  <c r="K20" i="41" s="1"/>
  <c r="H15" i="41"/>
  <c r="K15" i="41" s="1"/>
  <c r="H24" i="41"/>
  <c r="K24" i="41" s="1"/>
  <c r="H19" i="41"/>
  <c r="K19" i="41" s="1"/>
  <c r="H30" i="41"/>
  <c r="K30" i="41" s="1"/>
  <c r="H27" i="41"/>
  <c r="K27" i="41" s="1"/>
  <c r="H26" i="41"/>
  <c r="K26" i="41" s="1"/>
  <c r="H23" i="41"/>
  <c r="K23" i="41" s="1"/>
  <c r="H35" i="41"/>
  <c r="K35" i="41" s="1"/>
  <c r="H16" i="41"/>
  <c r="K16" i="41" s="1"/>
  <c r="H11" i="41"/>
  <c r="K11" i="41" s="1"/>
  <c r="H32" i="41"/>
  <c r="K32" i="41" s="1"/>
  <c r="H18" i="41"/>
  <c r="K18" i="41" s="1"/>
  <c r="H31" i="41"/>
  <c r="K31" i="41" s="1"/>
  <c r="H22" i="41"/>
  <c r="K22" i="41" s="1"/>
  <c r="T12" i="41"/>
  <c r="H28" i="41"/>
  <c r="K28" i="41" s="1"/>
  <c r="H10" i="41"/>
  <c r="K10" i="41" s="1"/>
  <c r="E27" i="96"/>
  <c r="S12" i="109"/>
  <c r="T12" i="109" s="1"/>
  <c r="T28" i="109"/>
  <c r="S61" i="109"/>
  <c r="G10" i="109"/>
  <c r="J10" i="109" s="1"/>
  <c r="Q14" i="109"/>
  <c r="AV29" i="102"/>
  <c r="AV30" i="102" s="1"/>
  <c r="R16" i="85"/>
  <c r="R45" i="85" s="1"/>
  <c r="S45" i="85" s="1"/>
  <c r="S47" i="85" s="1"/>
  <c r="S49" i="85" s="1"/>
  <c r="F45" i="85"/>
  <c r="G45" i="85" s="1"/>
  <c r="G47" i="85" s="1"/>
  <c r="G49" i="85" s="1"/>
  <c r="P13" i="109"/>
  <c r="Q13" i="109" s="1"/>
  <c r="Q29" i="109"/>
  <c r="P62" i="109"/>
  <c r="J20" i="88"/>
  <c r="L20" i="88"/>
  <c r="N20" i="88" s="1"/>
  <c r="F13" i="108"/>
  <c r="F29" i="108"/>
  <c r="F28" i="108"/>
  <c r="F37" i="108"/>
  <c r="F17" i="108"/>
  <c r="F36" i="108"/>
  <c r="F15" i="108"/>
  <c r="F11" i="108"/>
  <c r="F33" i="108"/>
  <c r="F27" i="108"/>
  <c r="F16" i="108"/>
  <c r="F41" i="108"/>
  <c r="F20" i="108"/>
  <c r="F25" i="108"/>
  <c r="F40" i="108"/>
  <c r="F35" i="108"/>
  <c r="Z15" i="108"/>
  <c r="AA15" i="108"/>
  <c r="F19" i="108"/>
  <c r="F39" i="108"/>
  <c r="F32" i="108"/>
  <c r="F24" i="108"/>
  <c r="F31" i="108"/>
  <c r="F21" i="108"/>
  <c r="F23" i="108"/>
  <c r="F12" i="108"/>
  <c r="I23" i="106"/>
  <c r="L23" i="106" s="1"/>
  <c r="O23" i="106" s="1"/>
  <c r="I13" i="106"/>
  <c r="L13" i="106" s="1"/>
  <c r="O13" i="106" s="1"/>
  <c r="I16" i="106"/>
  <c r="L16" i="106" s="1"/>
  <c r="O16" i="106" s="1"/>
  <c r="I9" i="106"/>
  <c r="L9" i="106" s="1"/>
  <c r="O9" i="106" s="1"/>
  <c r="I21" i="106"/>
  <c r="L21" i="106" s="1"/>
  <c r="O21" i="106" s="1"/>
  <c r="I22" i="106"/>
  <c r="L22" i="106" s="1"/>
  <c r="O22" i="106" s="1"/>
  <c r="I30" i="106"/>
  <c r="L30" i="106" s="1"/>
  <c r="O30" i="106" s="1"/>
  <c r="I12" i="106"/>
  <c r="L12" i="106" s="1"/>
  <c r="O12" i="106" s="1"/>
  <c r="I18" i="106"/>
  <c r="L18" i="106" s="1"/>
  <c r="O18" i="106" s="1"/>
  <c r="I24" i="106"/>
  <c r="L24" i="106" s="1"/>
  <c r="O24" i="106" s="1"/>
  <c r="I25" i="106"/>
  <c r="L25" i="106" s="1"/>
  <c r="O25" i="106" s="1"/>
  <c r="I15" i="106"/>
  <c r="L15" i="106" s="1"/>
  <c r="O15" i="106" s="1"/>
  <c r="I11" i="106"/>
  <c r="L11" i="106" s="1"/>
  <c r="O11" i="106" s="1"/>
  <c r="I28" i="106"/>
  <c r="L28" i="106" s="1"/>
  <c r="O28" i="106" s="1"/>
  <c r="I27" i="106"/>
  <c r="L27" i="106" s="1"/>
  <c r="O27" i="106" s="1"/>
  <c r="I17" i="106"/>
  <c r="L17" i="106" s="1"/>
  <c r="O17" i="106" s="1"/>
  <c r="I14" i="106"/>
  <c r="L14" i="106" s="1"/>
  <c r="O14" i="106" s="1"/>
  <c r="I29" i="106"/>
  <c r="L29" i="106" s="1"/>
  <c r="O29" i="106" s="1"/>
  <c r="I10" i="106"/>
  <c r="L10" i="106" s="1"/>
  <c r="O10" i="106" s="1"/>
  <c r="I26" i="106"/>
  <c r="L26" i="106" s="1"/>
  <c r="O26" i="106" s="1"/>
  <c r="I31" i="106"/>
  <c r="L31" i="106" s="1"/>
  <c r="O31" i="106" s="1"/>
  <c r="X10" i="106"/>
  <c r="I19" i="106"/>
  <c r="L19" i="106" s="1"/>
  <c r="I20" i="106"/>
  <c r="L20" i="106" s="1"/>
  <c r="O20" i="106" s="1"/>
  <c r="H14" i="42"/>
  <c r="K14" i="42" s="1"/>
  <c r="H27" i="42"/>
  <c r="K27" i="42" s="1"/>
  <c r="H31" i="42"/>
  <c r="K31" i="42" s="1"/>
  <c r="H12" i="42"/>
  <c r="K12" i="42" s="1"/>
  <c r="H26" i="42"/>
  <c r="K26" i="42" s="1"/>
  <c r="H18" i="42"/>
  <c r="K18" i="42" s="1"/>
  <c r="H32" i="42"/>
  <c r="K32" i="42" s="1"/>
  <c r="H20" i="42"/>
  <c r="K20" i="42" s="1"/>
  <c r="H15" i="42"/>
  <c r="K15" i="42" s="1"/>
  <c r="H22" i="42"/>
  <c r="K22" i="42" s="1"/>
  <c r="H23" i="42"/>
  <c r="K23" i="42" s="1"/>
  <c r="H10" i="42"/>
  <c r="K10" i="42" s="1"/>
  <c r="H11" i="42"/>
  <c r="K11" i="42" s="1"/>
  <c r="H24" i="42"/>
  <c r="K24" i="42" s="1"/>
  <c r="H19" i="42"/>
  <c r="K19" i="42" s="1"/>
  <c r="H30" i="42"/>
  <c r="K30" i="42" s="1"/>
  <c r="T11" i="42"/>
  <c r="H28" i="42"/>
  <c r="K28" i="42" s="1"/>
  <c r="H16" i="42"/>
  <c r="K16" i="42" s="1"/>
  <c r="T22" i="39"/>
  <c r="S51" i="39"/>
  <c r="S12" i="39"/>
  <c r="I19" i="88"/>
  <c r="AW24" i="102"/>
  <c r="AK26" i="72" s="1"/>
  <c r="AK27" i="72" s="1"/>
  <c r="L17" i="85"/>
  <c r="L46" i="85" s="1"/>
  <c r="M46" i="85" s="1"/>
  <c r="O17" i="85"/>
  <c r="O46" i="85" s="1"/>
  <c r="P46" i="85" s="1"/>
  <c r="I17" i="85"/>
  <c r="I46" i="85" s="1"/>
  <c r="J46" i="85" s="1"/>
  <c r="C46" i="85"/>
  <c r="D46" i="85" s="1"/>
  <c r="H23" i="43"/>
  <c r="K23" i="43" s="1"/>
  <c r="H19" i="43"/>
  <c r="K19" i="43" s="1"/>
  <c r="H22" i="43"/>
  <c r="K22" i="43" s="1"/>
  <c r="H27" i="43"/>
  <c r="K27" i="43" s="1"/>
  <c r="H20" i="43"/>
  <c r="K20" i="43" s="1"/>
  <c r="H10" i="43"/>
  <c r="K10" i="43" s="1"/>
  <c r="H32" i="43"/>
  <c r="K32" i="43" s="1"/>
  <c r="H14" i="43"/>
  <c r="K14" i="43" s="1"/>
  <c r="H12" i="43"/>
  <c r="K12" i="43" s="1"/>
  <c r="H31" i="43"/>
  <c r="K31" i="43" s="1"/>
  <c r="H16" i="43"/>
  <c r="K16" i="43" s="1"/>
  <c r="H28" i="43"/>
  <c r="K28" i="43" s="1"/>
  <c r="H11" i="43"/>
  <c r="K11" i="43" s="1"/>
  <c r="H30" i="43"/>
  <c r="K30" i="43" s="1"/>
  <c r="H26" i="43"/>
  <c r="K26" i="43" s="1"/>
  <c r="T11" i="43"/>
  <c r="H18" i="43"/>
  <c r="K18" i="43" s="1"/>
  <c r="H24" i="43"/>
  <c r="K24" i="43" s="1"/>
  <c r="H15" i="43"/>
  <c r="K15" i="43" s="1"/>
  <c r="AX24" i="102"/>
  <c r="P16" i="109"/>
  <c r="Q16" i="109" s="1"/>
  <c r="P63" i="109"/>
  <c r="Q31" i="109"/>
  <c r="Q34" i="40"/>
  <c r="P15" i="40"/>
  <c r="G27" i="39"/>
  <c r="J27" i="39" s="1"/>
  <c r="G35" i="39"/>
  <c r="J35" i="39" s="1"/>
  <c r="G32" i="39"/>
  <c r="J32" i="39" s="1"/>
  <c r="G34" i="39"/>
  <c r="J34" i="39" s="1"/>
  <c r="G26" i="39"/>
  <c r="J26" i="39" s="1"/>
  <c r="G20" i="39"/>
  <c r="J20" i="39" s="1"/>
  <c r="G36" i="39"/>
  <c r="J36" i="39" s="1"/>
  <c r="G19" i="39"/>
  <c r="J19" i="39" s="1"/>
  <c r="G31" i="39"/>
  <c r="J31" i="39" s="1"/>
  <c r="G16" i="39"/>
  <c r="J16" i="39" s="1"/>
  <c r="G30" i="39"/>
  <c r="J30" i="39" s="1"/>
  <c r="G23" i="39"/>
  <c r="J23" i="39" s="1"/>
  <c r="G10" i="39"/>
  <c r="J10" i="39" s="1"/>
  <c r="G12" i="39"/>
  <c r="J12" i="39" s="1"/>
  <c r="G24" i="39"/>
  <c r="J24" i="39" s="1"/>
  <c r="G18" i="39"/>
  <c r="J18" i="39" s="1"/>
  <c r="G14" i="39"/>
  <c r="J14" i="39" s="1"/>
  <c r="Q12" i="39"/>
  <c r="G28" i="39"/>
  <c r="J28" i="39" s="1"/>
  <c r="G11" i="39"/>
  <c r="J11" i="39" s="1"/>
  <c r="G15" i="39"/>
  <c r="J15" i="39" s="1"/>
  <c r="G22" i="39"/>
  <c r="J22" i="39" s="1"/>
  <c r="AF13" i="108"/>
  <c r="AE13" i="108"/>
  <c r="AG13" i="108" s="1"/>
  <c r="O19" i="106" l="1"/>
  <c r="Q37" i="40"/>
  <c r="G30" i="109"/>
  <c r="J30" i="109" s="1"/>
  <c r="G28" i="109"/>
  <c r="J28" i="109" s="1"/>
  <c r="G31" i="109"/>
  <c r="J31" i="109" s="1"/>
  <c r="G34" i="109"/>
  <c r="J34" i="109" s="1"/>
  <c r="P47" i="85"/>
  <c r="P49" i="85" s="1"/>
  <c r="G12" i="109"/>
  <c r="J12" i="109" s="1"/>
  <c r="G26" i="109"/>
  <c r="J26" i="109" s="1"/>
  <c r="G35" i="109"/>
  <c r="J35" i="109" s="1"/>
  <c r="G15" i="109"/>
  <c r="J15" i="109" s="1"/>
  <c r="T37" i="40"/>
  <c r="S19" i="40"/>
  <c r="T19" i="40" s="1"/>
  <c r="J19" i="88"/>
  <c r="L19" i="88"/>
  <c r="N19" i="88" s="1"/>
  <c r="I25" i="88"/>
  <c r="K32" i="108"/>
  <c r="P32" i="108"/>
  <c r="K20" i="108"/>
  <c r="P20" i="108"/>
  <c r="P17" i="108"/>
  <c r="K17" i="108"/>
  <c r="T30" i="109"/>
  <c r="S14" i="109"/>
  <c r="P39" i="108"/>
  <c r="K39" i="108"/>
  <c r="P41" i="108"/>
  <c r="K41" i="108"/>
  <c r="K37" i="108"/>
  <c r="P37" i="108"/>
  <c r="G11" i="109"/>
  <c r="J11" i="109" s="1"/>
  <c r="G19" i="109"/>
  <c r="J19" i="109" s="1"/>
  <c r="G36" i="109"/>
  <c r="J36" i="109" s="1"/>
  <c r="M47" i="85"/>
  <c r="M49" i="85" s="1"/>
  <c r="S62" i="109"/>
  <c r="T29" i="109"/>
  <c r="S13" i="109"/>
  <c r="T13" i="109" s="1"/>
  <c r="G15" i="40"/>
  <c r="J15" i="40" s="1"/>
  <c r="G38" i="40"/>
  <c r="J38" i="40" s="1"/>
  <c r="G37" i="40"/>
  <c r="J37" i="40" s="1"/>
  <c r="G25" i="40"/>
  <c r="J25" i="40" s="1"/>
  <c r="G11" i="40"/>
  <c r="J11" i="40" s="1"/>
  <c r="G20" i="40"/>
  <c r="J20" i="40" s="1"/>
  <c r="G32" i="40"/>
  <c r="J32" i="40" s="1"/>
  <c r="G12" i="40"/>
  <c r="J12" i="40" s="1"/>
  <c r="G33" i="40"/>
  <c r="J33" i="40" s="1"/>
  <c r="G26" i="40"/>
  <c r="J26" i="40" s="1"/>
  <c r="G17" i="40"/>
  <c r="J17" i="40" s="1"/>
  <c r="G16" i="40"/>
  <c r="J16" i="40" s="1"/>
  <c r="G28" i="40"/>
  <c r="J28" i="40" s="1"/>
  <c r="G30" i="40"/>
  <c r="J30" i="40" s="1"/>
  <c r="Q15" i="40"/>
  <c r="G34" i="40"/>
  <c r="J34" i="40" s="1"/>
  <c r="G21" i="40"/>
  <c r="J21" i="40" s="1"/>
  <c r="G24" i="40"/>
  <c r="J24" i="40" s="1"/>
  <c r="G36" i="40"/>
  <c r="J36" i="40" s="1"/>
  <c r="G29" i="40"/>
  <c r="J29" i="40" s="1"/>
  <c r="G13" i="40"/>
  <c r="J13" i="40" s="1"/>
  <c r="G19" i="40"/>
  <c r="J19" i="40" s="1"/>
  <c r="P68" i="40"/>
  <c r="P14" i="40"/>
  <c r="Q14" i="40" s="1"/>
  <c r="Q33" i="40"/>
  <c r="P19" i="108"/>
  <c r="K19" i="108"/>
  <c r="K16" i="108"/>
  <c r="P16" i="108"/>
  <c r="P28" i="108"/>
  <c r="K28" i="108"/>
  <c r="Q36" i="40"/>
  <c r="P70" i="40"/>
  <c r="P18" i="40"/>
  <c r="Q18" i="40" s="1"/>
  <c r="D47" i="85"/>
  <c r="D49" i="85" s="1"/>
  <c r="S50" i="85" s="1"/>
  <c r="S51" i="85" s="1"/>
  <c r="H27" i="39"/>
  <c r="K27" i="39" s="1"/>
  <c r="H20" i="39"/>
  <c r="K20" i="39" s="1"/>
  <c r="H16" i="39"/>
  <c r="K16" i="39" s="1"/>
  <c r="H14" i="39"/>
  <c r="K14" i="39" s="1"/>
  <c r="H34" i="39"/>
  <c r="K34" i="39" s="1"/>
  <c r="H15" i="39"/>
  <c r="K15" i="39" s="1"/>
  <c r="H26" i="39"/>
  <c r="K26" i="39" s="1"/>
  <c r="H23" i="39"/>
  <c r="K23" i="39" s="1"/>
  <c r="H31" i="39"/>
  <c r="K31" i="39" s="1"/>
  <c r="H30" i="39"/>
  <c r="K30" i="39" s="1"/>
  <c r="H18" i="39"/>
  <c r="K18" i="39" s="1"/>
  <c r="H11" i="39"/>
  <c r="K11" i="39" s="1"/>
  <c r="H32" i="39"/>
  <c r="K32" i="39" s="1"/>
  <c r="H36" i="39"/>
  <c r="K36" i="39" s="1"/>
  <c r="H22" i="39"/>
  <c r="K22" i="39" s="1"/>
  <c r="H10" i="39"/>
  <c r="K10" i="39" s="1"/>
  <c r="H24" i="39"/>
  <c r="K24" i="39" s="1"/>
  <c r="H28" i="39"/>
  <c r="K28" i="39" s="1"/>
  <c r="H19" i="39"/>
  <c r="K19" i="39" s="1"/>
  <c r="H12" i="39"/>
  <c r="K12" i="39" s="1"/>
  <c r="H35" i="39"/>
  <c r="K35" i="39" s="1"/>
  <c r="T12" i="39"/>
  <c r="J47" i="85"/>
  <c r="J49" i="85" s="1"/>
  <c r="P27" i="108"/>
  <c r="K27" i="108"/>
  <c r="P23" i="108"/>
  <c r="K23" i="108"/>
  <c r="G25" i="108"/>
  <c r="G12" i="108"/>
  <c r="G29" i="108"/>
  <c r="G24" i="108"/>
  <c r="G39" i="108"/>
  <c r="G37" i="108"/>
  <c r="G33" i="108"/>
  <c r="G41" i="108"/>
  <c r="G31" i="108"/>
  <c r="G11" i="108"/>
  <c r="G23" i="108"/>
  <c r="G17" i="108"/>
  <c r="G21" i="108"/>
  <c r="G32" i="108"/>
  <c r="G15" i="108"/>
  <c r="G40" i="108"/>
  <c r="G20" i="108"/>
  <c r="G13" i="108"/>
  <c r="G16" i="108"/>
  <c r="G19" i="108"/>
  <c r="G28" i="108"/>
  <c r="G36" i="108"/>
  <c r="G35" i="108"/>
  <c r="G27" i="108"/>
  <c r="AB15" i="108"/>
  <c r="K33" i="108"/>
  <c r="P33" i="108"/>
  <c r="K13" i="108"/>
  <c r="P13" i="108"/>
  <c r="G14" i="109"/>
  <c r="J14" i="109" s="1"/>
  <c r="G24" i="109"/>
  <c r="J24" i="109" s="1"/>
  <c r="P29" i="108"/>
  <c r="K29" i="108"/>
  <c r="P21" i="108"/>
  <c r="K21" i="108"/>
  <c r="K11" i="108"/>
  <c r="P11" i="108"/>
  <c r="G27" i="109"/>
  <c r="J27" i="109" s="1"/>
  <c r="G16" i="109"/>
  <c r="J16" i="109" s="1"/>
  <c r="T35" i="40"/>
  <c r="S69" i="40"/>
  <c r="S17" i="40"/>
  <c r="T17" i="40" s="1"/>
  <c r="H21" i="108"/>
  <c r="H24" i="108"/>
  <c r="H28" i="108"/>
  <c r="H25" i="108"/>
  <c r="H23" i="108"/>
  <c r="H36" i="108"/>
  <c r="H33" i="108"/>
  <c r="H16" i="108"/>
  <c r="H15" i="108"/>
  <c r="H20" i="108"/>
  <c r="H12" i="108"/>
  <c r="H19" i="108"/>
  <c r="H39" i="108"/>
  <c r="H40" i="108"/>
  <c r="H32" i="108"/>
  <c r="H35" i="108"/>
  <c r="H31" i="108"/>
  <c r="AE15" i="108"/>
  <c r="H41" i="108"/>
  <c r="H27" i="108"/>
  <c r="H17" i="108"/>
  <c r="H29" i="108"/>
  <c r="AF15" i="108"/>
  <c r="H13" i="108"/>
  <c r="H11" i="108"/>
  <c r="H37" i="108"/>
  <c r="P12" i="108"/>
  <c r="K12" i="108"/>
  <c r="K35" i="108"/>
  <c r="P35" i="108"/>
  <c r="P31" i="108"/>
  <c r="K31" i="108"/>
  <c r="P40" i="108"/>
  <c r="K40" i="108"/>
  <c r="K15" i="108"/>
  <c r="P15" i="108"/>
  <c r="G23" i="109"/>
  <c r="J23" i="109" s="1"/>
  <c r="G18" i="109"/>
  <c r="J18" i="109" s="1"/>
  <c r="G32" i="109"/>
  <c r="J32" i="109" s="1"/>
  <c r="P24" i="108"/>
  <c r="K24" i="108"/>
  <c r="K25" i="108"/>
  <c r="P25" i="108"/>
  <c r="K36" i="108"/>
  <c r="P36" i="108"/>
  <c r="G20" i="109"/>
  <c r="J20" i="109" s="1"/>
  <c r="G22" i="109"/>
  <c r="J22" i="109" s="1"/>
  <c r="S16" i="109"/>
  <c r="T16" i="109" s="1"/>
  <c r="S63" i="109"/>
  <c r="T31" i="109"/>
  <c r="P50" i="85" l="1"/>
  <c r="P51" i="85" s="1"/>
  <c r="G50" i="85"/>
  <c r="G51" i="85" s="1"/>
  <c r="J50" i="85"/>
  <c r="J51" i="85" s="1"/>
  <c r="M50" i="85"/>
  <c r="M51" i="85" s="1"/>
  <c r="R12" i="108"/>
  <c r="M12" i="108"/>
  <c r="R28" i="108"/>
  <c r="M28" i="108"/>
  <c r="L16" i="108"/>
  <c r="Q16" i="108"/>
  <c r="M37" i="108"/>
  <c r="R37" i="108"/>
  <c r="I17" i="108"/>
  <c r="I41" i="108"/>
  <c r="I37" i="108"/>
  <c r="I11" i="108"/>
  <c r="I29" i="108"/>
  <c r="I16" i="108"/>
  <c r="I40" i="108"/>
  <c r="I24" i="108"/>
  <c r="I39" i="108"/>
  <c r="I25" i="108"/>
  <c r="I13" i="108"/>
  <c r="I23" i="108"/>
  <c r="I15" i="108"/>
  <c r="I31" i="108"/>
  <c r="I35" i="108"/>
  <c r="I33" i="108"/>
  <c r="I28" i="108"/>
  <c r="I36" i="108"/>
  <c r="I12" i="108"/>
  <c r="I20" i="108"/>
  <c r="I21" i="108"/>
  <c r="I32" i="108"/>
  <c r="I27" i="108"/>
  <c r="AG15" i="108"/>
  <c r="I19" i="108"/>
  <c r="R20" i="108"/>
  <c r="M20" i="108"/>
  <c r="M24" i="108"/>
  <c r="R24" i="108"/>
  <c r="Q13" i="108"/>
  <c r="L13" i="108"/>
  <c r="L11" i="108"/>
  <c r="Q11" i="108"/>
  <c r="Q12" i="108"/>
  <c r="L12" i="108"/>
  <c r="R41" i="108"/>
  <c r="M41" i="108"/>
  <c r="Q20" i="108"/>
  <c r="L20" i="108"/>
  <c r="L31" i="108"/>
  <c r="Q31" i="108"/>
  <c r="Q25" i="108"/>
  <c r="L25" i="108"/>
  <c r="S15" i="40"/>
  <c r="T34" i="40"/>
  <c r="M13" i="108"/>
  <c r="R13" i="108"/>
  <c r="R35" i="108"/>
  <c r="M35" i="108"/>
  <c r="M16" i="108"/>
  <c r="R16" i="108"/>
  <c r="L27" i="108"/>
  <c r="Q27" i="108"/>
  <c r="Q40" i="108"/>
  <c r="L40" i="108"/>
  <c r="Q41" i="108"/>
  <c r="L41" i="108"/>
  <c r="S18" i="40"/>
  <c r="T18" i="40" s="1"/>
  <c r="T36" i="40"/>
  <c r="S70" i="40"/>
  <c r="L35" i="108"/>
  <c r="Q35" i="108"/>
  <c r="Q15" i="108"/>
  <c r="L15" i="108"/>
  <c r="L33" i="108"/>
  <c r="Q33" i="108"/>
  <c r="S14" i="40"/>
  <c r="T14" i="40" s="1"/>
  <c r="T33" i="40"/>
  <c r="S68" i="40"/>
  <c r="L29" i="108"/>
  <c r="Q29" i="108"/>
  <c r="R21" i="108"/>
  <c r="M21" i="108"/>
  <c r="M29" i="108"/>
  <c r="R29" i="108"/>
  <c r="R40" i="108"/>
  <c r="M40" i="108"/>
  <c r="M36" i="108"/>
  <c r="R36" i="108"/>
  <c r="L36" i="108"/>
  <c r="Q36" i="108"/>
  <c r="L32" i="108"/>
  <c r="Q32" i="108"/>
  <c r="Q37" i="108"/>
  <c r="L37" i="108"/>
  <c r="L23" i="108"/>
  <c r="Q23" i="108"/>
  <c r="M15" i="108"/>
  <c r="R15" i="108"/>
  <c r="M32" i="108"/>
  <c r="R32" i="108"/>
  <c r="R33" i="108"/>
  <c r="M33" i="108"/>
  <c r="M17" i="108"/>
  <c r="R17" i="108"/>
  <c r="M39" i="108"/>
  <c r="R39" i="108"/>
  <c r="R23" i="108"/>
  <c r="M23" i="108"/>
  <c r="Q28" i="108"/>
  <c r="L28" i="108"/>
  <c r="L21" i="108"/>
  <c r="Q21" i="108"/>
  <c r="L39" i="108"/>
  <c r="Q39" i="108"/>
  <c r="H24" i="109"/>
  <c r="K24" i="109" s="1"/>
  <c r="H36" i="109"/>
  <c r="K36" i="109" s="1"/>
  <c r="H23" i="109"/>
  <c r="K23" i="109" s="1"/>
  <c r="H18" i="109"/>
  <c r="K18" i="109" s="1"/>
  <c r="H20" i="109"/>
  <c r="K20" i="109" s="1"/>
  <c r="H26" i="109"/>
  <c r="K26" i="109" s="1"/>
  <c r="H30" i="109"/>
  <c r="K30" i="109" s="1"/>
  <c r="H15" i="109"/>
  <c r="K15" i="109" s="1"/>
  <c r="H12" i="109"/>
  <c r="K12" i="109" s="1"/>
  <c r="H16" i="109"/>
  <c r="K16" i="109" s="1"/>
  <c r="H22" i="109"/>
  <c r="K22" i="109" s="1"/>
  <c r="H11" i="109"/>
  <c r="K11" i="109" s="1"/>
  <c r="H34" i="109"/>
  <c r="K34" i="109" s="1"/>
  <c r="H14" i="109"/>
  <c r="K14" i="109" s="1"/>
  <c r="H35" i="109"/>
  <c r="K35" i="109" s="1"/>
  <c r="H31" i="109"/>
  <c r="K31" i="109" s="1"/>
  <c r="H28" i="109"/>
  <c r="K28" i="109" s="1"/>
  <c r="H27" i="109"/>
  <c r="K27" i="109" s="1"/>
  <c r="H19" i="109"/>
  <c r="K19" i="109" s="1"/>
  <c r="H10" i="109"/>
  <c r="K10" i="109" s="1"/>
  <c r="T14" i="109"/>
  <c r="H32" i="109"/>
  <c r="K32" i="109" s="1"/>
  <c r="L25" i="88"/>
  <c r="J25" i="88"/>
  <c r="M11" i="108"/>
  <c r="R11" i="108"/>
  <c r="M31" i="108"/>
  <c r="R31" i="108"/>
  <c r="M27" i="108"/>
  <c r="R27" i="108"/>
  <c r="R19" i="108"/>
  <c r="M19" i="108"/>
  <c r="R25" i="108"/>
  <c r="M25" i="108"/>
  <c r="L19" i="108"/>
  <c r="Q19" i="108"/>
  <c r="Q17" i="108"/>
  <c r="L17" i="108"/>
  <c r="Q24" i="108"/>
  <c r="L24" i="108"/>
  <c r="S24" i="108" l="1"/>
  <c r="N24" i="108"/>
  <c r="H16" i="40"/>
  <c r="K16" i="40" s="1"/>
  <c r="H19" i="40"/>
  <c r="K19" i="40" s="1"/>
  <c r="H34" i="40"/>
  <c r="K34" i="40" s="1"/>
  <c r="H37" i="40"/>
  <c r="K37" i="40" s="1"/>
  <c r="H28" i="40"/>
  <c r="K28" i="40" s="1"/>
  <c r="H25" i="40"/>
  <c r="K25" i="40" s="1"/>
  <c r="H21" i="40"/>
  <c r="K21" i="40" s="1"/>
  <c r="H30" i="40"/>
  <c r="K30" i="40" s="1"/>
  <c r="H17" i="40"/>
  <c r="K17" i="40" s="1"/>
  <c r="H36" i="40"/>
  <c r="K36" i="40" s="1"/>
  <c r="H13" i="40"/>
  <c r="K13" i="40" s="1"/>
  <c r="H11" i="40"/>
  <c r="K11" i="40" s="1"/>
  <c r="H20" i="40"/>
  <c r="K20" i="40" s="1"/>
  <c r="H38" i="40"/>
  <c r="K38" i="40" s="1"/>
  <c r="H29" i="40"/>
  <c r="K29" i="40" s="1"/>
  <c r="H12" i="40"/>
  <c r="K12" i="40" s="1"/>
  <c r="H33" i="40"/>
  <c r="K33" i="40" s="1"/>
  <c r="T15" i="40"/>
  <c r="H15" i="40"/>
  <c r="K15" i="40" s="1"/>
  <c r="H26" i="40"/>
  <c r="K26" i="40" s="1"/>
  <c r="H32" i="40"/>
  <c r="K32" i="40" s="1"/>
  <c r="H24" i="40"/>
  <c r="K24" i="40" s="1"/>
  <c r="N27" i="108"/>
  <c r="S27" i="108"/>
  <c r="S35" i="108"/>
  <c r="N35" i="108"/>
  <c r="N40" i="108"/>
  <c r="S40" i="108"/>
  <c r="N32" i="108"/>
  <c r="S32" i="108"/>
  <c r="N31" i="108"/>
  <c r="S31" i="108"/>
  <c r="S16" i="108"/>
  <c r="N16" i="108"/>
  <c r="S21" i="108"/>
  <c r="N21" i="108"/>
  <c r="S15" i="108"/>
  <c r="N15" i="108"/>
  <c r="N29" i="108"/>
  <c r="S29" i="108"/>
  <c r="S20" i="108"/>
  <c r="N20" i="108"/>
  <c r="S23" i="108"/>
  <c r="N23" i="108"/>
  <c r="N11" i="108"/>
  <c r="S11" i="108"/>
  <c r="N25" i="88"/>
  <c r="N12" i="108"/>
  <c r="S12" i="108"/>
  <c r="S13" i="108"/>
  <c r="N13" i="108"/>
  <c r="S37" i="108"/>
  <c r="N37" i="108"/>
  <c r="S33" i="108"/>
  <c r="N33" i="108"/>
  <c r="N36" i="108"/>
  <c r="S36" i="108"/>
  <c r="S25" i="108"/>
  <c r="N25" i="108"/>
  <c r="S41" i="108"/>
  <c r="N41" i="108"/>
  <c r="N19" i="108"/>
  <c r="S19" i="108"/>
  <c r="N28" i="108"/>
  <c r="S28" i="108"/>
  <c r="S39" i="108"/>
  <c r="N39" i="108"/>
  <c r="S17" i="108"/>
  <c r="N17" i="108"/>
  <c r="F19" i="77" l="1"/>
  <c r="AI18" i="96"/>
  <c r="AS18" i="96" s="1"/>
  <c r="AG18" i="96"/>
  <c r="F18" i="77"/>
  <c r="AG17" i="96"/>
  <c r="E43" i="88" s="1"/>
  <c r="F43" i="88" s="1"/>
  <c r="AI17" i="96"/>
  <c r="AS17" i="96" s="1"/>
  <c r="F20" i="77"/>
  <c r="AI19" i="96"/>
  <c r="AS19" i="96" s="1"/>
  <c r="AG19" i="96"/>
  <c r="F17" i="77" l="1"/>
  <c r="AG16" i="96"/>
  <c r="E42" i="88" s="1"/>
  <c r="F42" i="88" s="1"/>
  <c r="AI16" i="96"/>
  <c r="AS16" i="96" s="1"/>
  <c r="E45" i="88"/>
  <c r="F45" i="88" s="1"/>
  <c r="AT19" i="96"/>
  <c r="I45" i="88" s="1"/>
  <c r="AU19" i="96"/>
  <c r="F22" i="77"/>
  <c r="AI21" i="96"/>
  <c r="AS21" i="96" s="1"/>
  <c r="AG21" i="96"/>
  <c r="G20" i="77"/>
  <c r="T20" i="77"/>
  <c r="U20" i="77" s="1"/>
  <c r="V20" i="77" s="1"/>
  <c r="AT17" i="96"/>
  <c r="I43" i="88" s="1"/>
  <c r="AU17" i="96"/>
  <c r="G18" i="77"/>
  <c r="T18" i="77"/>
  <c r="U18" i="77" s="1"/>
  <c r="V18" i="77" s="1"/>
  <c r="T44" i="42" s="1"/>
  <c r="F11" i="77"/>
  <c r="AI10" i="96"/>
  <c r="AS10" i="96" s="1"/>
  <c r="AG10" i="96"/>
  <c r="E44" i="88"/>
  <c r="F44" i="88" s="1"/>
  <c r="AT18" i="96"/>
  <c r="I44" i="88" s="1"/>
  <c r="AU18" i="96"/>
  <c r="F16" i="77"/>
  <c r="AI15" i="96"/>
  <c r="AS15" i="96" s="1"/>
  <c r="AG15" i="96"/>
  <c r="F23" i="77"/>
  <c r="AI22" i="96"/>
  <c r="AS22" i="96" s="1"/>
  <c r="AG22" i="96"/>
  <c r="G19" i="77"/>
  <c r="T19" i="77"/>
  <c r="U19" i="77" s="1"/>
  <c r="V19" i="77" s="1"/>
  <c r="T44" i="43" s="1"/>
  <c r="AU10" i="96" l="1"/>
  <c r="J44" i="88"/>
  <c r="L44" i="88"/>
  <c r="N44" i="88" s="1"/>
  <c r="F14" i="77"/>
  <c r="AI13" i="96"/>
  <c r="AS13" i="96" s="1"/>
  <c r="AG13" i="96"/>
  <c r="G11" i="77"/>
  <c r="T11" i="77"/>
  <c r="E48" i="88"/>
  <c r="F48" i="88" s="1"/>
  <c r="AT22" i="96"/>
  <c r="I48" i="88" s="1"/>
  <c r="AU21" i="96"/>
  <c r="AU22" i="96"/>
  <c r="G22" i="77"/>
  <c r="T22" i="77"/>
  <c r="U22" i="77" s="1"/>
  <c r="V22" i="77" s="1"/>
  <c r="L20" i="77"/>
  <c r="O20" i="77"/>
  <c r="R20" i="77"/>
  <c r="I20" i="77"/>
  <c r="G23" i="77"/>
  <c r="T23" i="77"/>
  <c r="E41" i="88"/>
  <c r="F41" i="88" s="1"/>
  <c r="AT15" i="96"/>
  <c r="I41" i="88" s="1"/>
  <c r="J45" i="88"/>
  <c r="L45" i="88"/>
  <c r="N45" i="88" s="1"/>
  <c r="E36" i="88"/>
  <c r="F36" i="88" s="1"/>
  <c r="AT10" i="96"/>
  <c r="I36" i="88" s="1"/>
  <c r="AU15" i="96"/>
  <c r="F12" i="77"/>
  <c r="AI11" i="96"/>
  <c r="AS11" i="96" s="1"/>
  <c r="AG11" i="96"/>
  <c r="L43" i="88"/>
  <c r="N43" i="88" s="1"/>
  <c r="J43" i="88"/>
  <c r="F10" i="77"/>
  <c r="G10" i="77" s="1"/>
  <c r="AG9" i="96"/>
  <c r="AI9" i="96"/>
  <c r="T16" i="77"/>
  <c r="G16" i="77"/>
  <c r="AT16" i="96"/>
  <c r="I42" i="88" s="1"/>
  <c r="AU16" i="96"/>
  <c r="E47" i="88"/>
  <c r="F47" i="88" s="1"/>
  <c r="AT21" i="96"/>
  <c r="I47" i="88" s="1"/>
  <c r="L18" i="77"/>
  <c r="O18" i="77"/>
  <c r="R18" i="77"/>
  <c r="I18" i="77"/>
  <c r="T43" i="42" s="1"/>
  <c r="L19" i="77"/>
  <c r="O19" i="77"/>
  <c r="R19" i="77"/>
  <c r="I19" i="77"/>
  <c r="T43" i="43" s="1"/>
  <c r="T17" i="77"/>
  <c r="G17" i="77"/>
  <c r="U17" i="77" l="1"/>
  <c r="V17" i="77" s="1"/>
  <c r="U16" i="77"/>
  <c r="V16" i="77" s="1"/>
  <c r="AU11" i="96"/>
  <c r="U11" i="77"/>
  <c r="V11" i="77" s="1"/>
  <c r="AG49" i="108" s="1"/>
  <c r="L17" i="77"/>
  <c r="O17" i="77"/>
  <c r="R17" i="77"/>
  <c r="I17" i="77"/>
  <c r="L48" i="88"/>
  <c r="J48" i="88"/>
  <c r="L11" i="77"/>
  <c r="O11" i="77"/>
  <c r="R11" i="77"/>
  <c r="I11" i="77"/>
  <c r="AG48" i="108" s="1"/>
  <c r="L23" i="77"/>
  <c r="O23" i="77"/>
  <c r="I23" i="77"/>
  <c r="R23" i="77"/>
  <c r="L36" i="88"/>
  <c r="N36" i="88" s="1"/>
  <c r="J36" i="88"/>
  <c r="E39" i="88"/>
  <c r="F39" i="88" s="1"/>
  <c r="AT13" i="96"/>
  <c r="I39" i="88" s="1"/>
  <c r="U23" i="77"/>
  <c r="V23" i="77" s="1"/>
  <c r="AS9" i="96"/>
  <c r="E37" i="88"/>
  <c r="F37" i="88" s="1"/>
  <c r="AT11" i="96"/>
  <c r="I37" i="88" s="1"/>
  <c r="AU13" i="96"/>
  <c r="J42" i="88"/>
  <c r="L42" i="88"/>
  <c r="N42" i="88" s="1"/>
  <c r="E35" i="88"/>
  <c r="L22" i="77"/>
  <c r="O22" i="77"/>
  <c r="R22" i="77"/>
  <c r="I22" i="77"/>
  <c r="G14" i="77"/>
  <c r="T14" i="77"/>
  <c r="U14" i="77" s="1"/>
  <c r="V14" i="77" s="1"/>
  <c r="T73" i="40" s="1"/>
  <c r="L47" i="88"/>
  <c r="N47" i="88" s="1"/>
  <c r="J47" i="88"/>
  <c r="L16" i="77"/>
  <c r="O16" i="77"/>
  <c r="R16" i="77"/>
  <c r="I16" i="77"/>
  <c r="T10" i="77"/>
  <c r="L10" i="77"/>
  <c r="O10" i="77"/>
  <c r="R10" i="77"/>
  <c r="I10" i="77"/>
  <c r="X50" i="106" s="1"/>
  <c r="G12" i="77"/>
  <c r="T12" i="77"/>
  <c r="U12" i="77" s="1"/>
  <c r="V12" i="77" s="1"/>
  <c r="T66" i="109" s="1"/>
  <c r="F13" i="77"/>
  <c r="AI12" i="96"/>
  <c r="AS12" i="96" s="1"/>
  <c r="AG12" i="96"/>
  <c r="J41" i="88"/>
  <c r="L41" i="88"/>
  <c r="N41" i="88" s="1"/>
  <c r="N48" i="88" l="1"/>
  <c r="E38" i="88"/>
  <c r="F38" i="88" s="1"/>
  <c r="AT12" i="96"/>
  <c r="I38" i="88" s="1"/>
  <c r="G13" i="77"/>
  <c r="T13" i="77"/>
  <c r="U13" i="77" s="1"/>
  <c r="V13" i="77" s="1"/>
  <c r="T54" i="39" s="1"/>
  <c r="L14" i="77"/>
  <c r="O14" i="77"/>
  <c r="R14" i="77"/>
  <c r="I14" i="77"/>
  <c r="T72" i="40" s="1"/>
  <c r="U10" i="77"/>
  <c r="L12" i="77"/>
  <c r="O12" i="77"/>
  <c r="I12" i="77"/>
  <c r="T65" i="109" s="1"/>
  <c r="R12" i="77"/>
  <c r="AT9" i="96"/>
  <c r="AU9" i="96"/>
  <c r="L37" i="88"/>
  <c r="N37" i="88" s="1"/>
  <c r="J37" i="88"/>
  <c r="AU12" i="96"/>
  <c r="F35" i="88"/>
  <c r="F21" i="77"/>
  <c r="AI20" i="96"/>
  <c r="AS20" i="96" s="1"/>
  <c r="AG20" i="96"/>
  <c r="J39" i="88"/>
  <c r="L39" i="88"/>
  <c r="N39" i="88" s="1"/>
  <c r="AU20" i="96" l="1"/>
  <c r="I35" i="88"/>
  <c r="V10" i="77"/>
  <c r="E46" i="88"/>
  <c r="F46" i="88" s="1"/>
  <c r="AT20" i="96"/>
  <c r="I46" i="88" s="1"/>
  <c r="G21" i="77"/>
  <c r="T21" i="77"/>
  <c r="L13" i="77"/>
  <c r="O13" i="77"/>
  <c r="R13" i="77"/>
  <c r="I13" i="77"/>
  <c r="T53" i="39" s="1"/>
  <c r="L38" i="88"/>
  <c r="N38" i="88" s="1"/>
  <c r="J38" i="88"/>
  <c r="U21" i="77" l="1"/>
  <c r="V21" i="77" s="1"/>
  <c r="L21" i="77"/>
  <c r="O21" i="77"/>
  <c r="I21" i="77"/>
  <c r="R21" i="77"/>
  <c r="J46" i="88"/>
  <c r="L46" i="88"/>
  <c r="N46" i="88" s="1"/>
  <c r="X51" i="106"/>
  <c r="J35" i="88"/>
  <c r="L35" i="88"/>
  <c r="N35" i="88" s="1"/>
  <c r="F15" i="77" l="1"/>
  <c r="AI14" i="96"/>
  <c r="AG14" i="96"/>
  <c r="F24" i="96"/>
  <c r="F27" i="96" s="1"/>
  <c r="AG26" i="96"/>
  <c r="AI26" i="96"/>
  <c r="E40" i="88" l="1"/>
  <c r="AG24" i="96"/>
  <c r="E26" i="77" s="1"/>
  <c r="AS14" i="96"/>
  <c r="AI24" i="96"/>
  <c r="AN29" i="96" s="1"/>
  <c r="AS29" i="96" s="1"/>
  <c r="F24" i="77"/>
  <c r="G15" i="77"/>
  <c r="T15" i="77"/>
  <c r="L15" i="77" l="1"/>
  <c r="O15" i="77"/>
  <c r="R15" i="77"/>
  <c r="I15" i="77"/>
  <c r="T55" i="41" s="1"/>
  <c r="G24" i="77"/>
  <c r="E27" i="77"/>
  <c r="U15" i="77"/>
  <c r="T24" i="77"/>
  <c r="AU14" i="96"/>
  <c r="AS24" i="96"/>
  <c r="AT14" i="96"/>
  <c r="F40" i="88"/>
  <c r="E49" i="88"/>
  <c r="F49" i="88" s="1"/>
  <c r="AG27" i="96"/>
  <c r="AI27" i="96"/>
  <c r="V15" i="77" l="1"/>
  <c r="T56" i="41" s="1"/>
  <c r="U24" i="77"/>
  <c r="V24" i="77" s="1"/>
  <c r="AS30" i="96"/>
  <c r="AU24" i="96"/>
  <c r="I40" i="88"/>
  <c r="AT24" i="96"/>
  <c r="T26" i="77" s="1"/>
  <c r="T27" i="77" s="1"/>
  <c r="L24" i="77"/>
  <c r="O24" i="77"/>
  <c r="R24" i="77"/>
  <c r="I24" i="77"/>
  <c r="J40" i="88" l="1"/>
  <c r="L40" i="88"/>
  <c r="N40" i="88" s="1"/>
  <c r="I49" i="88"/>
  <c r="J49" i="88" l="1"/>
  <c r="L49" i="88"/>
  <c r="N49" i="88" s="1"/>
  <c r="AL32" i="102" l="1"/>
  <c r="AN27" i="96" l="1"/>
  <c r="AN32" i="96" l="1"/>
  <c r="U27" i="77" l="1"/>
  <c r="AH27" i="7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tc={918A5888-A9F4-49FD-8F99-1AED6C53ECF8}</author>
    <author>tc={A0DACA66-0C03-4372-A57D-B4B8A7233074}</author>
    <author>tc={A5B7D157-8C2D-40C6-8406-FF7C5B552C06}</author>
  </authors>
  <commentList>
    <comment ref="U5" authorId="0" shapeId="0" xr:uid="{00000000-0006-0000-1D00-000001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For 2024 GRC Calculation assumes rate stays the same for MYRP 2025 and 2026</t>
      </text>
    </comment>
    <comment ref="AD5" authorId="1" shapeId="0" xr:uid="{00000000-0006-0000-1D00-000002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For 2024 GRC Calculation assumes rate stays the same for MYRP 2025 and 2026</t>
      </text>
    </comment>
    <comment ref="R12" authorId="2" shapeId="0" xr:uid="{00000000-0006-0000-1D00-000003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Approved in Docket Number: UE-220066 effective 01-01-2024</t>
      </text>
    </comment>
  </commentList>
</comments>
</file>

<file path=xl/sharedStrings.xml><?xml version="1.0" encoding="utf-8"?>
<sst xmlns="http://schemas.openxmlformats.org/spreadsheetml/2006/main" count="1554" uniqueCount="561">
  <si>
    <t>Puget Sound Energy</t>
  </si>
  <si>
    <t>Remove:</t>
  </si>
  <si>
    <t>Line No.</t>
  </si>
  <si>
    <t>Tariff</t>
  </si>
  <si>
    <t>Residential</t>
  </si>
  <si>
    <t>26 &amp; 26P</t>
  </si>
  <si>
    <t>Total Secondary Voltage</t>
  </si>
  <si>
    <t>Total Primary Voltage</t>
  </si>
  <si>
    <t>Total High Voltage</t>
  </si>
  <si>
    <t>449-459</t>
  </si>
  <si>
    <t>Total</t>
  </si>
  <si>
    <t>All Sales</t>
  </si>
  <si>
    <t xml:space="preserve"> </t>
  </si>
  <si>
    <t>Line</t>
  </si>
  <si>
    <t>Description</t>
  </si>
  <si>
    <t>Total Retail Sales</t>
  </si>
  <si>
    <t>Firm Resale</t>
  </si>
  <si>
    <t>Total Sales</t>
  </si>
  <si>
    <t>a</t>
  </si>
  <si>
    <t>b</t>
  </si>
  <si>
    <t>c</t>
  </si>
  <si>
    <t>d</t>
  </si>
  <si>
    <t>Subtotal</t>
  </si>
  <si>
    <t>Retail Wheeling</t>
  </si>
  <si>
    <t>e</t>
  </si>
  <si>
    <t>f</t>
  </si>
  <si>
    <t>g</t>
  </si>
  <si>
    <t>h</t>
  </si>
  <si>
    <t>i</t>
  </si>
  <si>
    <t>j</t>
  </si>
  <si>
    <t>k</t>
  </si>
  <si>
    <t>Subtotal
Rider
Rates</t>
  </si>
  <si>
    <t>Notes:</t>
  </si>
  <si>
    <t>&gt;5000</t>
  </si>
  <si>
    <t>kWh</t>
  </si>
  <si>
    <t>Monthly Billing Comparison</t>
  </si>
  <si>
    <t>Average kWh</t>
  </si>
  <si>
    <t>Summer kWh</t>
  </si>
  <si>
    <t xml:space="preserve">Winter kWh </t>
  </si>
  <si>
    <t>Basic Charge</t>
  </si>
  <si>
    <t>Three Phase</t>
  </si>
  <si>
    <t>Single Phase</t>
  </si>
  <si>
    <t>3 Phase</t>
  </si>
  <si>
    <t>1 Phase</t>
  </si>
  <si>
    <t>Percent</t>
  </si>
  <si>
    <t>Dollar</t>
  </si>
  <si>
    <t>kVarh</t>
  </si>
  <si>
    <t>Average kW - Over 50</t>
  </si>
  <si>
    <t>Summer kW - Over 50</t>
  </si>
  <si>
    <t>Winter kW - Over 50</t>
  </si>
  <si>
    <t>kW - First 50</t>
  </si>
  <si>
    <t>kWh - All Over 20,000</t>
  </si>
  <si>
    <t>Summer kWh - First 20,000</t>
  </si>
  <si>
    <t>Winter kWh - First 20,000</t>
  </si>
  <si>
    <t>(Equiv Hours)</t>
  </si>
  <si>
    <t>Secondary Voltage General Service, Small Demand Between 50 &amp; 350 kW</t>
  </si>
  <si>
    <t>Average kW</t>
  </si>
  <si>
    <t>Summer kW</t>
  </si>
  <si>
    <t>Winter kW</t>
  </si>
  <si>
    <t>kWh - All</t>
  </si>
  <si>
    <t>Secondary Voltage General Service, Large Demand Over 350 kW</t>
  </si>
  <si>
    <t>Summer kWh - Over 20,000</t>
  </si>
  <si>
    <t>Winter kWh - Over 20,000</t>
  </si>
  <si>
    <t>Basic Charge (3 Phase)</t>
  </si>
  <si>
    <t>Basic Charge (1 Phase)</t>
  </si>
  <si>
    <t>% Change</t>
  </si>
  <si>
    <t>Secondary Voltage Irrigation &amp; Pumping Service</t>
  </si>
  <si>
    <t>Primary Voltage General Service</t>
  </si>
  <si>
    <t>Energy ($ per kWh)</t>
  </si>
  <si>
    <t>Demand ($ per kVa)</t>
  </si>
  <si>
    <t>Schedule 46 - Interruptible Service -High Voltage</t>
  </si>
  <si>
    <t>Average kWh - First 20,000</t>
  </si>
  <si>
    <t>Average kWh - block 1</t>
  </si>
  <si>
    <t>Average kWh - block 2</t>
  </si>
  <si>
    <t>l</t>
  </si>
  <si>
    <t>o</t>
  </si>
  <si>
    <t>Special Contract</t>
  </si>
  <si>
    <t>Total Transportation</t>
  </si>
  <si>
    <t>Rider Revenue Change</t>
  </si>
  <si>
    <t>Normalized Revenue After Riders</t>
  </si>
  <si>
    <t>Normalized Revenue After Base Rate Change and Riders</t>
  </si>
  <si>
    <t>% Change After Riders</t>
  </si>
  <si>
    <t>Rate Schedule</t>
  </si>
  <si>
    <t>m</t>
  </si>
  <si>
    <t>n</t>
  </si>
  <si>
    <t>p</t>
  </si>
  <si>
    <t>s</t>
  </si>
  <si>
    <t>% Customers</t>
  </si>
  <si>
    <t>Annual</t>
  </si>
  <si>
    <t>Summer (Apr-Sep)</t>
  </si>
  <si>
    <t>Annual Delivered $</t>
  </si>
  <si>
    <t>t</t>
  </si>
  <si>
    <t>u</t>
  </si>
  <si>
    <t>q</t>
  </si>
  <si>
    <t>r</t>
  </si>
  <si>
    <t>x</t>
  </si>
  <si>
    <t>y</t>
  </si>
  <si>
    <t>Sec Volt Gen Svc</t>
  </si>
  <si>
    <t>Sec Volt Gen Lg Dem Svc</t>
  </si>
  <si>
    <t>Sec Volt Gen Med Dem Svc</t>
  </si>
  <si>
    <t>Sec Volt Irrig &amp; Pump Svc</t>
  </si>
  <si>
    <t>Pri Volt Gen Svc</t>
  </si>
  <si>
    <t>Pri Volt Irrig &amp; Pump Svc</t>
  </si>
  <si>
    <t>Pri Volt Interr Elec Sch</t>
  </si>
  <si>
    <t>High Volt Interr Svc</t>
  </si>
  <si>
    <t>High Volt Gen Svc</t>
  </si>
  <si>
    <t>Area &amp; Street Lighting</t>
  </si>
  <si>
    <t>Rate Class</t>
  </si>
  <si>
    <t>Base Rate $ Change</t>
  </si>
  <si>
    <t>Base Rate % Change</t>
  </si>
  <si>
    <t>Sch 141N Rate Plan $ Change</t>
  </si>
  <si>
    <t>Sch 141N Rate Plan % Change</t>
  </si>
  <si>
    <t>Sch 141R Rate Plan $ Change</t>
  </si>
  <si>
    <t>Sch 141R Rate Plan % Change</t>
  </si>
  <si>
    <t>Total % Change</t>
  </si>
  <si>
    <t>Winter
(Oct-Mar)</t>
  </si>
  <si>
    <t>Change in Bill $</t>
  </si>
  <si>
    <t>Change in Bill %</t>
  </si>
  <si>
    <t>Current Rates</t>
  </si>
  <si>
    <t>Base Rate Change</t>
  </si>
  <si>
    <t>Sch. 141N Rate Change</t>
  </si>
  <si>
    <t>Sch. 141R Rate Change</t>
  </si>
  <si>
    <t>Total Rate Change</t>
  </si>
  <si>
    <t>Charges</t>
  </si>
  <si>
    <t>Rates</t>
  </si>
  <si>
    <t>Customer charge ($/month)</t>
  </si>
  <si>
    <t>Total monthly bill</t>
  </si>
  <si>
    <t>Change from bill under current rates</t>
  </si>
  <si>
    <t>Percent change from bill under current rates</t>
  </si>
  <si>
    <t>Volume (kWh)</t>
  </si>
  <si>
    <t>Basic Charge (Sch. 7)</t>
  </si>
  <si>
    <t>Energy Charge (Sch. 7) Over 600 kWh</t>
  </si>
  <si>
    <t>Total volumetric charges First 600 kWh</t>
  </si>
  <si>
    <t>Total volumetric charges Over 600 kWh</t>
  </si>
  <si>
    <t>Total Volumetric Charges</t>
  </si>
  <si>
    <t>Volumetric charges ($/kWh)</t>
  </si>
  <si>
    <t>Current Rates (1)</t>
  </si>
  <si>
    <t>Proposed Rates</t>
  </si>
  <si>
    <t>Forecasted</t>
  </si>
  <si>
    <t>Rate</t>
  </si>
  <si>
    <t>Volume (Therms)</t>
  </si>
  <si>
    <t>Revenue</t>
  </si>
  <si>
    <t>Average Rate</t>
  </si>
  <si>
    <t>Average Rate Per kWh Impacts by Rate Schedule of Proposed Rate Year #1 Rates</t>
  </si>
  <si>
    <t>Per kWh</t>
  </si>
  <si>
    <t>check</t>
  </si>
  <si>
    <t>v</t>
  </si>
  <si>
    <t>w</t>
  </si>
  <si>
    <t>GRC Revenue Change ($)</t>
  </si>
  <si>
    <t>GRC Revenue Change (%)</t>
  </si>
  <si>
    <t>Tab</t>
  </si>
  <si>
    <t xml:space="preserve">Category </t>
  </si>
  <si>
    <t>Exhibit</t>
  </si>
  <si>
    <t>Work Papers</t>
  </si>
  <si>
    <t>Revenue by Sch RY#1</t>
  </si>
  <si>
    <t>Revenue by Sch RY#2</t>
  </si>
  <si>
    <t>Sch 95 Imbalance</t>
  </si>
  <si>
    <t>Sch 95a</t>
  </si>
  <si>
    <t>Sch 120</t>
  </si>
  <si>
    <t>Sch 129</t>
  </si>
  <si>
    <t>Sch 140</t>
  </si>
  <si>
    <t>Sch 141</t>
  </si>
  <si>
    <t>Sch 141N</t>
  </si>
  <si>
    <t>Sch 141R</t>
  </si>
  <si>
    <t>Sch 141X</t>
  </si>
  <si>
    <t>Sch 141Z</t>
  </si>
  <si>
    <t>Sch 142</t>
  </si>
  <si>
    <t>Sch 194</t>
  </si>
  <si>
    <t>cross check</t>
  </si>
  <si>
    <r>
      <t>Rates</t>
    </r>
    <r>
      <rPr>
        <b/>
        <vertAlign val="superscript"/>
        <sz val="8"/>
        <rFont val="Arial"/>
        <family val="2"/>
      </rPr>
      <t xml:space="preserve"> (1)</t>
    </r>
  </si>
  <si>
    <t xml:space="preserve">GRC Revenue Changes            </t>
  </si>
  <si>
    <t>Sch 141COL</t>
  </si>
  <si>
    <t>2024 General Rate Case Docket No. UE-240004 and UG-240005</t>
  </si>
  <si>
    <t>GRC Electric Rate Impacts</t>
  </si>
  <si>
    <r>
      <t xml:space="preserve">Proposed Rates Effective </t>
    </r>
    <r>
      <rPr>
        <b/>
        <sz val="8"/>
        <color rgb="FF0033CC"/>
        <rFont val="Arial"/>
        <family val="2"/>
      </rPr>
      <t>January 2025</t>
    </r>
  </si>
  <si>
    <t>MYRP January 2025</t>
  </si>
  <si>
    <t>MYRP January 2026</t>
  </si>
  <si>
    <t>Test Year ended June 30, 2023 and MYRP 2025, 2026</t>
  </si>
  <si>
    <t>03, 50-59</t>
  </si>
  <si>
    <t xml:space="preserve">7A </t>
  </si>
  <si>
    <t>24 (324)</t>
  </si>
  <si>
    <t xml:space="preserve"> 7 (307) (317) (327)</t>
  </si>
  <si>
    <t>Rates Effective January 2025</t>
  </si>
  <si>
    <t>Rates Effective January 2026</t>
  </si>
  <si>
    <t>Proposed Rates Effective January 2025</t>
  </si>
  <si>
    <t>MYRP 2025 Proforma
Revenue (1)</t>
  </si>
  <si>
    <t>12 months ending December 2025 F23 Forecast KWh</t>
  </si>
  <si>
    <t>Exhibit: CTM-6</t>
  </si>
  <si>
    <t>Electric Schedule 95 (2024 Variable Power Cost Recovery) Impacts</t>
  </si>
  <si>
    <t>Proposed Rates Effective January 2026</t>
  </si>
  <si>
    <t>12 months ending December 2026 F23 Forecast KWh</t>
  </si>
  <si>
    <t>Electric Schedule 95 Imbalance Impacts</t>
  </si>
  <si>
    <t>Electric Schedule 120 DSM Impacts</t>
  </si>
  <si>
    <t xml:space="preserve">Electric Schedule 95A Federal Incentive Impacts </t>
  </si>
  <si>
    <t>Electric Schedule 129 Low Income Impacts</t>
  </si>
  <si>
    <t>Schedule 129 Low Income</t>
  </si>
  <si>
    <t>Schedule 129D Bill Discount</t>
  </si>
  <si>
    <t>Electric Schedule 129D Bill Discount Impacts</t>
  </si>
  <si>
    <t>`Effective January 1, 2024</t>
  </si>
  <si>
    <t>Resource
13902SW10 kWh</t>
  </si>
  <si>
    <t>Resource
13902SW15
kWh</t>
  </si>
  <si>
    <t>Resource
13902SW20
kWh</t>
  </si>
  <si>
    <t>Resource 13903SW10 kWh</t>
  </si>
  <si>
    <t>Resource 13903SW15 kWh</t>
  </si>
  <si>
    <t>Resources 13903SW18 kWh</t>
  </si>
  <si>
    <t xml:space="preserve">Sch 139
Green Direct Revenue </t>
  </si>
  <si>
    <t>Sch 139 
Green Direct Revenue</t>
  </si>
  <si>
    <t>Cross check</t>
  </si>
  <si>
    <t>Electric Schedule 139 Green Direct Impacts</t>
  </si>
  <si>
    <t>Electric Schedule 137 Renewable Energy Credit Impacts</t>
  </si>
  <si>
    <t>`Effective January 1, 2025</t>
  </si>
  <si>
    <t>`Effective January 1, 2026</t>
  </si>
  <si>
    <t>Schedule 139
Rate Energy Charge Credit</t>
  </si>
  <si>
    <t>Electric Schedule 139 Green Direct Supplemental Impacts</t>
  </si>
  <si>
    <t>Current Rates as of January 2024 (1)</t>
  </si>
  <si>
    <t>GD Actual Loads for the Test Year ending June 30, 2023</t>
  </si>
  <si>
    <t>Annual Delivered KWh</t>
  </si>
  <si>
    <t>Schedule 95A Federal Incentive Credit</t>
  </si>
  <si>
    <t xml:space="preserve">Schedule 95 Power Cost
</t>
  </si>
  <si>
    <t>Schedule 95 PCA Imbalance</t>
  </si>
  <si>
    <t>Schedule 120 Conservation</t>
  </si>
  <si>
    <t>Schedule 137 REC</t>
  </si>
  <si>
    <t>Schedule 139 Green Direct</t>
  </si>
  <si>
    <t xml:space="preserve">Schedule 139 Green Direct Supplemental </t>
  </si>
  <si>
    <t>Electric Schedule 140 Property Taxes Impacts</t>
  </si>
  <si>
    <t>Schedule 140 Property Tax</t>
  </si>
  <si>
    <t>Electric Schedule 141 ERF Impacts</t>
  </si>
  <si>
    <t>Schedule 141 ERF</t>
  </si>
  <si>
    <t>Electric Schedule 141A Energy Charge Credit Recovery Adj Impacts</t>
  </si>
  <si>
    <t>Schedule 141CEI Clean Energy Implementation Plan</t>
  </si>
  <si>
    <t>Schedule 141A Energy Charge Credit</t>
  </si>
  <si>
    <t>Schedule 141COL Colstrip Adjustment</t>
  </si>
  <si>
    <t>Schedule 141N Rates Not Subject to Refund</t>
  </si>
  <si>
    <t>Schedule 141R Rates Subject to Refund</t>
  </si>
  <si>
    <t>Schedule 141 TEP</t>
  </si>
  <si>
    <t>Schedule 141Z (Unprotected) EDIT</t>
  </si>
  <si>
    <t>Schedule 142  Deocupling Deferral</t>
  </si>
  <si>
    <t>Schedule 142 Deocupling Supplemental</t>
  </si>
  <si>
    <t>Schedule 194 BPA Res &amp; Farm Credit</t>
  </si>
  <si>
    <t>Electric Schedule 141CEI  Clean Energy Implementation Impacts</t>
  </si>
  <si>
    <t>12 months ending December 2025 F23 Forecast KW/KVA</t>
  </si>
  <si>
    <t>Annual Delivered KW/Kva</t>
  </si>
  <si>
    <t>Electric Schedule 141COL Colstrip Adj Impacts</t>
  </si>
  <si>
    <t>Electric Schedule 141N Rates no Subject to Refund Rate Adj Impacts</t>
  </si>
  <si>
    <t>12 months ending December 2025 F23 Customer Charge</t>
  </si>
  <si>
    <t>Electric Schedule 141R Rates Subject to Refund Rate Adj Impacts</t>
  </si>
  <si>
    <t>Electric Schedule 141TEP  Transportaiton Electrificaiton Plan Impacts</t>
  </si>
  <si>
    <t>Electric Schedule 141X  Protected-Plus Excess Deferred Income Tax (EDIT) Reversal Rate Adj Impact</t>
  </si>
  <si>
    <t>(1) Current rates approved under Docket Number UE-230040, Effective 03-01-2023</t>
  </si>
  <si>
    <t>(1) Current rates approved under Docket Number UE-220066 &amp; UE-230320, Effective 01-01-2024</t>
  </si>
  <si>
    <t>(1) Current rates approved under Docket Number UE-230808, Effective 01-01-2024</t>
  </si>
  <si>
    <t>(1) Current rates approved under Docket Number UE-230825, Effective 01-01-2024</t>
  </si>
  <si>
    <t>(1) Current rates approved under Docket Number UE-190529, Effective 10-15-2020</t>
  </si>
  <si>
    <t>(1) Current rates approved under Docket Number UE-230219, Effective 05-01-2023</t>
  </si>
  <si>
    <t>(1) Current rates approved under Docket Number UE-230318, Effective 12-01-2023</t>
  </si>
  <si>
    <t>(1) Current rates approved under Docket Number UE-230984 , Effective 01-01-2024</t>
  </si>
  <si>
    <t>(1) Current rates approved under Docket Number UE-230692, Effective 10-01-2023</t>
  </si>
  <si>
    <t>(1) Current rates approved under Docket Number UE-230694, Effective 10-01-2023</t>
  </si>
  <si>
    <t>(1) Current rates approved under Docket Number UE-230139, Effective 05-01-2023</t>
  </si>
  <si>
    <t>(1) Current rates approved under Docket Number UE-220794, Effective 01-01-2024</t>
  </si>
  <si>
    <t>(1) Current rates approved under Docket Number UE-230313, Effective 12-01-2023</t>
  </si>
  <si>
    <t>(1) Current rates approved under Docket Number UE-230805, Effective 01-01-2024</t>
  </si>
  <si>
    <t>Electric Schedule 141Z Unprotected Excess Deferred Income Tax (EDIT) Reversal Rate Adj Impact</t>
  </si>
  <si>
    <t>(1) Current rates approved under Docket Number UE-190529, Effective 10-01-2021 ended 12-31-2022</t>
  </si>
  <si>
    <t>Schedule 141X (Protected) EDIT</t>
  </si>
  <si>
    <t>z</t>
  </si>
  <si>
    <t>aa = ∑ (e…z)</t>
  </si>
  <si>
    <t>ab = 
d + aa</t>
  </si>
  <si>
    <t>Electric Schedule 142 Decoupling Impacts</t>
  </si>
  <si>
    <t>(1) Current rates approved under Docket Number UE-230206, Effective 05-01-2023</t>
  </si>
  <si>
    <t>(1) Current rates approved under Docket Number UE-190529, Effective 10-15-2020 ended 09-30-2023</t>
  </si>
  <si>
    <t>(1) Current rates approved under Docket Number UE-230591, Effective 09-01-2023</t>
  </si>
  <si>
    <t>Electric Schedule 142 Decoupling Supplemental Impacts</t>
  </si>
  <si>
    <t>(1) Current rates approved under Docket Number UE-190529, Effective 10-15-2020 ended 04-30-2022</t>
  </si>
  <si>
    <t>Electric Schedule 194 BPA Residential Credit</t>
  </si>
  <si>
    <t>56 &amp; 59</t>
  </si>
  <si>
    <t>.</t>
  </si>
  <si>
    <t>(1) Current rates approved under Docket Number UE-230792, Effective 11-01-2023</t>
  </si>
  <si>
    <t>Eff. 12/1/23</t>
  </si>
  <si>
    <t>Eff. 1/1/24</t>
  </si>
  <si>
    <t>Eff. 5/1/23</t>
  </si>
  <si>
    <t>Eff. 10/1/23</t>
  </si>
  <si>
    <t>Eff. 9/1/23</t>
  </si>
  <si>
    <t>Eff. 11/1/24</t>
  </si>
  <si>
    <t>Eff. 3/1/23</t>
  </si>
  <si>
    <t>Eff. 5/1/22</t>
  </si>
  <si>
    <t>Eff. 11/1/23</t>
  </si>
  <si>
    <t>Eff. 10/15/20</t>
  </si>
  <si>
    <t>Eff. 1/1/23</t>
  </si>
  <si>
    <t>Add:  Effective January 2025</t>
  </si>
  <si>
    <t>ac</t>
  </si>
  <si>
    <t>ad</t>
  </si>
  <si>
    <t>ae</t>
  </si>
  <si>
    <t>ai</t>
  </si>
  <si>
    <t>aj</t>
  </si>
  <si>
    <t>ak</t>
  </si>
  <si>
    <t>al</t>
  </si>
  <si>
    <t>am</t>
  </si>
  <si>
    <t>an</t>
  </si>
  <si>
    <t>ao</t>
  </si>
  <si>
    <t>ap</t>
  </si>
  <si>
    <t>aq</t>
  </si>
  <si>
    <t>at = ar / ab</t>
  </si>
  <si>
    <t>as = ar + ab</t>
  </si>
  <si>
    <t>ar = ∑ (ac…aq)</t>
  </si>
  <si>
    <t>Electric Schedule 141CGR Clean Generation Resources Tracker Impacts</t>
  </si>
  <si>
    <r>
      <t xml:space="preserve">Presentational purpose ONLY, rates will only be set for </t>
    </r>
    <r>
      <rPr>
        <b/>
        <sz val="8"/>
        <color rgb="FF0033CC"/>
        <rFont val="Arial"/>
        <family val="2"/>
      </rPr>
      <t>2025</t>
    </r>
    <r>
      <rPr>
        <b/>
        <sz val="8"/>
        <rFont val="Arial"/>
        <family val="2"/>
      </rPr>
      <t xml:space="preserve"> in </t>
    </r>
    <r>
      <rPr>
        <b/>
        <sz val="8"/>
        <color rgb="FF0033CC"/>
        <rFont val="Arial"/>
        <family val="2"/>
      </rPr>
      <t>2024</t>
    </r>
    <r>
      <rPr>
        <b/>
        <sz val="8"/>
        <rFont val="Arial"/>
        <family val="2"/>
      </rPr>
      <t xml:space="preserve"> GRC</t>
    </r>
  </si>
  <si>
    <t>Electric Schedule 141DCARB Decarbonization Rate Adjustment Impacts</t>
  </si>
  <si>
    <t>Electric Schedule 141WFP – Wildfire Prevention Cost Recovery Adjustment Impacts</t>
  </si>
  <si>
    <t>Schedule 141CGR Clean Generation Resources</t>
  </si>
  <si>
    <t>Schedule 141DCARB Decarbonization</t>
  </si>
  <si>
    <t>Schedule 141WFP Wildfire Prevention Cost Recovery</t>
  </si>
  <si>
    <t>MYRP 2026 
Revenue (1)</t>
  </si>
  <si>
    <t>(1) Proposed Base Revenue ending revenue December 31, 2025</t>
  </si>
  <si>
    <t>Remove:  Effective January 2025</t>
  </si>
  <si>
    <t>Add:  Effective January 2026</t>
  </si>
  <si>
    <t>aa</t>
  </si>
  <si>
    <t>ab</t>
  </si>
  <si>
    <t>12ME Dec. 2025</t>
  </si>
  <si>
    <t>(1) Base Rates effective January 1, 2024</t>
  </si>
  <si>
    <t>12ME Dec. 2026</t>
  </si>
  <si>
    <t>Sch 137 Rate Plan $ Change</t>
  </si>
  <si>
    <t>Sch 95 Rate Plan $ Change</t>
  </si>
  <si>
    <t>Sch 95 Rate Plan % Change</t>
  </si>
  <si>
    <t>Sch 137 Rate Plan % Change</t>
  </si>
  <si>
    <t>Sch 141CEI Rate Plan $ Change</t>
  </si>
  <si>
    <t>Sch 141CEI Rate Plan % Change</t>
  </si>
  <si>
    <t>Normalized Revenue After Riders (1)</t>
  </si>
  <si>
    <t>Sch 141DCARB Rate Plan $ Change</t>
  </si>
  <si>
    <t>Sch 141DCARB Rate Plan % Change</t>
  </si>
  <si>
    <t>Sch 141CGR Rate Plan $ Change</t>
  </si>
  <si>
    <t>Sch 141CGR Rate Plan % Change</t>
  </si>
  <si>
    <t>Sch 141WFP Rate Plan $ Change</t>
  </si>
  <si>
    <r>
      <t xml:space="preserve">Proposed Rates Effective </t>
    </r>
    <r>
      <rPr>
        <b/>
        <sz val="8"/>
        <color rgb="FF0033CC"/>
        <rFont val="Arial"/>
        <family val="2"/>
      </rPr>
      <t>January 2026</t>
    </r>
  </si>
  <si>
    <t>MYRP 2026 
Revenue (2)</t>
  </si>
  <si>
    <t>(2) Adjusting for the load growth in the MYRP 2026</t>
  </si>
  <si>
    <t>ao = ∑ (ag…an)</t>
  </si>
  <si>
    <t>ap = af + an</t>
  </si>
  <si>
    <t>aq = ao / af</t>
  </si>
  <si>
    <t>af = ae + d+ e</t>
  </si>
  <si>
    <t>Exhibit: SEF-4E:</t>
  </si>
  <si>
    <t>y = d + w</t>
  </si>
  <si>
    <t>Exhibit: CTM-6:</t>
  </si>
  <si>
    <t>(1)  Rates Effective January 1, 2024</t>
  </si>
  <si>
    <t>Total $ GRC Change</t>
  </si>
  <si>
    <t>(1) Rates effective January 1, 2024</t>
  </si>
  <si>
    <r>
      <t xml:space="preserve">Monthly Bill Amounts $ </t>
    </r>
    <r>
      <rPr>
        <b/>
        <vertAlign val="superscript"/>
        <sz val="8"/>
        <rFont val="Arial"/>
        <family val="2"/>
      </rPr>
      <t>1</t>
    </r>
  </si>
  <si>
    <t>Current Rate effective Jan 1, 2024</t>
  </si>
  <si>
    <r>
      <t xml:space="preserve">Proposed Bill Effective </t>
    </r>
    <r>
      <rPr>
        <b/>
        <sz val="8"/>
        <color rgb="FF0033CC"/>
        <rFont val="Arial"/>
        <family val="2"/>
      </rPr>
      <t>January 2025</t>
    </r>
  </si>
  <si>
    <r>
      <t xml:space="preserve">Proposed Bill Effective </t>
    </r>
    <r>
      <rPr>
        <b/>
        <sz val="8"/>
        <color rgb="FF0033CC"/>
        <rFont val="Arial"/>
        <family val="2"/>
      </rPr>
      <t>January 2026</t>
    </r>
  </si>
  <si>
    <t>Line No</t>
  </si>
  <si>
    <t>Proposed Rate Change %</t>
  </si>
  <si>
    <t xml:space="preserve">Proposed Rates </t>
  </si>
  <si>
    <t>MYRP 2025</t>
  </si>
  <si>
    <t>MYRP 2026</t>
  </si>
  <si>
    <t>Basic Charge - Single Phase</t>
  </si>
  <si>
    <t>Proposed Net Rate Impact</t>
  </si>
  <si>
    <t>Proposed Overall Residential Base Rate Impact:</t>
  </si>
  <si>
    <t>Single Phase Tier 1</t>
  </si>
  <si>
    <t>Single Phase Tier 2</t>
  </si>
  <si>
    <t>Sch. 95 Rate Change</t>
  </si>
  <si>
    <t>Sch. 137 Rate Change</t>
  </si>
  <si>
    <t>Sch. 141CEI Rate Change</t>
  </si>
  <si>
    <t>Sch. 141DCARB Rate Change</t>
  </si>
  <si>
    <t>ag = - ( d + e)</t>
  </si>
  <si>
    <t>ah = - s</t>
  </si>
  <si>
    <t>ai = - t</t>
  </si>
  <si>
    <t>aj = - y</t>
  </si>
  <si>
    <t>ac = - d</t>
  </si>
  <si>
    <t>ad = - e</t>
  </si>
  <si>
    <t>ae = - k</t>
  </si>
  <si>
    <t>af = - r</t>
  </si>
  <si>
    <t>ag = - s</t>
  </si>
  <si>
    <t>ah = - t</t>
  </si>
  <si>
    <t>Sch. 141CGR Rate Change</t>
  </si>
  <si>
    <t>Sch. 141WFP Rate Change</t>
  </si>
  <si>
    <t>Energy Charge First 600 kWh</t>
  </si>
  <si>
    <t>Residential Monthly Billing Comparison of Proposed Rate Plan Rates</t>
  </si>
  <si>
    <t>Typical Residential Bill Impacts of Proposed Rate Year #1 Rates</t>
  </si>
  <si>
    <t>Typical Residential Bill Impacts of Proposed Rate Year #2 Rates</t>
  </si>
  <si>
    <t>Presentational purpose ONLY, rates will only be set for 2025 in 2024 GRC</t>
  </si>
  <si>
    <t>(1) Proposed Rates effective January 1, 2025</t>
  </si>
  <si>
    <t>SCHEDULE 24: Secondary Voltage General Service, Demand &lt; 50 kW</t>
  </si>
  <si>
    <t>Present Price Schedule 24</t>
  </si>
  <si>
    <t>Proposed Price Schedule 24 MYRP 2025</t>
  </si>
  <si>
    <t xml:space="preserve">Monthly Billing </t>
  </si>
  <si>
    <t>Proposed Price Schedule 24 MYRP 2026</t>
  </si>
  <si>
    <t>Difference MYRP 2025</t>
  </si>
  <si>
    <t>Difference MYRP 2026</t>
  </si>
  <si>
    <t xml:space="preserve">Current
Bill </t>
  </si>
  <si>
    <t>(1) Average PSE Customer is at 800</t>
  </si>
  <si>
    <t>not applicable for SCH 24</t>
  </si>
  <si>
    <t>Total per KWh</t>
  </si>
  <si>
    <t>Note: Excluding SCH 139 Green Direct impacts from Bill Impacts presentation</t>
  </si>
  <si>
    <t>SCHEDULE 25: Secondary Voltage General Service, Small Demand Between 50 &amp; 350 kW</t>
  </si>
  <si>
    <t>Current Rates (2)</t>
  </si>
  <si>
    <t>(2)  Proposed Revenue Effective January 1, 2026 adjusted for load growth in the MYRP 2026</t>
  </si>
  <si>
    <t>h = g / f</t>
  </si>
  <si>
    <t>i = (g - d) / d</t>
  </si>
  <si>
    <t>e = d / c</t>
  </si>
  <si>
    <t>Demand (KW)</t>
  </si>
  <si>
    <t>Monthly Billing</t>
  </si>
  <si>
    <t>Present Price Schedule 25</t>
  </si>
  <si>
    <t>SCHEDULE 26: Secondary Voltage General Service, Large Demand Over 350 kW</t>
  </si>
  <si>
    <t>Winter - First 20,000</t>
  </si>
  <si>
    <t>Summer - First 20,000</t>
  </si>
  <si>
    <t>Summer - Over 20,000</t>
  </si>
  <si>
    <t>Over 20,000</t>
  </si>
  <si>
    <t>Note: Excluding SCH 139 Green Direct, Conjuctive Demand and Prime Services impacts from Bill Impacts presentation</t>
  </si>
  <si>
    <t>not applicable for SCH 25</t>
  </si>
  <si>
    <t>not applicable for SCH 26</t>
  </si>
  <si>
    <t>SCHEDULE 29: Secondary Voltage Irrigation &amp; Pumping Service</t>
  </si>
  <si>
    <t>Proposed Price Schedule 25 MYRP 2025</t>
  </si>
  <si>
    <t>Proposed Price Schedule 25 MYRP 2026</t>
  </si>
  <si>
    <t>Present Price Schedule 26</t>
  </si>
  <si>
    <t>Proposed Price Schedule 26 MYRP 2025</t>
  </si>
  <si>
    <t>Proposed Price Schedule 26 MYRP 2026</t>
  </si>
  <si>
    <t>Present Price Schedule 29</t>
  </si>
  <si>
    <t>Proposed Price Schedule 29 MYRP 2025</t>
  </si>
  <si>
    <t>Proposed Price Schedule 29 MYRP 2026</t>
  </si>
  <si>
    <t>SCHEDULE 31: Primary Voltage General Service</t>
  </si>
  <si>
    <t>Present Price Schedule 31</t>
  </si>
  <si>
    <t>Proposed Price Schedule 31 MYRP 2025</t>
  </si>
  <si>
    <t>Proposed Price Schedule 31 MYRP 2026</t>
  </si>
  <si>
    <t>Note: Excluding SCH 139 Green Direct, Conjuctive Demand impacts from Bill Impacts presentation</t>
  </si>
  <si>
    <t>not applicable for SCH 31</t>
  </si>
  <si>
    <t>Present Price Schedule 46</t>
  </si>
  <si>
    <t>Proposed Price Schedule 49 MYRP 2025</t>
  </si>
  <si>
    <t>Proposed Price Schedule 46 MYRP 2025</t>
  </si>
  <si>
    <t>Proposed Price Schedule 46 MYRP 2026</t>
  </si>
  <si>
    <t>not applicable for SCH 46</t>
  </si>
  <si>
    <t>SCHEDULE 49: Large General Service -High Voltage</t>
  </si>
  <si>
    <t>SCHEUDLE 46: Interruptible Service -High Voltage</t>
  </si>
  <si>
    <t>Present Price Schedule 49</t>
  </si>
  <si>
    <t>Proposed Price Schedule 49 MYRP 2026</t>
  </si>
  <si>
    <t>not applicable for SCH 49</t>
  </si>
  <si>
    <t>(1)  Proposed Revenue Effective January 2026 adjusted for load growth in the MYRP 2026</t>
  </si>
  <si>
    <t>Load Growth Adjustment for 2026</t>
  </si>
  <si>
    <t>Grand Total</t>
  </si>
  <si>
    <t>4001-5000</t>
  </si>
  <si>
    <t>3001-4000</t>
  </si>
  <si>
    <t>2501-3000</t>
  </si>
  <si>
    <t>2001-2500</t>
  </si>
  <si>
    <t>1601-2000</t>
  </si>
  <si>
    <t>1401-1600</t>
  </si>
  <si>
    <t>1301-1400</t>
  </si>
  <si>
    <t>1201-1300</t>
  </si>
  <si>
    <t>1101-1200</t>
  </si>
  <si>
    <t>1001-1100</t>
  </si>
  <si>
    <t>901-1000</t>
  </si>
  <si>
    <t>801-900</t>
  </si>
  <si>
    <t>701-800</t>
  </si>
  <si>
    <t>601-700</t>
  </si>
  <si>
    <t>501-600</t>
  </si>
  <si>
    <t>401-500</t>
  </si>
  <si>
    <t>301-400</t>
  </si>
  <si>
    <t>201-300</t>
  </si>
  <si>
    <t>151-200</t>
  </si>
  <si>
    <t>101-150</t>
  </si>
  <si>
    <t>51-100</t>
  </si>
  <si>
    <t>1-50</t>
  </si>
  <si>
    <t>0</t>
  </si>
  <si>
    <t>Summer Total
(Apr-Sep)</t>
  </si>
  <si>
    <t>Winter Total
(Oct-Mar)</t>
  </si>
  <si>
    <t>Annual Total</t>
  </si>
  <si>
    <t>Summer
(Apr-Sep)
% to Total</t>
  </si>
  <si>
    <t>Winter
(Oct-Mar)
% to Total</t>
  </si>
  <si>
    <t>Annual % to Total</t>
  </si>
  <si>
    <t>Row Labels</t>
  </si>
  <si>
    <t>Schedule 07E</t>
  </si>
  <si>
    <t>July 2022 to June 2023</t>
  </si>
  <si>
    <t>Count of Calendarized Electric Residential Installations by kWh Block</t>
  </si>
  <si>
    <t>Summary Installation Count</t>
  </si>
  <si>
    <t>Proposed Base Rate effective January 2025</t>
  </si>
  <si>
    <t>Proposed Base Rate effective January 2026</t>
  </si>
  <si>
    <t>w = e+g+i+k+ m+o+q+s+u</t>
  </si>
  <si>
    <t>Exhibit CTM-8</t>
  </si>
  <si>
    <t>Sch 141WFP</t>
  </si>
  <si>
    <t>Sch 141DCARB</t>
  </si>
  <si>
    <t>Sch 141CGR</t>
  </si>
  <si>
    <t>Sch 142 Supplemental</t>
  </si>
  <si>
    <t>Sch 141TEP</t>
  </si>
  <si>
    <t>Sch 141CEI</t>
  </si>
  <si>
    <t>Sch 141A</t>
  </si>
  <si>
    <t>Sch 139 Supplemental</t>
  </si>
  <si>
    <t>Sch 139</t>
  </si>
  <si>
    <t>Sch 137</t>
  </si>
  <si>
    <t>Sch 129D</t>
  </si>
  <si>
    <t>Sch 95</t>
  </si>
  <si>
    <t>Exh CTM-8 (Schedule 49 Impacts)</t>
  </si>
  <si>
    <t>Exh CTM-8 (Schedule 46 Impacts)</t>
  </si>
  <si>
    <t>Exh CTM-8 (Schedule 31 Impacts)</t>
  </si>
  <si>
    <t>Exh CTM-8 (Schedule 29 Impacts)</t>
  </si>
  <si>
    <t>Exh CTM-8 (Schedule 26 Impacts)</t>
  </si>
  <si>
    <t>Exh CTM-8 (Schedule 25 Impacts)</t>
  </si>
  <si>
    <t>Exh CTM-8 (Schedule 24 Impacts)</t>
  </si>
  <si>
    <t>Exh CTM-8 Typical Res Bill RY#2</t>
  </si>
  <si>
    <t>Exh CTM-8 Typical Res Bill RY#1</t>
  </si>
  <si>
    <t>Exh CTM-8 (Res Bill Summary)</t>
  </si>
  <si>
    <t>Exh CTM-8 (Avg Per kWh)</t>
  </si>
  <si>
    <t>Exh CTM-8 (Rate Impacts_RY#2)</t>
  </si>
  <si>
    <t>Exh CTM-8 (Rate Impacts_RY#1)</t>
  </si>
  <si>
    <t>f = e / d</t>
  </si>
  <si>
    <t>h = g / d</t>
  </si>
  <si>
    <t>j = i / d</t>
  </si>
  <si>
    <t>l = k / d</t>
  </si>
  <si>
    <t>n = m / d</t>
  </si>
  <si>
    <t>p = o / d</t>
  </si>
  <si>
    <t>r = q / d</t>
  </si>
  <si>
    <t>t = s / d</t>
  </si>
  <si>
    <t>v = u / d</t>
  </si>
  <si>
    <t>x = w / d</t>
  </si>
  <si>
    <t>Table of Contents</t>
  </si>
  <si>
    <t xml:space="preserve">Bill Impacts </t>
  </si>
  <si>
    <t>f = d + e</t>
  </si>
  <si>
    <t>o =f+g+i+k+m</t>
  </si>
  <si>
    <t>q = o / f</t>
  </si>
  <si>
    <t>p = o - f</t>
  </si>
  <si>
    <t>Total Forecasted Revenue at RY #1 Rates (1)</t>
  </si>
  <si>
    <r>
      <rPr>
        <b/>
        <sz val="8"/>
        <color rgb="FF0033CC"/>
        <rFont val="Arial"/>
        <family val="2"/>
      </rPr>
      <t>12 ME Dec 2025</t>
    </r>
    <r>
      <rPr>
        <b/>
        <sz val="8"/>
        <rFont val="Arial"/>
        <family val="2"/>
      </rPr>
      <t xml:space="preserve">
Total Forecast
Revenue @ 
RY #1 Rates</t>
    </r>
  </si>
  <si>
    <t>12 ME
Dec 2024
Total Forecast
Revenue @ 
RY #2 Rates</t>
  </si>
  <si>
    <t>h = f / g</t>
  </si>
  <si>
    <t>j = i / f</t>
  </si>
  <si>
    <t>l = k / f</t>
  </si>
  <si>
    <t>n = m / f</t>
  </si>
  <si>
    <t>Exhibit DED-16 - Residential Electric Bill Comparison at Different Usage Levels</t>
  </si>
  <si>
    <t>Witness: Dismukes</t>
  </si>
  <si>
    <t>Dockets UE-240004 and UG-240005</t>
  </si>
  <si>
    <t>Exhibit DED-16</t>
  </si>
  <si>
    <t>Customer 1</t>
  </si>
  <si>
    <t>Customer 2</t>
  </si>
  <si>
    <t>Customer 3</t>
  </si>
  <si>
    <t>Hypothetical</t>
  </si>
  <si>
    <t>One-Third Less</t>
  </si>
  <si>
    <t>One-Third Greater</t>
  </si>
  <si>
    <t>Typical User</t>
  </si>
  <si>
    <t>Than Typical User</t>
  </si>
  <si>
    <t>Than System Average</t>
  </si>
  <si>
    <t>Average Usage per Month (kWh)</t>
  </si>
  <si>
    <t>Bill Amount</t>
  </si>
  <si>
    <t>Utility Charges - Current Rates</t>
  </si>
  <si>
    <t>Monthly Basic Facilities Charge</t>
  </si>
  <si>
    <t>Average Monthly Utility Bill Under Existing Rates</t>
  </si>
  <si>
    <t>Utility Charges - Proposed Rates</t>
  </si>
  <si>
    <t>Average Monthly Utility Bill Under Proposed Rates</t>
  </si>
  <si>
    <t>Percent Increase from Existing Rates to Proposed Rates</t>
  </si>
  <si>
    <t>Prepared by: MD 8/3/2024</t>
  </si>
  <si>
    <t>Source: Exhibit CTM-8.</t>
  </si>
  <si>
    <t>All Energy -- First 600 kWh</t>
  </si>
  <si>
    <t>All Energy -- Over 600 kWh</t>
  </si>
  <si>
    <t>Checked by: MG 8/3/2024</t>
  </si>
  <si>
    <t>7 (307) (317) (327)</t>
  </si>
  <si>
    <t>08 (24) (324)</t>
  </si>
  <si>
    <t>7A (11) (25)</t>
  </si>
  <si>
    <t>12 (26) (26P)</t>
  </si>
  <si>
    <t>29</t>
  </si>
  <si>
    <t>10 (31)</t>
  </si>
  <si>
    <t>35</t>
  </si>
  <si>
    <t xml:space="preserve">449 / 459 </t>
  </si>
  <si>
    <t>First 600 kWh</t>
  </si>
  <si>
    <t>Over 600 kWh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</si>
</sst>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5" formatCode="&quot;$&quot;#,##0_);\(&quot;$&quot;#,##0\)"/>
    <numFmt numFmtId="7" formatCode="&quot;$&quot;#,##0.00_);\(&quot;$&quot;#,##0.0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&quot;$&quot;* #,##0_);_(&quot;$&quot;* \(#,##0\);_(&quot;$&quot;* &quot;-&quot;??_);_(@_)"/>
    <numFmt numFmtId="166" formatCode="0.0%"/>
    <numFmt numFmtId="167" formatCode="_(&quot;$&quot;* #,##0.000000_);_(&quot;$&quot;* \(#,##0.000000\);_(&quot;$&quot;* &quot;-&quot;??_);_(@_)"/>
    <numFmt numFmtId="168" formatCode="_(&quot;$&quot;* #,##0.00000_);_(&quot;$&quot;* \(#,##0.00000\);_(&quot;$&quot;* &quot;-&quot;??_);_(@_)"/>
    <numFmt numFmtId="169" formatCode="0.000"/>
    <numFmt numFmtId="170" formatCode="_(&quot;$&quot;* #,##0.00_);_(&quot;$&quot;* \(#,##0.00\);_(&quot;$&quot;* &quot;-&quot;_);_(@_)"/>
    <numFmt numFmtId="171" formatCode="_(&quot;$&quot;* #,##0.00000_);_(&quot;$&quot;* \(#,##0.00000\);_(&quot;$&quot;* &quot;-&quot;?????_);_(@_)"/>
    <numFmt numFmtId="172" formatCode="0.000%"/>
    <numFmt numFmtId="173" formatCode="_(&quot;$&quot;* #,##0.00_);_(&quot;$&quot;* \(#,##0.00\);_(&quot;$&quot;* &quot;-&quot;?????_);_(@_)"/>
    <numFmt numFmtId="174" formatCode="&quot;$&quot;#,##0.00"/>
  </numFmts>
  <fonts count="4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b/>
      <sz val="1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i/>
      <sz val="8"/>
      <color theme="1"/>
      <name val="Arial"/>
      <family val="2"/>
    </font>
    <font>
      <sz val="8"/>
      <name val="Arial"/>
      <family val="2"/>
    </font>
    <font>
      <sz val="8"/>
      <color indexed="8"/>
      <name val="Arial"/>
      <family val="2"/>
    </font>
    <font>
      <sz val="8"/>
      <color rgb="FFFF0000"/>
      <name val="Arial"/>
      <family val="2"/>
    </font>
    <font>
      <b/>
      <i/>
      <sz val="8"/>
      <color rgb="FF0033CC"/>
      <name val="Arial"/>
      <family val="2"/>
    </font>
    <font>
      <b/>
      <sz val="8"/>
      <name val="Arial"/>
      <family val="2"/>
    </font>
    <font>
      <b/>
      <i/>
      <sz val="8"/>
      <color rgb="FF0000FF"/>
      <name val="Arial"/>
      <family val="2"/>
    </font>
    <font>
      <b/>
      <sz val="8"/>
      <color rgb="FF0000FF"/>
      <name val="Arial"/>
      <family val="2"/>
    </font>
    <font>
      <sz val="8"/>
      <color rgb="FF008080"/>
      <name val="Arial"/>
      <family val="2"/>
    </font>
    <font>
      <u/>
      <sz val="8"/>
      <name val="Arial"/>
      <family val="2"/>
    </font>
    <font>
      <sz val="8"/>
      <color indexed="12"/>
      <name val="Arial"/>
      <family val="2"/>
    </font>
    <font>
      <sz val="8"/>
      <color rgb="FF0070C0"/>
      <name val="Arial"/>
      <family val="2"/>
    </font>
    <font>
      <b/>
      <vertAlign val="superscript"/>
      <sz val="8"/>
      <name val="Arial"/>
      <family val="2"/>
    </font>
    <font>
      <sz val="8"/>
      <color rgb="FF006666"/>
      <name val="Arial"/>
      <family val="2"/>
    </font>
    <font>
      <sz val="8"/>
      <color rgb="FF0000FF"/>
      <name val="Arial"/>
      <family val="2"/>
    </font>
    <font>
      <b/>
      <sz val="8"/>
      <color rgb="FF0033CC"/>
      <name val="Arial"/>
      <family val="2"/>
    </font>
    <font>
      <u/>
      <sz val="8"/>
      <color theme="10"/>
      <name val="Arial"/>
      <family val="2"/>
    </font>
    <font>
      <b/>
      <sz val="8"/>
      <color rgb="FF006666"/>
      <name val="Arial"/>
      <family val="2"/>
    </font>
    <font>
      <sz val="10"/>
      <color rgb="FF006666"/>
      <name val="Arial"/>
      <family val="2"/>
    </font>
    <font>
      <sz val="10"/>
      <color rgb="FF0033CC"/>
      <name val="Arial"/>
      <family val="2"/>
    </font>
    <font>
      <sz val="8"/>
      <color rgb="FF0033CC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8"/>
      <color rgb="FF008080"/>
      <name val="Arial"/>
      <family val="2"/>
    </font>
    <font>
      <b/>
      <sz val="10"/>
      <color rgb="FF0033CC"/>
      <name val="Arial"/>
      <family val="2"/>
    </font>
    <font>
      <b/>
      <u/>
      <sz val="8"/>
      <color rgb="FF0033CC"/>
      <name val="Arial"/>
      <family val="2"/>
    </font>
    <font>
      <u/>
      <sz val="10"/>
      <name val="Arial"/>
      <family val="2"/>
    </font>
    <font>
      <b/>
      <u/>
      <sz val="8"/>
      <name val="Arial"/>
      <family val="2"/>
    </font>
    <font>
      <sz val="10"/>
      <name val="Arial"/>
    </font>
    <font>
      <sz val="10"/>
      <color theme="1"/>
      <name val="Arial"/>
      <family val="2"/>
    </font>
    <font>
      <sz val="10"/>
      <name val="Geneva"/>
    </font>
    <font>
      <b/>
      <sz val="10"/>
      <color theme="1"/>
      <name val="Arial"/>
      <family val="2"/>
    </font>
    <font>
      <b/>
      <sz val="10"/>
      <color theme="0"/>
      <name val="Arial"/>
      <family val="2"/>
    </font>
    <font>
      <b/>
      <u/>
      <sz val="10"/>
      <color theme="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rgb="FF1C230F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theme="0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0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</borders>
  <cellStyleXfs count="13">
    <xf numFmtId="0" fontId="0" fillId="0" borderId="0"/>
    <xf numFmtId="0" fontId="3" fillId="0" borderId="0"/>
    <xf numFmtId="0" fontId="2" fillId="0" borderId="0"/>
    <xf numFmtId="43" fontId="28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9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7" fillId="0" borderId="0"/>
    <xf numFmtId="0" fontId="35" fillId="0" borderId="0"/>
    <xf numFmtId="43" fontId="2" fillId="0" borderId="0" applyFont="0" applyFill="0" applyBorder="0" applyAlignment="0" applyProtection="0"/>
  </cellStyleXfs>
  <cellXfs count="560">
    <xf numFmtId="0" fontId="0" fillId="0" borderId="0" xfId="0"/>
    <xf numFmtId="0" fontId="8" fillId="0" borderId="0" xfId="0" applyFont="1" applyAlignment="1">
      <alignment horizontal="right"/>
    </xf>
    <xf numFmtId="0" fontId="8" fillId="0" borderId="0" xfId="0" applyFont="1" applyAlignment="1">
      <alignment horizontal="center"/>
    </xf>
    <xf numFmtId="0" fontId="8" fillId="0" borderId="0" xfId="0" applyFont="1"/>
    <xf numFmtId="164" fontId="8" fillId="0" borderId="0" xfId="0" applyNumberFormat="1" applyFont="1"/>
    <xf numFmtId="0" fontId="8" fillId="0" borderId="0" xfId="0" quotePrefix="1" applyFont="1" applyAlignment="1">
      <alignment horizontal="center"/>
    </xf>
    <xf numFmtId="164" fontId="8" fillId="0" borderId="2" xfId="0" applyNumberFormat="1" applyFont="1" applyBorder="1"/>
    <xf numFmtId="0" fontId="8" fillId="0" borderId="0" xfId="0" quotePrefix="1" applyFont="1" applyAlignment="1">
      <alignment horizontal="left"/>
    </xf>
    <xf numFmtId="164" fontId="8" fillId="0" borderId="3" xfId="0" applyNumberFormat="1" applyFont="1" applyBorder="1"/>
    <xf numFmtId="0" fontId="11" fillId="0" borderId="0" xfId="1" applyFont="1"/>
    <xf numFmtId="0" fontId="12" fillId="0" borderId="1" xfId="0" quotePrefix="1" applyFont="1" applyBorder="1" applyAlignment="1">
      <alignment horizontal="center" wrapText="1"/>
    </xf>
    <xf numFmtId="167" fontId="8" fillId="0" borderId="0" xfId="0" applyNumberFormat="1" applyFont="1"/>
    <xf numFmtId="165" fontId="8" fillId="0" borderId="0" xfId="0" applyNumberFormat="1" applyFont="1"/>
    <xf numFmtId="165" fontId="8" fillId="0" borderId="2" xfId="0" applyNumberFormat="1" applyFont="1" applyBorder="1"/>
    <xf numFmtId="165" fontId="8" fillId="0" borderId="3" xfId="0" applyNumberFormat="1" applyFont="1" applyBorder="1"/>
    <xf numFmtId="0" fontId="12" fillId="0" borderId="0" xfId="0" applyFont="1"/>
    <xf numFmtId="44" fontId="8" fillId="0" borderId="0" xfId="0" applyNumberFormat="1" applyFont="1"/>
    <xf numFmtId="0" fontId="10" fillId="0" borderId="0" xfId="0" applyFont="1"/>
    <xf numFmtId="165" fontId="10" fillId="0" borderId="0" xfId="0" applyNumberFormat="1" applyFont="1"/>
    <xf numFmtId="0" fontId="8" fillId="0" borderId="0" xfId="0" applyFont="1" applyAlignment="1">
      <alignment horizontal="center" vertical="top" wrapText="1"/>
    </xf>
    <xf numFmtId="0" fontId="8" fillId="0" borderId="0" xfId="0" quotePrefix="1" applyFont="1" applyAlignment="1">
      <alignment horizontal="center" vertical="top" wrapText="1"/>
    </xf>
    <xf numFmtId="17" fontId="8" fillId="0" borderId="0" xfId="0" quotePrefix="1" applyNumberFormat="1" applyFont="1" applyAlignment="1">
      <alignment horizontal="center" vertical="top" wrapText="1"/>
    </xf>
    <xf numFmtId="0" fontId="8" fillId="0" borderId="0" xfId="0" applyFont="1" applyAlignment="1">
      <alignment vertical="top" wrapText="1"/>
    </xf>
    <xf numFmtId="0" fontId="8" fillId="0" borderId="0" xfId="0" applyFont="1" applyAlignment="1">
      <alignment horizontal="left"/>
    </xf>
    <xf numFmtId="166" fontId="8" fillId="0" borderId="0" xfId="0" applyNumberFormat="1" applyFont="1"/>
    <xf numFmtId="17" fontId="12" fillId="0" borderId="1" xfId="0" quotePrefix="1" applyNumberFormat="1" applyFont="1" applyBorder="1" applyAlignment="1">
      <alignment horizontal="center" wrapText="1"/>
    </xf>
    <xf numFmtId="17" fontId="12" fillId="0" borderId="0" xfId="0" quotePrefix="1" applyNumberFormat="1" applyFont="1" applyAlignment="1">
      <alignment horizontal="center" wrapText="1"/>
    </xf>
    <xf numFmtId="0" fontId="8" fillId="0" borderId="0" xfId="1" applyFont="1"/>
    <xf numFmtId="0" fontId="12" fillId="0" borderId="0" xfId="0" applyFont="1" applyAlignment="1">
      <alignment horizontal="left"/>
    </xf>
    <xf numFmtId="167" fontId="10" fillId="0" borderId="0" xfId="0" applyNumberFormat="1" applyFont="1"/>
    <xf numFmtId="10" fontId="8" fillId="0" borderId="0" xfId="0" applyNumberFormat="1" applyFont="1"/>
    <xf numFmtId="164" fontId="15" fillId="0" borderId="0" xfId="0" applyNumberFormat="1" applyFont="1" applyAlignment="1">
      <alignment horizontal="left"/>
    </xf>
    <xf numFmtId="42" fontId="15" fillId="0" borderId="0" xfId="0" applyNumberFormat="1" applyFont="1" applyAlignment="1">
      <alignment horizontal="left"/>
    </xf>
    <xf numFmtId="167" fontId="6" fillId="0" borderId="0" xfId="0" applyNumberFormat="1" applyFont="1"/>
    <xf numFmtId="168" fontId="8" fillId="0" borderId="0" xfId="0" applyNumberFormat="1" applyFont="1"/>
    <xf numFmtId="164" fontId="8" fillId="0" borderId="0" xfId="0" applyNumberFormat="1" applyFont="1" applyAlignment="1">
      <alignment horizontal="left"/>
    </xf>
    <xf numFmtId="165" fontId="15" fillId="0" borderId="0" xfId="0" applyNumberFormat="1" applyFont="1"/>
    <xf numFmtId="42" fontId="8" fillId="0" borderId="0" xfId="0" applyNumberFormat="1" applyFont="1"/>
    <xf numFmtId="164" fontId="8" fillId="0" borderId="6" xfId="0" applyNumberFormat="1" applyFont="1" applyBorder="1"/>
    <xf numFmtId="42" fontId="8" fillId="0" borderId="6" xfId="0" applyNumberFormat="1" applyFont="1" applyBorder="1"/>
    <xf numFmtId="167" fontId="6" fillId="0" borderId="6" xfId="0" applyNumberFormat="1" applyFont="1" applyBorder="1"/>
    <xf numFmtId="171" fontId="8" fillId="0" borderId="0" xfId="0" applyNumberFormat="1" applyFont="1"/>
    <xf numFmtId="10" fontId="8" fillId="0" borderId="6" xfId="0" applyNumberFormat="1" applyFont="1" applyBorder="1"/>
    <xf numFmtId="3" fontId="8" fillId="0" borderId="0" xfId="0" applyNumberFormat="1" applyFont="1"/>
    <xf numFmtId="0" fontId="12" fillId="0" borderId="0" xfId="0" applyFont="1" applyAlignment="1">
      <alignment horizontal="center"/>
    </xf>
    <xf numFmtId="0" fontId="12" fillId="0" borderId="0" xfId="0" quotePrefix="1" applyFont="1" applyAlignment="1">
      <alignment horizontal="center"/>
    </xf>
    <xf numFmtId="0" fontId="14" fillId="0" borderId="1" xfId="0" quotePrefix="1" applyFont="1" applyBorder="1" applyAlignment="1">
      <alignment horizontal="center"/>
    </xf>
    <xf numFmtId="0" fontId="12" fillId="0" borderId="1" xfId="0" quotePrefix="1" applyFont="1" applyBorder="1" applyAlignment="1">
      <alignment horizontal="center"/>
    </xf>
    <xf numFmtId="0" fontId="12" fillId="0" borderId="0" xfId="0" applyFont="1" applyAlignment="1">
      <alignment horizontal="centerContinuous"/>
    </xf>
    <xf numFmtId="0" fontId="8" fillId="0" borderId="0" xfId="0" applyFont="1" applyAlignment="1">
      <alignment horizontal="centerContinuous"/>
    </xf>
    <xf numFmtId="0" fontId="16" fillId="0" borderId="0" xfId="0" applyFont="1"/>
    <xf numFmtId="0" fontId="8" fillId="0" borderId="10" xfId="0" applyFont="1" applyBorder="1"/>
    <xf numFmtId="37" fontId="8" fillId="0" borderId="0" xfId="0" applyNumberFormat="1" applyFont="1"/>
    <xf numFmtId="5" fontId="8" fillId="0" borderId="0" xfId="0" applyNumberFormat="1" applyFont="1"/>
    <xf numFmtId="0" fontId="8" fillId="0" borderId="10" xfId="0" quotePrefix="1" applyFont="1" applyBorder="1" applyAlignment="1">
      <alignment horizontal="left"/>
    </xf>
    <xf numFmtId="44" fontId="17" fillId="0" borderId="0" xfId="0" applyNumberFormat="1" applyFont="1"/>
    <xf numFmtId="0" fontId="17" fillId="0" borderId="0" xfId="0" applyFont="1"/>
    <xf numFmtId="0" fontId="9" fillId="0" borderId="0" xfId="0" quotePrefix="1" applyFont="1" applyAlignment="1">
      <alignment horizontal="left"/>
    </xf>
    <xf numFmtId="0" fontId="8" fillId="0" borderId="1" xfId="0" applyFont="1" applyBorder="1"/>
    <xf numFmtId="0" fontId="8" fillId="0" borderId="0" xfId="0" quotePrefix="1" applyFont="1" applyAlignment="1">
      <alignment horizontal="left" indent="1"/>
    </xf>
    <xf numFmtId="167" fontId="15" fillId="0" borderId="0" xfId="0" applyNumberFormat="1" applyFont="1"/>
    <xf numFmtId="170" fontId="8" fillId="0" borderId="0" xfId="0" applyNumberFormat="1" applyFont="1"/>
    <xf numFmtId="0" fontId="8" fillId="0" borderId="0" xfId="0" applyFont="1" applyAlignment="1">
      <alignment horizontal="left" indent="2"/>
    </xf>
    <xf numFmtId="44" fontId="8" fillId="0" borderId="6" xfId="0" applyNumberFormat="1" applyFont="1" applyBorder="1"/>
    <xf numFmtId="171" fontId="17" fillId="0" borderId="0" xfId="0" applyNumberFormat="1" applyFont="1"/>
    <xf numFmtId="167" fontId="18" fillId="0" borderId="0" xfId="0" applyNumberFormat="1" applyFont="1"/>
    <xf numFmtId="0" fontId="8" fillId="0" borderId="0" xfId="0" quotePrefix="1" applyFont="1" applyAlignment="1">
      <alignment horizontal="left" indent="2"/>
    </xf>
    <xf numFmtId="0" fontId="12" fillId="0" borderId="0" xfId="0" applyFont="1" applyAlignment="1">
      <alignment wrapText="1"/>
    </xf>
    <xf numFmtId="10" fontId="8" fillId="0" borderId="0" xfId="0" applyNumberFormat="1" applyFont="1" applyAlignment="1">
      <alignment horizontal="right"/>
    </xf>
    <xf numFmtId="0" fontId="12" fillId="0" borderId="0" xfId="0" quotePrefix="1" applyFont="1" applyAlignment="1">
      <alignment horizontal="center" wrapText="1"/>
    </xf>
    <xf numFmtId="0" fontId="10" fillId="0" borderId="0" xfId="0" applyFont="1" applyAlignment="1">
      <alignment horizontal="right"/>
    </xf>
    <xf numFmtId="0" fontId="12" fillId="0" borderId="0" xfId="0" applyFont="1" applyAlignment="1">
      <alignment horizontal="right"/>
    </xf>
    <xf numFmtId="165" fontId="8" fillId="0" borderId="0" xfId="0" applyNumberFormat="1" applyFont="1" applyAlignment="1">
      <alignment horizontal="right"/>
    </xf>
    <xf numFmtId="166" fontId="8" fillId="0" borderId="0" xfId="0" applyNumberFormat="1" applyFont="1" applyAlignment="1">
      <alignment horizontal="right"/>
    </xf>
    <xf numFmtId="164" fontId="8" fillId="0" borderId="3" xfId="0" applyNumberFormat="1" applyFont="1" applyBorder="1" applyAlignment="1">
      <alignment horizontal="right"/>
    </xf>
    <xf numFmtId="165" fontId="8" fillId="0" borderId="3" xfId="0" applyNumberFormat="1" applyFont="1" applyBorder="1" applyAlignment="1">
      <alignment horizontal="right"/>
    </xf>
    <xf numFmtId="10" fontId="8" fillId="0" borderId="3" xfId="0" applyNumberFormat="1" applyFont="1" applyBorder="1" applyAlignment="1">
      <alignment horizontal="right"/>
    </xf>
    <xf numFmtId="165" fontId="12" fillId="0" borderId="0" xfId="0" applyNumberFormat="1" applyFont="1" applyAlignment="1">
      <alignment horizontal="right"/>
    </xf>
    <xf numFmtId="0" fontId="12" fillId="0" borderId="1" xfId="0" applyFont="1" applyBorder="1"/>
    <xf numFmtId="0" fontId="8" fillId="0" borderId="0" xfId="2" applyFont="1"/>
    <xf numFmtId="165" fontId="8" fillId="0" borderId="0" xfId="2" applyNumberFormat="1" applyFont="1"/>
    <xf numFmtId="0" fontId="10" fillId="0" borderId="0" xfId="2" applyFont="1"/>
    <xf numFmtId="165" fontId="10" fillId="0" borderId="0" xfId="2" applyNumberFormat="1" applyFont="1"/>
    <xf numFmtId="165" fontId="8" fillId="0" borderId="3" xfId="2" applyNumberFormat="1" applyFont="1" applyBorder="1"/>
    <xf numFmtId="0" fontId="8" fillId="0" borderId="0" xfId="2" applyFont="1" applyAlignment="1">
      <alignment horizontal="center"/>
    </xf>
    <xf numFmtId="0" fontId="8" fillId="0" borderId="0" xfId="2" applyFont="1" applyAlignment="1">
      <alignment vertical="top" wrapText="1"/>
    </xf>
    <xf numFmtId="0" fontId="8" fillId="0" borderId="0" xfId="2" quotePrefix="1" applyFont="1" applyAlignment="1">
      <alignment horizontal="center" vertical="top" wrapText="1"/>
    </xf>
    <xf numFmtId="17" fontId="8" fillId="0" borderId="0" xfId="2" quotePrefix="1" applyNumberFormat="1" applyFont="1" applyAlignment="1">
      <alignment horizontal="center" vertical="top" wrapText="1"/>
    </xf>
    <xf numFmtId="0" fontId="8" fillId="0" borderId="0" xfId="2" applyFont="1" applyAlignment="1">
      <alignment horizontal="center" vertical="top" wrapText="1"/>
    </xf>
    <xf numFmtId="0" fontId="12" fillId="0" borderId="0" xfId="2" applyFont="1"/>
    <xf numFmtId="17" fontId="12" fillId="0" borderId="1" xfId="2" quotePrefix="1" applyNumberFormat="1" applyFont="1" applyBorder="1" applyAlignment="1">
      <alignment horizontal="center" wrapText="1"/>
    </xf>
    <xf numFmtId="17" fontId="12" fillId="0" borderId="0" xfId="2" quotePrefix="1" applyNumberFormat="1" applyFont="1" applyAlignment="1">
      <alignment horizontal="center" wrapText="1"/>
    </xf>
    <xf numFmtId="0" fontId="12" fillId="0" borderId="1" xfId="2" applyFont="1" applyBorder="1" applyAlignment="1">
      <alignment horizontal="center" wrapText="1"/>
    </xf>
    <xf numFmtId="14" fontId="12" fillId="0" borderId="0" xfId="2" applyNumberFormat="1" applyFont="1"/>
    <xf numFmtId="0" fontId="13" fillId="0" borderId="0" xfId="0" applyFont="1" applyAlignment="1">
      <alignment vertical="center"/>
    </xf>
    <xf numFmtId="165" fontId="11" fillId="0" borderId="0" xfId="2" applyNumberFormat="1" applyFont="1"/>
    <xf numFmtId="0" fontId="11" fillId="0" borderId="0" xfId="2" applyFont="1"/>
    <xf numFmtId="0" fontId="12" fillId="0" borderId="1" xfId="0" applyFont="1" applyBorder="1" applyAlignment="1">
      <alignment horizontal="center" wrapText="1"/>
    </xf>
    <xf numFmtId="0" fontId="12" fillId="0" borderId="1" xfId="0" applyFont="1" applyBorder="1" applyAlignment="1">
      <alignment horizontal="center"/>
    </xf>
    <xf numFmtId="0" fontId="12" fillId="0" borderId="0" xfId="2" applyFont="1" applyAlignment="1">
      <alignment horizontal="center"/>
    </xf>
    <xf numFmtId="0" fontId="12" fillId="0" borderId="0" xfId="2" quotePrefix="1" applyFont="1" applyAlignment="1">
      <alignment horizontal="center"/>
    </xf>
    <xf numFmtId="0" fontId="23" fillId="0" borderId="0" xfId="0" applyFont="1"/>
    <xf numFmtId="0" fontId="23" fillId="0" borderId="0" xfId="2" applyFont="1"/>
    <xf numFmtId="0" fontId="14" fillId="0" borderId="1" xfId="0" applyFont="1" applyBorder="1" applyAlignment="1">
      <alignment horizontal="center"/>
    </xf>
    <xf numFmtId="0" fontId="22" fillId="0" borderId="1" xfId="0" quotePrefix="1" applyFont="1" applyBorder="1" applyAlignment="1">
      <alignment horizontal="center" wrapText="1"/>
    </xf>
    <xf numFmtId="0" fontId="24" fillId="0" borderId="1" xfId="0" quotePrefix="1" applyFont="1" applyBorder="1" applyAlignment="1">
      <alignment horizontal="center" wrapText="1"/>
    </xf>
    <xf numFmtId="0" fontId="20" fillId="0" borderId="0" xfId="0" applyFont="1" applyAlignment="1">
      <alignment horizontal="left"/>
    </xf>
    <xf numFmtId="0" fontId="27" fillId="0" borderId="0" xfId="0" applyFont="1" applyAlignment="1">
      <alignment horizontal="center"/>
    </xf>
    <xf numFmtId="0" fontId="27" fillId="0" borderId="0" xfId="0" quotePrefix="1" applyFont="1" applyAlignment="1">
      <alignment horizontal="center"/>
    </xf>
    <xf numFmtId="167" fontId="27" fillId="0" borderId="0" xfId="0" applyNumberFormat="1" applyFont="1"/>
    <xf numFmtId="0" fontId="12" fillId="0" borderId="0" xfId="0" quotePrefix="1" applyFont="1" applyAlignment="1">
      <alignment horizontal="left"/>
    </xf>
    <xf numFmtId="164" fontId="12" fillId="0" borderId="3" xfId="0" applyNumberFormat="1" applyFont="1" applyBorder="1"/>
    <xf numFmtId="167" fontId="12" fillId="0" borderId="0" xfId="0" applyNumberFormat="1" applyFont="1"/>
    <xf numFmtId="165" fontId="12" fillId="0" borderId="3" xfId="0" applyNumberFormat="1" applyFont="1" applyBorder="1"/>
    <xf numFmtId="165" fontId="12" fillId="0" borderId="0" xfId="0" applyNumberFormat="1" applyFont="1"/>
    <xf numFmtId="164" fontId="27" fillId="0" borderId="0" xfId="0" applyNumberFormat="1" applyFont="1"/>
    <xf numFmtId="164" fontId="20" fillId="0" borderId="0" xfId="0" applyNumberFormat="1" applyFont="1"/>
    <xf numFmtId="167" fontId="20" fillId="0" borderId="0" xfId="0" applyNumberFormat="1" applyFont="1"/>
    <xf numFmtId="165" fontId="20" fillId="0" borderId="0" xfId="0" applyNumberFormat="1" applyFont="1"/>
    <xf numFmtId="164" fontId="24" fillId="0" borderId="0" xfId="0" applyNumberFormat="1" applyFont="1"/>
    <xf numFmtId="165" fontId="24" fillId="0" borderId="0" xfId="0" applyNumberFormat="1" applyFont="1"/>
    <xf numFmtId="164" fontId="10" fillId="2" borderId="0" xfId="0" applyNumberFormat="1" applyFont="1" applyFill="1"/>
    <xf numFmtId="164" fontId="20" fillId="0" borderId="2" xfId="0" applyNumberFormat="1" applyFont="1" applyBorder="1"/>
    <xf numFmtId="164" fontId="20" fillId="0" borderId="0" xfId="3" applyNumberFormat="1" applyFont="1" applyFill="1"/>
    <xf numFmtId="164" fontId="10" fillId="2" borderId="0" xfId="3" applyNumberFormat="1" applyFont="1" applyFill="1"/>
    <xf numFmtId="17" fontId="22" fillId="0" borderId="1" xfId="0" quotePrefix="1" applyNumberFormat="1" applyFont="1" applyBorder="1" applyAlignment="1">
      <alignment horizontal="center" wrapText="1"/>
    </xf>
    <xf numFmtId="165" fontId="10" fillId="2" borderId="0" xfId="0" applyNumberFormat="1" applyFont="1" applyFill="1"/>
    <xf numFmtId="0" fontId="0" fillId="0" borderId="0" xfId="0" applyAlignment="1">
      <alignment horizontal="center" wrapText="1"/>
    </xf>
    <xf numFmtId="0" fontId="26" fillId="0" borderId="0" xfId="0" applyFont="1" applyAlignment="1">
      <alignment horizontal="center" wrapText="1"/>
    </xf>
    <xf numFmtId="167" fontId="15" fillId="0" borderId="0" xfId="4" applyNumberFormat="1" applyFont="1" applyFill="1"/>
    <xf numFmtId="167" fontId="8" fillId="0" borderId="0" xfId="5" applyNumberFormat="1" applyFont="1"/>
    <xf numFmtId="17" fontId="24" fillId="0" borderId="1" xfId="2" quotePrefix="1" applyNumberFormat="1" applyFont="1" applyBorder="1" applyAlignment="1">
      <alignment horizontal="center" wrapText="1"/>
    </xf>
    <xf numFmtId="0" fontId="20" fillId="0" borderId="0" xfId="0" applyFont="1" applyAlignment="1">
      <alignment horizontal="center"/>
    </xf>
    <xf numFmtId="0" fontId="24" fillId="0" borderId="1" xfId="0" applyFont="1" applyBorder="1" applyAlignment="1">
      <alignment horizontal="center" wrapText="1"/>
    </xf>
    <xf numFmtId="0" fontId="20" fillId="0" borderId="0" xfId="2" applyFont="1" applyAlignment="1">
      <alignment horizontal="left"/>
    </xf>
    <xf numFmtId="0" fontId="12" fillId="0" borderId="0" xfId="5" applyFont="1" applyAlignment="1">
      <alignment horizontal="center"/>
    </xf>
    <xf numFmtId="0" fontId="12" fillId="0" borderId="0" xfId="5" applyFont="1"/>
    <xf numFmtId="0" fontId="12" fillId="0" borderId="0" xfId="5" quotePrefix="1" applyFont="1" applyAlignment="1">
      <alignment horizontal="center"/>
    </xf>
    <xf numFmtId="0" fontId="12" fillId="0" borderId="1" xfId="5" applyFont="1" applyBorder="1" applyAlignment="1">
      <alignment horizontal="center" wrapText="1"/>
    </xf>
    <xf numFmtId="0" fontId="12" fillId="0" borderId="1" xfId="5" quotePrefix="1" applyFont="1" applyBorder="1" applyAlignment="1">
      <alignment horizontal="center" wrapText="1"/>
    </xf>
    <xf numFmtId="0" fontId="22" fillId="0" borderId="1" xfId="5" quotePrefix="1" applyFont="1" applyBorder="1" applyAlignment="1">
      <alignment horizontal="center" wrapText="1"/>
    </xf>
    <xf numFmtId="0" fontId="8" fillId="0" borderId="0" xfId="5" applyFont="1" applyAlignment="1">
      <alignment horizontal="center"/>
    </xf>
    <xf numFmtId="0" fontId="8" fillId="0" borderId="0" xfId="5" applyFont="1"/>
    <xf numFmtId="164" fontId="8" fillId="0" borderId="0" xfId="5" applyNumberFormat="1" applyFont="1"/>
    <xf numFmtId="165" fontId="8" fillId="0" borderId="0" xfId="5" applyNumberFormat="1" applyFont="1"/>
    <xf numFmtId="164" fontId="8" fillId="0" borderId="2" xfId="5" applyNumberFormat="1" applyFont="1" applyBorder="1"/>
    <xf numFmtId="165" fontId="8" fillId="0" borderId="2" xfId="5" applyNumberFormat="1" applyFont="1" applyBorder="1"/>
    <xf numFmtId="164" fontId="15" fillId="0" borderId="0" xfId="5" applyNumberFormat="1" applyFont="1"/>
    <xf numFmtId="167" fontId="15" fillId="0" borderId="0" xfId="5" applyNumberFormat="1" applyFont="1"/>
    <xf numFmtId="0" fontId="8" fillId="0" borderId="0" xfId="5" quotePrefix="1" applyFont="1" applyAlignment="1">
      <alignment horizontal="left"/>
    </xf>
    <xf numFmtId="167" fontId="8" fillId="0" borderId="2" xfId="5" applyNumberFormat="1" applyFont="1" applyBorder="1"/>
    <xf numFmtId="164" fontId="8" fillId="0" borderId="3" xfId="5" applyNumberFormat="1" applyFont="1" applyBorder="1"/>
    <xf numFmtId="165" fontId="8" fillId="0" borderId="3" xfId="5" applyNumberFormat="1" applyFont="1" applyBorder="1"/>
    <xf numFmtId="164" fontId="10" fillId="0" borderId="0" xfId="5" applyNumberFormat="1" applyFont="1"/>
    <xf numFmtId="0" fontId="10" fillId="0" borderId="0" xfId="5" applyFont="1" applyAlignment="1">
      <alignment horizontal="center"/>
    </xf>
    <xf numFmtId="164" fontId="10" fillId="2" borderId="0" xfId="5" applyNumberFormat="1" applyFont="1" applyFill="1"/>
    <xf numFmtId="0" fontId="27" fillId="0" borderId="0" xfId="5" applyFont="1" applyAlignment="1">
      <alignment horizontal="center"/>
    </xf>
    <xf numFmtId="0" fontId="27" fillId="0" borderId="0" xfId="5" quotePrefix="1" applyFont="1" applyAlignment="1">
      <alignment horizontal="center"/>
    </xf>
    <xf numFmtId="0" fontId="20" fillId="0" borderId="0" xfId="5" applyFont="1" applyAlignment="1">
      <alignment horizontal="center"/>
    </xf>
    <xf numFmtId="167" fontId="15" fillId="3" borderId="0" xfId="5" applyNumberFormat="1" applyFont="1" applyFill="1"/>
    <xf numFmtId="167" fontId="20" fillId="0" borderId="0" xfId="5" applyNumberFormat="1" applyFont="1"/>
    <xf numFmtId="167" fontId="8" fillId="3" borderId="0" xfId="5" applyNumberFormat="1" applyFont="1" applyFill="1"/>
    <xf numFmtId="164" fontId="8" fillId="0" borderId="0" xfId="3" applyNumberFormat="1" applyFont="1" applyFill="1"/>
    <xf numFmtId="167" fontId="8" fillId="0" borderId="0" xfId="4" applyNumberFormat="1" applyFont="1" applyFill="1"/>
    <xf numFmtId="167" fontId="27" fillId="0" borderId="0" xfId="4" applyNumberFormat="1" applyFont="1" applyFill="1"/>
    <xf numFmtId="44" fontId="15" fillId="0" borderId="0" xfId="5" applyNumberFormat="1" applyFont="1"/>
    <xf numFmtId="44" fontId="8" fillId="0" borderId="0" xfId="5" applyNumberFormat="1" applyFont="1"/>
    <xf numFmtId="0" fontId="22" fillId="0" borderId="1" xfId="0" applyFont="1" applyBorder="1" applyAlignment="1">
      <alignment horizontal="center" wrapText="1"/>
    </xf>
    <xf numFmtId="167" fontId="20" fillId="0" borderId="0" xfId="4" applyNumberFormat="1" applyFont="1" applyFill="1"/>
    <xf numFmtId="167" fontId="24" fillId="0" borderId="0" xfId="0" applyNumberFormat="1" applyFont="1"/>
    <xf numFmtId="0" fontId="20" fillId="0" borderId="0" xfId="0" applyFont="1"/>
    <xf numFmtId="44" fontId="20" fillId="0" borderId="0" xfId="4" applyFont="1" applyFill="1"/>
    <xf numFmtId="44" fontId="27" fillId="0" borderId="0" xfId="0" applyNumberFormat="1" applyFont="1"/>
    <xf numFmtId="44" fontId="20" fillId="0" borderId="0" xfId="5" applyNumberFormat="1" applyFont="1"/>
    <xf numFmtId="0" fontId="23" fillId="0" borderId="0" xfId="5" applyFont="1"/>
    <xf numFmtId="0" fontId="13" fillId="0" borderId="0" xfId="5" applyFont="1" applyAlignment="1">
      <alignment vertical="center"/>
    </xf>
    <xf numFmtId="0" fontId="13" fillId="0" borderId="0" xfId="1" applyFont="1"/>
    <xf numFmtId="165" fontId="10" fillId="0" borderId="0" xfId="5" applyNumberFormat="1" applyFont="1"/>
    <xf numFmtId="0" fontId="8" fillId="0" borderId="0" xfId="5" applyFont="1" applyAlignment="1">
      <alignment horizontal="left"/>
    </xf>
    <xf numFmtId="0" fontId="10" fillId="0" borderId="0" xfId="5" applyFont="1"/>
    <xf numFmtId="167" fontId="10" fillId="0" borderId="0" xfId="5" applyNumberFormat="1" applyFont="1"/>
    <xf numFmtId="165" fontId="10" fillId="2" borderId="0" xfId="5" applyNumberFormat="1" applyFont="1" applyFill="1"/>
    <xf numFmtId="165" fontId="20" fillId="0" borderId="0" xfId="5" applyNumberFormat="1" applyFont="1"/>
    <xf numFmtId="165" fontId="24" fillId="0" borderId="0" xfId="5" applyNumberFormat="1" applyFont="1"/>
    <xf numFmtId="164" fontId="24" fillId="0" borderId="0" xfId="5" applyNumberFormat="1" applyFont="1"/>
    <xf numFmtId="0" fontId="14" fillId="0" borderId="0" xfId="1" applyFont="1" applyAlignment="1">
      <alignment horizontal="center"/>
    </xf>
    <xf numFmtId="166" fontId="8" fillId="0" borderId="3" xfId="5" applyNumberFormat="1" applyFont="1" applyBorder="1"/>
    <xf numFmtId="166" fontId="8" fillId="0" borderId="0" xfId="5" applyNumberFormat="1" applyFont="1"/>
    <xf numFmtId="164" fontId="20" fillId="0" borderId="0" xfId="5" applyNumberFormat="1" applyFont="1"/>
    <xf numFmtId="0" fontId="20" fillId="0" borderId="0" xfId="5" applyFont="1" applyAlignment="1">
      <alignment horizontal="left"/>
    </xf>
    <xf numFmtId="0" fontId="27" fillId="0" borderId="0" xfId="5" applyFont="1" applyAlignment="1">
      <alignment horizontal="left"/>
    </xf>
    <xf numFmtId="0" fontId="8" fillId="0" borderId="0" xfId="5" applyFont="1" applyAlignment="1">
      <alignment vertical="top" wrapText="1"/>
    </xf>
    <xf numFmtId="0" fontId="8" fillId="0" borderId="0" xfId="5" quotePrefix="1" applyFont="1" applyAlignment="1">
      <alignment horizontal="center" vertical="top" wrapText="1"/>
    </xf>
    <xf numFmtId="17" fontId="8" fillId="0" borderId="0" xfId="5" quotePrefix="1" applyNumberFormat="1" applyFont="1" applyAlignment="1">
      <alignment horizontal="center" vertical="top" wrapText="1"/>
    </xf>
    <xf numFmtId="0" fontId="8" fillId="0" borderId="0" xfId="5" applyFont="1" applyAlignment="1">
      <alignment horizontal="center" vertical="top" wrapText="1"/>
    </xf>
    <xf numFmtId="17" fontId="12" fillId="0" borderId="1" xfId="5" quotePrefix="1" applyNumberFormat="1" applyFont="1" applyBorder="1" applyAlignment="1">
      <alignment horizontal="center" wrapText="1"/>
    </xf>
    <xf numFmtId="17" fontId="12" fillId="0" borderId="0" xfId="5" quotePrefix="1" applyNumberFormat="1" applyFont="1" applyAlignment="1">
      <alignment horizontal="center" wrapText="1"/>
    </xf>
    <xf numFmtId="17" fontId="22" fillId="0" borderId="1" xfId="5" quotePrefix="1" applyNumberFormat="1" applyFont="1" applyBorder="1" applyAlignment="1">
      <alignment horizontal="center" wrapText="1"/>
    </xf>
    <xf numFmtId="14" fontId="12" fillId="0" borderId="0" xfId="5" applyNumberFormat="1" applyFont="1"/>
    <xf numFmtId="0" fontId="21" fillId="0" borderId="0" xfId="5" applyFont="1" applyAlignment="1">
      <alignment horizontal="center"/>
    </xf>
    <xf numFmtId="0" fontId="12" fillId="4" borderId="0" xfId="5" applyFont="1" applyFill="1" applyAlignment="1">
      <alignment horizontal="center"/>
    </xf>
    <xf numFmtId="165" fontId="12" fillId="0" borderId="3" xfId="5" applyNumberFormat="1" applyFont="1" applyBorder="1"/>
    <xf numFmtId="44" fontId="20" fillId="0" borderId="0" xfId="0" applyNumberFormat="1" applyFont="1"/>
    <xf numFmtId="165" fontId="20" fillId="0" borderId="0" xfId="6" applyNumberFormat="1" applyFont="1" applyFill="1"/>
    <xf numFmtId="17" fontId="22" fillId="5" borderId="1" xfId="5" quotePrefix="1" applyNumberFormat="1" applyFont="1" applyFill="1" applyBorder="1" applyAlignment="1">
      <alignment horizontal="center" wrapText="1"/>
    </xf>
    <xf numFmtId="17" fontId="22" fillId="5" borderId="21" xfId="5" quotePrefix="1" applyNumberFormat="1" applyFont="1" applyFill="1" applyBorder="1" applyAlignment="1">
      <alignment horizontal="center" wrapText="1"/>
    </xf>
    <xf numFmtId="17" fontId="12" fillId="5" borderId="21" xfId="5" quotePrefix="1" applyNumberFormat="1" applyFont="1" applyFill="1" applyBorder="1" applyAlignment="1">
      <alignment horizontal="center" wrapText="1"/>
    </xf>
    <xf numFmtId="0" fontId="21" fillId="0" borderId="0" xfId="1" applyFont="1" applyAlignment="1">
      <alignment horizontal="center"/>
    </xf>
    <xf numFmtId="17" fontId="24" fillId="5" borderId="1" xfId="2" quotePrefix="1" applyNumberFormat="1" applyFont="1" applyFill="1" applyBorder="1" applyAlignment="1">
      <alignment horizontal="center" wrapText="1"/>
    </xf>
    <xf numFmtId="17" fontId="8" fillId="5" borderId="0" xfId="2" quotePrefix="1" applyNumberFormat="1" applyFont="1" applyFill="1" applyAlignment="1">
      <alignment horizontal="center" vertical="top" wrapText="1"/>
    </xf>
    <xf numFmtId="165" fontId="20" fillId="5" borderId="0" xfId="0" applyNumberFormat="1" applyFont="1" applyFill="1"/>
    <xf numFmtId="165" fontId="8" fillId="5" borderId="0" xfId="0" applyNumberFormat="1" applyFont="1" applyFill="1"/>
    <xf numFmtId="165" fontId="8" fillId="5" borderId="3" xfId="0" applyNumberFormat="1" applyFont="1" applyFill="1" applyBorder="1"/>
    <xf numFmtId="17" fontId="8" fillId="5" borderId="0" xfId="0" quotePrefix="1" applyNumberFormat="1" applyFont="1" applyFill="1" applyAlignment="1">
      <alignment horizontal="center" vertical="top" wrapText="1"/>
    </xf>
    <xf numFmtId="0" fontId="22" fillId="5" borderId="1" xfId="0" quotePrefix="1" applyFont="1" applyFill="1" applyBorder="1" applyAlignment="1">
      <alignment horizontal="center" wrapText="1"/>
    </xf>
    <xf numFmtId="0" fontId="8" fillId="5" borderId="0" xfId="0" applyFont="1" applyFill="1" applyAlignment="1">
      <alignment horizontal="center" vertical="top" wrapText="1"/>
    </xf>
    <xf numFmtId="17" fontId="12" fillId="5" borderId="1" xfId="2" quotePrefix="1" applyNumberFormat="1" applyFont="1" applyFill="1" applyBorder="1" applyAlignment="1">
      <alignment horizontal="center" wrapText="1"/>
    </xf>
    <xf numFmtId="165" fontId="15" fillId="0" borderId="0" xfId="6" applyNumberFormat="1" applyFont="1" applyFill="1"/>
    <xf numFmtId="164" fontId="20" fillId="0" borderId="0" xfId="0" applyNumberFormat="1" applyFont="1" applyAlignment="1">
      <alignment horizontal="right"/>
    </xf>
    <xf numFmtId="165" fontId="20" fillId="0" borderId="0" xfId="0" applyNumberFormat="1" applyFont="1" applyAlignment="1">
      <alignment horizontal="right"/>
    </xf>
    <xf numFmtId="17" fontId="24" fillId="0" borderId="1" xfId="0" quotePrefix="1" applyNumberFormat="1" applyFont="1" applyBorder="1" applyAlignment="1">
      <alignment horizontal="center" wrapText="1"/>
    </xf>
    <xf numFmtId="17" fontId="22" fillId="5" borderId="1" xfId="0" quotePrefix="1" applyNumberFormat="1" applyFont="1" applyFill="1" applyBorder="1" applyAlignment="1">
      <alignment horizontal="center" wrapText="1"/>
    </xf>
    <xf numFmtId="165" fontId="20" fillId="5" borderId="0" xfId="0" applyNumberFormat="1" applyFont="1" applyFill="1" applyAlignment="1">
      <alignment horizontal="right"/>
    </xf>
    <xf numFmtId="10" fontId="8" fillId="5" borderId="0" xfId="0" applyNumberFormat="1" applyFont="1" applyFill="1" applyAlignment="1">
      <alignment horizontal="right"/>
    </xf>
    <xf numFmtId="165" fontId="8" fillId="5" borderId="3" xfId="0" applyNumberFormat="1" applyFont="1" applyFill="1" applyBorder="1" applyAlignment="1">
      <alignment horizontal="right"/>
    </xf>
    <xf numFmtId="10" fontId="8" fillId="5" borderId="3" xfId="0" applyNumberFormat="1" applyFont="1" applyFill="1" applyBorder="1" applyAlignment="1">
      <alignment horizontal="right"/>
    </xf>
    <xf numFmtId="0" fontId="9" fillId="0" borderId="10" xfId="0" applyFont="1" applyBorder="1"/>
    <xf numFmtId="0" fontId="15" fillId="0" borderId="0" xfId="0" applyFont="1" applyAlignment="1">
      <alignment horizontal="left"/>
    </xf>
    <xf numFmtId="0" fontId="27" fillId="0" borderId="0" xfId="0" applyFont="1" applyAlignment="1">
      <alignment horizontal="left"/>
    </xf>
    <xf numFmtId="0" fontId="27" fillId="0" borderId="0" xfId="0" quotePrefix="1" applyFont="1" applyAlignment="1">
      <alignment horizontal="left"/>
    </xf>
    <xf numFmtId="0" fontId="8" fillId="0" borderId="13" xfId="5" applyFont="1" applyBorder="1"/>
    <xf numFmtId="0" fontId="8" fillId="0" borderId="12" xfId="5" applyFont="1" applyBorder="1"/>
    <xf numFmtId="10" fontId="30" fillId="0" borderId="11" xfId="5" applyNumberFormat="1" applyFont="1" applyBorder="1" applyAlignment="1">
      <alignment horizontal="right"/>
    </xf>
    <xf numFmtId="0" fontId="8" fillId="0" borderId="10" xfId="5" applyFont="1" applyBorder="1"/>
    <xf numFmtId="0" fontId="8" fillId="0" borderId="10" xfId="5" quotePrefix="1" applyFont="1" applyBorder="1" applyAlignment="1">
      <alignment horizontal="right"/>
    </xf>
    <xf numFmtId="0" fontId="8" fillId="0" borderId="11" xfId="5" applyFont="1" applyBorder="1"/>
    <xf numFmtId="0" fontId="8" fillId="0" borderId="0" xfId="5" quotePrefix="1" applyFont="1"/>
    <xf numFmtId="0" fontId="15" fillId="0" borderId="11" xfId="5" applyFont="1" applyBorder="1"/>
    <xf numFmtId="167" fontId="15" fillId="0" borderId="10" xfId="5" applyNumberFormat="1" applyFont="1" applyBorder="1"/>
    <xf numFmtId="0" fontId="15" fillId="0" borderId="0" xfId="5" applyFont="1"/>
    <xf numFmtId="167" fontId="15" fillId="0" borderId="11" xfId="5" applyNumberFormat="1" applyFont="1" applyBorder="1"/>
    <xf numFmtId="17" fontId="20" fillId="0" borderId="10" xfId="5" quotePrefix="1" applyNumberFormat="1" applyFont="1" applyBorder="1" applyAlignment="1">
      <alignment horizontal="left"/>
    </xf>
    <xf numFmtId="0" fontId="27" fillId="0" borderId="0" xfId="5" quotePrefix="1" applyFont="1"/>
    <xf numFmtId="0" fontId="27" fillId="0" borderId="0" xfId="5" applyFont="1"/>
    <xf numFmtId="0" fontId="8" fillId="0" borderId="1" xfId="5" applyFont="1" applyBorder="1"/>
    <xf numFmtId="7" fontId="8" fillId="0" borderId="0" xfId="5" applyNumberFormat="1" applyFont="1"/>
    <xf numFmtId="10" fontId="20" fillId="0" borderId="0" xfId="5" applyNumberFormat="1" applyFont="1" applyAlignment="1">
      <alignment horizontal="center"/>
    </xf>
    <xf numFmtId="37" fontId="8" fillId="0" borderId="0" xfId="5" applyNumberFormat="1" applyFont="1"/>
    <xf numFmtId="0" fontId="15" fillId="3" borderId="11" xfId="5" applyFont="1" applyFill="1" applyBorder="1"/>
    <xf numFmtId="167" fontId="15" fillId="3" borderId="10" xfId="5" applyNumberFormat="1" applyFont="1" applyFill="1" applyBorder="1"/>
    <xf numFmtId="0" fontId="15" fillId="3" borderId="0" xfId="5" applyFont="1" applyFill="1"/>
    <xf numFmtId="167" fontId="15" fillId="3" borderId="11" xfId="5" applyNumberFormat="1" applyFont="1" applyFill="1" applyBorder="1"/>
    <xf numFmtId="17" fontId="20" fillId="3" borderId="10" xfId="5" quotePrefix="1" applyNumberFormat="1" applyFont="1" applyFill="1" applyBorder="1" applyAlignment="1">
      <alignment horizontal="left"/>
    </xf>
    <xf numFmtId="37" fontId="27" fillId="0" borderId="0" xfId="5" applyNumberFormat="1" applyFont="1"/>
    <xf numFmtId="10" fontId="8" fillId="0" borderId="0" xfId="5" applyNumberFormat="1" applyFont="1"/>
    <xf numFmtId="169" fontId="9" fillId="0" borderId="10" xfId="5" applyNumberFormat="1" applyFont="1" applyBorder="1"/>
    <xf numFmtId="44" fontId="9" fillId="0" borderId="11" xfId="5" applyNumberFormat="1" applyFont="1" applyBorder="1"/>
    <xf numFmtId="0" fontId="9" fillId="0" borderId="10" xfId="5" applyFont="1" applyBorder="1"/>
    <xf numFmtId="10" fontId="8" fillId="3" borderId="0" xfId="5" applyNumberFormat="1" applyFont="1" applyFill="1"/>
    <xf numFmtId="0" fontId="8" fillId="3" borderId="0" xfId="5" applyFont="1" applyFill="1"/>
    <xf numFmtId="7" fontId="8" fillId="3" borderId="0" xfId="5" applyNumberFormat="1" applyFont="1" applyFill="1"/>
    <xf numFmtId="10" fontId="20" fillId="3" borderId="0" xfId="5" applyNumberFormat="1" applyFont="1" applyFill="1" applyAlignment="1">
      <alignment horizontal="center"/>
    </xf>
    <xf numFmtId="37" fontId="27" fillId="3" borderId="0" xfId="5" applyNumberFormat="1" applyFont="1" applyFill="1"/>
    <xf numFmtId="166" fontId="8" fillId="0" borderId="11" xfId="5" applyNumberFormat="1" applyFont="1" applyBorder="1"/>
    <xf numFmtId="44" fontId="15" fillId="0" borderId="10" xfId="5" applyNumberFormat="1" applyFont="1" applyBorder="1"/>
    <xf numFmtId="44" fontId="15" fillId="0" borderId="11" xfId="5" applyNumberFormat="1" applyFont="1" applyBorder="1"/>
    <xf numFmtId="44" fontId="27" fillId="0" borderId="10" xfId="5" applyNumberFormat="1" applyFont="1" applyBorder="1"/>
    <xf numFmtId="44" fontId="17" fillId="0" borderId="10" xfId="5" applyNumberFormat="1" applyFont="1" applyBorder="1"/>
    <xf numFmtId="44" fontId="17" fillId="0" borderId="11" xfId="5" applyNumberFormat="1" applyFont="1" applyBorder="1"/>
    <xf numFmtId="0" fontId="9" fillId="0" borderId="10" xfId="5" quotePrefix="1" applyFont="1" applyBorder="1" applyAlignment="1">
      <alignment horizontal="left"/>
    </xf>
    <xf numFmtId="167" fontId="8" fillId="0" borderId="10" xfId="5" applyNumberFormat="1" applyFont="1" applyBorder="1"/>
    <xf numFmtId="167" fontId="8" fillId="0" borderId="11" xfId="5" applyNumberFormat="1" applyFont="1" applyBorder="1"/>
    <xf numFmtId="0" fontId="27" fillId="0" borderId="10" xfId="5" quotePrefix="1" applyFont="1" applyBorder="1" applyAlignment="1">
      <alignment horizontal="left"/>
    </xf>
    <xf numFmtId="44" fontId="8" fillId="0" borderId="10" xfId="5" applyNumberFormat="1" applyFont="1" applyBorder="1"/>
    <xf numFmtId="44" fontId="8" fillId="0" borderId="11" xfId="5" applyNumberFormat="1" applyFont="1" applyBorder="1"/>
    <xf numFmtId="166" fontId="8" fillId="0" borderId="11" xfId="5" applyNumberFormat="1" applyFont="1" applyBorder="1" applyAlignment="1">
      <alignment horizontal="center"/>
    </xf>
    <xf numFmtId="0" fontId="8" fillId="0" borderId="10" xfId="5" applyFont="1" applyBorder="1" applyAlignment="1">
      <alignment horizontal="center" wrapText="1"/>
    </xf>
    <xf numFmtId="0" fontId="8" fillId="0" borderId="11" xfId="5" applyFont="1" applyBorder="1" applyAlignment="1">
      <alignment horizontal="center" wrapText="1"/>
    </xf>
    <xf numFmtId="0" fontId="9" fillId="0" borderId="10" xfId="5" quotePrefix="1" applyFont="1" applyBorder="1" applyAlignment="1">
      <alignment horizontal="center"/>
    </xf>
    <xf numFmtId="0" fontId="8" fillId="0" borderId="0" xfId="5" applyFont="1" applyAlignment="1">
      <alignment horizontal="center" wrapText="1"/>
    </xf>
    <xf numFmtId="0" fontId="8" fillId="0" borderId="0" xfId="5" quotePrefix="1" applyFont="1" applyAlignment="1">
      <alignment horizontal="center" wrapText="1"/>
    </xf>
    <xf numFmtId="0" fontId="12" fillId="0" borderId="23" xfId="5" applyFont="1" applyBorder="1" applyAlignment="1">
      <alignment horizontal="centerContinuous" wrapText="1"/>
    </xf>
    <xf numFmtId="0" fontId="12" fillId="0" borderId="22" xfId="5" applyFont="1" applyBorder="1" applyAlignment="1">
      <alignment horizontal="centerContinuous" wrapText="1"/>
    </xf>
    <xf numFmtId="0" fontId="9" fillId="0" borderId="22" xfId="5" quotePrefix="1" applyFont="1" applyBorder="1" applyAlignment="1">
      <alignment horizontal="left"/>
    </xf>
    <xf numFmtId="0" fontId="12" fillId="0" borderId="1" xfId="5" applyFont="1" applyBorder="1" applyAlignment="1">
      <alignment horizontal="centerContinuous" wrapText="1"/>
    </xf>
    <xf numFmtId="0" fontId="12" fillId="0" borderId="1" xfId="5" applyFont="1" applyBorder="1" applyAlignment="1">
      <alignment horizontal="centerContinuous"/>
    </xf>
    <xf numFmtId="0" fontId="12" fillId="0" borderId="1" xfId="5" applyFont="1" applyBorder="1"/>
    <xf numFmtId="0" fontId="12" fillId="0" borderId="1" xfId="5" applyFont="1" applyBorder="1" applyAlignment="1">
      <alignment horizontal="center"/>
    </xf>
    <xf numFmtId="0" fontId="12" fillId="0" borderId="0" xfId="5" applyFont="1" applyAlignment="1">
      <alignment horizontal="center" wrapText="1"/>
    </xf>
    <xf numFmtId="167" fontId="8" fillId="0" borderId="24" xfId="5" applyNumberFormat="1" applyFont="1" applyBorder="1"/>
    <xf numFmtId="167" fontId="8" fillId="0" borderId="25" xfId="5" applyNumberFormat="1" applyFont="1" applyBorder="1"/>
    <xf numFmtId="0" fontId="8" fillId="0" borderId="10" xfId="5" applyFont="1" applyBorder="1" applyAlignment="1">
      <alignment horizontal="right"/>
    </xf>
    <xf numFmtId="10" fontId="12" fillId="0" borderId="3" xfId="5" applyNumberFormat="1" applyFont="1" applyBorder="1" applyAlignment="1">
      <alignment horizontal="center"/>
    </xf>
    <xf numFmtId="17" fontId="20" fillId="0" borderId="0" xfId="0" quotePrefix="1" applyNumberFormat="1" applyFont="1" applyAlignment="1">
      <alignment horizontal="left" indent="1"/>
    </xf>
    <xf numFmtId="0" fontId="27" fillId="0" borderId="0" xfId="0" quotePrefix="1" applyFont="1" applyAlignment="1">
      <alignment horizontal="left" indent="1"/>
    </xf>
    <xf numFmtId="167" fontId="20" fillId="3" borderId="0" xfId="0" applyNumberFormat="1" applyFont="1" applyFill="1"/>
    <xf numFmtId="44" fontId="20" fillId="3" borderId="0" xfId="0" applyNumberFormat="1" applyFont="1" applyFill="1"/>
    <xf numFmtId="167" fontId="8" fillId="3" borderId="0" xfId="0" applyNumberFormat="1" applyFont="1" applyFill="1"/>
    <xf numFmtId="44" fontId="8" fillId="3" borderId="0" xfId="0" applyNumberFormat="1" applyFont="1" applyFill="1"/>
    <xf numFmtId="17" fontId="20" fillId="3" borderId="0" xfId="0" quotePrefix="1" applyNumberFormat="1" applyFont="1" applyFill="1" applyAlignment="1">
      <alignment horizontal="left" indent="1"/>
    </xf>
    <xf numFmtId="0" fontId="9" fillId="0" borderId="7" xfId="5" quotePrefix="1" applyFont="1" applyBorder="1" applyAlignment="1">
      <alignment horizontal="left"/>
    </xf>
    <xf numFmtId="0" fontId="8" fillId="0" borderId="4" xfId="5" applyFont="1" applyBorder="1"/>
    <xf numFmtId="0" fontId="12" fillId="0" borderId="9" xfId="5" applyFont="1" applyBorder="1" applyAlignment="1">
      <alignment horizontal="center" wrapText="1"/>
    </xf>
    <xf numFmtId="167" fontId="8" fillId="0" borderId="3" xfId="5" applyNumberFormat="1" applyFont="1" applyBorder="1"/>
    <xf numFmtId="0" fontId="8" fillId="0" borderId="0" xfId="5" quotePrefix="1" applyFont="1" applyAlignment="1">
      <alignment horizontal="right"/>
    </xf>
    <xf numFmtId="0" fontId="8" fillId="0" borderId="0" xfId="5" applyFont="1" applyAlignment="1">
      <alignment horizontal="right"/>
    </xf>
    <xf numFmtId="0" fontId="8" fillId="0" borderId="11" xfId="5" quotePrefix="1" applyFont="1" applyBorder="1" applyAlignment="1">
      <alignment horizontal="left"/>
    </xf>
    <xf numFmtId="17" fontId="20" fillId="0" borderId="10" xfId="5" applyNumberFormat="1" applyFont="1" applyBorder="1"/>
    <xf numFmtId="10" fontId="8" fillId="0" borderId="11" xfId="5" applyNumberFormat="1" applyFont="1" applyBorder="1"/>
    <xf numFmtId="5" fontId="8" fillId="0" borderId="0" xfId="5" applyNumberFormat="1" applyFont="1"/>
    <xf numFmtId="0" fontId="9" fillId="0" borderId="0" xfId="5" applyFont="1"/>
    <xf numFmtId="10" fontId="8" fillId="3" borderId="11" xfId="5" applyNumberFormat="1" applyFont="1" applyFill="1" applyBorder="1"/>
    <xf numFmtId="17" fontId="20" fillId="3" borderId="10" xfId="5" applyNumberFormat="1" applyFont="1" applyFill="1" applyBorder="1"/>
    <xf numFmtId="167" fontId="8" fillId="0" borderId="0" xfId="4" applyNumberFormat="1" applyFont="1" applyFill="1" applyBorder="1" applyProtection="1"/>
    <xf numFmtId="0" fontId="20" fillId="0" borderId="10" xfId="5" applyFont="1" applyBorder="1"/>
    <xf numFmtId="0" fontId="20" fillId="0" borderId="0" xfId="5" applyFont="1"/>
    <xf numFmtId="167" fontId="8" fillId="0" borderId="0" xfId="4" applyNumberFormat="1" applyFont="1" applyFill="1" applyBorder="1"/>
    <xf numFmtId="44" fontId="20" fillId="0" borderId="10" xfId="5" applyNumberFormat="1" applyFont="1" applyBorder="1"/>
    <xf numFmtId="44" fontId="20" fillId="0" borderId="11" xfId="5" applyNumberFormat="1" applyFont="1" applyBorder="1"/>
    <xf numFmtId="10" fontId="8" fillId="0" borderId="10" xfId="5" applyNumberFormat="1" applyFont="1" applyBorder="1"/>
    <xf numFmtId="167" fontId="8" fillId="0" borderId="10" xfId="4" applyNumberFormat="1" applyFont="1" applyFill="1" applyBorder="1" applyProtection="1"/>
    <xf numFmtId="167" fontId="8" fillId="0" borderId="10" xfId="4" applyNumberFormat="1" applyFont="1" applyFill="1" applyBorder="1"/>
    <xf numFmtId="0" fontId="8" fillId="0" borderId="10" xfId="5" quotePrefix="1" applyFont="1" applyBorder="1" applyAlignment="1">
      <alignment horizontal="left"/>
    </xf>
    <xf numFmtId="7" fontId="8" fillId="0" borderId="11" xfId="5" applyNumberFormat="1" applyFont="1" applyBorder="1"/>
    <xf numFmtId="44" fontId="8" fillId="0" borderId="0" xfId="4" applyFont="1" applyFill="1" applyBorder="1" applyProtection="1"/>
    <xf numFmtId="44" fontId="8" fillId="0" borderId="10" xfId="4" applyFont="1" applyFill="1" applyBorder="1" applyProtection="1"/>
    <xf numFmtId="0" fontId="8" fillId="0" borderId="10" xfId="5" applyFont="1" applyBorder="1" applyAlignment="1">
      <alignment horizontal="center"/>
    </xf>
    <xf numFmtId="0" fontId="8" fillId="0" borderId="11" xfId="5" applyFont="1" applyBorder="1" applyAlignment="1">
      <alignment horizontal="center"/>
    </xf>
    <xf numFmtId="0" fontId="12" fillId="0" borderId="5" xfId="5" quotePrefix="1" applyFont="1" applyBorder="1" applyAlignment="1">
      <alignment horizontal="center"/>
    </xf>
    <xf numFmtId="0" fontId="12" fillId="0" borderId="5" xfId="5" applyFont="1" applyBorder="1" applyAlignment="1">
      <alignment horizontal="center"/>
    </xf>
    <xf numFmtId="0" fontId="8" fillId="0" borderId="0" xfId="5" applyFont="1" applyAlignment="1">
      <alignment horizontal="centerContinuous"/>
    </xf>
    <xf numFmtId="0" fontId="12" fillId="0" borderId="0" xfId="5" applyFont="1" applyAlignment="1">
      <alignment horizontal="centerContinuous"/>
    </xf>
    <xf numFmtId="0" fontId="33" fillId="0" borderId="0" xfId="5" applyFont="1" applyAlignment="1">
      <alignment wrapText="1"/>
    </xf>
    <xf numFmtId="0" fontId="16" fillId="0" borderId="0" xfId="5" quotePrefix="1" applyFont="1" applyAlignment="1">
      <alignment horizontal="left"/>
    </xf>
    <xf numFmtId="0" fontId="8" fillId="0" borderId="26" xfId="5" applyFont="1" applyBorder="1" applyAlignment="1">
      <alignment horizontal="center"/>
    </xf>
    <xf numFmtId="0" fontId="12" fillId="0" borderId="1" xfId="5" quotePrefix="1" applyFont="1" applyBorder="1" applyAlignment="1">
      <alignment horizontal="center"/>
    </xf>
    <xf numFmtId="0" fontId="12" fillId="0" borderId="27" xfId="5" applyFont="1" applyBorder="1" applyAlignment="1">
      <alignment horizontal="center"/>
    </xf>
    <xf numFmtId="0" fontId="12" fillId="0" borderId="28" xfId="5" applyFont="1" applyBorder="1" applyAlignment="1">
      <alignment horizontal="center"/>
    </xf>
    <xf numFmtId="0" fontId="12" fillId="0" borderId="2" xfId="5" applyFont="1" applyBorder="1" applyAlignment="1">
      <alignment horizontal="center"/>
    </xf>
    <xf numFmtId="0" fontId="12" fillId="0" borderId="29" xfId="5" applyFont="1" applyBorder="1" applyAlignment="1">
      <alignment horizontal="center"/>
    </xf>
    <xf numFmtId="167" fontId="8" fillId="3" borderId="11" xfId="5" applyNumberFormat="1" applyFont="1" applyFill="1" applyBorder="1"/>
    <xf numFmtId="167" fontId="8" fillId="0" borderId="1" xfId="5" applyNumberFormat="1" applyFont="1" applyBorder="1"/>
    <xf numFmtId="167" fontId="27" fillId="0" borderId="1" xfId="5" applyNumberFormat="1" applyFont="1" applyBorder="1"/>
    <xf numFmtId="0" fontId="27" fillId="0" borderId="12" xfId="5" applyFont="1" applyBorder="1"/>
    <xf numFmtId="0" fontId="32" fillId="0" borderId="0" xfId="5" applyFont="1" applyAlignment="1">
      <alignment horizontal="left" wrapText="1"/>
    </xf>
    <xf numFmtId="0" fontId="20" fillId="0" borderId="11" xfId="5" applyFont="1" applyBorder="1"/>
    <xf numFmtId="167" fontId="27" fillId="0" borderId="27" xfId="5" applyNumberFormat="1" applyFont="1" applyBorder="1"/>
    <xf numFmtId="0" fontId="8" fillId="0" borderId="11" xfId="5" applyFont="1" applyBorder="1" applyAlignment="1">
      <alignment horizontal="right"/>
    </xf>
    <xf numFmtId="0" fontId="8" fillId="0" borderId="11" xfId="5" quotePrefix="1" applyFont="1" applyBorder="1" applyAlignment="1">
      <alignment horizontal="right"/>
    </xf>
    <xf numFmtId="0" fontId="12" fillId="0" borderId="27" xfId="5" applyFont="1" applyBorder="1" applyAlignment="1">
      <alignment horizontal="center" wrapText="1"/>
    </xf>
    <xf numFmtId="0" fontId="12" fillId="0" borderId="26" xfId="5" applyFont="1" applyBorder="1" applyAlignment="1">
      <alignment horizontal="center" wrapText="1"/>
    </xf>
    <xf numFmtId="0" fontId="12" fillId="0" borderId="7" xfId="5" applyFont="1" applyBorder="1" applyAlignment="1">
      <alignment horizontal="center" wrapText="1"/>
    </xf>
    <xf numFmtId="167" fontId="20" fillId="0" borderId="11" xfId="5" applyNumberFormat="1" applyFont="1" applyBorder="1"/>
    <xf numFmtId="168" fontId="20" fillId="0" borderId="11" xfId="5" applyNumberFormat="1" applyFont="1" applyBorder="1"/>
    <xf numFmtId="167" fontId="20" fillId="0" borderId="10" xfId="5" applyNumberFormat="1" applyFont="1" applyBorder="1"/>
    <xf numFmtId="0" fontId="34" fillId="0" borderId="0" xfId="5" applyFont="1" applyAlignment="1">
      <alignment horizontal="center"/>
    </xf>
    <xf numFmtId="168" fontId="8" fillId="0" borderId="0" xfId="5" applyNumberFormat="1" applyFont="1"/>
    <xf numFmtId="168" fontId="20" fillId="0" borderId="10" xfId="5" applyNumberFormat="1" applyFont="1" applyBorder="1"/>
    <xf numFmtId="0" fontId="22" fillId="0" borderId="0" xfId="5" applyFont="1"/>
    <xf numFmtId="0" fontId="12" fillId="0" borderId="11" xfId="5" applyFont="1" applyBorder="1" applyAlignment="1">
      <alignment horizontal="center" wrapText="1"/>
    </xf>
    <xf numFmtId="44" fontId="20" fillId="0" borderId="0" xfId="0" quotePrefix="1" applyNumberFormat="1" applyFont="1"/>
    <xf numFmtId="0" fontId="0" fillId="0" borderId="0" xfId="0" applyAlignment="1">
      <alignment wrapText="1"/>
    </xf>
    <xf numFmtId="0" fontId="25" fillId="0" borderId="0" xfId="0" applyFont="1" applyAlignment="1">
      <alignment wrapText="1"/>
    </xf>
    <xf numFmtId="17" fontId="22" fillId="0" borderId="0" xfId="0" quotePrefix="1" applyNumberFormat="1" applyFont="1" applyAlignment="1">
      <alignment horizontal="center" wrapText="1"/>
    </xf>
    <xf numFmtId="165" fontId="20" fillId="0" borderId="0" xfId="2" applyNumberFormat="1" applyFont="1"/>
    <xf numFmtId="17" fontId="24" fillId="5" borderId="1" xfId="0" quotePrefix="1" applyNumberFormat="1" applyFont="1" applyFill="1" applyBorder="1" applyAlignment="1">
      <alignment horizontal="center" wrapText="1"/>
    </xf>
    <xf numFmtId="0" fontId="24" fillId="0" borderId="1" xfId="0" applyFont="1" applyBorder="1"/>
    <xf numFmtId="0" fontId="6" fillId="0" borderId="0" xfId="7" applyFont="1"/>
    <xf numFmtId="164" fontId="5" fillId="6" borderId="3" xfId="8" applyNumberFormat="1" applyFont="1" applyFill="1" applyBorder="1"/>
    <xf numFmtId="10" fontId="5" fillId="6" borderId="3" xfId="9" applyNumberFormat="1" applyFont="1" applyFill="1" applyBorder="1"/>
    <xf numFmtId="0" fontId="5" fillId="6" borderId="3" xfId="7" applyFont="1" applyFill="1" applyBorder="1" applyAlignment="1">
      <alignment horizontal="right"/>
    </xf>
    <xf numFmtId="164" fontId="15" fillId="0" borderId="0" xfId="8" applyNumberFormat="1" applyFont="1"/>
    <xf numFmtId="164" fontId="6" fillId="0" borderId="0" xfId="7" applyNumberFormat="1" applyFont="1"/>
    <xf numFmtId="10" fontId="6" fillId="0" borderId="0" xfId="9" applyNumberFormat="1" applyFont="1" applyAlignment="1">
      <alignment horizontal="right"/>
    </xf>
    <xf numFmtId="0" fontId="6" fillId="0" borderId="0" xfId="7" applyFont="1" applyAlignment="1">
      <alignment horizontal="right"/>
    </xf>
    <xf numFmtId="0" fontId="6" fillId="0" borderId="0" xfId="7" applyFont="1" applyAlignment="1">
      <alignment wrapText="1"/>
    </xf>
    <xf numFmtId="17" fontId="22" fillId="6" borderId="30" xfId="7" applyNumberFormat="1" applyFont="1" applyFill="1" applyBorder="1" applyAlignment="1">
      <alignment horizontal="center" wrapText="1"/>
    </xf>
    <xf numFmtId="0" fontId="5" fillId="6" borderId="30" xfId="7" quotePrefix="1" applyFont="1" applyFill="1" applyBorder="1" applyAlignment="1">
      <alignment horizontal="center" wrapText="1"/>
    </xf>
    <xf numFmtId="0" fontId="5" fillId="6" borderId="30" xfId="7" applyFont="1" applyFill="1" applyBorder="1" applyAlignment="1">
      <alignment horizontal="center" wrapText="1"/>
    </xf>
    <xf numFmtId="0" fontId="5" fillId="0" borderId="0" xfId="7" applyFont="1"/>
    <xf numFmtId="172" fontId="10" fillId="0" borderId="0" xfId="0" applyNumberFormat="1" applyFont="1"/>
    <xf numFmtId="0" fontId="8" fillId="0" borderId="1" xfId="0" applyFont="1" applyBorder="1" applyAlignment="1">
      <alignment horizontal="center" vertical="top" wrapText="1"/>
    </xf>
    <xf numFmtId="0" fontId="8" fillId="0" borderId="1" xfId="0" quotePrefix="1" applyFont="1" applyBorder="1" applyAlignment="1">
      <alignment horizontal="center" vertical="top" wrapText="1"/>
    </xf>
    <xf numFmtId="17" fontId="8" fillId="0" borderId="1" xfId="0" quotePrefix="1" applyNumberFormat="1" applyFont="1" applyBorder="1" applyAlignment="1">
      <alignment horizontal="center" vertical="top" wrapText="1"/>
    </xf>
    <xf numFmtId="0" fontId="8" fillId="0" borderId="1" xfId="0" applyFont="1" applyBorder="1" applyAlignment="1">
      <alignment horizontal="center"/>
    </xf>
    <xf numFmtId="3" fontId="8" fillId="0" borderId="1" xfId="0" applyNumberFormat="1" applyFont="1" applyBorder="1" applyAlignment="1">
      <alignment horizontal="center"/>
    </xf>
    <xf numFmtId="42" fontId="8" fillId="0" borderId="1" xfId="0" applyNumberFormat="1" applyFont="1" applyBorder="1" applyAlignment="1">
      <alignment horizontal="center"/>
    </xf>
    <xf numFmtId="0" fontId="22" fillId="0" borderId="1" xfId="5" applyFont="1" applyBorder="1"/>
    <xf numFmtId="0" fontId="8" fillId="0" borderId="2" xfId="0" applyFont="1" applyBorder="1"/>
    <xf numFmtId="0" fontId="8" fillId="0" borderId="2" xfId="5" applyFont="1" applyBorder="1" applyAlignment="1">
      <alignment horizontal="center"/>
    </xf>
    <xf numFmtId="0" fontId="8" fillId="0" borderId="1" xfId="5" applyFont="1" applyBorder="1" applyAlignment="1">
      <alignment horizontal="center"/>
    </xf>
    <xf numFmtId="0" fontId="6" fillId="0" borderId="0" xfId="5" applyFont="1" applyAlignment="1">
      <alignment vertical="top"/>
    </xf>
    <xf numFmtId="0" fontId="8" fillId="0" borderId="0" xfId="5" applyFont="1" applyAlignment="1">
      <alignment vertical="top"/>
    </xf>
    <xf numFmtId="0" fontId="6" fillId="0" borderId="0" xfId="5" applyFont="1" applyAlignment="1">
      <alignment horizontal="left" vertical="top"/>
    </xf>
    <xf numFmtId="0" fontId="23" fillId="0" borderId="0" xfId="5" quotePrefix="1" applyFont="1" applyAlignment="1">
      <alignment horizontal="left" vertical="top"/>
    </xf>
    <xf numFmtId="0" fontId="6" fillId="0" borderId="0" xfId="5" applyFont="1"/>
    <xf numFmtId="0" fontId="7" fillId="0" borderId="0" xfId="5" applyFont="1"/>
    <xf numFmtId="0" fontId="5" fillId="0" borderId="1" xfId="5" applyFont="1" applyBorder="1"/>
    <xf numFmtId="0" fontId="38" fillId="0" borderId="0" xfId="10" applyFont="1"/>
    <xf numFmtId="0" fontId="36" fillId="0" borderId="0" xfId="10" applyFont="1"/>
    <xf numFmtId="0" fontId="37" fillId="0" borderId="0" xfId="10"/>
    <xf numFmtId="0" fontId="35" fillId="0" borderId="0" xfId="11"/>
    <xf numFmtId="0" fontId="36" fillId="0" borderId="0" xfId="11" applyFont="1" applyAlignment="1">
      <alignment horizontal="right"/>
    </xf>
    <xf numFmtId="0" fontId="36" fillId="7" borderId="0" xfId="10" applyFont="1" applyFill="1"/>
    <xf numFmtId="0" fontId="36" fillId="7" borderId="14" xfId="10" applyFont="1" applyFill="1" applyBorder="1"/>
    <xf numFmtId="0" fontId="36" fillId="7" borderId="2" xfId="10" applyFont="1" applyFill="1" applyBorder="1"/>
    <xf numFmtId="0" fontId="36" fillId="7" borderId="15" xfId="10" applyFont="1" applyFill="1" applyBorder="1"/>
    <xf numFmtId="0" fontId="39" fillId="8" borderId="31" xfId="10" applyFont="1" applyFill="1" applyBorder="1"/>
    <xf numFmtId="0" fontId="39" fillId="8" borderId="6" xfId="10" applyFont="1" applyFill="1" applyBorder="1"/>
    <xf numFmtId="0" fontId="39" fillId="8" borderId="32" xfId="10" applyFont="1" applyFill="1" applyBorder="1"/>
    <xf numFmtId="0" fontId="39" fillId="8" borderId="33" xfId="10" applyFont="1" applyFill="1" applyBorder="1"/>
    <xf numFmtId="0" fontId="39" fillId="8" borderId="0" xfId="10" applyFont="1" applyFill="1"/>
    <xf numFmtId="0" fontId="39" fillId="8" borderId="0" xfId="10" applyFont="1" applyFill="1" applyAlignment="1">
      <alignment horizontal="center"/>
    </xf>
    <xf numFmtId="0" fontId="39" fillId="8" borderId="35" xfId="10" applyFont="1" applyFill="1" applyBorder="1"/>
    <xf numFmtId="0" fontId="39" fillId="8" borderId="19" xfId="10" applyFont="1" applyFill="1" applyBorder="1"/>
    <xf numFmtId="0" fontId="39" fillId="8" borderId="1" xfId="10" applyFont="1" applyFill="1" applyBorder="1"/>
    <xf numFmtId="0" fontId="39" fillId="8" borderId="1" xfId="10" applyFont="1" applyFill="1" applyBorder="1" applyAlignment="1">
      <alignment horizontal="center"/>
    </xf>
    <xf numFmtId="0" fontId="39" fillId="8" borderId="20" xfId="10" applyFont="1" applyFill="1" applyBorder="1"/>
    <xf numFmtId="0" fontId="36" fillId="7" borderId="2" xfId="10" applyFont="1" applyFill="1" applyBorder="1" applyAlignment="1">
      <alignment horizontal="center"/>
    </xf>
    <xf numFmtId="0" fontId="36" fillId="7" borderId="31" xfId="10" applyFont="1" applyFill="1" applyBorder="1"/>
    <xf numFmtId="0" fontId="36" fillId="7" borderId="6" xfId="10" applyFont="1" applyFill="1" applyBorder="1"/>
    <xf numFmtId="1" fontId="36" fillId="7" borderId="6" xfId="10" applyNumberFormat="1" applyFont="1" applyFill="1" applyBorder="1"/>
    <xf numFmtId="0" fontId="36" fillId="7" borderId="6" xfId="10" applyFont="1" applyFill="1" applyBorder="1" applyAlignment="1">
      <alignment horizontal="center"/>
    </xf>
    <xf numFmtId="0" fontId="36" fillId="7" borderId="32" xfId="10" applyFont="1" applyFill="1" applyBorder="1"/>
    <xf numFmtId="0" fontId="36" fillId="7" borderId="33" xfId="10" applyFont="1" applyFill="1" applyBorder="1"/>
    <xf numFmtId="0" fontId="38" fillId="7" borderId="0" xfId="10" applyFont="1" applyFill="1"/>
    <xf numFmtId="1" fontId="38" fillId="7" borderId="0" xfId="10" applyNumberFormat="1" applyFont="1" applyFill="1"/>
    <xf numFmtId="0" fontId="36" fillId="7" borderId="35" xfId="10" applyFont="1" applyFill="1" applyBorder="1"/>
    <xf numFmtId="0" fontId="36" fillId="7" borderId="0" xfId="10" applyFont="1" applyFill="1" applyAlignment="1">
      <alignment horizontal="center"/>
    </xf>
    <xf numFmtId="0" fontId="36" fillId="7" borderId="35" xfId="10" applyFont="1" applyFill="1" applyBorder="1" applyAlignment="1">
      <alignment horizontal="center"/>
    </xf>
    <xf numFmtId="0" fontId="40" fillId="7" borderId="0" xfId="10" applyFont="1" applyFill="1"/>
    <xf numFmtId="44" fontId="36" fillId="7" borderId="0" xfId="10" applyNumberFormat="1" applyFont="1" applyFill="1"/>
    <xf numFmtId="173" fontId="36" fillId="7" borderId="0" xfId="10" applyNumberFormat="1" applyFont="1" applyFill="1"/>
    <xf numFmtId="171" fontId="36" fillId="7" borderId="0" xfId="10" applyNumberFormat="1" applyFont="1" applyFill="1"/>
    <xf numFmtId="43" fontId="36" fillId="7" borderId="0" xfId="12" applyFont="1" applyFill="1"/>
    <xf numFmtId="44" fontId="38" fillId="7" borderId="0" xfId="10" applyNumberFormat="1" applyFont="1" applyFill="1"/>
    <xf numFmtId="174" fontId="36" fillId="7" borderId="0" xfId="10" applyNumberFormat="1" applyFont="1" applyFill="1"/>
    <xf numFmtId="10" fontId="38" fillId="7" borderId="0" xfId="10" applyNumberFormat="1" applyFont="1" applyFill="1"/>
    <xf numFmtId="0" fontId="36" fillId="7" borderId="37" xfId="10" applyFont="1" applyFill="1" applyBorder="1"/>
    <xf numFmtId="0" fontId="36" fillId="7" borderId="38" xfId="10" applyFont="1" applyFill="1" applyBorder="1"/>
    <xf numFmtId="10" fontId="36" fillId="7" borderId="38" xfId="10" applyNumberFormat="1" applyFont="1" applyFill="1" applyBorder="1"/>
    <xf numFmtId="0" fontId="36" fillId="7" borderId="39" xfId="10" applyFont="1" applyFill="1" applyBorder="1" applyAlignment="1">
      <alignment horizontal="center"/>
    </xf>
    <xf numFmtId="0" fontId="2" fillId="0" borderId="0" xfId="11" applyFont="1"/>
    <xf numFmtId="0" fontId="39" fillId="8" borderId="34" xfId="10" applyFont="1" applyFill="1" applyBorder="1" applyAlignment="1">
      <alignment horizontal="center"/>
    </xf>
    <xf numFmtId="0" fontId="39" fillId="8" borderId="0" xfId="10" applyFont="1" applyFill="1" applyAlignment="1">
      <alignment horizontal="center"/>
    </xf>
    <xf numFmtId="0" fontId="39" fillId="8" borderId="36" xfId="10" applyFont="1" applyFill="1" applyBorder="1" applyAlignment="1">
      <alignment horizontal="center"/>
    </xf>
    <xf numFmtId="1" fontId="38" fillId="7" borderId="0" xfId="10" applyNumberFormat="1" applyFont="1" applyFill="1" applyAlignment="1">
      <alignment horizontal="center"/>
    </xf>
    <xf numFmtId="0" fontId="22" fillId="0" borderId="0" xfId="1" applyFont="1" applyAlignment="1">
      <alignment horizontal="center"/>
    </xf>
    <xf numFmtId="0" fontId="22" fillId="0" borderId="0" xfId="5" applyFont="1" applyAlignment="1">
      <alignment horizontal="center" wrapText="1"/>
    </xf>
    <xf numFmtId="0" fontId="26" fillId="0" borderId="0" xfId="5" applyFont="1" applyAlignment="1">
      <alignment horizontal="center" wrapText="1"/>
    </xf>
    <xf numFmtId="0" fontId="5" fillId="0" borderId="0" xfId="5" applyFont="1" applyAlignment="1">
      <alignment horizontal="center" wrapText="1"/>
    </xf>
    <xf numFmtId="0" fontId="4" fillId="0" borderId="0" xfId="5" applyFont="1" applyAlignment="1">
      <alignment horizontal="center" wrapText="1"/>
    </xf>
    <xf numFmtId="0" fontId="12" fillId="0" borderId="14" xfId="0" applyFont="1" applyBorder="1" applyAlignment="1">
      <alignment horizontal="center"/>
    </xf>
    <xf numFmtId="0" fontId="12" fillId="0" borderId="2" xfId="0" applyFont="1" applyBorder="1" applyAlignment="1">
      <alignment horizontal="center"/>
    </xf>
    <xf numFmtId="0" fontId="12" fillId="0" borderId="15" xfId="0" applyFont="1" applyBorder="1" applyAlignment="1">
      <alignment horizontal="center"/>
    </xf>
    <xf numFmtId="0" fontId="12" fillId="0" borderId="0" xfId="0" quotePrefix="1" applyFont="1" applyAlignment="1">
      <alignment horizontal="center"/>
    </xf>
    <xf numFmtId="0" fontId="12" fillId="0" borderId="0" xfId="0" applyFont="1" applyAlignment="1">
      <alignment horizontal="center"/>
    </xf>
    <xf numFmtId="0" fontId="12" fillId="0" borderId="0" xfId="0" applyFont="1" applyAlignment="1">
      <alignment horizontal="center" wrapText="1"/>
    </xf>
    <xf numFmtId="0" fontId="0" fillId="0" borderId="0" xfId="0" applyAlignment="1">
      <alignment wrapText="1"/>
    </xf>
    <xf numFmtId="0" fontId="24" fillId="0" borderId="0" xfId="0" applyFont="1" applyAlignment="1">
      <alignment horizontal="center" wrapText="1"/>
    </xf>
    <xf numFmtId="0" fontId="25" fillId="0" borderId="0" xfId="0" applyFont="1" applyAlignment="1">
      <alignment wrapText="1"/>
    </xf>
    <xf numFmtId="0" fontId="12" fillId="0" borderId="7" xfId="0" applyFont="1" applyBorder="1" applyAlignment="1">
      <alignment horizontal="center" wrapText="1"/>
    </xf>
    <xf numFmtId="0" fontId="0" fillId="0" borderId="8" xfId="0" applyBorder="1" applyAlignment="1">
      <alignment wrapText="1"/>
    </xf>
    <xf numFmtId="0" fontId="0" fillId="0" borderId="9" xfId="0" applyBorder="1" applyAlignment="1">
      <alignment wrapText="1"/>
    </xf>
    <xf numFmtId="0" fontId="0" fillId="0" borderId="12" xfId="0" applyBorder="1" applyAlignment="1">
      <alignment wrapText="1"/>
    </xf>
    <xf numFmtId="0" fontId="0" fillId="0" borderId="4" xfId="0" applyBorder="1" applyAlignment="1">
      <alignment wrapText="1"/>
    </xf>
    <xf numFmtId="0" fontId="0" fillId="0" borderId="13" xfId="0" applyBorder="1" applyAlignment="1">
      <alignment wrapText="1"/>
    </xf>
    <xf numFmtId="0" fontId="12" fillId="0" borderId="1" xfId="0" applyFont="1" applyBorder="1" applyAlignment="1">
      <alignment horizontal="center"/>
    </xf>
    <xf numFmtId="0" fontId="0" fillId="0" borderId="0" xfId="0" applyAlignment="1">
      <alignment horizontal="center" wrapText="1"/>
    </xf>
    <xf numFmtId="0" fontId="25" fillId="0" borderId="0" xfId="0" applyFont="1" applyAlignment="1">
      <alignment horizontal="center" wrapText="1"/>
    </xf>
    <xf numFmtId="0" fontId="22" fillId="0" borderId="0" xfId="0" applyFont="1" applyAlignment="1">
      <alignment horizontal="center" wrapText="1"/>
    </xf>
    <xf numFmtId="0" fontId="26" fillId="0" borderId="0" xfId="0" applyFont="1" applyAlignment="1">
      <alignment wrapText="1"/>
    </xf>
    <xf numFmtId="0" fontId="22" fillId="0" borderId="14" xfId="0" applyFont="1" applyBorder="1" applyAlignment="1">
      <alignment horizontal="center" wrapText="1"/>
    </xf>
    <xf numFmtId="0" fontId="26" fillId="0" borderId="2" xfId="0" applyFont="1" applyBorder="1" applyAlignment="1">
      <alignment wrapText="1"/>
    </xf>
    <xf numFmtId="0" fontId="26" fillId="0" borderId="15" xfId="0" applyFont="1" applyBorder="1" applyAlignment="1">
      <alignment wrapText="1"/>
    </xf>
    <xf numFmtId="0" fontId="12" fillId="0" borderId="16" xfId="5" applyFont="1" applyBorder="1" applyAlignment="1">
      <alignment horizontal="center" wrapText="1"/>
    </xf>
    <xf numFmtId="0" fontId="2" fillId="0" borderId="18" xfId="5" applyBorder="1" applyAlignment="1">
      <alignment horizontal="center" wrapText="1"/>
    </xf>
    <xf numFmtId="0" fontId="12" fillId="0" borderId="14" xfId="5" applyFont="1" applyBorder="1" applyAlignment="1">
      <alignment horizontal="center"/>
    </xf>
    <xf numFmtId="0" fontId="12" fillId="0" borderId="2" xfId="5" applyFont="1" applyBorder="1" applyAlignment="1">
      <alignment horizontal="center"/>
    </xf>
    <xf numFmtId="0" fontId="12" fillId="0" borderId="15" xfId="5" applyFont="1" applyBorder="1" applyAlignment="1">
      <alignment horizontal="center"/>
    </xf>
    <xf numFmtId="0" fontId="12" fillId="0" borderId="0" xfId="5" applyFont="1" applyAlignment="1">
      <alignment horizontal="center"/>
    </xf>
    <xf numFmtId="0" fontId="22" fillId="0" borderId="0" xfId="5" quotePrefix="1" applyFont="1" applyAlignment="1">
      <alignment horizontal="center"/>
    </xf>
    <xf numFmtId="0" fontId="22" fillId="0" borderId="0" xfId="5" applyFont="1" applyAlignment="1">
      <alignment horizontal="center"/>
    </xf>
    <xf numFmtId="0" fontId="12" fillId="0" borderId="0" xfId="5" quotePrefix="1" applyFont="1" applyAlignment="1">
      <alignment horizontal="center"/>
    </xf>
    <xf numFmtId="0" fontId="12" fillId="0" borderId="14" xfId="5" quotePrefix="1" applyFont="1" applyBorder="1" applyAlignment="1">
      <alignment horizontal="center"/>
    </xf>
    <xf numFmtId="0" fontId="12" fillId="0" borderId="2" xfId="5" quotePrefix="1" applyFont="1" applyBorder="1" applyAlignment="1">
      <alignment horizontal="center"/>
    </xf>
    <xf numFmtId="0" fontId="12" fillId="0" borderId="15" xfId="5" quotePrefix="1" applyFont="1" applyBorder="1" applyAlignment="1">
      <alignment horizontal="center"/>
    </xf>
    <xf numFmtId="0" fontId="22" fillId="0" borderId="15" xfId="0" applyFont="1" applyBorder="1" applyAlignment="1">
      <alignment horizontal="center" wrapText="1"/>
    </xf>
    <xf numFmtId="0" fontId="12" fillId="0" borderId="14" xfId="0" applyFont="1" applyBorder="1" applyAlignment="1">
      <alignment horizontal="center" wrapText="1"/>
    </xf>
    <xf numFmtId="0" fontId="12" fillId="0" borderId="15" xfId="0" applyFont="1" applyBorder="1" applyAlignment="1">
      <alignment horizontal="center" wrapText="1"/>
    </xf>
    <xf numFmtId="0" fontId="24" fillId="0" borderId="0" xfId="0" applyFont="1" applyAlignment="1">
      <alignment horizontal="center"/>
    </xf>
    <xf numFmtId="0" fontId="22" fillId="0" borderId="0" xfId="0" quotePrefix="1" applyFont="1" applyAlignment="1">
      <alignment horizontal="center"/>
    </xf>
    <xf numFmtId="0" fontId="22" fillId="0" borderId="0" xfId="0" applyFont="1" applyAlignment="1">
      <alignment horizontal="center"/>
    </xf>
    <xf numFmtId="0" fontId="0" fillId="0" borderId="15" xfId="0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22" fillId="0" borderId="19" xfId="0" applyFont="1" applyBorder="1" applyAlignment="1">
      <alignment horizontal="center" wrapText="1"/>
    </xf>
    <xf numFmtId="0" fontId="22" fillId="0" borderId="20" xfId="0" applyFont="1" applyBorder="1" applyAlignment="1">
      <alignment horizontal="center" wrapText="1"/>
    </xf>
    <xf numFmtId="0" fontId="24" fillId="0" borderId="0" xfId="5" applyFont="1" applyAlignment="1">
      <alignment horizontal="center" wrapText="1"/>
    </xf>
    <xf numFmtId="0" fontId="2" fillId="0" borderId="0" xfId="5" applyAlignment="1">
      <alignment wrapText="1"/>
    </xf>
    <xf numFmtId="0" fontId="22" fillId="0" borderId="19" xfId="5" applyFont="1" applyBorder="1" applyAlignment="1">
      <alignment horizontal="center" wrapText="1"/>
    </xf>
    <xf numFmtId="0" fontId="31" fillId="0" borderId="20" xfId="5" applyFont="1" applyBorder="1" applyAlignment="1">
      <alignment horizontal="center" wrapText="1"/>
    </xf>
    <xf numFmtId="0" fontId="12" fillId="0" borderId="21" xfId="5" applyFont="1" applyBorder="1" applyAlignment="1">
      <alignment horizontal="center" wrapText="1"/>
    </xf>
    <xf numFmtId="0" fontId="2" fillId="0" borderId="23" xfId="5" applyBorder="1" applyAlignment="1">
      <alignment horizontal="center" wrapText="1"/>
    </xf>
    <xf numFmtId="0" fontId="31" fillId="0" borderId="0" xfId="5" applyFont="1" applyAlignment="1">
      <alignment horizontal="center" wrapText="1"/>
    </xf>
    <xf numFmtId="0" fontId="12" fillId="0" borderId="17" xfId="5" applyFont="1" applyBorder="1" applyAlignment="1">
      <alignment horizontal="center" wrapText="1"/>
    </xf>
    <xf numFmtId="0" fontId="12" fillId="0" borderId="22" xfId="5" applyFont="1" applyBorder="1" applyAlignment="1">
      <alignment horizontal="center" wrapText="1"/>
    </xf>
    <xf numFmtId="0" fontId="2" fillId="0" borderId="21" xfId="5" applyBorder="1" applyAlignment="1">
      <alignment horizontal="center" wrapText="1"/>
    </xf>
    <xf numFmtId="0" fontId="22" fillId="0" borderId="14" xfId="5" applyFont="1" applyBorder="1" applyAlignment="1">
      <alignment horizontal="center" wrapText="1"/>
    </xf>
    <xf numFmtId="0" fontId="31" fillId="0" borderId="15" xfId="5" applyFont="1" applyBorder="1" applyAlignment="1">
      <alignment horizontal="center" wrapText="1"/>
    </xf>
    <xf numFmtId="0" fontId="12" fillId="0" borderId="14" xfId="5" applyFont="1" applyBorder="1" applyAlignment="1">
      <alignment horizontal="center" wrapText="1"/>
    </xf>
    <xf numFmtId="0" fontId="4" fillId="0" borderId="2" xfId="5" applyFont="1" applyBorder="1" applyAlignment="1">
      <alignment horizontal="center" wrapText="1"/>
    </xf>
    <xf numFmtId="0" fontId="32" fillId="0" borderId="0" xfId="5" applyFont="1" applyAlignment="1">
      <alignment horizontal="left" wrapText="1"/>
    </xf>
    <xf numFmtId="0" fontId="0" fillId="0" borderId="0" xfId="0" applyAlignment="1">
      <alignment horizontal="left" wrapText="1"/>
    </xf>
    <xf numFmtId="0" fontId="8" fillId="0" borderId="0" xfId="5" quotePrefix="1" applyFont="1" applyAlignment="1">
      <alignment horizontal="left"/>
    </xf>
    <xf numFmtId="0" fontId="12" fillId="0" borderId="14" xfId="5" quotePrefix="1" applyFont="1" applyBorder="1" applyAlignment="1">
      <alignment horizontal="center" wrapText="1"/>
    </xf>
    <xf numFmtId="0" fontId="12" fillId="0" borderId="2" xfId="5" applyFont="1" applyBorder="1" applyAlignment="1">
      <alignment horizontal="center" wrapText="1"/>
    </xf>
    <xf numFmtId="0" fontId="4" fillId="0" borderId="15" xfId="5" applyFont="1" applyBorder="1" applyAlignment="1">
      <alignment horizontal="center" wrapText="1"/>
    </xf>
    <xf numFmtId="0" fontId="0" fillId="0" borderId="18" xfId="0" applyBorder="1" applyAlignment="1">
      <alignment horizontal="center" wrapText="1"/>
    </xf>
    <xf numFmtId="0" fontId="8" fillId="0" borderId="0" xfId="0" quotePrefix="1" applyFont="1" applyAlignment="1">
      <alignment horizontal="left"/>
    </xf>
    <xf numFmtId="0" fontId="8" fillId="0" borderId="5" xfId="0" quotePrefix="1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5" fillId="0" borderId="0" xfId="7" applyFont="1" applyAlignment="1">
      <alignment horizontal="center"/>
    </xf>
    <xf numFmtId="0" fontId="5" fillId="0" borderId="0" xfId="7" quotePrefix="1" applyFont="1" applyAlignment="1">
      <alignment horizontal="center"/>
    </xf>
    <xf numFmtId="0" fontId="22" fillId="0" borderId="0" xfId="7" quotePrefix="1" applyFont="1" applyAlignment="1">
      <alignment horizontal="center"/>
    </xf>
    <xf numFmtId="0" fontId="22" fillId="0" borderId="0" xfId="7" applyFont="1" applyAlignment="1">
      <alignment horizontal="center"/>
    </xf>
    <xf numFmtId="0" fontId="2" fillId="0" borderId="0" xfId="5" applyAlignment="1">
      <alignment horizontal="center" wrapText="1"/>
    </xf>
    <xf numFmtId="14" fontId="12" fillId="0" borderId="16" xfId="5" applyNumberFormat="1" applyFont="1" applyBorder="1" applyAlignment="1">
      <alignment horizontal="center" wrapText="1"/>
    </xf>
    <xf numFmtId="0" fontId="0" fillId="0" borderId="17" xfId="0" applyBorder="1" applyAlignment="1">
      <alignment horizontal="center" wrapText="1"/>
    </xf>
    <xf numFmtId="14" fontId="22" fillId="0" borderId="16" xfId="5" applyNumberFormat="1" applyFont="1" applyBorder="1" applyAlignment="1">
      <alignment horizontal="center" wrapText="1"/>
    </xf>
    <xf numFmtId="0" fontId="26" fillId="0" borderId="17" xfId="0" applyFont="1" applyBorder="1" applyAlignment="1">
      <alignment horizontal="center" wrapText="1"/>
    </xf>
    <xf numFmtId="0" fontId="26" fillId="0" borderId="18" xfId="0" applyFont="1" applyBorder="1" applyAlignment="1">
      <alignment horizontal="center" wrapText="1"/>
    </xf>
    <xf numFmtId="14" fontId="12" fillId="0" borderId="16" xfId="2" quotePrefix="1" applyNumberFormat="1" applyFont="1" applyBorder="1" applyAlignment="1">
      <alignment horizontal="center"/>
    </xf>
    <xf numFmtId="14" fontId="12" fillId="0" borderId="17" xfId="2" quotePrefix="1" applyNumberFormat="1" applyFont="1" applyBorder="1" applyAlignment="1">
      <alignment horizontal="center"/>
    </xf>
    <xf numFmtId="0" fontId="12" fillId="0" borderId="16" xfId="2" quotePrefix="1" applyFont="1" applyBorder="1" applyAlignment="1">
      <alignment horizontal="center"/>
    </xf>
    <xf numFmtId="0" fontId="12" fillId="0" borderId="17" xfId="2" quotePrefix="1" applyFont="1" applyBorder="1" applyAlignment="1">
      <alignment horizontal="center"/>
    </xf>
    <xf numFmtId="0" fontId="12" fillId="0" borderId="18" xfId="2" quotePrefix="1" applyFont="1" applyBorder="1" applyAlignment="1">
      <alignment horizontal="center"/>
    </xf>
    <xf numFmtId="0" fontId="12" fillId="0" borderId="0" xfId="2" applyFont="1" applyAlignment="1">
      <alignment horizontal="center"/>
    </xf>
    <xf numFmtId="0" fontId="12" fillId="0" borderId="0" xfId="2" quotePrefix="1" applyFont="1" applyAlignment="1">
      <alignment horizontal="center"/>
    </xf>
    <xf numFmtId="0" fontId="26" fillId="0" borderId="0" xfId="0" applyFont="1" applyAlignment="1">
      <alignment horizontal="center" wrapText="1"/>
    </xf>
    <xf numFmtId="0" fontId="22" fillId="0" borderId="14" xfId="0" applyFont="1" applyBorder="1" applyAlignment="1">
      <alignment horizontal="center"/>
    </xf>
    <xf numFmtId="0" fontId="22" fillId="0" borderId="2" xfId="0" applyFont="1" applyBorder="1" applyAlignment="1">
      <alignment horizontal="center"/>
    </xf>
    <xf numFmtId="0" fontId="22" fillId="0" borderId="15" xfId="0" applyFont="1" applyBorder="1" applyAlignment="1">
      <alignment horizontal="center"/>
    </xf>
    <xf numFmtId="0" fontId="22" fillId="0" borderId="14" xfId="0" quotePrefix="1" applyFont="1" applyBorder="1" applyAlignment="1">
      <alignment horizontal="center"/>
    </xf>
    <xf numFmtId="0" fontId="22" fillId="0" borderId="2" xfId="0" quotePrefix="1" applyFont="1" applyBorder="1" applyAlignment="1">
      <alignment horizontal="center"/>
    </xf>
    <xf numFmtId="0" fontId="22" fillId="0" borderId="15" xfId="0" quotePrefix="1" applyFont="1" applyBorder="1" applyAlignment="1">
      <alignment horizontal="center"/>
    </xf>
    <xf numFmtId="0" fontId="22" fillId="0" borderId="0" xfId="0" quotePrefix="1" applyFont="1" applyAlignment="1">
      <alignment horizontal="center" wrapText="1"/>
    </xf>
    <xf numFmtId="0" fontId="24" fillId="0" borderId="14" xfId="0" applyFont="1" applyBorder="1" applyAlignment="1">
      <alignment horizontal="center" wrapText="1"/>
    </xf>
    <xf numFmtId="0" fontId="4" fillId="0" borderId="2" xfId="0" applyFont="1" applyBorder="1" applyAlignment="1">
      <alignment horizontal="center" wrapText="1"/>
    </xf>
    <xf numFmtId="0" fontId="4" fillId="0" borderId="15" xfId="0" applyFont="1" applyBorder="1" applyAlignment="1">
      <alignment horizontal="center" wrapText="1"/>
    </xf>
    <xf numFmtId="0" fontId="2" fillId="0" borderId="2" xfId="5" applyBorder="1" applyAlignment="1">
      <alignment horizontal="center" wrapText="1"/>
    </xf>
    <xf numFmtId="0" fontId="2" fillId="0" borderId="15" xfId="5" applyBorder="1" applyAlignment="1">
      <alignment horizontal="center" wrapText="1"/>
    </xf>
    <xf numFmtId="0" fontId="24" fillId="0" borderId="1" xfId="0" applyFont="1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0" fontId="24" fillId="0" borderId="2" xfId="0" applyFont="1" applyBorder="1" applyAlignment="1">
      <alignment horizontal="center" wrapText="1"/>
    </xf>
    <xf numFmtId="0" fontId="12" fillId="0" borderId="16" xfId="0" applyFont="1" applyBorder="1" applyAlignment="1">
      <alignment horizontal="center" wrapText="1"/>
    </xf>
    <xf numFmtId="0" fontId="0" fillId="0" borderId="17" xfId="0" applyBorder="1" applyAlignment="1">
      <alignment wrapText="1"/>
    </xf>
    <xf numFmtId="0" fontId="0" fillId="0" borderId="18" xfId="0" applyBorder="1" applyAlignment="1">
      <alignment wrapText="1"/>
    </xf>
    <xf numFmtId="0" fontId="24" fillId="0" borderId="19" xfId="0" applyFont="1" applyBorder="1" applyAlignment="1">
      <alignment horizontal="center" wrapText="1"/>
    </xf>
    <xf numFmtId="0" fontId="4" fillId="0" borderId="1" xfId="0" applyFont="1" applyBorder="1" applyAlignment="1">
      <alignment horizontal="center" wrapText="1"/>
    </xf>
    <xf numFmtId="0" fontId="4" fillId="0" borderId="20" xfId="0" applyFont="1" applyBorder="1" applyAlignment="1">
      <alignment horizontal="center" wrapText="1"/>
    </xf>
  </cellXfs>
  <cellStyles count="13">
    <cellStyle name="Comma" xfId="3" builtinId="3"/>
    <cellStyle name="Comma 2" xfId="8" xr:uid="{00000000-0005-0000-0000-000001000000}"/>
    <cellStyle name="Comma 4" xfId="12" xr:uid="{600DBAA5-4DD2-4E66-A905-EF9CB1AB2ACE}"/>
    <cellStyle name="Currency" xfId="6" builtinId="4"/>
    <cellStyle name="Currency 2 12" xfId="4" xr:uid="{00000000-0005-0000-0000-000003000000}"/>
    <cellStyle name="Normal" xfId="0" builtinId="0"/>
    <cellStyle name="Normal 2" xfId="1" xr:uid="{00000000-0005-0000-0000-000005000000}"/>
    <cellStyle name="Normal 2 10" xfId="5" xr:uid="{00000000-0005-0000-0000-000006000000}"/>
    <cellStyle name="Normal 3" xfId="2" xr:uid="{00000000-0005-0000-0000-000007000000}"/>
    <cellStyle name="Normal 4" xfId="7" xr:uid="{00000000-0005-0000-0000-000008000000}"/>
    <cellStyle name="Normal 4 2" xfId="10" xr:uid="{A14BC47B-365F-46D6-A722-D9CFA4C815FF}"/>
    <cellStyle name="Normal 5" xfId="11" xr:uid="{30271E67-638C-4DC7-996D-FD409B12C0FD}"/>
    <cellStyle name="Percent 2" xfId="9" xr:uid="{00000000-0005-0000-0000-000009000000}"/>
  </cellStyles>
  <dxfs count="0"/>
  <tableStyles count="0" defaultTableStyle="TableStyleMedium2" defaultPivotStyle="PivotStyleLight16"/>
  <colors>
    <mruColors>
      <color rgb="FF006666"/>
      <color rgb="FF00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tyles" Target="styles.xml"/><Relationship Id="rId55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alcChain" Target="calcChain.xml"/><Relationship Id="rId58" Type="http://schemas.openxmlformats.org/officeDocument/2006/relationships/customXml" Target="../customXml/item5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Relationship Id="rId57" Type="http://schemas.openxmlformats.org/officeDocument/2006/relationships/customXml" Target="../customXml/item4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276225</xdr:colOff>
      <xdr:row>4</xdr:row>
      <xdr:rowOff>17060</xdr:rowOff>
    </xdr:from>
    <xdr:to>
      <xdr:col>37</xdr:col>
      <xdr:colOff>8431</xdr:colOff>
      <xdr:row>41</xdr:row>
      <xdr:rowOff>122992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BBA378-5D9A-47DD-B9E0-2C45FC9D6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116175" y="588560"/>
          <a:ext cx="7904656" cy="602095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33</xdr:col>
      <xdr:colOff>171450</xdr:colOff>
      <xdr:row>2</xdr:row>
      <xdr:rowOff>38100</xdr:rowOff>
    </xdr:from>
    <xdr:to>
      <xdr:col>46</xdr:col>
      <xdr:colOff>551381</xdr:colOff>
      <xdr:row>45</xdr:row>
      <xdr:rowOff>75355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6FF2AE-224B-351B-5AD4-82DF6D473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764125" y="361950"/>
          <a:ext cx="8552381" cy="676190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266700</xdr:colOff>
      <xdr:row>1</xdr:row>
      <xdr:rowOff>104775</xdr:rowOff>
    </xdr:from>
    <xdr:to>
      <xdr:col>33</xdr:col>
      <xdr:colOff>246631</xdr:colOff>
      <xdr:row>44</xdr:row>
      <xdr:rowOff>142037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7782B6-5FD0-FB6F-31D8-EA7DC77422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00" y="247650"/>
          <a:ext cx="8152381" cy="670476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190500</xdr:colOff>
      <xdr:row>0</xdr:row>
      <xdr:rowOff>114300</xdr:rowOff>
    </xdr:from>
    <xdr:to>
      <xdr:col>33</xdr:col>
      <xdr:colOff>294240</xdr:colOff>
      <xdr:row>47</xdr:row>
      <xdr:rowOff>94348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33A0FCA-42EE-46C9-4778-EBBB5D5247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992100" y="114300"/>
          <a:ext cx="8276190" cy="721904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409575</xdr:colOff>
      <xdr:row>9</xdr:row>
      <xdr:rowOff>104775</xdr:rowOff>
    </xdr:from>
    <xdr:to>
      <xdr:col>33</xdr:col>
      <xdr:colOff>627601</xdr:colOff>
      <xdr:row>61</xdr:row>
      <xdr:rowOff>18132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796B4C-A245-188B-46BB-32EA1328E0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087350" y="1914525"/>
          <a:ext cx="8390476" cy="734285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247650</xdr:colOff>
      <xdr:row>2</xdr:row>
      <xdr:rowOff>19050</xdr:rowOff>
    </xdr:from>
    <xdr:to>
      <xdr:col>33</xdr:col>
      <xdr:colOff>37105</xdr:colOff>
      <xdr:row>48</xdr:row>
      <xdr:rowOff>141973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DB2B6F-F5E0-CE72-CF7A-9FE8CF8ACD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39700" y="304800"/>
          <a:ext cx="7961905" cy="721904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238125</xdr:colOff>
      <xdr:row>2</xdr:row>
      <xdr:rowOff>142875</xdr:rowOff>
    </xdr:from>
    <xdr:to>
      <xdr:col>31</xdr:col>
      <xdr:colOff>380118</xdr:colOff>
      <xdr:row>42</xdr:row>
      <xdr:rowOff>94490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678CDF-6F7D-5897-C944-3B2B702104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54050" y="428625"/>
          <a:ext cx="7057143" cy="607619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123825</xdr:colOff>
      <xdr:row>2</xdr:row>
      <xdr:rowOff>57150</xdr:rowOff>
    </xdr:from>
    <xdr:to>
      <xdr:col>32</xdr:col>
      <xdr:colOff>180025</xdr:colOff>
      <xdr:row>42</xdr:row>
      <xdr:rowOff>8765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662D09B-E8A8-AE33-E4C2-5D391294D8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087350" y="342900"/>
          <a:ext cx="7600000" cy="6076190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Zakharova, Elena" id="{20087138-B080-44F8-A7EE-C188F52731BA}" userId="S::Lena.Zakharova@pse.com::e8a6b8bd-f323-4752-82b4-89107bf522d5" providerId="AD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U5" dT="2024-01-23T17:15:26.60" personId="{20087138-B080-44F8-A7EE-C188F52731BA}" id="{918A5888-A9F4-49FD-8F99-1AED6C53ECF8}">
    <text>For 2024 GRC Calculation assumes rate stays the same for MYRP 2025 and 2026</text>
  </threadedComment>
  <threadedComment ref="AD5" dT="2024-01-23T17:15:53.36" personId="{20087138-B080-44F8-A7EE-C188F52731BA}" id="{A0DACA66-0C03-4372-A57D-B4B8A7233074}">
    <text>For 2024 GRC Calculation assumes rate stays the same for MYRP 2025 and 2026</text>
  </threadedComment>
  <threadedComment ref="R12" dT="2024-01-21T21:14:26.99" personId="{20087138-B080-44F8-A7EE-C188F52731BA}" id="{A5B7D157-8C2D-40C6-8406-FF7C5B552C06}">
    <text>Approved in Docket Number: UE-220066 effective 01-01-2024</text>
  </threadedComment>
</ThreadedComment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8.bin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9.bin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0.bin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1.bin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2.bin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3.bin"/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4.bin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5.bin"/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6.bin"/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7.bin"/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8.bin"/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9.bin"/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30.bin"/><Relationship Id="rId1" Type="http://schemas.openxmlformats.org/officeDocument/2006/relationships/printerSettings" Target="../printerSettings/printerSettings29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1.bin"/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2.bin"/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3.bin"/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4.bin"/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5.bin"/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6.bin"/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7.bin"/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8.bin"/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9.bin"/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0.bin"/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1.bin"/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2.bin"/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3.bin"/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4.bin"/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5.bin"/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6.bin"/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7.bin"/><Relationship Id="rId1" Type="http://schemas.openxmlformats.org/officeDocument/2006/relationships/printerSettings" Target="../printerSettings/printerSettings46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05EA25-A2EF-47EC-82FA-C9789048ABEE}">
  <dimension ref="A1:M38"/>
  <sheetViews>
    <sheetView tabSelected="1" zoomScale="130" zoomScaleNormal="130" workbookViewId="0">
      <selection activeCell="C3" sqref="C3"/>
    </sheetView>
  </sheetViews>
  <sheetFormatPr defaultRowHeight="12.75"/>
  <cols>
    <col min="1" max="1" width="9.140625" style="401"/>
    <col min="2" max="2" width="0.85546875" style="401" customWidth="1"/>
    <col min="3" max="3" width="52.7109375" style="401" bestFit="1" customWidth="1"/>
    <col min="4" max="4" width="9.7109375" style="401" bestFit="1" customWidth="1"/>
    <col min="5" max="5" width="10.5703125" style="401" bestFit="1" customWidth="1"/>
    <col min="6" max="6" width="1.7109375" style="401" customWidth="1"/>
    <col min="7" max="7" width="9.7109375" style="401" bestFit="1" customWidth="1"/>
    <col min="8" max="8" width="10.5703125" style="401" bestFit="1" customWidth="1"/>
    <col min="9" max="9" width="1.7109375" style="401" customWidth="1"/>
    <col min="10" max="10" width="9.7109375" style="401" bestFit="1" customWidth="1"/>
    <col min="11" max="11" width="10.5703125" style="401" bestFit="1" customWidth="1"/>
    <col min="12" max="12" width="0.85546875" style="401" customWidth="1"/>
    <col min="13" max="16384" width="9.140625" style="401"/>
  </cols>
  <sheetData>
    <row r="1" spans="1:13">
      <c r="A1" s="398" t="s">
        <v>525</v>
      </c>
      <c r="B1" s="399"/>
      <c r="C1" s="400"/>
      <c r="D1" s="399"/>
      <c r="E1" s="399"/>
      <c r="F1" s="399"/>
      <c r="G1" s="399"/>
      <c r="H1" s="399"/>
      <c r="I1" s="399"/>
      <c r="J1" s="399"/>
      <c r="L1" s="402" t="s">
        <v>526</v>
      </c>
      <c r="M1" s="399"/>
    </row>
    <row r="2" spans="1:13">
      <c r="A2" s="399"/>
      <c r="B2" s="399"/>
      <c r="C2" s="399"/>
      <c r="D2" s="399"/>
      <c r="E2" s="399"/>
      <c r="F2" s="399"/>
      <c r="G2" s="399"/>
      <c r="H2" s="399"/>
      <c r="I2" s="399"/>
      <c r="J2" s="399"/>
      <c r="L2" s="402" t="s">
        <v>527</v>
      </c>
      <c r="M2" s="399"/>
    </row>
    <row r="3" spans="1:13">
      <c r="A3" s="399"/>
      <c r="B3" s="399"/>
      <c r="C3" s="399"/>
      <c r="D3" s="399"/>
      <c r="E3" s="399"/>
      <c r="F3" s="399"/>
      <c r="G3" s="399"/>
      <c r="H3" s="399"/>
      <c r="I3" s="399"/>
      <c r="J3" s="399"/>
      <c r="L3" s="402" t="s">
        <v>528</v>
      </c>
      <c r="M3" s="399"/>
    </row>
    <row r="4" spans="1:13">
      <c r="A4" s="399"/>
      <c r="B4" s="399"/>
      <c r="C4" s="399"/>
      <c r="D4" s="399"/>
      <c r="E4" s="399"/>
      <c r="F4" s="399"/>
      <c r="G4" s="399"/>
      <c r="H4" s="399"/>
      <c r="I4" s="399"/>
      <c r="J4" s="399"/>
      <c r="K4" s="399"/>
      <c r="L4" s="399"/>
      <c r="M4" s="399"/>
    </row>
    <row r="5" spans="1:13">
      <c r="A5" s="399"/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  <c r="M5" s="399"/>
    </row>
    <row r="6" spans="1:13" ht="2.1" customHeight="1">
      <c r="A6" s="399"/>
      <c r="B6" s="404"/>
      <c r="C6" s="405"/>
      <c r="D6" s="405"/>
      <c r="E6" s="405"/>
      <c r="F6" s="405"/>
      <c r="G6" s="405"/>
      <c r="H6" s="405"/>
      <c r="I6" s="405"/>
      <c r="J6" s="405"/>
      <c r="K6" s="405"/>
      <c r="L6" s="406"/>
      <c r="M6" s="399"/>
    </row>
    <row r="7" spans="1:13" ht="8.1" customHeight="1">
      <c r="A7" s="399"/>
      <c r="B7" s="407"/>
      <c r="C7" s="408"/>
      <c r="D7" s="408"/>
      <c r="E7" s="408"/>
      <c r="F7" s="408"/>
      <c r="G7" s="408"/>
      <c r="H7" s="408"/>
      <c r="I7" s="408"/>
      <c r="J7" s="408"/>
      <c r="K7" s="408"/>
      <c r="L7" s="409"/>
      <c r="M7" s="399"/>
    </row>
    <row r="8" spans="1:13">
      <c r="A8" s="399"/>
      <c r="B8" s="410"/>
      <c r="C8" s="411"/>
      <c r="D8" s="443" t="s">
        <v>529</v>
      </c>
      <c r="E8" s="443"/>
      <c r="F8" s="412"/>
      <c r="G8" s="443" t="s">
        <v>530</v>
      </c>
      <c r="H8" s="443"/>
      <c r="I8" s="412"/>
      <c r="J8" s="443" t="s">
        <v>531</v>
      </c>
      <c r="K8" s="443"/>
      <c r="L8" s="413"/>
      <c r="M8" s="399"/>
    </row>
    <row r="9" spans="1:13">
      <c r="A9" s="399"/>
      <c r="B9" s="410"/>
      <c r="C9" s="411"/>
      <c r="D9" s="444" t="s">
        <v>532</v>
      </c>
      <c r="E9" s="444"/>
      <c r="F9" s="412"/>
      <c r="G9" s="445" t="s">
        <v>533</v>
      </c>
      <c r="H9" s="445"/>
      <c r="I9" s="412"/>
      <c r="J9" s="445" t="s">
        <v>534</v>
      </c>
      <c r="K9" s="445"/>
      <c r="L9" s="413"/>
      <c r="M9" s="399"/>
    </row>
    <row r="10" spans="1:13">
      <c r="A10" s="399"/>
      <c r="B10" s="410"/>
      <c r="C10" s="411"/>
      <c r="D10" s="444" t="s">
        <v>535</v>
      </c>
      <c r="E10" s="444"/>
      <c r="F10" s="412"/>
      <c r="G10" s="444" t="s">
        <v>536</v>
      </c>
      <c r="H10" s="444"/>
      <c r="I10" s="412"/>
      <c r="J10" s="444" t="s">
        <v>537</v>
      </c>
      <c r="K10" s="444"/>
      <c r="L10" s="413"/>
      <c r="M10" s="399"/>
    </row>
    <row r="11" spans="1:13" ht="8.1" customHeight="1">
      <c r="A11" s="399"/>
      <c r="B11" s="414"/>
      <c r="C11" s="415"/>
      <c r="D11" s="416"/>
      <c r="E11" s="416"/>
      <c r="F11" s="416"/>
      <c r="G11" s="416"/>
      <c r="H11" s="416"/>
      <c r="I11" s="416"/>
      <c r="J11" s="416"/>
      <c r="K11" s="416"/>
      <c r="L11" s="417"/>
      <c r="M11" s="399"/>
    </row>
    <row r="12" spans="1:13" ht="2.1" customHeight="1">
      <c r="A12" s="399"/>
      <c r="B12" s="404"/>
      <c r="C12" s="405"/>
      <c r="D12" s="418"/>
      <c r="E12" s="418"/>
      <c r="F12" s="418"/>
      <c r="G12" s="418"/>
      <c r="H12" s="418"/>
      <c r="I12" s="418"/>
      <c r="J12" s="418"/>
      <c r="K12" s="418"/>
      <c r="L12" s="406"/>
      <c r="M12" s="399"/>
    </row>
    <row r="13" spans="1:13" ht="8.1" customHeight="1">
      <c r="A13" s="399"/>
      <c r="B13" s="419"/>
      <c r="C13" s="420"/>
      <c r="D13" s="421"/>
      <c r="E13" s="421"/>
      <c r="F13" s="422"/>
      <c r="G13" s="422"/>
      <c r="H13" s="422"/>
      <c r="I13" s="422"/>
      <c r="J13" s="422"/>
      <c r="K13" s="422"/>
      <c r="L13" s="423"/>
      <c r="M13" s="399"/>
    </row>
    <row r="14" spans="1:13">
      <c r="A14" s="399"/>
      <c r="B14" s="424"/>
      <c r="C14" s="425" t="s">
        <v>538</v>
      </c>
      <c r="D14" s="446">
        <f>'Exh CTM-8 (Res Bill Summary)'!B19</f>
        <v>800</v>
      </c>
      <c r="E14" s="446"/>
      <c r="F14" s="426"/>
      <c r="G14" s="446">
        <f>D14*2/3</f>
        <v>533.33333333333337</v>
      </c>
      <c r="H14" s="446"/>
      <c r="I14" s="426"/>
      <c r="J14" s="446">
        <f>D14*4/3</f>
        <v>1066.6666666666667</v>
      </c>
      <c r="K14" s="446"/>
      <c r="L14" s="427"/>
      <c r="M14" s="399"/>
    </row>
    <row r="15" spans="1:13">
      <c r="A15" s="399"/>
      <c r="B15" s="424"/>
      <c r="C15" s="403"/>
      <c r="D15" s="428" t="s">
        <v>139</v>
      </c>
      <c r="E15" s="428" t="s">
        <v>539</v>
      </c>
      <c r="F15" s="403"/>
      <c r="G15" s="428" t="s">
        <v>139</v>
      </c>
      <c r="H15" s="428" t="s">
        <v>539</v>
      </c>
      <c r="I15" s="403"/>
      <c r="J15" s="428" t="s">
        <v>139</v>
      </c>
      <c r="K15" s="428" t="s">
        <v>539</v>
      </c>
      <c r="L15" s="429"/>
      <c r="M15" s="399"/>
    </row>
    <row r="16" spans="1:13">
      <c r="A16" s="399"/>
      <c r="B16" s="424"/>
      <c r="C16" s="430" t="s">
        <v>540</v>
      </c>
      <c r="D16" s="431"/>
      <c r="E16" s="431"/>
      <c r="F16" s="431"/>
      <c r="G16" s="431"/>
      <c r="H16" s="431"/>
      <c r="I16" s="431"/>
      <c r="J16" s="431"/>
      <c r="K16" s="431"/>
      <c r="L16" s="429"/>
      <c r="M16" s="399"/>
    </row>
    <row r="17" spans="1:13" ht="8.1" customHeight="1">
      <c r="A17" s="399"/>
      <c r="B17" s="424"/>
      <c r="C17" s="403"/>
      <c r="D17" s="403"/>
      <c r="E17" s="403"/>
      <c r="F17" s="403"/>
      <c r="G17" s="403"/>
      <c r="H17" s="403"/>
      <c r="I17" s="403"/>
      <c r="J17" s="403"/>
      <c r="K17" s="403"/>
      <c r="L17" s="429"/>
      <c r="M17" s="399"/>
    </row>
    <row r="18" spans="1:13">
      <c r="A18" s="399"/>
      <c r="B18" s="424"/>
      <c r="C18" s="403" t="s">
        <v>541</v>
      </c>
      <c r="D18" s="432">
        <f>'Exh CTM-8 (Res Bill Summary)'!R9</f>
        <v>7.49</v>
      </c>
      <c r="E18" s="432">
        <f>D18</f>
        <v>7.49</v>
      </c>
      <c r="F18" s="433"/>
      <c r="G18" s="432">
        <f>D18</f>
        <v>7.49</v>
      </c>
      <c r="H18" s="432">
        <f>G18</f>
        <v>7.49</v>
      </c>
      <c r="I18" s="433"/>
      <c r="J18" s="432">
        <f>G18</f>
        <v>7.49</v>
      </c>
      <c r="K18" s="432">
        <f>J18</f>
        <v>7.49</v>
      </c>
      <c r="L18" s="429"/>
      <c r="M18" s="399"/>
    </row>
    <row r="19" spans="1:13">
      <c r="A19" s="399"/>
      <c r="B19" s="424"/>
      <c r="C19" s="403" t="s">
        <v>548</v>
      </c>
      <c r="D19" s="434">
        <f>'Exh CTM-8 (Res Bill Summary)'!R10</f>
        <v>0.12213900000000001</v>
      </c>
      <c r="E19" s="434">
        <f>IF(D14&gt;600,600*D19,D14*D19)</f>
        <v>73.2834</v>
      </c>
      <c r="F19" s="434"/>
      <c r="G19" s="434">
        <f>D19</f>
        <v>0.12213900000000001</v>
      </c>
      <c r="H19" s="434">
        <f>IF(G14&gt;600,600*G19,G14*G19)</f>
        <v>65.140800000000013</v>
      </c>
      <c r="I19" s="434"/>
      <c r="J19" s="434">
        <f>G19</f>
        <v>0.12213900000000001</v>
      </c>
      <c r="K19" s="434">
        <f>IF(J14&gt;600,600*J19,J14*J19)</f>
        <v>73.2834</v>
      </c>
      <c r="L19" s="429"/>
      <c r="M19" s="399"/>
    </row>
    <row r="20" spans="1:13">
      <c r="A20" s="399"/>
      <c r="B20" s="424"/>
      <c r="C20" s="403" t="s">
        <v>549</v>
      </c>
      <c r="D20" s="434">
        <f>'Exh CTM-8 (Res Bill Summary)'!R11</f>
        <v>0.14155600000000002</v>
      </c>
      <c r="E20" s="434">
        <f>IF(D14&lt;600,0,(D14-600)*D20)</f>
        <v>28.311200000000003</v>
      </c>
      <c r="F20" s="434"/>
      <c r="G20" s="434">
        <f>D20</f>
        <v>0.14155600000000002</v>
      </c>
      <c r="H20" s="434">
        <f>IF(G14&lt;600,0,(G14-600)*G20)</f>
        <v>0</v>
      </c>
      <c r="I20" s="434"/>
      <c r="J20" s="434">
        <f>G20</f>
        <v>0.14155600000000002</v>
      </c>
      <c r="K20" s="434">
        <f>IF(J14&lt;600,0,(J14-600)*J20)</f>
        <v>66.05946666666668</v>
      </c>
      <c r="L20" s="429"/>
      <c r="M20" s="399"/>
    </row>
    <row r="21" spans="1:13" ht="8.1" customHeight="1">
      <c r="A21" s="399"/>
      <c r="B21" s="424"/>
      <c r="C21" s="403"/>
      <c r="D21" s="403"/>
      <c r="E21" s="403"/>
      <c r="F21" s="403"/>
      <c r="G21" s="403"/>
      <c r="H21" s="403"/>
      <c r="I21" s="403"/>
      <c r="J21" s="403"/>
      <c r="K21" s="403"/>
      <c r="L21" s="429"/>
      <c r="M21" s="399"/>
    </row>
    <row r="22" spans="1:13">
      <c r="A22" s="399"/>
      <c r="B22" s="424"/>
      <c r="C22" s="425" t="s">
        <v>542</v>
      </c>
      <c r="D22" s="435"/>
      <c r="E22" s="435">
        <f>E18+E19+E20</f>
        <v>109.08459999999999</v>
      </c>
      <c r="F22" s="435"/>
      <c r="G22" s="435"/>
      <c r="H22" s="435">
        <f>H18+H19+H20</f>
        <v>72.630800000000008</v>
      </c>
      <c r="I22" s="435"/>
      <c r="J22" s="435"/>
      <c r="K22" s="435">
        <f>K18+K19+K20</f>
        <v>146.83286666666669</v>
      </c>
      <c r="L22" s="429"/>
      <c r="M22" s="399"/>
    </row>
    <row r="23" spans="1:13" ht="8.1" customHeight="1">
      <c r="A23" s="399"/>
      <c r="B23" s="424"/>
      <c r="C23" s="425"/>
      <c r="D23" s="435"/>
      <c r="E23" s="435"/>
      <c r="F23" s="435"/>
      <c r="G23" s="435"/>
      <c r="H23" s="435"/>
      <c r="I23" s="435"/>
      <c r="J23" s="435"/>
      <c r="K23" s="435"/>
      <c r="L23" s="429"/>
      <c r="M23" s="399"/>
    </row>
    <row r="24" spans="1:13" ht="8.1" customHeight="1">
      <c r="A24" s="399"/>
      <c r="B24" s="424"/>
      <c r="C24" s="403"/>
      <c r="D24" s="436"/>
      <c r="E24" s="436"/>
      <c r="F24" s="436"/>
      <c r="G24" s="436"/>
      <c r="H24" s="436"/>
      <c r="I24" s="436"/>
      <c r="J24" s="436"/>
      <c r="K24" s="436"/>
      <c r="L24" s="429"/>
      <c r="M24" s="399"/>
    </row>
    <row r="25" spans="1:13">
      <c r="A25" s="399"/>
      <c r="B25" s="424"/>
      <c r="C25" s="430" t="s">
        <v>543</v>
      </c>
      <c r="D25" s="436"/>
      <c r="E25" s="436"/>
      <c r="F25" s="436"/>
      <c r="G25" s="436"/>
      <c r="H25" s="436"/>
      <c r="I25" s="436"/>
      <c r="J25" s="436"/>
      <c r="K25" s="436"/>
      <c r="L25" s="429"/>
      <c r="M25" s="399"/>
    </row>
    <row r="26" spans="1:13" ht="8.1" customHeight="1">
      <c r="A26" s="399"/>
      <c r="B26" s="424"/>
      <c r="C26" s="403"/>
      <c r="D26" s="403"/>
      <c r="E26" s="403"/>
      <c r="F26" s="403"/>
      <c r="G26" s="403"/>
      <c r="H26" s="403"/>
      <c r="I26" s="403"/>
      <c r="J26" s="403"/>
      <c r="K26" s="403"/>
      <c r="L26" s="429"/>
      <c r="M26" s="399"/>
    </row>
    <row r="27" spans="1:13">
      <c r="A27" s="399"/>
      <c r="B27" s="424"/>
      <c r="C27" s="403" t="s">
        <v>541</v>
      </c>
      <c r="D27" s="432">
        <f>'Exh CTM-8 (Res Bill Summary)'!W9</f>
        <v>12.66</v>
      </c>
      <c r="E27" s="432">
        <f>D27</f>
        <v>12.66</v>
      </c>
      <c r="F27" s="432"/>
      <c r="G27" s="432">
        <f>D27</f>
        <v>12.66</v>
      </c>
      <c r="H27" s="432">
        <f>G27</f>
        <v>12.66</v>
      </c>
      <c r="I27" s="432"/>
      <c r="J27" s="432">
        <f>G27</f>
        <v>12.66</v>
      </c>
      <c r="K27" s="432">
        <f>J27</f>
        <v>12.66</v>
      </c>
      <c r="L27" s="429"/>
      <c r="M27" s="399"/>
    </row>
    <row r="28" spans="1:13">
      <c r="A28" s="399"/>
      <c r="B28" s="424"/>
      <c r="C28" s="403" t="s">
        <v>548</v>
      </c>
      <c r="D28" s="434">
        <f>'Exh CTM-8 (Res Bill Summary)'!W10</f>
        <v>0.13946770407167641</v>
      </c>
      <c r="E28" s="434">
        <f>IF(D14&gt;600,600*D28,D14*D28)</f>
        <v>83.680622443005845</v>
      </c>
      <c r="F28" s="434"/>
      <c r="G28" s="434">
        <f>D28</f>
        <v>0.13946770407167641</v>
      </c>
      <c r="H28" s="434">
        <f>IF(G14&gt;600,600*G28,G14*G28)</f>
        <v>74.382775504894099</v>
      </c>
      <c r="I28" s="434"/>
      <c r="J28" s="434">
        <f>G28</f>
        <v>0.13946770407167641</v>
      </c>
      <c r="K28" s="434">
        <f>IF(J14&gt;600,600*J28,J14*J28)</f>
        <v>83.680622443005845</v>
      </c>
      <c r="L28" s="429"/>
      <c r="M28" s="399"/>
    </row>
    <row r="29" spans="1:13">
      <c r="A29" s="399"/>
      <c r="B29" s="424"/>
      <c r="C29" s="403" t="s">
        <v>549</v>
      </c>
      <c r="D29" s="434">
        <f>'Exh CTM-8 (Res Bill Summary)'!W11</f>
        <v>0.1588847040716764</v>
      </c>
      <c r="E29" s="434">
        <f>IF(D14&lt;600,0,(D14-600)*D29)</f>
        <v>31.77694081433528</v>
      </c>
      <c r="F29" s="434"/>
      <c r="G29" s="434">
        <f>D29</f>
        <v>0.1588847040716764</v>
      </c>
      <c r="H29" s="434">
        <f>IF(G14&lt;600,0,(G14-600)*G29)</f>
        <v>0</v>
      </c>
      <c r="I29" s="434"/>
      <c r="J29" s="434">
        <f>G29</f>
        <v>0.1588847040716764</v>
      </c>
      <c r="K29" s="434">
        <f>IF(J14&lt;600,0,(J14-600)*J29)</f>
        <v>74.146195233449006</v>
      </c>
      <c r="L29" s="429"/>
      <c r="M29" s="399"/>
    </row>
    <row r="30" spans="1:13" ht="8.1" customHeight="1">
      <c r="A30" s="399"/>
      <c r="B30" s="424"/>
      <c r="C30" s="403"/>
      <c r="D30" s="403"/>
      <c r="E30" s="403"/>
      <c r="F30" s="403"/>
      <c r="G30" s="403"/>
      <c r="H30" s="403"/>
      <c r="I30" s="403"/>
      <c r="J30" s="403"/>
      <c r="K30" s="403"/>
      <c r="L30" s="429"/>
      <c r="M30" s="399"/>
    </row>
    <row r="31" spans="1:13">
      <c r="A31" s="399"/>
      <c r="B31" s="424"/>
      <c r="C31" s="425" t="s">
        <v>544</v>
      </c>
      <c r="D31" s="435"/>
      <c r="E31" s="435">
        <f>E27+E28+E29</f>
        <v>128.11756325734112</v>
      </c>
      <c r="F31" s="435"/>
      <c r="G31" s="435"/>
      <c r="H31" s="435">
        <f>H27+H28+H29</f>
        <v>87.042775504894095</v>
      </c>
      <c r="I31" s="435"/>
      <c r="J31" s="435"/>
      <c r="K31" s="435">
        <f>K27+K28+K29</f>
        <v>170.48681767645485</v>
      </c>
      <c r="L31" s="429"/>
      <c r="M31" s="399"/>
    </row>
    <row r="32" spans="1:13">
      <c r="A32" s="399"/>
      <c r="B32" s="424"/>
      <c r="C32" s="425" t="s">
        <v>545</v>
      </c>
      <c r="D32" s="437"/>
      <c r="E32" s="437">
        <f>(E31-E22)/E22</f>
        <v>0.1744789205565325</v>
      </c>
      <c r="F32" s="437"/>
      <c r="G32" s="437"/>
      <c r="H32" s="437">
        <f>(H31-H22)/H22</f>
        <v>0.19842787777215845</v>
      </c>
      <c r="I32" s="437"/>
      <c r="J32" s="437"/>
      <c r="K32" s="437">
        <f>(K31-K22)/K22</f>
        <v>0.16109438946994262</v>
      </c>
      <c r="L32" s="429"/>
      <c r="M32" s="399"/>
    </row>
    <row r="33" spans="1:13" ht="8.1" customHeight="1" thickBot="1">
      <c r="A33" s="399"/>
      <c r="B33" s="438"/>
      <c r="C33" s="439"/>
      <c r="D33" s="440"/>
      <c r="E33" s="440"/>
      <c r="F33" s="440"/>
      <c r="G33" s="440"/>
      <c r="H33" s="440"/>
      <c r="I33" s="440"/>
      <c r="J33" s="440"/>
      <c r="K33" s="440"/>
      <c r="L33" s="441"/>
      <c r="M33" s="399"/>
    </row>
    <row r="34" spans="1:13" ht="13.5" thickTop="1">
      <c r="A34" s="399"/>
      <c r="B34" s="403"/>
      <c r="C34" s="403"/>
      <c r="D34" s="403"/>
      <c r="E34" s="403"/>
      <c r="F34" s="403"/>
      <c r="G34" s="403"/>
      <c r="H34" s="403"/>
      <c r="I34" s="403"/>
      <c r="J34" s="403"/>
      <c r="K34" s="403"/>
      <c r="L34" s="403"/>
      <c r="M34" s="399"/>
    </row>
    <row r="35" spans="1:13">
      <c r="A35" s="399"/>
      <c r="B35" s="403"/>
      <c r="C35" s="403" t="s">
        <v>547</v>
      </c>
      <c r="D35" s="403"/>
      <c r="E35" s="403"/>
      <c r="F35" s="403"/>
      <c r="G35" s="403"/>
      <c r="H35" s="403"/>
      <c r="I35" s="403"/>
      <c r="J35" s="403"/>
      <c r="K35" s="403"/>
      <c r="L35" s="403"/>
      <c r="M35" s="399"/>
    </row>
    <row r="37" spans="1:13">
      <c r="B37" s="442" t="s">
        <v>546</v>
      </c>
    </row>
    <row r="38" spans="1:13">
      <c r="B38" s="442" t="s">
        <v>550</v>
      </c>
    </row>
  </sheetData>
  <mergeCells count="12">
    <mergeCell ref="D10:E10"/>
    <mergeCell ref="G10:H10"/>
    <mergeCell ref="J10:K10"/>
    <mergeCell ref="D14:E14"/>
    <mergeCell ref="G14:H14"/>
    <mergeCell ref="J14:K14"/>
    <mergeCell ref="D8:E8"/>
    <mergeCell ref="G8:H8"/>
    <mergeCell ref="J8:K8"/>
    <mergeCell ref="D9:E9"/>
    <mergeCell ref="G9:H9"/>
    <mergeCell ref="J9:K9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3" tint="0.79998168889431442"/>
    <pageSetUpPr fitToPage="1"/>
  </sheetPr>
  <dimension ref="A1:AI55"/>
  <sheetViews>
    <sheetView zoomScaleNormal="100" zoomScaleSheetLayoutView="100" workbookViewId="0">
      <pane xSplit="5" ySplit="8" topLeftCell="F9" activePane="bottomRight" state="frozen"/>
      <selection activeCell="U42" sqref="U42"/>
      <selection pane="topRight" activeCell="U42" sqref="U42"/>
      <selection pane="bottomLeft" activeCell="U42" sqref="U42"/>
      <selection pane="bottomRight" activeCell="A8" sqref="A8"/>
    </sheetView>
  </sheetViews>
  <sheetFormatPr defaultRowHeight="11.25"/>
  <cols>
    <col min="1" max="1" width="4.85546875" style="3" bestFit="1" customWidth="1"/>
    <col min="2" max="2" width="39.42578125" style="3" customWidth="1"/>
    <col min="3" max="3" width="12" style="3" bestFit="1" customWidth="1"/>
    <col min="4" max="4" width="7.7109375" style="3" bestFit="1" customWidth="1"/>
    <col min="5" max="5" width="0.5703125" style="3" customWidth="1"/>
    <col min="6" max="6" width="10" style="3" bestFit="1" customWidth="1"/>
    <col min="7" max="7" width="7.7109375" style="3" bestFit="1" customWidth="1"/>
    <col min="8" max="8" width="0.5703125" style="3" customWidth="1"/>
    <col min="9" max="9" width="10" style="3" bestFit="1" customWidth="1"/>
    <col min="10" max="10" width="7.7109375" style="3" bestFit="1" customWidth="1"/>
    <col min="11" max="11" width="0.5703125" style="3" customWidth="1"/>
    <col min="12" max="12" width="10" style="3" bestFit="1" customWidth="1"/>
    <col min="13" max="13" width="7.7109375" style="3" bestFit="1" customWidth="1"/>
    <col min="14" max="14" width="0.5703125" style="3" customWidth="1"/>
    <col min="15" max="15" width="10" style="3" bestFit="1" customWidth="1"/>
    <col min="16" max="16" width="11" style="3" customWidth="1"/>
    <col min="17" max="17" width="0.5703125" style="3" customWidth="1"/>
    <col min="18" max="18" width="10" style="3" bestFit="1" customWidth="1"/>
    <col min="19" max="19" width="11.140625" style="3" customWidth="1"/>
    <col min="20" max="20" width="0.5703125" style="3" customWidth="1"/>
    <col min="21" max="21" width="10" style="3" bestFit="1" customWidth="1"/>
    <col min="22" max="22" width="10.5703125" style="3" customWidth="1"/>
    <col min="23" max="23" width="0.5703125" style="3" customWidth="1"/>
    <col min="24" max="24" width="11" style="3" customWidth="1"/>
    <col min="25" max="25" width="12" style="3" customWidth="1"/>
    <col min="26" max="26" width="0.5703125" style="3" customWidth="1"/>
    <col min="27" max="27" width="11.42578125" style="3" customWidth="1"/>
    <col min="28" max="28" width="12.42578125" style="3" customWidth="1"/>
    <col min="29" max="29" width="0.5703125" style="3" customWidth="1"/>
    <col min="30" max="30" width="10" style="3" bestFit="1" customWidth="1"/>
    <col min="31" max="31" width="10.7109375" style="3" customWidth="1"/>
    <col min="32" max="32" width="0.5703125" style="3" customWidth="1"/>
    <col min="33" max="33" width="10" style="3" bestFit="1" customWidth="1"/>
    <col min="34" max="34" width="7.7109375" style="3" bestFit="1" customWidth="1"/>
    <col min="35" max="16384" width="9.140625" style="3"/>
  </cols>
  <sheetData>
    <row r="1" spans="1:35" s="15" customFormat="1">
      <c r="A1" s="490" t="str">
        <f>'Table of Contents'!A1</f>
        <v>Puget Sound Energy</v>
      </c>
      <c r="B1" s="490"/>
      <c r="C1" s="490"/>
      <c r="D1" s="490"/>
      <c r="E1" s="490"/>
      <c r="F1" s="490"/>
      <c r="G1" s="490"/>
      <c r="H1" s="490"/>
      <c r="I1" s="490"/>
      <c r="J1" s="490"/>
      <c r="K1" s="490"/>
      <c r="L1" s="490"/>
      <c r="M1" s="490"/>
      <c r="N1" s="490"/>
      <c r="O1" s="490"/>
      <c r="P1" s="490"/>
      <c r="Q1" s="490"/>
      <c r="R1" s="490"/>
      <c r="S1" s="490"/>
      <c r="T1" s="490"/>
      <c r="U1" s="490"/>
      <c r="V1" s="490"/>
      <c r="W1" s="490"/>
      <c r="X1" s="490"/>
      <c r="Y1" s="490"/>
      <c r="Z1" s="490"/>
      <c r="AA1" s="490"/>
      <c r="AB1" s="490"/>
      <c r="AC1" s="490"/>
      <c r="AD1" s="490"/>
      <c r="AE1" s="490"/>
      <c r="AF1" s="490"/>
      <c r="AG1" s="490"/>
      <c r="AH1" s="490"/>
      <c r="AI1" s="490"/>
    </row>
    <row r="2" spans="1:35" s="15" customFormat="1">
      <c r="A2" s="490" t="str">
        <f>'Table of Contents'!A2</f>
        <v>2024 General Rate Case Docket No. UE-240004 and UG-240005</v>
      </c>
      <c r="B2" s="490"/>
      <c r="C2" s="490"/>
      <c r="D2" s="490"/>
      <c r="E2" s="490"/>
      <c r="F2" s="490"/>
      <c r="G2" s="490"/>
      <c r="H2" s="490"/>
      <c r="I2" s="490"/>
      <c r="J2" s="490"/>
      <c r="K2" s="490"/>
      <c r="L2" s="490"/>
      <c r="M2" s="490"/>
      <c r="N2" s="490"/>
      <c r="O2" s="490"/>
      <c r="P2" s="490"/>
      <c r="Q2" s="490"/>
      <c r="R2" s="490"/>
      <c r="S2" s="490"/>
      <c r="T2" s="490"/>
      <c r="U2" s="490"/>
      <c r="V2" s="490"/>
      <c r="W2" s="490"/>
      <c r="X2" s="490"/>
      <c r="Y2" s="490"/>
      <c r="Z2" s="490"/>
      <c r="AA2" s="490"/>
      <c r="AB2" s="490"/>
      <c r="AC2" s="490"/>
      <c r="AD2" s="490"/>
      <c r="AE2" s="490"/>
      <c r="AF2" s="490"/>
      <c r="AG2" s="490"/>
      <c r="AH2" s="490"/>
      <c r="AI2" s="490"/>
    </row>
    <row r="3" spans="1:35" s="15" customFormat="1">
      <c r="A3" s="491" t="s">
        <v>378</v>
      </c>
      <c r="B3" s="492"/>
      <c r="C3" s="492"/>
      <c r="D3" s="492"/>
      <c r="E3" s="492"/>
      <c r="F3" s="492"/>
      <c r="G3" s="492"/>
      <c r="H3" s="492"/>
      <c r="I3" s="492"/>
      <c r="J3" s="492"/>
      <c r="K3" s="492"/>
      <c r="L3" s="492"/>
      <c r="M3" s="492"/>
      <c r="N3" s="492"/>
      <c r="O3" s="492"/>
      <c r="P3" s="492"/>
      <c r="Q3" s="492"/>
      <c r="R3" s="492"/>
      <c r="S3" s="492"/>
      <c r="T3" s="492"/>
      <c r="U3" s="492"/>
      <c r="V3" s="492"/>
      <c r="W3" s="492"/>
      <c r="X3" s="492"/>
      <c r="Y3" s="492"/>
      <c r="Z3" s="492"/>
      <c r="AA3" s="492"/>
      <c r="AB3" s="492"/>
      <c r="AC3" s="492"/>
      <c r="AD3" s="492"/>
      <c r="AE3" s="492"/>
      <c r="AF3" s="492"/>
      <c r="AG3" s="492"/>
      <c r="AH3" s="492"/>
      <c r="AI3" s="492"/>
    </row>
    <row r="4" spans="1:35" s="15" customFormat="1">
      <c r="A4" s="492" t="s">
        <v>184</v>
      </c>
      <c r="B4" s="492"/>
      <c r="C4" s="492"/>
      <c r="D4" s="492"/>
      <c r="E4" s="492"/>
      <c r="F4" s="492"/>
      <c r="G4" s="492"/>
      <c r="H4" s="492"/>
      <c r="I4" s="492"/>
      <c r="J4" s="492"/>
      <c r="K4" s="492"/>
      <c r="L4" s="492"/>
      <c r="M4" s="492"/>
      <c r="N4" s="492"/>
      <c r="O4" s="492"/>
      <c r="P4" s="492"/>
      <c r="Q4" s="492"/>
      <c r="R4" s="492"/>
      <c r="S4" s="492"/>
      <c r="T4" s="492"/>
      <c r="U4" s="492"/>
      <c r="V4" s="492"/>
      <c r="W4" s="492"/>
      <c r="X4" s="492"/>
      <c r="Y4" s="492"/>
      <c r="Z4" s="492"/>
      <c r="AA4" s="492"/>
      <c r="AB4" s="492"/>
      <c r="AC4" s="492"/>
      <c r="AD4" s="492"/>
      <c r="AE4" s="492"/>
      <c r="AF4" s="492"/>
      <c r="AG4" s="492"/>
      <c r="AH4" s="492"/>
      <c r="AI4" s="492"/>
    </row>
    <row r="5" spans="1:35" s="15" customFormat="1">
      <c r="I5" s="28"/>
      <c r="L5" s="28"/>
      <c r="O5" s="28"/>
      <c r="R5" s="28"/>
      <c r="U5" s="28"/>
    </row>
    <row r="6" spans="1:35" s="67" customFormat="1" ht="11.25" customHeight="1">
      <c r="C6" s="488" t="s">
        <v>118</v>
      </c>
      <c r="D6" s="493"/>
      <c r="F6" s="472" t="s">
        <v>119</v>
      </c>
      <c r="G6" s="487"/>
      <c r="I6" s="472" t="s">
        <v>360</v>
      </c>
      <c r="J6" s="487"/>
      <c r="L6" s="472" t="s">
        <v>361</v>
      </c>
      <c r="M6" s="487"/>
      <c r="O6" s="472" t="s">
        <v>362</v>
      </c>
      <c r="P6" s="487"/>
      <c r="R6" s="472" t="s">
        <v>120</v>
      </c>
      <c r="S6" s="487"/>
      <c r="U6" s="472" t="s">
        <v>121</v>
      </c>
      <c r="V6" s="487"/>
      <c r="X6" s="472" t="s">
        <v>374</v>
      </c>
      <c r="Y6" s="487"/>
      <c r="AA6" s="472" t="s">
        <v>363</v>
      </c>
      <c r="AB6" s="487"/>
      <c r="AD6" s="472" t="s">
        <v>375</v>
      </c>
      <c r="AE6" s="487"/>
      <c r="AG6" s="488" t="s">
        <v>122</v>
      </c>
      <c r="AH6" s="489"/>
    </row>
    <row r="7" spans="1:35" s="15" customFormat="1">
      <c r="A7" s="98" t="s">
        <v>13</v>
      </c>
      <c r="B7" s="98"/>
      <c r="C7" s="98" t="s">
        <v>169</v>
      </c>
      <c r="D7" s="98" t="s">
        <v>123</v>
      </c>
      <c r="F7" s="98" t="s">
        <v>124</v>
      </c>
      <c r="G7" s="98" t="s">
        <v>123</v>
      </c>
      <c r="I7" s="98" t="s">
        <v>124</v>
      </c>
      <c r="J7" s="98" t="s">
        <v>123</v>
      </c>
      <c r="L7" s="98" t="s">
        <v>124</v>
      </c>
      <c r="M7" s="98" t="s">
        <v>123</v>
      </c>
      <c r="O7" s="98" t="s">
        <v>124</v>
      </c>
      <c r="P7" s="98" t="s">
        <v>123</v>
      </c>
      <c r="R7" s="98" t="s">
        <v>124</v>
      </c>
      <c r="S7" s="98" t="s">
        <v>123</v>
      </c>
      <c r="U7" s="98" t="s">
        <v>124</v>
      </c>
      <c r="V7" s="98" t="s">
        <v>123</v>
      </c>
      <c r="X7" s="98" t="s">
        <v>124</v>
      </c>
      <c r="Y7" s="98" t="s">
        <v>123</v>
      </c>
      <c r="AA7" s="98" t="s">
        <v>124</v>
      </c>
      <c r="AB7" s="98" t="s">
        <v>123</v>
      </c>
      <c r="AD7" s="98" t="s">
        <v>124</v>
      </c>
      <c r="AE7" s="98" t="s">
        <v>123</v>
      </c>
      <c r="AG7" s="98" t="s">
        <v>124</v>
      </c>
      <c r="AH7" s="98" t="s">
        <v>123</v>
      </c>
    </row>
    <row r="8" spans="1:35">
      <c r="A8" s="2"/>
      <c r="B8" s="2" t="s">
        <v>18</v>
      </c>
      <c r="C8" s="2" t="s">
        <v>19</v>
      </c>
      <c r="D8" s="2" t="s">
        <v>20</v>
      </c>
      <c r="F8" s="2" t="s">
        <v>21</v>
      </c>
      <c r="G8" s="2" t="s">
        <v>24</v>
      </c>
      <c r="I8" s="2" t="s">
        <v>25</v>
      </c>
      <c r="J8" s="2" t="s">
        <v>26</v>
      </c>
      <c r="L8" s="2" t="s">
        <v>27</v>
      </c>
      <c r="M8" s="2" t="s">
        <v>28</v>
      </c>
      <c r="O8" s="2" t="s">
        <v>29</v>
      </c>
      <c r="P8" s="2" t="s">
        <v>30</v>
      </c>
      <c r="R8" s="2" t="s">
        <v>74</v>
      </c>
      <c r="S8" s="2" t="s">
        <v>83</v>
      </c>
      <c r="U8" s="2" t="s">
        <v>84</v>
      </c>
      <c r="V8" s="2" t="s">
        <v>75</v>
      </c>
      <c r="X8" s="2" t="s">
        <v>85</v>
      </c>
      <c r="Y8" s="2" t="s">
        <v>93</v>
      </c>
      <c r="AA8" s="2" t="s">
        <v>94</v>
      </c>
      <c r="AB8" s="2" t="s">
        <v>86</v>
      </c>
      <c r="AD8" s="2" t="s">
        <v>91</v>
      </c>
      <c r="AE8" s="2" t="s">
        <v>92</v>
      </c>
      <c r="AG8" s="2" t="s">
        <v>146</v>
      </c>
      <c r="AH8" s="2" t="s">
        <v>147</v>
      </c>
    </row>
    <row r="9" spans="1:35">
      <c r="A9" s="2">
        <v>1</v>
      </c>
      <c r="B9" s="7" t="s">
        <v>129</v>
      </c>
      <c r="C9" s="116">
        <f>'Exh CTM-8 (Res Bill Summary)'!B19</f>
        <v>800</v>
      </c>
      <c r="D9" s="61"/>
      <c r="E9" s="56"/>
      <c r="F9" s="3">
        <f>+$C$9</f>
        <v>800</v>
      </c>
      <c r="G9" s="61"/>
      <c r="H9" s="23"/>
      <c r="I9" s="3">
        <f>+$C$9</f>
        <v>800</v>
      </c>
      <c r="J9" s="61"/>
      <c r="L9" s="3">
        <f>+$C$9</f>
        <v>800</v>
      </c>
      <c r="M9" s="61"/>
      <c r="O9" s="3">
        <f>+$C$9</f>
        <v>800</v>
      </c>
      <c r="P9" s="61"/>
      <c r="R9" s="3">
        <f>+$C$9</f>
        <v>800</v>
      </c>
      <c r="S9" s="61"/>
      <c r="U9" s="3">
        <f>+$C$9</f>
        <v>800</v>
      </c>
      <c r="V9" s="61"/>
      <c r="X9" s="3">
        <f>+$C$9</f>
        <v>800</v>
      </c>
      <c r="Y9" s="61"/>
      <c r="Z9" s="61"/>
      <c r="AA9" s="3">
        <f>+$C$9</f>
        <v>800</v>
      </c>
      <c r="AB9" s="61"/>
      <c r="AC9" s="61"/>
      <c r="AD9" s="3">
        <f>+$C$9</f>
        <v>800</v>
      </c>
      <c r="AE9" s="61"/>
      <c r="AG9" s="3">
        <f>+$C$9</f>
        <v>800</v>
      </c>
      <c r="AH9" s="61"/>
    </row>
    <row r="10" spans="1:35">
      <c r="A10" s="2">
        <f>+A9+1</f>
        <v>2</v>
      </c>
      <c r="C10" s="56"/>
      <c r="D10" s="61"/>
      <c r="E10" s="56"/>
      <c r="F10" s="56"/>
      <c r="G10" s="61"/>
      <c r="H10" s="23"/>
      <c r="I10" s="56"/>
      <c r="J10" s="61"/>
      <c r="L10" s="56"/>
      <c r="M10" s="61"/>
      <c r="O10" s="56"/>
      <c r="P10" s="61"/>
      <c r="R10" s="56"/>
      <c r="S10" s="61"/>
      <c r="U10" s="56"/>
      <c r="V10" s="61"/>
      <c r="X10" s="56"/>
      <c r="Y10" s="61"/>
      <c r="Z10" s="61"/>
      <c r="AA10" s="56"/>
      <c r="AB10" s="61"/>
      <c r="AC10" s="61"/>
      <c r="AD10" s="56"/>
      <c r="AE10" s="61"/>
      <c r="AG10" s="56"/>
      <c r="AH10" s="61"/>
    </row>
    <row r="11" spans="1:35">
      <c r="A11" s="2">
        <f t="shared" ref="A11:A53" si="0">+A10+1</f>
        <v>3</v>
      </c>
      <c r="B11" s="3" t="s">
        <v>125</v>
      </c>
      <c r="C11" s="56"/>
      <c r="D11" s="61"/>
      <c r="E11" s="56"/>
      <c r="F11" s="56"/>
      <c r="G11" s="61"/>
      <c r="H11" s="23"/>
      <c r="I11" s="56"/>
      <c r="J11" s="61"/>
      <c r="L11" s="56"/>
      <c r="M11" s="61"/>
      <c r="O11" s="56"/>
      <c r="P11" s="61"/>
      <c r="R11" s="56"/>
      <c r="S11" s="61"/>
      <c r="U11" s="56"/>
      <c r="V11" s="61"/>
      <c r="X11" s="56"/>
      <c r="Y11" s="61"/>
      <c r="Z11" s="61"/>
      <c r="AA11" s="56"/>
      <c r="AB11" s="61"/>
      <c r="AC11" s="61"/>
      <c r="AD11" s="56"/>
      <c r="AE11" s="61"/>
      <c r="AG11" s="56"/>
      <c r="AH11" s="61"/>
    </row>
    <row r="12" spans="1:35">
      <c r="A12" s="2">
        <f t="shared" si="0"/>
        <v>4</v>
      </c>
      <c r="B12" s="294" t="s">
        <v>130</v>
      </c>
      <c r="C12" s="202">
        <f>'Exh CTM-8 (Res Bill Summary)'!R16</f>
        <v>7.49</v>
      </c>
      <c r="D12" s="61">
        <f>C12</f>
        <v>7.49</v>
      </c>
      <c r="E12" s="55"/>
      <c r="F12" s="296">
        <f>'Exh CTM-8 (Res Bill Summary)'!T16</f>
        <v>9.74</v>
      </c>
      <c r="G12" s="61">
        <f>F12</f>
        <v>9.74</v>
      </c>
      <c r="I12" s="61">
        <f>+$C$12</f>
        <v>7.49</v>
      </c>
      <c r="J12" s="61">
        <f>+$C$12</f>
        <v>7.49</v>
      </c>
      <c r="L12" s="61">
        <f>+$C$12</f>
        <v>7.49</v>
      </c>
      <c r="M12" s="61">
        <f>L12</f>
        <v>7.49</v>
      </c>
      <c r="O12" s="61">
        <f>+$C$12</f>
        <v>7.49</v>
      </c>
      <c r="P12" s="61">
        <f>O12</f>
        <v>7.49</v>
      </c>
      <c r="R12" s="61">
        <f>+$C$12</f>
        <v>7.49</v>
      </c>
      <c r="S12" s="61">
        <f>R12</f>
        <v>7.49</v>
      </c>
      <c r="U12" s="61">
        <f>+$C$12</f>
        <v>7.49</v>
      </c>
      <c r="V12" s="61">
        <f>U12</f>
        <v>7.49</v>
      </c>
      <c r="X12" s="61">
        <f>+$C$12</f>
        <v>7.49</v>
      </c>
      <c r="Y12" s="61">
        <f>X12</f>
        <v>7.49</v>
      </c>
      <c r="Z12" s="61"/>
      <c r="AA12" s="61">
        <f>+$C$12</f>
        <v>7.49</v>
      </c>
      <c r="AB12" s="61">
        <f>AA12</f>
        <v>7.49</v>
      </c>
      <c r="AC12" s="61"/>
      <c r="AD12" s="61">
        <f>+$C$12</f>
        <v>7.49</v>
      </c>
      <c r="AE12" s="61">
        <f>AD12</f>
        <v>7.49</v>
      </c>
      <c r="AG12" s="298">
        <f>+F12</f>
        <v>9.74</v>
      </c>
      <c r="AH12" s="61">
        <f>AG12</f>
        <v>9.74</v>
      </c>
    </row>
    <row r="13" spans="1:35">
      <c r="A13" s="2">
        <f t="shared" si="0"/>
        <v>5</v>
      </c>
      <c r="B13" s="62" t="s">
        <v>22</v>
      </c>
      <c r="C13" s="16"/>
      <c r="D13" s="63">
        <f>SUM(D12:D12)</f>
        <v>7.49</v>
      </c>
      <c r="E13" s="55"/>
      <c r="F13" s="16"/>
      <c r="G13" s="63">
        <f>SUM(G12:G12)</f>
        <v>9.74</v>
      </c>
      <c r="I13" s="16"/>
      <c r="J13" s="63">
        <f>SUM(J12:J12)</f>
        <v>7.49</v>
      </c>
      <c r="L13" s="16"/>
      <c r="M13" s="63">
        <f>SUM(M12:M12)</f>
        <v>7.49</v>
      </c>
      <c r="O13" s="16"/>
      <c r="P13" s="63">
        <f>SUM(P12:P12)</f>
        <v>7.49</v>
      </c>
      <c r="R13" s="16"/>
      <c r="S13" s="63">
        <f>SUM(S12:S12)</f>
        <v>7.49</v>
      </c>
      <c r="U13" s="16"/>
      <c r="V13" s="63">
        <f>SUM(V12:V12)</f>
        <v>7.49</v>
      </c>
      <c r="X13" s="16"/>
      <c r="Y13" s="63">
        <f>SUM(Y12:Y12)</f>
        <v>7.49</v>
      </c>
      <c r="Z13" s="16"/>
      <c r="AA13" s="16"/>
      <c r="AB13" s="63">
        <f>SUM(AB12:AB12)</f>
        <v>7.49</v>
      </c>
      <c r="AC13" s="16"/>
      <c r="AD13" s="16"/>
      <c r="AE13" s="63">
        <f>SUM(AE12:AE12)</f>
        <v>7.49</v>
      </c>
      <c r="AG13" s="63">
        <f>SUM(AG12:AG12)</f>
        <v>9.74</v>
      </c>
      <c r="AH13" s="63">
        <f>SUM(AH12:AH12)</f>
        <v>9.74</v>
      </c>
    </row>
    <row r="14" spans="1:35">
      <c r="A14" s="2">
        <f t="shared" si="0"/>
        <v>6</v>
      </c>
      <c r="C14" s="55"/>
      <c r="D14" s="61"/>
      <c r="E14" s="55"/>
      <c r="F14" s="55"/>
      <c r="G14" s="61"/>
      <c r="I14" s="16"/>
      <c r="J14" s="61"/>
      <c r="L14" s="16"/>
      <c r="M14" s="61"/>
      <c r="O14" s="16"/>
      <c r="P14" s="61"/>
      <c r="R14" s="16"/>
      <c r="S14" s="61"/>
      <c r="U14" s="16"/>
      <c r="V14" s="61"/>
      <c r="X14" s="16"/>
      <c r="Y14" s="61"/>
      <c r="Z14" s="61"/>
      <c r="AA14" s="16"/>
      <c r="AB14" s="61"/>
      <c r="AC14" s="61"/>
      <c r="AD14" s="16"/>
      <c r="AE14" s="61"/>
      <c r="AG14" s="16"/>
      <c r="AH14" s="61"/>
    </row>
    <row r="15" spans="1:35">
      <c r="A15" s="2">
        <f t="shared" si="0"/>
        <v>7</v>
      </c>
      <c r="B15" s="7" t="s">
        <v>135</v>
      </c>
      <c r="D15" s="61"/>
      <c r="G15" s="61"/>
      <c r="J15" s="61"/>
      <c r="M15" s="61"/>
      <c r="P15" s="61"/>
      <c r="S15" s="61"/>
      <c r="V15" s="61"/>
      <c r="Y15" s="61"/>
      <c r="Z15" s="61"/>
      <c r="AB15" s="61"/>
      <c r="AC15" s="61"/>
      <c r="AE15" s="61"/>
      <c r="AH15" s="61"/>
    </row>
    <row r="16" spans="1:35">
      <c r="A16" s="2">
        <f t="shared" si="0"/>
        <v>8</v>
      </c>
      <c r="B16" s="294" t="s">
        <v>376</v>
      </c>
      <c r="C16" s="117">
        <f>'Exh CTM-8 (Res Bill Summary)'!R17</f>
        <v>8.9437000000000003E-2</v>
      </c>
      <c r="D16" s="61"/>
      <c r="E16" s="64"/>
      <c r="F16" s="295">
        <f>'Exh CTM-8 (Res Bill Summary)'!T17</f>
        <v>0.11651599999999999</v>
      </c>
      <c r="G16" s="61"/>
      <c r="I16" s="11">
        <f>+$C$16</f>
        <v>8.9437000000000003E-2</v>
      </c>
      <c r="J16" s="61"/>
      <c r="L16" s="11">
        <f>+$C$16</f>
        <v>8.9437000000000003E-2</v>
      </c>
      <c r="M16" s="61"/>
      <c r="O16" s="11">
        <f>+$C$16</f>
        <v>8.9437000000000003E-2</v>
      </c>
      <c r="P16" s="61"/>
      <c r="R16" s="11">
        <f>+$C$16</f>
        <v>8.9437000000000003E-2</v>
      </c>
      <c r="S16" s="61"/>
      <c r="U16" s="11">
        <f>+$C$16</f>
        <v>8.9437000000000003E-2</v>
      </c>
      <c r="V16" s="61"/>
      <c r="X16" s="11">
        <f>+$C$16</f>
        <v>8.9437000000000003E-2</v>
      </c>
      <c r="Y16" s="61"/>
      <c r="Z16" s="61"/>
      <c r="AA16" s="11">
        <f>+$C$16</f>
        <v>8.9437000000000003E-2</v>
      </c>
      <c r="AB16" s="61"/>
      <c r="AC16" s="61"/>
      <c r="AD16" s="11">
        <f>+$C$16</f>
        <v>8.9437000000000003E-2</v>
      </c>
      <c r="AE16" s="61"/>
      <c r="AG16" s="297">
        <f>+F16</f>
        <v>0.11651599999999999</v>
      </c>
      <c r="AH16" s="61"/>
    </row>
    <row r="17" spans="1:34">
      <c r="A17" s="2">
        <f t="shared" si="0"/>
        <v>9</v>
      </c>
      <c r="B17" s="294" t="s">
        <v>131</v>
      </c>
      <c r="C17" s="117">
        <f>'Exh CTM-8 (Res Bill Summary)'!R18</f>
        <v>0.10885400000000001</v>
      </c>
      <c r="D17" s="61"/>
      <c r="E17" s="64"/>
      <c r="F17" s="295">
        <f>'Exh CTM-8 (Res Bill Summary)'!T18</f>
        <v>0.135933</v>
      </c>
      <c r="G17" s="61"/>
      <c r="I17" s="11">
        <f>+$C$17</f>
        <v>0.10885400000000001</v>
      </c>
      <c r="J17" s="61"/>
      <c r="L17" s="11">
        <f>+$C$17</f>
        <v>0.10885400000000001</v>
      </c>
      <c r="M17" s="61"/>
      <c r="O17" s="11">
        <f>+$C$17</f>
        <v>0.10885400000000001</v>
      </c>
      <c r="P17" s="61"/>
      <c r="R17" s="11">
        <f>+$C$17</f>
        <v>0.10885400000000001</v>
      </c>
      <c r="S17" s="61"/>
      <c r="U17" s="11">
        <f>+$C$17</f>
        <v>0.10885400000000001</v>
      </c>
      <c r="V17" s="61"/>
      <c r="X17" s="11">
        <f>+$C$17</f>
        <v>0.10885400000000001</v>
      </c>
      <c r="Y17" s="61"/>
      <c r="Z17" s="61"/>
      <c r="AA17" s="11">
        <f>+$C$17</f>
        <v>0.10885400000000001</v>
      </c>
      <c r="AB17" s="61"/>
      <c r="AC17" s="61"/>
      <c r="AD17" s="11">
        <f>+$C$17</f>
        <v>0.10885400000000001</v>
      </c>
      <c r="AE17" s="61"/>
      <c r="AG17" s="297">
        <f>+F17</f>
        <v>0.135933</v>
      </c>
      <c r="AH17" s="61"/>
    </row>
    <row r="18" spans="1:34">
      <c r="A18" s="2">
        <f t="shared" si="0"/>
        <v>10</v>
      </c>
      <c r="B18" s="59"/>
      <c r="C18" s="65"/>
      <c r="D18" s="61"/>
      <c r="E18" s="64"/>
      <c r="F18" s="41"/>
      <c r="G18" s="61"/>
      <c r="I18" s="41"/>
      <c r="J18" s="61"/>
      <c r="L18" s="41"/>
      <c r="M18" s="61"/>
      <c r="O18" s="41"/>
      <c r="P18" s="61"/>
      <c r="R18" s="41"/>
      <c r="S18" s="61"/>
      <c r="U18" s="41"/>
      <c r="V18" s="61"/>
      <c r="X18" s="41"/>
      <c r="Y18" s="61"/>
      <c r="Z18" s="61"/>
      <c r="AA18" s="41"/>
      <c r="AB18" s="61"/>
      <c r="AC18" s="61"/>
      <c r="AD18" s="41"/>
      <c r="AE18" s="61"/>
      <c r="AG18" s="41"/>
      <c r="AH18" s="61"/>
    </row>
    <row r="19" spans="1:34">
      <c r="A19" s="2">
        <f t="shared" si="0"/>
        <v>11</v>
      </c>
      <c r="B19" s="299" t="str">
        <f>'Exh CTM-8 (Res Bill Summary)'!Q22</f>
        <v xml:space="preserve">Schedule 95 Power Cost
</v>
      </c>
      <c r="C19" s="117">
        <f>'Exh CTM-8 (Res Bill Summary)'!R22</f>
        <v>7.8630000000000002E-3</v>
      </c>
      <c r="D19" s="61"/>
      <c r="E19" s="64"/>
      <c r="F19" s="11">
        <f>+C19</f>
        <v>7.8630000000000002E-3</v>
      </c>
      <c r="G19" s="61"/>
      <c r="I19" s="295">
        <f>'Exh CTM-8 (Res Bill Summary)'!T22</f>
        <v>0</v>
      </c>
      <c r="J19" s="61"/>
      <c r="L19" s="11">
        <f>+$C19</f>
        <v>7.8630000000000002E-3</v>
      </c>
      <c r="M19" s="61"/>
      <c r="O19" s="11">
        <f t="shared" ref="O19:O43" si="1">+$C19</f>
        <v>7.8630000000000002E-3</v>
      </c>
      <c r="P19" s="61"/>
      <c r="R19" s="11">
        <f t="shared" ref="R19:R43" si="2">+$C19</f>
        <v>7.8630000000000002E-3</v>
      </c>
      <c r="S19" s="61"/>
      <c r="U19" s="11">
        <f t="shared" ref="U19:U43" si="3">+$C19</f>
        <v>7.8630000000000002E-3</v>
      </c>
      <c r="V19" s="61"/>
      <c r="X19" s="11">
        <f t="shared" ref="X19:X43" si="4">+$C19</f>
        <v>7.8630000000000002E-3</v>
      </c>
      <c r="Y19" s="61"/>
      <c r="Z19" s="61"/>
      <c r="AA19" s="11">
        <f t="shared" ref="AA19:AA43" si="5">+$C19</f>
        <v>7.8630000000000002E-3</v>
      </c>
      <c r="AB19" s="61"/>
      <c r="AC19" s="61"/>
      <c r="AD19" s="11">
        <f t="shared" ref="AD19:AD43" si="6">+$C19</f>
        <v>7.8630000000000002E-3</v>
      </c>
      <c r="AE19" s="61"/>
      <c r="AG19" s="297">
        <f>+I19</f>
        <v>0</v>
      </c>
      <c r="AH19" s="61"/>
    </row>
    <row r="20" spans="1:34">
      <c r="A20" s="2">
        <f t="shared" si="0"/>
        <v>12</v>
      </c>
      <c r="B20" s="293" t="str">
        <f>'Exh CTM-8 (Res Bill Summary)'!Q23</f>
        <v>Schedule 95 PCA Imbalance</v>
      </c>
      <c r="C20" s="117">
        <f>'Exh CTM-8 (Res Bill Summary)'!R23</f>
        <v>3.4810000000000002E-3</v>
      </c>
      <c r="D20" s="61"/>
      <c r="E20" s="64"/>
      <c r="F20" s="11">
        <f t="shared" ref="F20:F43" si="7">+C20</f>
        <v>3.4810000000000002E-3</v>
      </c>
      <c r="G20" s="61"/>
      <c r="I20" s="11">
        <f>+$C20</f>
        <v>3.4810000000000002E-3</v>
      </c>
      <c r="J20" s="61"/>
      <c r="L20" s="11">
        <f t="shared" ref="L20:L43" si="8">+$C20</f>
        <v>3.4810000000000002E-3</v>
      </c>
      <c r="M20" s="61"/>
      <c r="O20" s="11">
        <f t="shared" si="1"/>
        <v>3.4810000000000002E-3</v>
      </c>
      <c r="P20" s="61"/>
      <c r="R20" s="11">
        <f t="shared" si="2"/>
        <v>3.4810000000000002E-3</v>
      </c>
      <c r="S20" s="61"/>
      <c r="U20" s="11">
        <f t="shared" si="3"/>
        <v>3.4810000000000002E-3</v>
      </c>
      <c r="V20" s="61"/>
      <c r="X20" s="11">
        <f t="shared" si="4"/>
        <v>3.4810000000000002E-3</v>
      </c>
      <c r="Y20" s="61"/>
      <c r="Z20" s="61"/>
      <c r="AA20" s="11">
        <f t="shared" si="5"/>
        <v>3.4810000000000002E-3</v>
      </c>
      <c r="AB20" s="61"/>
      <c r="AC20" s="61"/>
      <c r="AD20" s="11">
        <f t="shared" si="6"/>
        <v>3.4810000000000002E-3</v>
      </c>
      <c r="AE20" s="61"/>
      <c r="AG20" s="11">
        <f>+C20</f>
        <v>3.4810000000000002E-3</v>
      </c>
      <c r="AH20" s="61"/>
    </row>
    <row r="21" spans="1:34">
      <c r="A21" s="2">
        <f t="shared" si="0"/>
        <v>13</v>
      </c>
      <c r="B21" s="293" t="str">
        <f>'Exh CTM-8 (Res Bill Summary)'!Q24</f>
        <v>Schedule 95A Federal Incentive Credit</v>
      </c>
      <c r="C21" s="117">
        <f>'Exh CTM-8 (Res Bill Summary)'!R24</f>
        <v>0</v>
      </c>
      <c r="D21" s="61"/>
      <c r="E21" s="64"/>
      <c r="F21" s="11">
        <f t="shared" si="7"/>
        <v>0</v>
      </c>
      <c r="G21" s="61"/>
      <c r="I21" s="11">
        <f t="shared" ref="I21:I43" si="9">+$C21</f>
        <v>0</v>
      </c>
      <c r="J21" s="61"/>
      <c r="L21" s="11">
        <f t="shared" si="8"/>
        <v>0</v>
      </c>
      <c r="M21" s="61"/>
      <c r="O21" s="11">
        <f t="shared" si="1"/>
        <v>0</v>
      </c>
      <c r="P21" s="61"/>
      <c r="R21" s="11">
        <f t="shared" si="2"/>
        <v>0</v>
      </c>
      <c r="S21" s="61"/>
      <c r="U21" s="11">
        <f t="shared" si="3"/>
        <v>0</v>
      </c>
      <c r="V21" s="61"/>
      <c r="X21" s="11">
        <f t="shared" si="4"/>
        <v>0</v>
      </c>
      <c r="Y21" s="61"/>
      <c r="Z21" s="61"/>
      <c r="AA21" s="11">
        <f t="shared" si="5"/>
        <v>0</v>
      </c>
      <c r="AB21" s="61"/>
      <c r="AC21" s="61"/>
      <c r="AD21" s="11">
        <f t="shared" si="6"/>
        <v>0</v>
      </c>
      <c r="AE21" s="61"/>
      <c r="AG21" s="11">
        <f>+C21</f>
        <v>0</v>
      </c>
      <c r="AH21" s="61"/>
    </row>
    <row r="22" spans="1:34">
      <c r="A22" s="2">
        <f t="shared" si="0"/>
        <v>14</v>
      </c>
      <c r="B22" s="293" t="str">
        <f>'Exh CTM-8 (Res Bill Summary)'!Q25</f>
        <v>Schedule 120 Conservation</v>
      </c>
      <c r="C22" s="117">
        <f>'Exh CTM-8 (Res Bill Summary)'!R25</f>
        <v>5.0439999999999999E-3</v>
      </c>
      <c r="D22" s="61"/>
      <c r="E22" s="64"/>
      <c r="F22" s="11">
        <f t="shared" si="7"/>
        <v>5.0439999999999999E-3</v>
      </c>
      <c r="G22" s="61"/>
      <c r="I22" s="11">
        <f t="shared" si="9"/>
        <v>5.0439999999999999E-3</v>
      </c>
      <c r="J22" s="61"/>
      <c r="L22" s="11">
        <f t="shared" si="8"/>
        <v>5.0439999999999999E-3</v>
      </c>
      <c r="M22" s="61"/>
      <c r="O22" s="11">
        <f t="shared" si="1"/>
        <v>5.0439999999999999E-3</v>
      </c>
      <c r="P22" s="61"/>
      <c r="R22" s="11">
        <f t="shared" si="2"/>
        <v>5.0439999999999999E-3</v>
      </c>
      <c r="S22" s="61"/>
      <c r="U22" s="11">
        <f t="shared" si="3"/>
        <v>5.0439999999999999E-3</v>
      </c>
      <c r="V22" s="61"/>
      <c r="X22" s="11">
        <f t="shared" si="4"/>
        <v>5.0439999999999999E-3</v>
      </c>
      <c r="Y22" s="61"/>
      <c r="Z22" s="61"/>
      <c r="AA22" s="11">
        <f t="shared" si="5"/>
        <v>5.0439999999999999E-3</v>
      </c>
      <c r="AB22" s="61"/>
      <c r="AC22" s="61"/>
      <c r="AD22" s="11">
        <f t="shared" si="6"/>
        <v>5.0439999999999999E-3</v>
      </c>
      <c r="AE22" s="61"/>
      <c r="AG22" s="11">
        <f>+C22</f>
        <v>5.0439999999999999E-3</v>
      </c>
      <c r="AH22" s="61"/>
    </row>
    <row r="23" spans="1:34">
      <c r="A23" s="2">
        <f t="shared" si="0"/>
        <v>15</v>
      </c>
      <c r="B23" s="293" t="str">
        <f>'Exh CTM-8 (Res Bill Summary)'!Q26</f>
        <v>Schedule 129 Low Income</v>
      </c>
      <c r="C23" s="117">
        <f>'Exh CTM-8 (Res Bill Summary)'!R26</f>
        <v>1.428E-3</v>
      </c>
      <c r="D23" s="61"/>
      <c r="E23" s="64"/>
      <c r="F23" s="11">
        <f t="shared" si="7"/>
        <v>1.428E-3</v>
      </c>
      <c r="G23" s="61"/>
      <c r="I23" s="11">
        <f t="shared" si="9"/>
        <v>1.428E-3</v>
      </c>
      <c r="J23" s="61"/>
      <c r="L23" s="11">
        <f t="shared" si="8"/>
        <v>1.428E-3</v>
      </c>
      <c r="M23" s="61"/>
      <c r="O23" s="11">
        <f t="shared" si="1"/>
        <v>1.428E-3</v>
      </c>
      <c r="P23" s="61"/>
      <c r="R23" s="11">
        <f t="shared" si="2"/>
        <v>1.428E-3</v>
      </c>
      <c r="S23" s="61"/>
      <c r="U23" s="11">
        <f t="shared" si="3"/>
        <v>1.428E-3</v>
      </c>
      <c r="V23" s="61"/>
      <c r="X23" s="11">
        <f t="shared" si="4"/>
        <v>1.428E-3</v>
      </c>
      <c r="Y23" s="61"/>
      <c r="Z23" s="61"/>
      <c r="AA23" s="11">
        <f t="shared" si="5"/>
        <v>1.428E-3</v>
      </c>
      <c r="AB23" s="61"/>
      <c r="AC23" s="61"/>
      <c r="AD23" s="11">
        <f t="shared" si="6"/>
        <v>1.428E-3</v>
      </c>
      <c r="AE23" s="61"/>
      <c r="AG23" s="11">
        <f>+C23</f>
        <v>1.428E-3</v>
      </c>
      <c r="AH23" s="61"/>
    </row>
    <row r="24" spans="1:34">
      <c r="A24" s="2">
        <f t="shared" si="0"/>
        <v>16</v>
      </c>
      <c r="B24" s="293" t="str">
        <f>'Exh CTM-8 (Res Bill Summary)'!Q27</f>
        <v>Schedule 129D Bill Discount</v>
      </c>
      <c r="C24" s="117">
        <f>'Exh CTM-8 (Res Bill Summary)'!R27</f>
        <v>6.0700000000000001E-4</v>
      </c>
      <c r="D24" s="61"/>
      <c r="E24" s="64"/>
      <c r="F24" s="11">
        <f t="shared" si="7"/>
        <v>6.0700000000000001E-4</v>
      </c>
      <c r="G24" s="61"/>
      <c r="I24" s="11">
        <f t="shared" si="9"/>
        <v>6.0700000000000001E-4</v>
      </c>
      <c r="J24" s="61"/>
      <c r="L24" s="11">
        <f t="shared" si="8"/>
        <v>6.0700000000000001E-4</v>
      </c>
      <c r="M24" s="61"/>
      <c r="O24" s="11">
        <f t="shared" si="1"/>
        <v>6.0700000000000001E-4</v>
      </c>
      <c r="P24" s="61"/>
      <c r="R24" s="11">
        <f t="shared" si="2"/>
        <v>6.0700000000000001E-4</v>
      </c>
      <c r="S24" s="61"/>
      <c r="U24" s="11">
        <f t="shared" si="3"/>
        <v>6.0700000000000001E-4</v>
      </c>
      <c r="V24" s="61"/>
      <c r="X24" s="11">
        <f t="shared" si="4"/>
        <v>6.0700000000000001E-4</v>
      </c>
      <c r="Y24" s="61"/>
      <c r="Z24" s="61"/>
      <c r="AA24" s="11">
        <f t="shared" si="5"/>
        <v>6.0700000000000001E-4</v>
      </c>
      <c r="AB24" s="61"/>
      <c r="AC24" s="61"/>
      <c r="AD24" s="11">
        <f t="shared" si="6"/>
        <v>6.0700000000000001E-4</v>
      </c>
      <c r="AE24" s="61"/>
      <c r="AG24" s="11">
        <f>+C24</f>
        <v>6.0700000000000001E-4</v>
      </c>
      <c r="AH24" s="61"/>
    </row>
    <row r="25" spans="1:34">
      <c r="A25" s="2">
        <f t="shared" si="0"/>
        <v>17</v>
      </c>
      <c r="B25" s="299" t="str">
        <f>'Exh CTM-8 (Res Bill Summary)'!Q28</f>
        <v>Schedule 137 REC</v>
      </c>
      <c r="C25" s="117">
        <f>'Exh CTM-8 (Res Bill Summary)'!R28</f>
        <v>6.9999999999999999E-6</v>
      </c>
      <c r="D25" s="61"/>
      <c r="E25" s="64"/>
      <c r="F25" s="11">
        <f t="shared" si="7"/>
        <v>6.9999999999999999E-6</v>
      </c>
      <c r="G25" s="61"/>
      <c r="I25" s="11">
        <f t="shared" si="9"/>
        <v>6.9999999999999999E-6</v>
      </c>
      <c r="J25" s="61"/>
      <c r="L25" s="295">
        <f>'Exh CTM-8 (Res Bill Summary)'!T28</f>
        <v>0</v>
      </c>
      <c r="M25" s="61"/>
      <c r="O25" s="11">
        <f t="shared" si="1"/>
        <v>6.9999999999999999E-6</v>
      </c>
      <c r="P25" s="61"/>
      <c r="R25" s="11">
        <f t="shared" si="2"/>
        <v>6.9999999999999999E-6</v>
      </c>
      <c r="S25" s="61"/>
      <c r="U25" s="11">
        <f t="shared" si="3"/>
        <v>6.9999999999999999E-6</v>
      </c>
      <c r="V25" s="61"/>
      <c r="X25" s="11">
        <f t="shared" si="4"/>
        <v>6.9999999999999999E-6</v>
      </c>
      <c r="Y25" s="61"/>
      <c r="Z25" s="61"/>
      <c r="AA25" s="11">
        <f t="shared" si="5"/>
        <v>6.9999999999999999E-6</v>
      </c>
      <c r="AB25" s="61"/>
      <c r="AC25" s="61"/>
      <c r="AD25" s="11">
        <f t="shared" si="6"/>
        <v>6.9999999999999999E-6</v>
      </c>
      <c r="AE25" s="61"/>
      <c r="AG25" s="295">
        <f>L25</f>
        <v>0</v>
      </c>
      <c r="AH25" s="61"/>
    </row>
    <row r="26" spans="1:34">
      <c r="A26" s="2">
        <f t="shared" si="0"/>
        <v>18</v>
      </c>
      <c r="B26" s="293" t="str">
        <f>'Exh CTM-8 (Res Bill Summary)'!Q29</f>
        <v>Schedule 139 Green Direct</v>
      </c>
      <c r="C26" s="117">
        <f>'Exh CTM-8 (Res Bill Summary)'!R29</f>
        <v>0</v>
      </c>
      <c r="D26" s="61"/>
      <c r="E26" s="64"/>
      <c r="F26" s="11">
        <f t="shared" si="7"/>
        <v>0</v>
      </c>
      <c r="G26" s="61"/>
      <c r="I26" s="11">
        <f t="shared" si="9"/>
        <v>0</v>
      </c>
      <c r="J26" s="61"/>
      <c r="L26" s="11">
        <f t="shared" si="8"/>
        <v>0</v>
      </c>
      <c r="M26" s="61"/>
      <c r="O26" s="11">
        <f t="shared" si="1"/>
        <v>0</v>
      </c>
      <c r="P26" s="61"/>
      <c r="R26" s="11">
        <f t="shared" si="2"/>
        <v>0</v>
      </c>
      <c r="S26" s="61"/>
      <c r="U26" s="11">
        <f t="shared" si="3"/>
        <v>0</v>
      </c>
      <c r="V26" s="61"/>
      <c r="X26" s="11">
        <f t="shared" si="4"/>
        <v>0</v>
      </c>
      <c r="Y26" s="61"/>
      <c r="Z26" s="61"/>
      <c r="AA26" s="11">
        <f t="shared" si="5"/>
        <v>0</v>
      </c>
      <c r="AB26" s="61"/>
      <c r="AC26" s="61"/>
      <c r="AD26" s="11">
        <f t="shared" si="6"/>
        <v>0</v>
      </c>
      <c r="AE26" s="61"/>
      <c r="AG26" s="11">
        <f>+C26</f>
        <v>0</v>
      </c>
      <c r="AH26" s="61"/>
    </row>
    <row r="27" spans="1:34">
      <c r="A27" s="2">
        <f t="shared" si="0"/>
        <v>19</v>
      </c>
      <c r="B27" s="293" t="str">
        <f>'Exh CTM-8 (Res Bill Summary)'!Q30</f>
        <v xml:space="preserve">Schedule 139 Green Direct Supplemental </v>
      </c>
      <c r="C27" s="117">
        <f>'Exh CTM-8 (Res Bill Summary)'!R30</f>
        <v>0</v>
      </c>
      <c r="D27" s="61"/>
      <c r="E27" s="64"/>
      <c r="F27" s="11">
        <f t="shared" si="7"/>
        <v>0</v>
      </c>
      <c r="G27" s="61"/>
      <c r="I27" s="11">
        <f t="shared" si="9"/>
        <v>0</v>
      </c>
      <c r="J27" s="61"/>
      <c r="L27" s="11">
        <f t="shared" si="8"/>
        <v>0</v>
      </c>
      <c r="M27" s="61"/>
      <c r="O27" s="11">
        <f t="shared" si="1"/>
        <v>0</v>
      </c>
      <c r="P27" s="61"/>
      <c r="R27" s="11">
        <f t="shared" si="2"/>
        <v>0</v>
      </c>
      <c r="S27" s="61"/>
      <c r="U27" s="11">
        <f t="shared" si="3"/>
        <v>0</v>
      </c>
      <c r="V27" s="61"/>
      <c r="X27" s="11">
        <f t="shared" si="4"/>
        <v>0</v>
      </c>
      <c r="Y27" s="61"/>
      <c r="Z27" s="61"/>
      <c r="AA27" s="11">
        <f t="shared" si="5"/>
        <v>0</v>
      </c>
      <c r="AB27" s="61"/>
      <c r="AC27" s="61"/>
      <c r="AD27" s="11">
        <f t="shared" si="6"/>
        <v>0</v>
      </c>
      <c r="AE27" s="61"/>
      <c r="AG27" s="11">
        <f>+C27</f>
        <v>0</v>
      </c>
      <c r="AH27" s="61"/>
    </row>
    <row r="28" spans="1:34">
      <c r="A28" s="2">
        <f t="shared" si="0"/>
        <v>20</v>
      </c>
      <c r="B28" s="293" t="str">
        <f>'Exh CTM-8 (Res Bill Summary)'!Q31</f>
        <v>Schedule 140 Property Tax</v>
      </c>
      <c r="C28" s="117">
        <f>'Exh CTM-8 (Res Bill Summary)'!R31</f>
        <v>2.6120000000000002E-3</v>
      </c>
      <c r="D28" s="61"/>
      <c r="E28" s="64"/>
      <c r="F28" s="11">
        <f t="shared" si="7"/>
        <v>2.6120000000000002E-3</v>
      </c>
      <c r="G28" s="61"/>
      <c r="I28" s="11">
        <f t="shared" si="9"/>
        <v>2.6120000000000002E-3</v>
      </c>
      <c r="J28" s="61"/>
      <c r="L28" s="11">
        <f t="shared" si="8"/>
        <v>2.6120000000000002E-3</v>
      </c>
      <c r="M28" s="61"/>
      <c r="O28" s="11">
        <f t="shared" si="1"/>
        <v>2.6120000000000002E-3</v>
      </c>
      <c r="P28" s="61"/>
      <c r="R28" s="11">
        <f t="shared" si="2"/>
        <v>2.6120000000000002E-3</v>
      </c>
      <c r="S28" s="61"/>
      <c r="U28" s="11">
        <f t="shared" si="3"/>
        <v>2.6120000000000002E-3</v>
      </c>
      <c r="V28" s="61"/>
      <c r="X28" s="11">
        <f t="shared" si="4"/>
        <v>2.6120000000000002E-3</v>
      </c>
      <c r="Y28" s="61"/>
      <c r="Z28" s="61"/>
      <c r="AA28" s="11">
        <f t="shared" si="5"/>
        <v>2.6120000000000002E-3</v>
      </c>
      <c r="AB28" s="61"/>
      <c r="AC28" s="61"/>
      <c r="AD28" s="11">
        <f t="shared" si="6"/>
        <v>2.6120000000000002E-3</v>
      </c>
      <c r="AE28" s="61"/>
      <c r="AG28" s="11">
        <f>+C28</f>
        <v>2.6120000000000002E-3</v>
      </c>
      <c r="AH28" s="61"/>
    </row>
    <row r="29" spans="1:34">
      <c r="A29" s="2">
        <f t="shared" si="0"/>
        <v>21</v>
      </c>
      <c r="B29" s="293" t="str">
        <f>'Exh CTM-8 (Res Bill Summary)'!Q32</f>
        <v>Schedule 141 ERF</v>
      </c>
      <c r="C29" s="117">
        <f>'Exh CTM-8 (Res Bill Summary)'!R32</f>
        <v>0</v>
      </c>
      <c r="D29" s="61"/>
      <c r="E29" s="64"/>
      <c r="F29" s="11">
        <f t="shared" si="7"/>
        <v>0</v>
      </c>
      <c r="G29" s="61"/>
      <c r="I29" s="11">
        <f t="shared" si="9"/>
        <v>0</v>
      </c>
      <c r="J29" s="61"/>
      <c r="L29" s="11">
        <f t="shared" si="8"/>
        <v>0</v>
      </c>
      <c r="M29" s="61"/>
      <c r="O29" s="11">
        <f t="shared" si="1"/>
        <v>0</v>
      </c>
      <c r="P29" s="61"/>
      <c r="R29" s="11">
        <f t="shared" si="2"/>
        <v>0</v>
      </c>
      <c r="S29" s="61"/>
      <c r="U29" s="11">
        <f t="shared" si="3"/>
        <v>0</v>
      </c>
      <c r="V29" s="61"/>
      <c r="X29" s="11">
        <f t="shared" si="4"/>
        <v>0</v>
      </c>
      <c r="Y29" s="61"/>
      <c r="Z29" s="61"/>
      <c r="AA29" s="11">
        <f t="shared" si="5"/>
        <v>0</v>
      </c>
      <c r="AB29" s="61"/>
      <c r="AC29" s="61"/>
      <c r="AD29" s="11">
        <f t="shared" si="6"/>
        <v>0</v>
      </c>
      <c r="AE29" s="61"/>
      <c r="AG29" s="11">
        <f>+C29</f>
        <v>0</v>
      </c>
      <c r="AH29" s="61"/>
    </row>
    <row r="30" spans="1:34">
      <c r="A30" s="2">
        <f t="shared" si="0"/>
        <v>22</v>
      </c>
      <c r="B30" s="293" t="str">
        <f>'Exh CTM-8 (Res Bill Summary)'!Q33</f>
        <v>Schedule 141A Energy Charge Credit</v>
      </c>
      <c r="C30" s="117">
        <f>'Exh CTM-8 (Res Bill Summary)'!R33</f>
        <v>1.7420000000000001E-3</v>
      </c>
      <c r="D30" s="61"/>
      <c r="E30" s="64"/>
      <c r="F30" s="11">
        <f t="shared" si="7"/>
        <v>1.7420000000000001E-3</v>
      </c>
      <c r="G30" s="61"/>
      <c r="I30" s="11">
        <f t="shared" si="9"/>
        <v>1.7420000000000001E-3</v>
      </c>
      <c r="J30" s="61"/>
      <c r="L30" s="11">
        <f t="shared" si="8"/>
        <v>1.7420000000000001E-3</v>
      </c>
      <c r="M30" s="61"/>
      <c r="O30" s="11">
        <f t="shared" si="1"/>
        <v>1.7420000000000001E-3</v>
      </c>
      <c r="P30" s="61"/>
      <c r="R30" s="11">
        <f t="shared" si="2"/>
        <v>1.7420000000000001E-3</v>
      </c>
      <c r="S30" s="61"/>
      <c r="U30" s="11">
        <f t="shared" si="3"/>
        <v>1.7420000000000001E-3</v>
      </c>
      <c r="V30" s="61"/>
      <c r="X30" s="11">
        <f t="shared" si="4"/>
        <v>1.7420000000000001E-3</v>
      </c>
      <c r="Y30" s="61"/>
      <c r="Z30" s="61"/>
      <c r="AA30" s="11">
        <f t="shared" si="5"/>
        <v>1.7420000000000001E-3</v>
      </c>
      <c r="AB30" s="61"/>
      <c r="AC30" s="61"/>
      <c r="AD30" s="11">
        <f t="shared" si="6"/>
        <v>1.7420000000000001E-3</v>
      </c>
      <c r="AE30" s="61"/>
      <c r="AG30" s="11">
        <f>+C30</f>
        <v>1.7420000000000001E-3</v>
      </c>
      <c r="AH30" s="61"/>
    </row>
    <row r="31" spans="1:34">
      <c r="A31" s="2">
        <f t="shared" si="0"/>
        <v>23</v>
      </c>
      <c r="B31" s="299" t="str">
        <f>'Exh CTM-8 (Res Bill Summary)'!Q34</f>
        <v>Schedule 141CEI Clean Energy Implementation Plan</v>
      </c>
      <c r="C31" s="117">
        <f>'Exh CTM-8 (Res Bill Summary)'!R34</f>
        <v>1.25E-3</v>
      </c>
      <c r="D31" s="61"/>
      <c r="E31" s="64"/>
      <c r="F31" s="11">
        <f t="shared" si="7"/>
        <v>1.25E-3</v>
      </c>
      <c r="G31" s="61"/>
      <c r="I31" s="11">
        <f t="shared" si="9"/>
        <v>1.25E-3</v>
      </c>
      <c r="J31" s="61"/>
      <c r="L31" s="11">
        <f t="shared" si="8"/>
        <v>1.25E-3</v>
      </c>
      <c r="M31" s="61"/>
      <c r="O31" s="295">
        <f>'Exh CTM-8 (Res Bill Summary)'!T34</f>
        <v>0</v>
      </c>
      <c r="P31" s="61"/>
      <c r="R31" s="11">
        <f t="shared" si="2"/>
        <v>1.25E-3</v>
      </c>
      <c r="S31" s="61"/>
      <c r="U31" s="11">
        <f t="shared" si="3"/>
        <v>1.25E-3</v>
      </c>
      <c r="V31" s="61"/>
      <c r="X31" s="11">
        <f t="shared" si="4"/>
        <v>1.25E-3</v>
      </c>
      <c r="Y31" s="61"/>
      <c r="Z31" s="61"/>
      <c r="AA31" s="11">
        <f t="shared" si="5"/>
        <v>1.25E-3</v>
      </c>
      <c r="AB31" s="61"/>
      <c r="AC31" s="61"/>
      <c r="AD31" s="11">
        <f t="shared" si="6"/>
        <v>1.25E-3</v>
      </c>
      <c r="AE31" s="61"/>
      <c r="AG31" s="295">
        <f>O31</f>
        <v>0</v>
      </c>
      <c r="AH31" s="61"/>
    </row>
    <row r="32" spans="1:34">
      <c r="A32" s="2">
        <f t="shared" si="0"/>
        <v>24</v>
      </c>
      <c r="B32" s="299" t="str">
        <f>'Exh CTM-8 (Res Bill Summary)'!Q35</f>
        <v>Schedule 141CGR Clean Generation Resources</v>
      </c>
      <c r="C32" s="117">
        <f>'Exh CTM-8 (Res Bill Summary)'!R35</f>
        <v>0</v>
      </c>
      <c r="D32" s="61"/>
      <c r="E32" s="64"/>
      <c r="F32" s="11">
        <f t="shared" si="7"/>
        <v>0</v>
      </c>
      <c r="G32" s="61"/>
      <c r="I32" s="11">
        <f t="shared" si="9"/>
        <v>0</v>
      </c>
      <c r="J32" s="61"/>
      <c r="L32" s="11">
        <f t="shared" si="8"/>
        <v>0</v>
      </c>
      <c r="M32" s="61"/>
      <c r="O32" s="11">
        <f t="shared" si="1"/>
        <v>0</v>
      </c>
      <c r="P32" s="61"/>
      <c r="R32" s="11">
        <f t="shared" si="2"/>
        <v>0</v>
      </c>
      <c r="S32" s="61"/>
      <c r="U32" s="11">
        <f t="shared" si="3"/>
        <v>0</v>
      </c>
      <c r="V32" s="61"/>
      <c r="X32" s="295">
        <f>'Exh CTM-8 (Res Bill Summary)'!T35</f>
        <v>3.6546388924765497E-3</v>
      </c>
      <c r="Y32" s="61"/>
      <c r="Z32" s="61"/>
      <c r="AA32" s="11">
        <f t="shared" si="5"/>
        <v>0</v>
      </c>
      <c r="AB32" s="61"/>
      <c r="AC32" s="61"/>
      <c r="AD32" s="11">
        <f t="shared" si="6"/>
        <v>0</v>
      </c>
      <c r="AE32" s="61"/>
      <c r="AG32" s="295">
        <f>X32</f>
        <v>3.6546388924765497E-3</v>
      </c>
      <c r="AH32" s="61"/>
    </row>
    <row r="33" spans="1:34">
      <c r="A33" s="2">
        <f t="shared" si="0"/>
        <v>25</v>
      </c>
      <c r="B33" s="299" t="str">
        <f>'Exh CTM-8 (Res Bill Summary)'!Q36</f>
        <v>Schedule 141DCARB Decarbonization</v>
      </c>
      <c r="C33" s="117">
        <f>'Exh CTM-8 (Res Bill Summary)'!R36</f>
        <v>0</v>
      </c>
      <c r="D33" s="61"/>
      <c r="E33" s="64"/>
      <c r="F33" s="11">
        <f t="shared" si="7"/>
        <v>0</v>
      </c>
      <c r="G33" s="61"/>
      <c r="I33" s="11">
        <f t="shared" si="9"/>
        <v>0</v>
      </c>
      <c r="J33" s="61"/>
      <c r="L33" s="11">
        <f t="shared" si="8"/>
        <v>0</v>
      </c>
      <c r="M33" s="61"/>
      <c r="O33" s="11">
        <f t="shared" si="1"/>
        <v>0</v>
      </c>
      <c r="P33" s="61"/>
      <c r="R33" s="11">
        <f t="shared" si="2"/>
        <v>0</v>
      </c>
      <c r="S33" s="61"/>
      <c r="U33" s="11">
        <f t="shared" si="3"/>
        <v>0</v>
      </c>
      <c r="V33" s="61"/>
      <c r="X33" s="11">
        <f t="shared" si="4"/>
        <v>0</v>
      </c>
      <c r="Y33" s="61"/>
      <c r="Z33" s="61"/>
      <c r="AA33" s="295">
        <f>'Exh CTM-8 (Res Bill Summary)'!T36</f>
        <v>5.8928686002258457E-4</v>
      </c>
      <c r="AB33" s="61"/>
      <c r="AC33" s="61"/>
      <c r="AD33" s="11">
        <f t="shared" si="6"/>
        <v>0</v>
      </c>
      <c r="AE33" s="61"/>
      <c r="AG33" s="295">
        <f>AA33</f>
        <v>5.8928686002258457E-4</v>
      </c>
      <c r="AH33" s="61"/>
    </row>
    <row r="34" spans="1:34">
      <c r="A34" s="2">
        <f t="shared" si="0"/>
        <v>26</v>
      </c>
      <c r="B34" s="293" t="str">
        <f>'Exh CTM-8 (Res Bill Summary)'!Q37</f>
        <v>Schedule 141COL Colstrip Adjustment</v>
      </c>
      <c r="C34" s="117">
        <f>'Exh CTM-8 (Res Bill Summary)'!R37</f>
        <v>2.7260000000000001E-3</v>
      </c>
      <c r="D34" s="61"/>
      <c r="E34" s="64"/>
      <c r="F34" s="11">
        <f t="shared" si="7"/>
        <v>2.7260000000000001E-3</v>
      </c>
      <c r="G34" s="61"/>
      <c r="I34" s="11">
        <f t="shared" si="9"/>
        <v>2.7260000000000001E-3</v>
      </c>
      <c r="J34" s="61"/>
      <c r="L34" s="11">
        <f t="shared" si="8"/>
        <v>2.7260000000000001E-3</v>
      </c>
      <c r="M34" s="61"/>
      <c r="O34" s="11">
        <f t="shared" si="1"/>
        <v>2.7260000000000001E-3</v>
      </c>
      <c r="P34" s="61"/>
      <c r="R34" s="11">
        <f t="shared" si="2"/>
        <v>2.7260000000000001E-3</v>
      </c>
      <c r="S34" s="61"/>
      <c r="U34" s="11">
        <f t="shared" si="3"/>
        <v>2.7260000000000001E-3</v>
      </c>
      <c r="V34" s="61"/>
      <c r="X34" s="11">
        <f t="shared" si="4"/>
        <v>2.7260000000000001E-3</v>
      </c>
      <c r="Y34" s="61"/>
      <c r="Z34" s="61"/>
      <c r="AA34" s="11">
        <f t="shared" si="5"/>
        <v>2.7260000000000001E-3</v>
      </c>
      <c r="AB34" s="61"/>
      <c r="AC34" s="61"/>
      <c r="AD34" s="11">
        <f t="shared" si="6"/>
        <v>2.7260000000000001E-3</v>
      </c>
      <c r="AE34" s="61"/>
      <c r="AG34" s="11">
        <f>+C34</f>
        <v>2.7260000000000001E-3</v>
      </c>
      <c r="AH34" s="61"/>
    </row>
    <row r="35" spans="1:34">
      <c r="A35" s="2">
        <f t="shared" si="0"/>
        <v>27</v>
      </c>
      <c r="B35" s="299" t="str">
        <f>'Exh CTM-8 (Res Bill Summary)'!Q38</f>
        <v>Schedule 141N Rates Not Subject to Refund</v>
      </c>
      <c r="C35" s="117">
        <f>'Exh CTM-8 (Res Bill Summary)'!R38</f>
        <v>8.5280000000000009E-3</v>
      </c>
      <c r="D35" s="61"/>
      <c r="E35" s="64"/>
      <c r="F35" s="11">
        <f t="shared" si="7"/>
        <v>8.5280000000000009E-3</v>
      </c>
      <c r="G35" s="61"/>
      <c r="I35" s="11">
        <f t="shared" si="9"/>
        <v>8.5280000000000009E-3</v>
      </c>
      <c r="J35" s="61"/>
      <c r="L35" s="11">
        <f t="shared" si="8"/>
        <v>8.5280000000000009E-3</v>
      </c>
      <c r="M35" s="61"/>
      <c r="O35" s="11">
        <f t="shared" si="1"/>
        <v>8.5280000000000009E-3</v>
      </c>
      <c r="P35" s="61"/>
      <c r="R35" s="295">
        <f>'Exh CTM-8 (Res Bill Summary)'!T38</f>
        <v>0</v>
      </c>
      <c r="S35" s="61"/>
      <c r="U35" s="11">
        <f t="shared" si="3"/>
        <v>8.5280000000000009E-3</v>
      </c>
      <c r="V35" s="61"/>
      <c r="X35" s="11">
        <f t="shared" si="4"/>
        <v>8.5280000000000009E-3</v>
      </c>
      <c r="Y35" s="61"/>
      <c r="Z35" s="61"/>
      <c r="AA35" s="11">
        <f t="shared" si="5"/>
        <v>8.5280000000000009E-3</v>
      </c>
      <c r="AB35" s="61"/>
      <c r="AC35" s="61"/>
      <c r="AD35" s="11">
        <f t="shared" si="6"/>
        <v>8.5280000000000009E-3</v>
      </c>
      <c r="AE35" s="61"/>
      <c r="AG35" s="295">
        <f>R35</f>
        <v>0</v>
      </c>
      <c r="AH35" s="61"/>
    </row>
    <row r="36" spans="1:34">
      <c r="A36" s="2">
        <f t="shared" si="0"/>
        <v>28</v>
      </c>
      <c r="B36" s="299" t="str">
        <f>'Exh CTM-8 (Res Bill Summary)'!Q39</f>
        <v>Schedule 141R Rates Subject to Refund</v>
      </c>
      <c r="C36" s="117">
        <f>'Exh CTM-8 (Res Bill Summary)'!R39</f>
        <v>8.1049999999999994E-3</v>
      </c>
      <c r="D36" s="61"/>
      <c r="E36" s="64"/>
      <c r="F36" s="11">
        <f t="shared" si="7"/>
        <v>8.1049999999999994E-3</v>
      </c>
      <c r="G36" s="61"/>
      <c r="I36" s="11">
        <f t="shared" si="9"/>
        <v>8.1049999999999994E-3</v>
      </c>
      <c r="J36" s="61"/>
      <c r="L36" s="11">
        <f t="shared" si="8"/>
        <v>8.1049999999999994E-3</v>
      </c>
      <c r="M36" s="61"/>
      <c r="O36" s="11">
        <f t="shared" si="1"/>
        <v>8.1049999999999994E-3</v>
      </c>
      <c r="P36" s="61"/>
      <c r="R36" s="11">
        <f t="shared" si="2"/>
        <v>8.1049999999999994E-3</v>
      </c>
      <c r="S36" s="61"/>
      <c r="U36" s="295">
        <f>'Exh CTM-8 (Res Bill Summary)'!T39</f>
        <v>0</v>
      </c>
      <c r="V36" s="61"/>
      <c r="X36" s="11">
        <f t="shared" si="4"/>
        <v>8.1049999999999994E-3</v>
      </c>
      <c r="Y36" s="61"/>
      <c r="Z36" s="61"/>
      <c r="AA36" s="11">
        <f t="shared" si="5"/>
        <v>8.1049999999999994E-3</v>
      </c>
      <c r="AB36" s="61"/>
      <c r="AC36" s="61"/>
      <c r="AD36" s="11">
        <f t="shared" si="6"/>
        <v>8.1049999999999994E-3</v>
      </c>
      <c r="AE36" s="61"/>
      <c r="AG36" s="295">
        <f>U36</f>
        <v>0</v>
      </c>
      <c r="AH36" s="61"/>
    </row>
    <row r="37" spans="1:34">
      <c r="A37" s="2">
        <f t="shared" si="0"/>
        <v>29</v>
      </c>
      <c r="B37" s="293" t="str">
        <f>'Exh CTM-8 (Res Bill Summary)'!Q40</f>
        <v>Schedule 141 TEP</v>
      </c>
      <c r="C37" s="117">
        <f>'Exh CTM-8 (Res Bill Summary)'!R40</f>
        <v>3.19E-4</v>
      </c>
      <c r="D37" s="61"/>
      <c r="E37" s="64"/>
      <c r="F37" s="11">
        <f t="shared" si="7"/>
        <v>3.19E-4</v>
      </c>
      <c r="G37" s="61"/>
      <c r="I37" s="11">
        <f t="shared" si="9"/>
        <v>3.19E-4</v>
      </c>
      <c r="J37" s="61"/>
      <c r="L37" s="11">
        <f t="shared" si="8"/>
        <v>3.19E-4</v>
      </c>
      <c r="M37" s="61"/>
      <c r="O37" s="11">
        <f t="shared" si="1"/>
        <v>3.19E-4</v>
      </c>
      <c r="P37" s="61"/>
      <c r="R37" s="11">
        <f t="shared" si="2"/>
        <v>3.19E-4</v>
      </c>
      <c r="S37" s="61"/>
      <c r="U37" s="11">
        <f t="shared" si="3"/>
        <v>3.19E-4</v>
      </c>
      <c r="V37" s="61"/>
      <c r="X37" s="11">
        <f t="shared" si="4"/>
        <v>3.19E-4</v>
      </c>
      <c r="Y37" s="61"/>
      <c r="Z37" s="61"/>
      <c r="AA37" s="11">
        <f t="shared" si="5"/>
        <v>3.19E-4</v>
      </c>
      <c r="AB37" s="61"/>
      <c r="AC37" s="61"/>
      <c r="AD37" s="11">
        <f t="shared" si="6"/>
        <v>3.19E-4</v>
      </c>
      <c r="AE37" s="61"/>
      <c r="AG37" s="11">
        <f>+C37</f>
        <v>3.19E-4</v>
      </c>
      <c r="AH37" s="61"/>
    </row>
    <row r="38" spans="1:34">
      <c r="A38" s="2">
        <f t="shared" si="0"/>
        <v>30</v>
      </c>
      <c r="B38" s="299" t="str">
        <f>'Exh CTM-8 (Res Bill Summary)'!Q41</f>
        <v>Schedule 141WFP Wildfire Prevention Cost Recovery</v>
      </c>
      <c r="C38" s="117">
        <f>'Exh CTM-8 (Res Bill Summary)'!R41</f>
        <v>0</v>
      </c>
      <c r="D38" s="61"/>
      <c r="E38" s="64"/>
      <c r="F38" s="11">
        <f t="shared" si="7"/>
        <v>0</v>
      </c>
      <c r="G38" s="61"/>
      <c r="I38" s="11">
        <f t="shared" si="9"/>
        <v>0</v>
      </c>
      <c r="J38" s="61"/>
      <c r="L38" s="11">
        <f t="shared" si="8"/>
        <v>0</v>
      </c>
      <c r="M38" s="61"/>
      <c r="O38" s="11">
        <f t="shared" si="1"/>
        <v>0</v>
      </c>
      <c r="P38" s="61"/>
      <c r="R38" s="11">
        <f t="shared" si="2"/>
        <v>0</v>
      </c>
      <c r="S38" s="61"/>
      <c r="U38" s="11">
        <f t="shared" si="3"/>
        <v>0</v>
      </c>
      <c r="V38" s="61"/>
      <c r="X38" s="11">
        <f t="shared" si="4"/>
        <v>0</v>
      </c>
      <c r="Y38" s="61"/>
      <c r="Z38" s="61"/>
      <c r="AA38" s="11">
        <f t="shared" si="5"/>
        <v>0</v>
      </c>
      <c r="AB38" s="61"/>
      <c r="AC38" s="61"/>
      <c r="AD38" s="295">
        <f>'Exh CTM-8 (Res Bill Summary)'!T41</f>
        <v>1.4121617168578967E-3</v>
      </c>
      <c r="AE38" s="61"/>
      <c r="AG38" s="295">
        <f>AD38</f>
        <v>1.4121617168578967E-3</v>
      </c>
      <c r="AH38" s="61"/>
    </row>
    <row r="39" spans="1:34">
      <c r="A39" s="2">
        <f t="shared" si="0"/>
        <v>31</v>
      </c>
      <c r="B39" s="293" t="str">
        <f>'Exh CTM-8 (Res Bill Summary)'!Q42</f>
        <v>Schedule 141X (Protected) EDIT</v>
      </c>
      <c r="C39" s="117">
        <f>'Exh CTM-8 (Res Bill Summary)'!R42</f>
        <v>0</v>
      </c>
      <c r="D39" s="61"/>
      <c r="E39" s="64"/>
      <c r="F39" s="11">
        <f t="shared" si="7"/>
        <v>0</v>
      </c>
      <c r="G39" s="61"/>
      <c r="I39" s="11">
        <f t="shared" si="9"/>
        <v>0</v>
      </c>
      <c r="J39" s="61"/>
      <c r="L39" s="11">
        <f t="shared" si="8"/>
        <v>0</v>
      </c>
      <c r="M39" s="61"/>
      <c r="O39" s="11">
        <f t="shared" si="1"/>
        <v>0</v>
      </c>
      <c r="P39" s="61"/>
      <c r="R39" s="11">
        <f t="shared" si="2"/>
        <v>0</v>
      </c>
      <c r="S39" s="61"/>
      <c r="U39" s="11">
        <f t="shared" si="3"/>
        <v>0</v>
      </c>
      <c r="V39" s="61"/>
      <c r="X39" s="11">
        <f t="shared" si="4"/>
        <v>0</v>
      </c>
      <c r="Y39" s="61"/>
      <c r="Z39" s="61"/>
      <c r="AA39" s="11">
        <f t="shared" si="5"/>
        <v>0</v>
      </c>
      <c r="AB39" s="61"/>
      <c r="AC39" s="61"/>
      <c r="AD39" s="11">
        <f t="shared" si="6"/>
        <v>0</v>
      </c>
      <c r="AE39" s="61"/>
      <c r="AG39" s="11">
        <f>+C39</f>
        <v>0</v>
      </c>
      <c r="AH39" s="61"/>
    </row>
    <row r="40" spans="1:34">
      <c r="A40" s="2">
        <f t="shared" si="0"/>
        <v>32</v>
      </c>
      <c r="B40" s="293" t="str">
        <f>'Exh CTM-8 (Res Bill Summary)'!Q43</f>
        <v>Schedule 141Z (Unprotected) EDIT</v>
      </c>
      <c r="C40" s="117">
        <f>'Exh CTM-8 (Res Bill Summary)'!R43</f>
        <v>0</v>
      </c>
      <c r="D40" s="61"/>
      <c r="E40" s="64"/>
      <c r="F40" s="11">
        <f t="shared" si="7"/>
        <v>0</v>
      </c>
      <c r="G40" s="61"/>
      <c r="I40" s="11">
        <f t="shared" si="9"/>
        <v>0</v>
      </c>
      <c r="J40" s="61"/>
      <c r="L40" s="11">
        <f t="shared" si="8"/>
        <v>0</v>
      </c>
      <c r="M40" s="61"/>
      <c r="O40" s="11">
        <f t="shared" si="1"/>
        <v>0</v>
      </c>
      <c r="P40" s="61"/>
      <c r="R40" s="11">
        <f t="shared" si="2"/>
        <v>0</v>
      </c>
      <c r="S40" s="61"/>
      <c r="U40" s="11">
        <f t="shared" si="3"/>
        <v>0</v>
      </c>
      <c r="V40" s="61"/>
      <c r="X40" s="11">
        <f t="shared" si="4"/>
        <v>0</v>
      </c>
      <c r="Y40" s="61"/>
      <c r="Z40" s="61"/>
      <c r="AA40" s="11">
        <f t="shared" si="5"/>
        <v>0</v>
      </c>
      <c r="AB40" s="61"/>
      <c r="AC40" s="61"/>
      <c r="AD40" s="11">
        <f t="shared" si="6"/>
        <v>0</v>
      </c>
      <c r="AE40" s="61"/>
      <c r="AG40" s="11">
        <f>+C40</f>
        <v>0</v>
      </c>
      <c r="AH40" s="61"/>
    </row>
    <row r="41" spans="1:34">
      <c r="A41" s="2">
        <f t="shared" si="0"/>
        <v>33</v>
      </c>
      <c r="B41" s="293" t="str">
        <f>'Exh CTM-8 (Res Bill Summary)'!Q44</f>
        <v>Schedule 142  Deocupling Deferral</v>
      </c>
      <c r="C41" s="117">
        <f>'Exh CTM-8 (Res Bill Summary)'!R44</f>
        <v>-3.4759999999999999E-3</v>
      </c>
      <c r="D41" s="61"/>
      <c r="F41" s="11">
        <f t="shared" si="7"/>
        <v>-3.4759999999999999E-3</v>
      </c>
      <c r="G41" s="61"/>
      <c r="I41" s="11">
        <f t="shared" si="9"/>
        <v>-3.4759999999999999E-3</v>
      </c>
      <c r="L41" s="11">
        <f t="shared" si="8"/>
        <v>-3.4759999999999999E-3</v>
      </c>
      <c r="O41" s="11">
        <f t="shared" si="1"/>
        <v>-3.4759999999999999E-3</v>
      </c>
      <c r="R41" s="11">
        <f t="shared" si="2"/>
        <v>-3.4759999999999999E-3</v>
      </c>
      <c r="U41" s="11">
        <f t="shared" si="3"/>
        <v>-3.4759999999999999E-3</v>
      </c>
      <c r="X41" s="11">
        <f t="shared" si="4"/>
        <v>-3.4759999999999999E-3</v>
      </c>
      <c r="AA41" s="11">
        <f t="shared" si="5"/>
        <v>-3.4759999999999999E-3</v>
      </c>
      <c r="AD41" s="11">
        <f t="shared" si="6"/>
        <v>-3.4759999999999999E-3</v>
      </c>
      <c r="AG41" s="11">
        <f>+C41</f>
        <v>-3.4759999999999999E-3</v>
      </c>
    </row>
    <row r="42" spans="1:34">
      <c r="A42" s="2">
        <f t="shared" si="0"/>
        <v>34</v>
      </c>
      <c r="B42" s="293" t="str">
        <f>'Exh CTM-8 (Res Bill Summary)'!Q45</f>
        <v>Schedule 142 Deocupling Supplemental</v>
      </c>
      <c r="C42" s="117">
        <f>'Exh CTM-8 (Res Bill Summary)'!R45</f>
        <v>0</v>
      </c>
      <c r="D42" s="61"/>
      <c r="E42" s="64"/>
      <c r="F42" s="11">
        <f t="shared" si="7"/>
        <v>0</v>
      </c>
      <c r="G42" s="61"/>
      <c r="I42" s="11">
        <f t="shared" si="9"/>
        <v>0</v>
      </c>
      <c r="J42" s="61"/>
      <c r="L42" s="11">
        <f t="shared" si="8"/>
        <v>0</v>
      </c>
      <c r="M42" s="61"/>
      <c r="O42" s="11">
        <f t="shared" si="1"/>
        <v>0</v>
      </c>
      <c r="P42" s="61"/>
      <c r="R42" s="11">
        <f t="shared" si="2"/>
        <v>0</v>
      </c>
      <c r="S42" s="61"/>
      <c r="U42" s="11">
        <f t="shared" si="3"/>
        <v>0</v>
      </c>
      <c r="V42" s="61"/>
      <c r="X42" s="11">
        <f t="shared" si="4"/>
        <v>0</v>
      </c>
      <c r="Y42" s="61"/>
      <c r="Z42" s="61"/>
      <c r="AA42" s="11">
        <f t="shared" si="5"/>
        <v>0</v>
      </c>
      <c r="AB42" s="61"/>
      <c r="AC42" s="61"/>
      <c r="AD42" s="11">
        <f t="shared" si="6"/>
        <v>0</v>
      </c>
      <c r="AE42" s="61"/>
      <c r="AG42" s="11">
        <f>+C42</f>
        <v>0</v>
      </c>
      <c r="AH42" s="61"/>
    </row>
    <row r="43" spans="1:34">
      <c r="A43" s="2">
        <f t="shared" si="0"/>
        <v>35</v>
      </c>
      <c r="B43" s="293" t="str">
        <f>'Exh CTM-8 (Res Bill Summary)'!Q46</f>
        <v>Schedule 194 BPA Res &amp; Farm Credit</v>
      </c>
      <c r="C43" s="117">
        <f>'Exh CTM-8 (Res Bill Summary)'!R46</f>
        <v>-7.5339999999999999E-3</v>
      </c>
      <c r="D43" s="61"/>
      <c r="E43" s="64"/>
      <c r="F43" s="11">
        <f t="shared" si="7"/>
        <v>-7.5339999999999999E-3</v>
      </c>
      <c r="G43" s="61"/>
      <c r="I43" s="11">
        <f t="shared" si="9"/>
        <v>-7.5339999999999999E-3</v>
      </c>
      <c r="J43" s="61"/>
      <c r="L43" s="11">
        <f t="shared" si="8"/>
        <v>-7.5339999999999999E-3</v>
      </c>
      <c r="M43" s="61"/>
      <c r="O43" s="11">
        <f t="shared" si="1"/>
        <v>-7.5339999999999999E-3</v>
      </c>
      <c r="P43" s="61"/>
      <c r="R43" s="11">
        <f t="shared" si="2"/>
        <v>-7.5339999999999999E-3</v>
      </c>
      <c r="S43" s="61"/>
      <c r="U43" s="11">
        <f t="shared" si="3"/>
        <v>-7.5339999999999999E-3</v>
      </c>
      <c r="V43" s="61"/>
      <c r="X43" s="11">
        <f t="shared" si="4"/>
        <v>-7.5339999999999999E-3</v>
      </c>
      <c r="Y43" s="61"/>
      <c r="Z43" s="61"/>
      <c r="AA43" s="11">
        <f t="shared" si="5"/>
        <v>-7.5339999999999999E-3</v>
      </c>
      <c r="AB43" s="61"/>
      <c r="AC43" s="61"/>
      <c r="AD43" s="11">
        <f t="shared" si="6"/>
        <v>-7.5339999999999999E-3</v>
      </c>
      <c r="AE43" s="61"/>
      <c r="AG43" s="11">
        <f>+C43</f>
        <v>-7.5339999999999999E-3</v>
      </c>
      <c r="AH43" s="61"/>
    </row>
    <row r="44" spans="1:34">
      <c r="A44" s="2">
        <f t="shared" si="0"/>
        <v>36</v>
      </c>
      <c r="B44" s="57"/>
      <c r="C44" s="60"/>
      <c r="D44" s="61"/>
      <c r="E44" s="64"/>
      <c r="F44" s="60"/>
      <c r="G44" s="61"/>
      <c r="I44" s="60"/>
      <c r="J44" s="61"/>
      <c r="L44" s="60"/>
      <c r="M44" s="61"/>
      <c r="O44" s="60"/>
      <c r="P44" s="61"/>
      <c r="R44" s="60"/>
      <c r="S44" s="61"/>
      <c r="U44" s="60"/>
      <c r="V44" s="61"/>
      <c r="X44" s="60"/>
      <c r="Y44" s="61"/>
      <c r="Z44" s="61"/>
      <c r="AA44" s="60"/>
      <c r="AB44" s="61"/>
      <c r="AC44" s="61"/>
      <c r="AD44" s="60"/>
      <c r="AE44" s="61"/>
      <c r="AG44" s="60"/>
      <c r="AH44" s="61"/>
    </row>
    <row r="45" spans="1:34">
      <c r="A45" s="2">
        <f t="shared" si="0"/>
        <v>37</v>
      </c>
      <c r="B45" s="66" t="s">
        <v>132</v>
      </c>
      <c r="C45" s="11">
        <f>SUM(C16,C19:C43)</f>
        <v>0.12213900000000001</v>
      </c>
      <c r="D45" s="61">
        <f>ROUND(IF(C9&lt;600,C9*C45,600*C45),2)</f>
        <v>73.28</v>
      </c>
      <c r="E45" s="41"/>
      <c r="F45" s="11">
        <f>SUM(F16,F19:F43)</f>
        <v>0.14921800000000002</v>
      </c>
      <c r="G45" s="61">
        <f>ROUND(IF(F9&lt;600,F9*F45,600*F45),2)</f>
        <v>89.53</v>
      </c>
      <c r="I45" s="11">
        <f>SUM(I16,I19:I43)</f>
        <v>0.114276</v>
      </c>
      <c r="J45" s="61">
        <f>ROUND(IF(I9&lt;600,I9*I45,600*I45),2)</f>
        <v>68.569999999999993</v>
      </c>
      <c r="L45" s="11">
        <f>SUM(L16,L19:L43)</f>
        <v>0.122132</v>
      </c>
      <c r="M45" s="61">
        <f>ROUND(IF(L9&lt;600,L9*L45,600*L45),2)</f>
        <v>73.28</v>
      </c>
      <c r="O45" s="11">
        <f>SUM(O16,O19:O43)</f>
        <v>0.12088900000000001</v>
      </c>
      <c r="P45" s="61">
        <f>ROUND(IF(O9&lt;600,O9*O45,600*O45),2)</f>
        <v>72.53</v>
      </c>
      <c r="R45" s="11">
        <f>SUM(R16,R19:R43)</f>
        <v>0.113611</v>
      </c>
      <c r="S45" s="61">
        <f>ROUND(IF(R9&lt;600,R9*R45,600*R45),2)</f>
        <v>68.17</v>
      </c>
      <c r="U45" s="11">
        <f>SUM(U16,U19:U43)</f>
        <v>0.11403400000000001</v>
      </c>
      <c r="V45" s="61">
        <f>ROUND(IF(U9&lt;600,U9*U45,600*U45),2)</f>
        <v>68.42</v>
      </c>
      <c r="X45" s="11">
        <f>SUM(X16,X19:X43)</f>
        <v>0.12579363889247655</v>
      </c>
      <c r="Y45" s="61">
        <f>ROUND(IF(X9&lt;600,X9*X45,600*X45),2)</f>
        <v>75.48</v>
      </c>
      <c r="Z45" s="61"/>
      <c r="AA45" s="11">
        <f>SUM(AA16,AA19:AA43)</f>
        <v>0.12272828686002259</v>
      </c>
      <c r="AB45" s="61">
        <f>ROUND(IF(AA9&lt;600,AA9*AA45,600*AA45),2)</f>
        <v>73.64</v>
      </c>
      <c r="AC45" s="61"/>
      <c r="AD45" s="11">
        <f>SUM(AD16,AD19:AD43)</f>
        <v>0.12355116171685791</v>
      </c>
      <c r="AE45" s="61">
        <f>ROUND(IF(AD9&lt;600,AD9*AD45,600*AD45),2)</f>
        <v>74.13</v>
      </c>
      <c r="AG45" s="11">
        <f>SUM(AG16,AG19:AG43)</f>
        <v>0.12912108746935702</v>
      </c>
      <c r="AH45" s="61">
        <f>ROUND(IF(AG9&lt;600,AG9*AG45,600*AG45),2)</f>
        <v>77.47</v>
      </c>
    </row>
    <row r="46" spans="1:34">
      <c r="A46" s="2">
        <f t="shared" si="0"/>
        <v>38</v>
      </c>
      <c r="B46" s="66" t="s">
        <v>133</v>
      </c>
      <c r="C46" s="11">
        <f>SUM(C17,C19:C43)</f>
        <v>0.14155600000000002</v>
      </c>
      <c r="D46" s="61">
        <f>ROUND(IF(C9&lt;600,0,(C9-600)*C46),2)</f>
        <v>28.31</v>
      </c>
      <c r="E46" s="41"/>
      <c r="F46" s="11">
        <f>SUM(F17,F19:F43)</f>
        <v>0.16863500000000003</v>
      </c>
      <c r="G46" s="61">
        <f>ROUND(IF(F9&lt;600,0,(F9-600)*F46),2)</f>
        <v>33.729999999999997</v>
      </c>
      <c r="I46" s="11">
        <f>SUM(I17,I19:I43)</f>
        <v>0.13369300000000001</v>
      </c>
      <c r="J46" s="61">
        <f>ROUND(IF(I9&lt;600,0,(I9-600)*I46),2)</f>
        <v>26.74</v>
      </c>
      <c r="L46" s="11">
        <f>SUM(L17,L19:L43)</f>
        <v>0.14154900000000001</v>
      </c>
      <c r="M46" s="61">
        <f>ROUND(IF(L9&lt;600,0,(L9-600)*L46),2)</f>
        <v>28.31</v>
      </c>
      <c r="O46" s="11">
        <f>SUM(O17,O19:O43)</f>
        <v>0.14030600000000001</v>
      </c>
      <c r="P46" s="61">
        <f>ROUND(IF(O9&lt;600,0,(O9-600)*O46),2)</f>
        <v>28.06</v>
      </c>
      <c r="R46" s="11">
        <f>SUM(R17,R19:R43)</f>
        <v>0.13302800000000001</v>
      </c>
      <c r="S46" s="61">
        <f>ROUND(IF(R9&lt;600,0,(R9-600)*R46),2)</f>
        <v>26.61</v>
      </c>
      <c r="U46" s="11">
        <f>SUM(U17,U19:U43)</f>
        <v>0.13345100000000001</v>
      </c>
      <c r="V46" s="61">
        <f>ROUND(IF(U9&lt;600,0,(U9-600)*U46),2)</f>
        <v>26.69</v>
      </c>
      <c r="X46" s="11">
        <f>SUM(X17,X19:X43)</f>
        <v>0.14521063889247657</v>
      </c>
      <c r="Y46" s="61">
        <f>ROUND(IF(X9&lt;600,0,(X9-600)*X46),2)</f>
        <v>29.04</v>
      </c>
      <c r="Z46" s="61"/>
      <c r="AA46" s="11">
        <f>SUM(AA17,AA19:AA43)</f>
        <v>0.14214528686002259</v>
      </c>
      <c r="AB46" s="61">
        <f>ROUND(IF(AA9&lt;600,0,(AA9-600)*AA46),2)</f>
        <v>28.43</v>
      </c>
      <c r="AC46" s="61"/>
      <c r="AD46" s="11">
        <f>SUM(AD17,AD19:AD43)</f>
        <v>0.14296816171685792</v>
      </c>
      <c r="AE46" s="61">
        <f>ROUND(IF(AD9&lt;600,0,(AD9-600)*AD46),2)</f>
        <v>28.59</v>
      </c>
      <c r="AG46" s="11">
        <f>SUM(AG17,AG19:AG43)</f>
        <v>0.14853808746935704</v>
      </c>
      <c r="AH46" s="61">
        <f>ROUND(IF(AG9&lt;600,0,(AG9-600)*AG46),2)</f>
        <v>29.71</v>
      </c>
    </row>
    <row r="47" spans="1:34">
      <c r="A47" s="2">
        <f t="shared" si="0"/>
        <v>39</v>
      </c>
      <c r="B47" s="62" t="s">
        <v>134</v>
      </c>
      <c r="D47" s="63">
        <f>SUM(D45:D46)</f>
        <v>101.59</v>
      </c>
      <c r="G47" s="63">
        <f>SUM(G45:G46)</f>
        <v>123.25999999999999</v>
      </c>
      <c r="J47" s="63">
        <f>SUM(J45:J46)</f>
        <v>95.309999999999988</v>
      </c>
      <c r="M47" s="63">
        <f>SUM(M45:M46)</f>
        <v>101.59</v>
      </c>
      <c r="P47" s="63">
        <f>SUM(P45:P46)</f>
        <v>100.59</v>
      </c>
      <c r="S47" s="63">
        <f>SUM(S45:S46)</f>
        <v>94.78</v>
      </c>
      <c r="V47" s="63">
        <f>SUM(V45:V46)</f>
        <v>95.11</v>
      </c>
      <c r="Y47" s="63">
        <f>SUM(Y45:Y46)</f>
        <v>104.52000000000001</v>
      </c>
      <c r="Z47" s="61"/>
      <c r="AB47" s="63">
        <f>SUM(AB45:AB46)</f>
        <v>102.07</v>
      </c>
      <c r="AC47" s="61"/>
      <c r="AE47" s="63">
        <f>SUM(AE45:AE46)</f>
        <v>102.72</v>
      </c>
      <c r="AH47" s="63">
        <f>SUM(AH45:AH46)</f>
        <v>107.18</v>
      </c>
    </row>
    <row r="48" spans="1:34">
      <c r="A48" s="2">
        <f t="shared" si="0"/>
        <v>40</v>
      </c>
      <c r="D48" s="16"/>
      <c r="G48" s="61"/>
      <c r="J48" s="61"/>
      <c r="M48" s="61"/>
      <c r="P48" s="61"/>
      <c r="S48" s="61"/>
      <c r="V48" s="61"/>
      <c r="Y48" s="61"/>
      <c r="Z48" s="61"/>
      <c r="AB48" s="61"/>
      <c r="AC48" s="61"/>
      <c r="AE48" s="61"/>
      <c r="AH48" s="61"/>
    </row>
    <row r="49" spans="1:34">
      <c r="A49" s="2">
        <f t="shared" si="0"/>
        <v>41</v>
      </c>
      <c r="B49" s="3" t="s">
        <v>126</v>
      </c>
      <c r="C49" s="16"/>
      <c r="D49" s="61">
        <f>D13+D47</f>
        <v>109.08</v>
      </c>
      <c r="E49" s="16"/>
      <c r="F49" s="16"/>
      <c r="G49" s="61">
        <f>G13+G47</f>
        <v>133</v>
      </c>
      <c r="I49" s="16"/>
      <c r="J49" s="61">
        <f>J13+J47</f>
        <v>102.79999999999998</v>
      </c>
      <c r="L49" s="16"/>
      <c r="M49" s="61">
        <f>M13+M47</f>
        <v>109.08</v>
      </c>
      <c r="O49" s="16"/>
      <c r="P49" s="61">
        <f>P13+P47</f>
        <v>108.08</v>
      </c>
      <c r="R49" s="16"/>
      <c r="S49" s="61">
        <f>S13+S47</f>
        <v>102.27</v>
      </c>
      <c r="U49" s="16"/>
      <c r="V49" s="61">
        <f>V13+V47</f>
        <v>102.6</v>
      </c>
      <c r="X49" s="16"/>
      <c r="Y49" s="61">
        <f>Y13+Y47</f>
        <v>112.01</v>
      </c>
      <c r="Z49" s="61"/>
      <c r="AA49" s="16"/>
      <c r="AB49" s="61">
        <f>AB13+AB47</f>
        <v>109.55999999999999</v>
      </c>
      <c r="AC49" s="61"/>
      <c r="AD49" s="16"/>
      <c r="AE49" s="61">
        <f>AE13+AE47</f>
        <v>110.21</v>
      </c>
      <c r="AG49" s="16"/>
      <c r="AH49" s="61">
        <f>AH13+AH47</f>
        <v>116.92</v>
      </c>
    </row>
    <row r="50" spans="1:34">
      <c r="A50" s="2">
        <f t="shared" si="0"/>
        <v>42</v>
      </c>
      <c r="B50" s="3" t="s">
        <v>127</v>
      </c>
      <c r="C50" s="16"/>
      <c r="D50" s="61"/>
      <c r="E50" s="16"/>
      <c r="F50" s="16"/>
      <c r="G50" s="61">
        <f>G49-$D49</f>
        <v>23.92</v>
      </c>
      <c r="I50" s="16"/>
      <c r="J50" s="61">
        <f>J49-$D49</f>
        <v>-6.2800000000000153</v>
      </c>
      <c r="L50" s="16"/>
      <c r="M50" s="61">
        <f>M49-$D49</f>
        <v>0</v>
      </c>
      <c r="O50" s="16"/>
      <c r="P50" s="61">
        <f>P49-$D49</f>
        <v>-1</v>
      </c>
      <c r="R50" s="16"/>
      <c r="S50" s="61">
        <f>S49-$D49</f>
        <v>-6.8100000000000023</v>
      </c>
      <c r="U50" s="16"/>
      <c r="V50" s="61">
        <f>V49-$D49</f>
        <v>-6.480000000000004</v>
      </c>
      <c r="X50" s="16"/>
      <c r="Y50" s="61">
        <f>Y49-$D49</f>
        <v>2.9300000000000068</v>
      </c>
      <c r="Z50" s="61"/>
      <c r="AA50" s="16"/>
      <c r="AB50" s="61">
        <f>AB49-$D49</f>
        <v>0.47999999999998977</v>
      </c>
      <c r="AC50" s="61"/>
      <c r="AD50" s="16"/>
      <c r="AE50" s="61">
        <f>AE49-$D49</f>
        <v>1.1299999999999955</v>
      </c>
      <c r="AG50" s="16"/>
      <c r="AH50" s="61">
        <f>AH49-$D49</f>
        <v>7.8400000000000034</v>
      </c>
    </row>
    <row r="51" spans="1:34">
      <c r="A51" s="2">
        <f t="shared" si="0"/>
        <v>43</v>
      </c>
      <c r="B51" s="3" t="s">
        <v>128</v>
      </c>
      <c r="C51" s="24"/>
      <c r="D51" s="24"/>
      <c r="E51" s="24"/>
      <c r="F51" s="24"/>
      <c r="G51" s="30">
        <f>G50/$D49</f>
        <v>0.21928859552621932</v>
      </c>
      <c r="I51" s="24"/>
      <c r="J51" s="30">
        <f>J50/$D49</f>
        <v>-5.7572423909057716E-2</v>
      </c>
      <c r="L51" s="24"/>
      <c r="M51" s="30">
        <f>M50/$D49</f>
        <v>0</v>
      </c>
      <c r="O51" s="24"/>
      <c r="P51" s="30">
        <f>P50/$D49</f>
        <v>-9.1675834250091685E-3</v>
      </c>
      <c r="R51" s="24"/>
      <c r="S51" s="30">
        <f>S50/$D49</f>
        <v>-6.2431243124312454E-2</v>
      </c>
      <c r="U51" s="24"/>
      <c r="V51" s="30">
        <f>V50/$D49</f>
        <v>-5.9405940594059445E-2</v>
      </c>
      <c r="X51" s="24"/>
      <c r="Y51" s="30">
        <f>Y50/$D49</f>
        <v>2.6861019435276925E-2</v>
      </c>
      <c r="Z51" s="30"/>
      <c r="AA51" s="24"/>
      <c r="AB51" s="30">
        <f>AB50/$D49</f>
        <v>4.4004400440043065E-3</v>
      </c>
      <c r="AC51" s="30"/>
      <c r="AD51" s="24"/>
      <c r="AE51" s="30">
        <f>AE50/$D49</f>
        <v>1.0359369270260318E-2</v>
      </c>
      <c r="AG51" s="24"/>
      <c r="AH51" s="30">
        <f>AH50/$D49</f>
        <v>7.1873854052071903E-2</v>
      </c>
    </row>
    <row r="52" spans="1:34">
      <c r="A52" s="2">
        <f t="shared" si="0"/>
        <v>44</v>
      </c>
      <c r="D52" s="61"/>
    </row>
    <row r="53" spans="1:34">
      <c r="A53" s="2">
        <f t="shared" si="0"/>
        <v>45</v>
      </c>
      <c r="B53" s="190" t="s">
        <v>345</v>
      </c>
      <c r="C53" s="101"/>
    </row>
    <row r="55" spans="1:34">
      <c r="B55" s="9"/>
    </row>
  </sheetData>
  <mergeCells count="15">
    <mergeCell ref="AA6:AB6"/>
    <mergeCell ref="AD6:AE6"/>
    <mergeCell ref="AG6:AH6"/>
    <mergeCell ref="A1:AI1"/>
    <mergeCell ref="A2:AI2"/>
    <mergeCell ref="A3:AI3"/>
    <mergeCell ref="A4:AI4"/>
    <mergeCell ref="F6:G6"/>
    <mergeCell ref="I6:J6"/>
    <mergeCell ref="L6:M6"/>
    <mergeCell ref="R6:S6"/>
    <mergeCell ref="U6:V6"/>
    <mergeCell ref="X6:Y6"/>
    <mergeCell ref="O6:P6"/>
    <mergeCell ref="C6:D6"/>
  </mergeCells>
  <pageMargins left="0.7" right="0.7" top="0.75" bottom="0.75" header="0.3" footer="0.3"/>
  <pageSetup scale="44" orientation="landscape" horizontalDpi="360" verticalDpi="360" r:id="rId1"/>
  <headerFooter>
    <oddFooter>&amp;R&amp;F
&amp;A
&amp;P of &amp;N</oddFooter>
  </headerFooter>
  <customProperties>
    <customPr name="_pios_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3" tint="0.79998168889431442"/>
    <pageSetUpPr fitToPage="1"/>
  </sheetPr>
  <dimension ref="A1:T55"/>
  <sheetViews>
    <sheetView zoomScaleNormal="100" zoomScaleSheetLayoutView="100" workbookViewId="0">
      <pane ySplit="8" topLeftCell="A9" activePane="bottomLeft" state="frozen"/>
      <selection activeCell="U42" sqref="U42"/>
      <selection pane="bottomLeft" activeCell="S8" sqref="S8"/>
    </sheetView>
  </sheetViews>
  <sheetFormatPr defaultRowHeight="11.25"/>
  <cols>
    <col min="1" max="1" width="4.85546875" style="3" bestFit="1" customWidth="1"/>
    <col min="2" max="2" width="39.42578125" style="3" customWidth="1"/>
    <col min="3" max="3" width="12" style="3" bestFit="1" customWidth="1"/>
    <col min="4" max="4" width="7.7109375" style="3" bestFit="1" customWidth="1"/>
    <col min="5" max="5" width="0.5703125" style="3" customWidth="1"/>
    <col min="6" max="6" width="10" style="3" bestFit="1" customWidth="1"/>
    <col min="7" max="7" width="7.7109375" style="3" bestFit="1" customWidth="1"/>
    <col min="8" max="8" width="0.5703125" style="3" customWidth="1"/>
    <col min="9" max="9" width="11" style="3" customWidth="1"/>
    <col min="10" max="10" width="12" style="3" customWidth="1"/>
    <col min="11" max="11" width="0.5703125" style="3" customWidth="1"/>
    <col min="12" max="12" width="11.42578125" style="3" customWidth="1"/>
    <col min="13" max="13" width="12.42578125" style="3" customWidth="1"/>
    <col min="14" max="14" width="0.5703125" style="3" customWidth="1"/>
    <col min="15" max="15" width="10" style="3" bestFit="1" customWidth="1"/>
    <col min="16" max="16" width="10.7109375" style="3" customWidth="1"/>
    <col min="17" max="17" width="0.5703125" style="3" customWidth="1"/>
    <col min="18" max="18" width="10" style="3" bestFit="1" customWidth="1"/>
    <col min="19" max="19" width="7.7109375" style="3" bestFit="1" customWidth="1"/>
    <col min="20" max="16384" width="9.140625" style="3"/>
  </cols>
  <sheetData>
    <row r="1" spans="1:20" s="15" customFormat="1">
      <c r="A1" s="490" t="str">
        <f>'Table of Contents'!A1</f>
        <v>Puget Sound Energy</v>
      </c>
      <c r="B1" s="490"/>
      <c r="C1" s="490"/>
      <c r="D1" s="490"/>
      <c r="E1" s="490"/>
      <c r="F1" s="490"/>
      <c r="G1" s="490"/>
      <c r="H1" s="490"/>
      <c r="I1" s="490"/>
      <c r="J1" s="490"/>
      <c r="K1" s="490"/>
      <c r="L1" s="490"/>
      <c r="M1" s="490"/>
      <c r="N1" s="490"/>
      <c r="O1" s="490"/>
      <c r="P1" s="490"/>
      <c r="Q1" s="490"/>
      <c r="R1" s="490"/>
      <c r="S1" s="490"/>
      <c r="T1" s="490"/>
    </row>
    <row r="2" spans="1:20" s="15" customFormat="1">
      <c r="A2" s="490" t="str">
        <f>'Table of Contents'!A2</f>
        <v>2024 General Rate Case Docket No. UE-240004 and UG-240005</v>
      </c>
      <c r="B2" s="490"/>
      <c r="C2" s="490"/>
      <c r="D2" s="490"/>
      <c r="E2" s="490"/>
      <c r="F2" s="490"/>
      <c r="G2" s="490"/>
      <c r="H2" s="490"/>
      <c r="I2" s="490"/>
      <c r="J2" s="490"/>
      <c r="K2" s="490"/>
      <c r="L2" s="490"/>
      <c r="M2" s="490"/>
      <c r="N2" s="490"/>
      <c r="O2" s="490"/>
      <c r="P2" s="490"/>
      <c r="Q2" s="490"/>
      <c r="R2" s="490"/>
      <c r="S2" s="490"/>
      <c r="T2" s="490"/>
    </row>
    <row r="3" spans="1:20" s="15" customFormat="1">
      <c r="A3" s="491" t="s">
        <v>379</v>
      </c>
      <c r="B3" s="492"/>
      <c r="C3" s="492"/>
      <c r="D3" s="492"/>
      <c r="E3" s="492"/>
      <c r="F3" s="492"/>
      <c r="G3" s="492"/>
      <c r="H3" s="492"/>
      <c r="I3" s="492"/>
      <c r="J3" s="492"/>
      <c r="K3" s="492"/>
      <c r="L3" s="492"/>
      <c r="M3" s="492"/>
      <c r="N3" s="492"/>
      <c r="O3" s="492"/>
      <c r="P3" s="492"/>
      <c r="Q3" s="492"/>
      <c r="R3" s="492"/>
      <c r="S3" s="492"/>
      <c r="T3" s="492"/>
    </row>
    <row r="4" spans="1:20" s="15" customFormat="1">
      <c r="A4" s="492" t="s">
        <v>189</v>
      </c>
      <c r="B4" s="492"/>
      <c r="C4" s="492"/>
      <c r="D4" s="492"/>
      <c r="E4" s="492"/>
      <c r="F4" s="492"/>
      <c r="G4" s="492"/>
      <c r="H4" s="492"/>
      <c r="I4" s="492"/>
      <c r="J4" s="492"/>
      <c r="K4" s="492"/>
      <c r="L4" s="492"/>
      <c r="M4" s="492"/>
      <c r="N4" s="492"/>
      <c r="O4" s="492"/>
      <c r="P4" s="492"/>
      <c r="Q4" s="492"/>
      <c r="R4" s="492"/>
      <c r="S4" s="492"/>
      <c r="T4" s="492"/>
    </row>
    <row r="5" spans="1:20" s="15" customFormat="1" ht="12.75">
      <c r="I5" s="488" t="s">
        <v>380</v>
      </c>
      <c r="J5" s="494"/>
      <c r="K5" s="494"/>
      <c r="L5" s="494"/>
      <c r="M5" s="494"/>
      <c r="N5" s="494"/>
      <c r="O5" s="494"/>
      <c r="P5" s="493"/>
    </row>
    <row r="6" spans="1:20" s="67" customFormat="1" ht="11.25" customHeight="1">
      <c r="C6" s="488" t="s">
        <v>118</v>
      </c>
      <c r="D6" s="493"/>
      <c r="F6" s="472" t="s">
        <v>119</v>
      </c>
      <c r="G6" s="487"/>
      <c r="I6" s="495" t="s">
        <v>374</v>
      </c>
      <c r="J6" s="496"/>
      <c r="L6" s="495" t="s">
        <v>363</v>
      </c>
      <c r="M6" s="496"/>
      <c r="O6" s="495" t="s">
        <v>375</v>
      </c>
      <c r="P6" s="496"/>
      <c r="R6" s="488" t="s">
        <v>122</v>
      </c>
      <c r="S6" s="489"/>
    </row>
    <row r="7" spans="1:20" s="15" customFormat="1">
      <c r="A7" s="98" t="s">
        <v>13</v>
      </c>
      <c r="B7" s="98"/>
      <c r="C7" s="98" t="s">
        <v>169</v>
      </c>
      <c r="D7" s="98" t="s">
        <v>123</v>
      </c>
      <c r="F7" s="98" t="s">
        <v>124</v>
      </c>
      <c r="G7" s="98" t="s">
        <v>123</v>
      </c>
      <c r="I7" s="98" t="s">
        <v>124</v>
      </c>
      <c r="J7" s="98" t="s">
        <v>123</v>
      </c>
      <c r="L7" s="98" t="s">
        <v>124</v>
      </c>
      <c r="M7" s="98" t="s">
        <v>123</v>
      </c>
      <c r="O7" s="98" t="s">
        <v>124</v>
      </c>
      <c r="P7" s="98" t="s">
        <v>123</v>
      </c>
      <c r="R7" s="98" t="s">
        <v>124</v>
      </c>
      <c r="S7" s="98" t="s">
        <v>123</v>
      </c>
    </row>
    <row r="8" spans="1:20">
      <c r="A8" s="2"/>
      <c r="B8" s="2" t="s">
        <v>18</v>
      </c>
      <c r="C8" s="2" t="s">
        <v>19</v>
      </c>
      <c r="D8" s="2" t="s">
        <v>20</v>
      </c>
      <c r="F8" s="2" t="s">
        <v>21</v>
      </c>
      <c r="G8" s="2" t="s">
        <v>24</v>
      </c>
      <c r="I8" s="2" t="s">
        <v>25</v>
      </c>
      <c r="J8" s="2" t="s">
        <v>26</v>
      </c>
      <c r="L8" s="2" t="s">
        <v>27</v>
      </c>
      <c r="M8" s="2" t="s">
        <v>28</v>
      </c>
      <c r="O8" s="2" t="s">
        <v>29</v>
      </c>
      <c r="P8" s="2" t="s">
        <v>30</v>
      </c>
      <c r="R8" s="2" t="s">
        <v>74</v>
      </c>
      <c r="S8" s="2" t="s">
        <v>83</v>
      </c>
    </row>
    <row r="9" spans="1:20">
      <c r="A9" s="2">
        <v>1</v>
      </c>
      <c r="B9" s="7" t="s">
        <v>129</v>
      </c>
      <c r="C9" s="116">
        <f>'Exh CTM-8 (Res Bill Summary)'!B19</f>
        <v>800</v>
      </c>
      <c r="D9" s="61"/>
      <c r="E9" s="56"/>
      <c r="F9" s="3">
        <f>+$C$9</f>
        <v>800</v>
      </c>
      <c r="G9" s="61"/>
      <c r="H9" s="23"/>
      <c r="I9" s="3">
        <f>+$C$9</f>
        <v>800</v>
      </c>
      <c r="J9" s="61"/>
      <c r="K9" s="61"/>
      <c r="L9" s="3">
        <f>+$C$9</f>
        <v>800</v>
      </c>
      <c r="M9" s="61"/>
      <c r="N9" s="61"/>
      <c r="O9" s="3">
        <f>+$C$9</f>
        <v>800</v>
      </c>
      <c r="P9" s="61"/>
      <c r="R9" s="3">
        <f>+$C$9</f>
        <v>800</v>
      </c>
      <c r="S9" s="61"/>
    </row>
    <row r="10" spans="1:20">
      <c r="A10" s="2">
        <f>+A9+1</f>
        <v>2</v>
      </c>
      <c r="C10" s="56"/>
      <c r="D10" s="61"/>
      <c r="E10" s="56"/>
      <c r="F10" s="56"/>
      <c r="G10" s="61"/>
      <c r="H10" s="23"/>
      <c r="I10" s="56"/>
      <c r="J10" s="61"/>
      <c r="K10" s="61"/>
      <c r="L10" s="56"/>
      <c r="M10" s="61"/>
      <c r="N10" s="61"/>
      <c r="O10" s="56"/>
      <c r="P10" s="61"/>
      <c r="R10" s="56"/>
      <c r="S10" s="61"/>
    </row>
    <row r="11" spans="1:20">
      <c r="A11" s="2">
        <f t="shared" ref="A11:A53" si="0">+A10+1</f>
        <v>3</v>
      </c>
      <c r="B11" s="3" t="s">
        <v>125</v>
      </c>
      <c r="C11" s="56"/>
      <c r="D11" s="61"/>
      <c r="E11" s="56"/>
      <c r="F11" s="56"/>
      <c r="G11" s="61"/>
      <c r="H11" s="23"/>
      <c r="I11" s="56"/>
      <c r="J11" s="61"/>
      <c r="K11" s="61"/>
      <c r="L11" s="56"/>
      <c r="M11" s="61"/>
      <c r="N11" s="61"/>
      <c r="O11" s="56"/>
      <c r="P11" s="61"/>
      <c r="R11" s="56"/>
      <c r="S11" s="61"/>
    </row>
    <row r="12" spans="1:20">
      <c r="A12" s="2">
        <f t="shared" si="0"/>
        <v>4</v>
      </c>
      <c r="B12" s="294" t="s">
        <v>130</v>
      </c>
      <c r="C12" s="296">
        <f>'Exh CTM-8 Typical Res Bill RY#1'!AG12</f>
        <v>9.74</v>
      </c>
      <c r="D12" s="61">
        <f>C12</f>
        <v>9.74</v>
      </c>
      <c r="E12" s="55"/>
      <c r="F12" s="296">
        <f>'Exh CTM-8 (Res Bill Summary)'!W16</f>
        <v>12.66</v>
      </c>
      <c r="G12" s="61">
        <f>F12</f>
        <v>12.66</v>
      </c>
      <c r="I12" s="61">
        <f>+$C$12</f>
        <v>9.74</v>
      </c>
      <c r="J12" s="61">
        <f>I12</f>
        <v>9.74</v>
      </c>
      <c r="K12" s="61"/>
      <c r="L12" s="61">
        <f>+$C$12</f>
        <v>9.74</v>
      </c>
      <c r="M12" s="61">
        <f>L12</f>
        <v>9.74</v>
      </c>
      <c r="N12" s="61"/>
      <c r="O12" s="61">
        <f>+$C$12</f>
        <v>9.74</v>
      </c>
      <c r="P12" s="61">
        <f>O12</f>
        <v>9.74</v>
      </c>
      <c r="R12" s="298">
        <f>+F12</f>
        <v>12.66</v>
      </c>
      <c r="S12" s="61">
        <f>R12</f>
        <v>12.66</v>
      </c>
    </row>
    <row r="13" spans="1:20">
      <c r="A13" s="2">
        <f t="shared" si="0"/>
        <v>5</v>
      </c>
      <c r="B13" s="62" t="s">
        <v>22</v>
      </c>
      <c r="C13" s="16"/>
      <c r="D13" s="63">
        <f>SUM(D12:D12)</f>
        <v>9.74</v>
      </c>
      <c r="E13" s="55"/>
      <c r="F13" s="16"/>
      <c r="G13" s="63">
        <f>SUM(G12:G12)</f>
        <v>12.66</v>
      </c>
      <c r="I13" s="16"/>
      <c r="J13" s="63">
        <f>SUM(J12:J12)</f>
        <v>9.74</v>
      </c>
      <c r="K13" s="16"/>
      <c r="L13" s="16"/>
      <c r="M13" s="63">
        <f>SUM(M12:M12)</f>
        <v>9.74</v>
      </c>
      <c r="N13" s="16"/>
      <c r="O13" s="16"/>
      <c r="P13" s="63">
        <f>SUM(P12:P12)</f>
        <v>9.74</v>
      </c>
      <c r="R13" s="63">
        <f>SUM(R12:R12)</f>
        <v>12.66</v>
      </c>
      <c r="S13" s="63">
        <f>SUM(S12:S12)</f>
        <v>12.66</v>
      </c>
    </row>
    <row r="14" spans="1:20">
      <c r="A14" s="2">
        <f t="shared" si="0"/>
        <v>6</v>
      </c>
      <c r="C14" s="55"/>
      <c r="D14" s="61"/>
      <c r="E14" s="55"/>
      <c r="F14" s="55"/>
      <c r="G14" s="61"/>
      <c r="I14" s="16"/>
      <c r="J14" s="61"/>
      <c r="K14" s="61"/>
      <c r="L14" s="16"/>
      <c r="M14" s="61"/>
      <c r="N14" s="61"/>
      <c r="O14" s="16"/>
      <c r="P14" s="61"/>
      <c r="R14" s="16"/>
      <c r="S14" s="61"/>
    </row>
    <row r="15" spans="1:20">
      <c r="A15" s="2">
        <f t="shared" si="0"/>
        <v>7</v>
      </c>
      <c r="B15" s="7" t="s">
        <v>135</v>
      </c>
      <c r="D15" s="61"/>
      <c r="G15" s="61"/>
      <c r="J15" s="61"/>
      <c r="K15" s="61"/>
      <c r="M15" s="61"/>
      <c r="N15" s="61"/>
      <c r="P15" s="61"/>
      <c r="S15" s="61"/>
    </row>
    <row r="16" spans="1:20">
      <c r="A16" s="2">
        <f t="shared" si="0"/>
        <v>8</v>
      </c>
      <c r="B16" s="294" t="s">
        <v>376</v>
      </c>
      <c r="C16" s="295">
        <f>'Exh CTM-8 Typical Res Bill RY#1'!AG16</f>
        <v>0.11651599999999999</v>
      </c>
      <c r="D16" s="61"/>
      <c r="E16" s="64"/>
      <c r="F16" s="295">
        <f>'Exh CTM-8 (Res Bill Summary)'!W17</f>
        <v>0.12567500000000001</v>
      </c>
      <c r="G16" s="61"/>
      <c r="I16" s="11">
        <f>+$C$16</f>
        <v>0.11651599999999999</v>
      </c>
      <c r="J16" s="61"/>
      <c r="K16" s="61"/>
      <c r="L16" s="11">
        <f>+$C$16</f>
        <v>0.11651599999999999</v>
      </c>
      <c r="M16" s="61"/>
      <c r="N16" s="61"/>
      <c r="O16" s="11">
        <f>+$C$16</f>
        <v>0.11651599999999999</v>
      </c>
      <c r="P16" s="61"/>
      <c r="R16" s="297">
        <f>+F16</f>
        <v>0.12567500000000001</v>
      </c>
      <c r="S16" s="61"/>
    </row>
    <row r="17" spans="1:19">
      <c r="A17" s="2">
        <f t="shared" si="0"/>
        <v>9</v>
      </c>
      <c r="B17" s="294" t="s">
        <v>131</v>
      </c>
      <c r="C17" s="295">
        <f>'Exh CTM-8 Typical Res Bill RY#1'!AG17</f>
        <v>0.135933</v>
      </c>
      <c r="D17" s="61"/>
      <c r="E17" s="64"/>
      <c r="F17" s="295">
        <f>'Exh CTM-8 (Res Bill Summary)'!W18</f>
        <v>0.145092</v>
      </c>
      <c r="G17" s="61"/>
      <c r="I17" s="11">
        <f>+$C$17</f>
        <v>0.135933</v>
      </c>
      <c r="J17" s="61"/>
      <c r="K17" s="61"/>
      <c r="L17" s="11">
        <f>+$C$17</f>
        <v>0.135933</v>
      </c>
      <c r="M17" s="61"/>
      <c r="N17" s="61"/>
      <c r="O17" s="11">
        <f>+$C$17</f>
        <v>0.135933</v>
      </c>
      <c r="P17" s="61"/>
      <c r="R17" s="297">
        <f>+F17</f>
        <v>0.145092</v>
      </c>
      <c r="S17" s="61"/>
    </row>
    <row r="18" spans="1:19">
      <c r="A18" s="2">
        <f t="shared" si="0"/>
        <v>10</v>
      </c>
      <c r="B18" s="59"/>
      <c r="C18" s="65"/>
      <c r="D18" s="61"/>
      <c r="E18" s="64"/>
      <c r="F18" s="41"/>
      <c r="G18" s="61"/>
      <c r="I18" s="41"/>
      <c r="J18" s="61"/>
      <c r="K18" s="61"/>
      <c r="L18" s="41"/>
      <c r="M18" s="61"/>
      <c r="N18" s="61"/>
      <c r="O18" s="41"/>
      <c r="P18" s="61"/>
      <c r="R18" s="41"/>
      <c r="S18" s="61"/>
    </row>
    <row r="19" spans="1:19">
      <c r="A19" s="2">
        <f t="shared" si="0"/>
        <v>11</v>
      </c>
      <c r="B19" s="293" t="str">
        <f>'Exh CTM-8 (Res Bill Summary)'!Q22</f>
        <v xml:space="preserve">Schedule 95 Power Cost
</v>
      </c>
      <c r="C19" s="295">
        <f>'Exh CTM-8 Typical Res Bill RY#1'!AG19</f>
        <v>0</v>
      </c>
      <c r="D19" s="61"/>
      <c r="E19" s="64"/>
      <c r="F19" s="11">
        <f>+C19</f>
        <v>0</v>
      </c>
      <c r="G19" s="61"/>
      <c r="I19" s="11">
        <f t="shared" ref="I19:I43" si="1">+$C19</f>
        <v>0</v>
      </c>
      <c r="J19" s="61"/>
      <c r="K19" s="61"/>
      <c r="L19" s="11">
        <f t="shared" ref="L19:L43" si="2">+$C19</f>
        <v>0</v>
      </c>
      <c r="M19" s="61"/>
      <c r="N19" s="61"/>
      <c r="O19" s="11">
        <f t="shared" ref="O19:O43" si="3">+$C19</f>
        <v>0</v>
      </c>
      <c r="P19" s="61"/>
      <c r="R19" s="11">
        <f>+C19</f>
        <v>0</v>
      </c>
      <c r="S19" s="61"/>
    </row>
    <row r="20" spans="1:19">
      <c r="A20" s="2">
        <f t="shared" si="0"/>
        <v>12</v>
      </c>
      <c r="B20" s="293" t="str">
        <f>'Exh CTM-8 (Res Bill Summary)'!Q23</f>
        <v>Schedule 95 PCA Imbalance</v>
      </c>
      <c r="C20" s="295">
        <f>'Exh CTM-8 Typical Res Bill RY#1'!AG20</f>
        <v>3.4810000000000002E-3</v>
      </c>
      <c r="D20" s="61"/>
      <c r="E20" s="64"/>
      <c r="F20" s="11">
        <f t="shared" ref="F20:F43" si="4">+C20</f>
        <v>3.4810000000000002E-3</v>
      </c>
      <c r="G20" s="61"/>
      <c r="I20" s="11">
        <f t="shared" si="1"/>
        <v>3.4810000000000002E-3</v>
      </c>
      <c r="J20" s="61"/>
      <c r="K20" s="61"/>
      <c r="L20" s="11">
        <f t="shared" si="2"/>
        <v>3.4810000000000002E-3</v>
      </c>
      <c r="M20" s="61"/>
      <c r="N20" s="61"/>
      <c r="O20" s="11">
        <f t="shared" si="3"/>
        <v>3.4810000000000002E-3</v>
      </c>
      <c r="P20" s="61"/>
      <c r="R20" s="11">
        <f t="shared" ref="R20:R43" si="5">+C20</f>
        <v>3.4810000000000002E-3</v>
      </c>
      <c r="S20" s="61"/>
    </row>
    <row r="21" spans="1:19">
      <c r="A21" s="2">
        <f t="shared" si="0"/>
        <v>13</v>
      </c>
      <c r="B21" s="293" t="str">
        <f>'Exh CTM-8 (Res Bill Summary)'!Q24</f>
        <v>Schedule 95A Federal Incentive Credit</v>
      </c>
      <c r="C21" s="295">
        <f>'Exh CTM-8 Typical Res Bill RY#1'!AG21</f>
        <v>0</v>
      </c>
      <c r="D21" s="61"/>
      <c r="E21" s="64"/>
      <c r="F21" s="11">
        <f t="shared" si="4"/>
        <v>0</v>
      </c>
      <c r="G21" s="61"/>
      <c r="I21" s="11">
        <f t="shared" si="1"/>
        <v>0</v>
      </c>
      <c r="J21" s="61"/>
      <c r="K21" s="61"/>
      <c r="L21" s="11">
        <f t="shared" si="2"/>
        <v>0</v>
      </c>
      <c r="M21" s="61"/>
      <c r="N21" s="61"/>
      <c r="O21" s="11">
        <f t="shared" si="3"/>
        <v>0</v>
      </c>
      <c r="P21" s="61"/>
      <c r="R21" s="11">
        <f t="shared" si="5"/>
        <v>0</v>
      </c>
      <c r="S21" s="61"/>
    </row>
    <row r="22" spans="1:19">
      <c r="A22" s="2">
        <f t="shared" si="0"/>
        <v>14</v>
      </c>
      <c r="B22" s="293" t="str">
        <f>'Exh CTM-8 (Res Bill Summary)'!Q25</f>
        <v>Schedule 120 Conservation</v>
      </c>
      <c r="C22" s="295">
        <f>'Exh CTM-8 Typical Res Bill RY#1'!AG22</f>
        <v>5.0439999999999999E-3</v>
      </c>
      <c r="D22" s="61"/>
      <c r="E22" s="64"/>
      <c r="F22" s="11">
        <f t="shared" si="4"/>
        <v>5.0439999999999999E-3</v>
      </c>
      <c r="G22" s="61"/>
      <c r="I22" s="11">
        <f t="shared" si="1"/>
        <v>5.0439999999999999E-3</v>
      </c>
      <c r="J22" s="61"/>
      <c r="K22" s="61"/>
      <c r="L22" s="11">
        <f t="shared" si="2"/>
        <v>5.0439999999999999E-3</v>
      </c>
      <c r="M22" s="61"/>
      <c r="N22" s="61"/>
      <c r="O22" s="11">
        <f t="shared" si="3"/>
        <v>5.0439999999999999E-3</v>
      </c>
      <c r="P22" s="61"/>
      <c r="R22" s="11">
        <f t="shared" si="5"/>
        <v>5.0439999999999999E-3</v>
      </c>
      <c r="S22" s="61"/>
    </row>
    <row r="23" spans="1:19">
      <c r="A23" s="2">
        <f t="shared" si="0"/>
        <v>15</v>
      </c>
      <c r="B23" s="293" t="str">
        <f>'Exh CTM-8 (Res Bill Summary)'!Q26</f>
        <v>Schedule 129 Low Income</v>
      </c>
      <c r="C23" s="295">
        <f>'Exh CTM-8 Typical Res Bill RY#1'!AG23</f>
        <v>1.428E-3</v>
      </c>
      <c r="D23" s="61"/>
      <c r="E23" s="64"/>
      <c r="F23" s="11">
        <f t="shared" si="4"/>
        <v>1.428E-3</v>
      </c>
      <c r="G23" s="61"/>
      <c r="I23" s="11">
        <f t="shared" si="1"/>
        <v>1.428E-3</v>
      </c>
      <c r="J23" s="61"/>
      <c r="K23" s="61"/>
      <c r="L23" s="11">
        <f t="shared" si="2"/>
        <v>1.428E-3</v>
      </c>
      <c r="M23" s="61"/>
      <c r="N23" s="61"/>
      <c r="O23" s="11">
        <f t="shared" si="3"/>
        <v>1.428E-3</v>
      </c>
      <c r="P23" s="61"/>
      <c r="R23" s="11">
        <f t="shared" si="5"/>
        <v>1.428E-3</v>
      </c>
      <c r="S23" s="61"/>
    </row>
    <row r="24" spans="1:19">
      <c r="A24" s="2">
        <f t="shared" si="0"/>
        <v>16</v>
      </c>
      <c r="B24" s="293" t="str">
        <f>'Exh CTM-8 (Res Bill Summary)'!Q27</f>
        <v>Schedule 129D Bill Discount</v>
      </c>
      <c r="C24" s="295">
        <f>'Exh CTM-8 Typical Res Bill RY#1'!AG24</f>
        <v>6.0700000000000001E-4</v>
      </c>
      <c r="D24" s="61"/>
      <c r="E24" s="64"/>
      <c r="F24" s="11">
        <f t="shared" si="4"/>
        <v>6.0700000000000001E-4</v>
      </c>
      <c r="G24" s="61"/>
      <c r="I24" s="11">
        <f t="shared" si="1"/>
        <v>6.0700000000000001E-4</v>
      </c>
      <c r="J24" s="61"/>
      <c r="K24" s="61"/>
      <c r="L24" s="11">
        <f t="shared" si="2"/>
        <v>6.0700000000000001E-4</v>
      </c>
      <c r="M24" s="61"/>
      <c r="N24" s="61"/>
      <c r="O24" s="11">
        <f t="shared" si="3"/>
        <v>6.0700000000000001E-4</v>
      </c>
      <c r="P24" s="61"/>
      <c r="R24" s="11">
        <f t="shared" si="5"/>
        <v>6.0700000000000001E-4</v>
      </c>
      <c r="S24" s="61"/>
    </row>
    <row r="25" spans="1:19">
      <c r="A25" s="2">
        <f t="shared" si="0"/>
        <v>17</v>
      </c>
      <c r="B25" s="293" t="str">
        <f>'Exh CTM-8 (Res Bill Summary)'!Q28</f>
        <v>Schedule 137 REC</v>
      </c>
      <c r="C25" s="295">
        <f>'Exh CTM-8 Typical Res Bill RY#1'!AG25</f>
        <v>0</v>
      </c>
      <c r="D25" s="61"/>
      <c r="E25" s="64"/>
      <c r="F25" s="11">
        <f t="shared" si="4"/>
        <v>0</v>
      </c>
      <c r="G25" s="61"/>
      <c r="I25" s="11">
        <f t="shared" si="1"/>
        <v>0</v>
      </c>
      <c r="J25" s="61"/>
      <c r="K25" s="61"/>
      <c r="L25" s="11">
        <f t="shared" si="2"/>
        <v>0</v>
      </c>
      <c r="M25" s="61"/>
      <c r="N25" s="61"/>
      <c r="O25" s="11">
        <f t="shared" si="3"/>
        <v>0</v>
      </c>
      <c r="P25" s="61"/>
      <c r="R25" s="11">
        <f t="shared" si="5"/>
        <v>0</v>
      </c>
      <c r="S25" s="61"/>
    </row>
    <row r="26" spans="1:19">
      <c r="A26" s="2">
        <f t="shared" si="0"/>
        <v>18</v>
      </c>
      <c r="B26" s="293" t="str">
        <f>'Exh CTM-8 (Res Bill Summary)'!Q29</f>
        <v>Schedule 139 Green Direct</v>
      </c>
      <c r="C26" s="295">
        <f>'Exh CTM-8 Typical Res Bill RY#1'!AG26</f>
        <v>0</v>
      </c>
      <c r="D26" s="61"/>
      <c r="E26" s="64"/>
      <c r="F26" s="11">
        <f t="shared" si="4"/>
        <v>0</v>
      </c>
      <c r="G26" s="61"/>
      <c r="I26" s="11">
        <f t="shared" si="1"/>
        <v>0</v>
      </c>
      <c r="J26" s="61"/>
      <c r="K26" s="61"/>
      <c r="L26" s="11">
        <f t="shared" si="2"/>
        <v>0</v>
      </c>
      <c r="M26" s="61"/>
      <c r="N26" s="61"/>
      <c r="O26" s="11">
        <f t="shared" si="3"/>
        <v>0</v>
      </c>
      <c r="P26" s="61"/>
      <c r="R26" s="11">
        <f t="shared" si="5"/>
        <v>0</v>
      </c>
      <c r="S26" s="61"/>
    </row>
    <row r="27" spans="1:19">
      <c r="A27" s="2">
        <f t="shared" si="0"/>
        <v>19</v>
      </c>
      <c r="B27" s="293" t="str">
        <f>'Exh CTM-8 (Res Bill Summary)'!Q30</f>
        <v xml:space="preserve">Schedule 139 Green Direct Supplemental </v>
      </c>
      <c r="C27" s="295">
        <f>'Exh CTM-8 Typical Res Bill RY#1'!AG27</f>
        <v>0</v>
      </c>
      <c r="D27" s="61"/>
      <c r="E27" s="64"/>
      <c r="F27" s="11">
        <f t="shared" si="4"/>
        <v>0</v>
      </c>
      <c r="G27" s="61"/>
      <c r="I27" s="11">
        <f t="shared" si="1"/>
        <v>0</v>
      </c>
      <c r="J27" s="61"/>
      <c r="K27" s="61"/>
      <c r="L27" s="11">
        <f t="shared" si="2"/>
        <v>0</v>
      </c>
      <c r="M27" s="61"/>
      <c r="N27" s="61"/>
      <c r="O27" s="11">
        <f t="shared" si="3"/>
        <v>0</v>
      </c>
      <c r="P27" s="61"/>
      <c r="R27" s="11">
        <f t="shared" si="5"/>
        <v>0</v>
      </c>
      <c r="S27" s="61"/>
    </row>
    <row r="28" spans="1:19">
      <c r="A28" s="2">
        <f t="shared" si="0"/>
        <v>20</v>
      </c>
      <c r="B28" s="293" t="str">
        <f>'Exh CTM-8 (Res Bill Summary)'!Q31</f>
        <v>Schedule 140 Property Tax</v>
      </c>
      <c r="C28" s="295">
        <f>'Exh CTM-8 Typical Res Bill RY#1'!AG28</f>
        <v>2.6120000000000002E-3</v>
      </c>
      <c r="D28" s="61"/>
      <c r="E28" s="64"/>
      <c r="F28" s="11">
        <f t="shared" si="4"/>
        <v>2.6120000000000002E-3</v>
      </c>
      <c r="G28" s="61"/>
      <c r="I28" s="11">
        <f t="shared" si="1"/>
        <v>2.6120000000000002E-3</v>
      </c>
      <c r="J28" s="61"/>
      <c r="K28" s="61"/>
      <c r="L28" s="11">
        <f t="shared" si="2"/>
        <v>2.6120000000000002E-3</v>
      </c>
      <c r="M28" s="61"/>
      <c r="N28" s="61"/>
      <c r="O28" s="11">
        <f t="shared" si="3"/>
        <v>2.6120000000000002E-3</v>
      </c>
      <c r="P28" s="61"/>
      <c r="R28" s="11">
        <f t="shared" si="5"/>
        <v>2.6120000000000002E-3</v>
      </c>
      <c r="S28" s="61"/>
    </row>
    <row r="29" spans="1:19">
      <c r="A29" s="2">
        <f t="shared" si="0"/>
        <v>21</v>
      </c>
      <c r="B29" s="293" t="str">
        <f>'Exh CTM-8 (Res Bill Summary)'!Q32</f>
        <v>Schedule 141 ERF</v>
      </c>
      <c r="C29" s="295">
        <f>'Exh CTM-8 Typical Res Bill RY#1'!AG29</f>
        <v>0</v>
      </c>
      <c r="D29" s="61"/>
      <c r="E29" s="64"/>
      <c r="F29" s="11">
        <f t="shared" si="4"/>
        <v>0</v>
      </c>
      <c r="G29" s="61"/>
      <c r="I29" s="11">
        <f t="shared" si="1"/>
        <v>0</v>
      </c>
      <c r="J29" s="61"/>
      <c r="K29" s="61"/>
      <c r="L29" s="11">
        <f t="shared" si="2"/>
        <v>0</v>
      </c>
      <c r="M29" s="61"/>
      <c r="N29" s="61"/>
      <c r="O29" s="11">
        <f t="shared" si="3"/>
        <v>0</v>
      </c>
      <c r="P29" s="61"/>
      <c r="R29" s="11">
        <f t="shared" si="5"/>
        <v>0</v>
      </c>
      <c r="S29" s="61"/>
    </row>
    <row r="30" spans="1:19">
      <c r="A30" s="2">
        <f t="shared" si="0"/>
        <v>22</v>
      </c>
      <c r="B30" s="293" t="str">
        <f>'Exh CTM-8 (Res Bill Summary)'!Q33</f>
        <v>Schedule 141A Energy Charge Credit</v>
      </c>
      <c r="C30" s="295">
        <f>'Exh CTM-8 Typical Res Bill RY#1'!AG30</f>
        <v>1.7420000000000001E-3</v>
      </c>
      <c r="D30" s="61"/>
      <c r="E30" s="64"/>
      <c r="F30" s="11">
        <f t="shared" si="4"/>
        <v>1.7420000000000001E-3</v>
      </c>
      <c r="G30" s="61"/>
      <c r="I30" s="11">
        <f t="shared" si="1"/>
        <v>1.7420000000000001E-3</v>
      </c>
      <c r="J30" s="61"/>
      <c r="K30" s="61"/>
      <c r="L30" s="11">
        <f t="shared" si="2"/>
        <v>1.7420000000000001E-3</v>
      </c>
      <c r="M30" s="61"/>
      <c r="N30" s="61"/>
      <c r="O30" s="11">
        <f t="shared" si="3"/>
        <v>1.7420000000000001E-3</v>
      </c>
      <c r="P30" s="61"/>
      <c r="R30" s="11">
        <f t="shared" si="5"/>
        <v>1.7420000000000001E-3</v>
      </c>
      <c r="S30" s="61"/>
    </row>
    <row r="31" spans="1:19">
      <c r="A31" s="2">
        <f t="shared" si="0"/>
        <v>23</v>
      </c>
      <c r="B31" s="293" t="str">
        <f>'Exh CTM-8 (Res Bill Summary)'!Q34</f>
        <v>Schedule 141CEI Clean Energy Implementation Plan</v>
      </c>
      <c r="C31" s="295">
        <f>'Exh CTM-8 Typical Res Bill RY#1'!AG31</f>
        <v>0</v>
      </c>
      <c r="D31" s="61"/>
      <c r="E31" s="64"/>
      <c r="F31" s="11">
        <f t="shared" si="4"/>
        <v>0</v>
      </c>
      <c r="G31" s="61"/>
      <c r="I31" s="11">
        <f t="shared" si="1"/>
        <v>0</v>
      </c>
      <c r="J31" s="61"/>
      <c r="K31" s="61"/>
      <c r="L31" s="11">
        <f t="shared" si="2"/>
        <v>0</v>
      </c>
      <c r="M31" s="61"/>
      <c r="N31" s="61"/>
      <c r="O31" s="11">
        <f t="shared" si="3"/>
        <v>0</v>
      </c>
      <c r="P31" s="61"/>
      <c r="R31" s="11">
        <f t="shared" si="5"/>
        <v>0</v>
      </c>
      <c r="S31" s="61"/>
    </row>
    <row r="32" spans="1:19">
      <c r="A32" s="2">
        <f t="shared" si="0"/>
        <v>24</v>
      </c>
      <c r="B32" s="299" t="str">
        <f>'Exh CTM-8 (Res Bill Summary)'!Q35</f>
        <v>Schedule 141CGR Clean Generation Resources</v>
      </c>
      <c r="C32" s="295">
        <f>'Exh CTM-8 Typical Res Bill RY#1'!AG32</f>
        <v>3.6546388924765497E-3</v>
      </c>
      <c r="D32" s="61"/>
      <c r="E32" s="64"/>
      <c r="F32" s="11">
        <f t="shared" si="4"/>
        <v>3.6546388924765497E-3</v>
      </c>
      <c r="G32" s="61"/>
      <c r="I32" s="295">
        <f>'Exh CTM-8 (Res Bill Summary)'!W35</f>
        <v>4.5261007972291056E-3</v>
      </c>
      <c r="J32" s="61"/>
      <c r="K32" s="61"/>
      <c r="L32" s="11">
        <f t="shared" si="2"/>
        <v>3.6546388924765497E-3</v>
      </c>
      <c r="M32" s="61"/>
      <c r="N32" s="61"/>
      <c r="O32" s="11">
        <f t="shared" si="3"/>
        <v>3.6546388924765497E-3</v>
      </c>
      <c r="P32" s="61"/>
      <c r="R32" s="297">
        <f>+I32</f>
        <v>4.5261007972291056E-3</v>
      </c>
      <c r="S32" s="61"/>
    </row>
    <row r="33" spans="1:19">
      <c r="A33" s="2">
        <f t="shared" si="0"/>
        <v>25</v>
      </c>
      <c r="B33" s="299" t="str">
        <f>'Exh CTM-8 (Res Bill Summary)'!Q36</f>
        <v>Schedule 141DCARB Decarbonization</v>
      </c>
      <c r="C33" s="295">
        <f>'Exh CTM-8 Typical Res Bill RY#1'!AG33</f>
        <v>5.8928686002258457E-4</v>
      </c>
      <c r="D33" s="61"/>
      <c r="E33" s="64"/>
      <c r="F33" s="11">
        <f t="shared" si="4"/>
        <v>5.8928686002258457E-4</v>
      </c>
      <c r="G33" s="61"/>
      <c r="I33" s="11">
        <f t="shared" si="1"/>
        <v>5.8928686002258457E-4</v>
      </c>
      <c r="J33" s="61"/>
      <c r="K33" s="61"/>
      <c r="L33" s="295">
        <f>'Exh CTM-8 (Res Bill Summary)'!W36</f>
        <v>5.8056447867048497E-4</v>
      </c>
      <c r="M33" s="61"/>
      <c r="N33" s="61"/>
      <c r="O33" s="11">
        <f t="shared" si="3"/>
        <v>5.8928686002258457E-4</v>
      </c>
      <c r="P33" s="61"/>
      <c r="R33" s="297">
        <f>+L33</f>
        <v>5.8056447867048497E-4</v>
      </c>
      <c r="S33" s="61"/>
    </row>
    <row r="34" spans="1:19">
      <c r="A34" s="2">
        <f t="shared" si="0"/>
        <v>26</v>
      </c>
      <c r="B34" s="293" t="str">
        <f>'Exh CTM-8 (Res Bill Summary)'!Q37</f>
        <v>Schedule 141COL Colstrip Adjustment</v>
      </c>
      <c r="C34" s="295">
        <f>'Exh CTM-8 Typical Res Bill RY#1'!AG34</f>
        <v>2.7260000000000001E-3</v>
      </c>
      <c r="D34" s="61"/>
      <c r="E34" s="64"/>
      <c r="F34" s="11">
        <f t="shared" si="4"/>
        <v>2.7260000000000001E-3</v>
      </c>
      <c r="G34" s="61"/>
      <c r="I34" s="11">
        <f t="shared" si="1"/>
        <v>2.7260000000000001E-3</v>
      </c>
      <c r="J34" s="61"/>
      <c r="K34" s="61"/>
      <c r="L34" s="11">
        <f t="shared" si="2"/>
        <v>2.7260000000000001E-3</v>
      </c>
      <c r="M34" s="61"/>
      <c r="N34" s="61"/>
      <c r="O34" s="11">
        <f t="shared" si="3"/>
        <v>2.7260000000000001E-3</v>
      </c>
      <c r="P34" s="61"/>
      <c r="R34" s="11">
        <f t="shared" si="5"/>
        <v>2.7260000000000001E-3</v>
      </c>
      <c r="S34" s="61"/>
    </row>
    <row r="35" spans="1:19">
      <c r="A35" s="2">
        <f t="shared" si="0"/>
        <v>27</v>
      </c>
      <c r="B35" s="293" t="str">
        <f>'Exh CTM-8 (Res Bill Summary)'!Q38</f>
        <v>Schedule 141N Rates Not Subject to Refund</v>
      </c>
      <c r="C35" s="295">
        <f>'Exh CTM-8 Typical Res Bill RY#1'!AG35</f>
        <v>0</v>
      </c>
      <c r="D35" s="61"/>
      <c r="E35" s="64"/>
      <c r="F35" s="11">
        <f t="shared" si="4"/>
        <v>0</v>
      </c>
      <c r="G35" s="61"/>
      <c r="I35" s="11">
        <f t="shared" si="1"/>
        <v>0</v>
      </c>
      <c r="J35" s="61"/>
      <c r="K35" s="61"/>
      <c r="L35" s="11">
        <f t="shared" si="2"/>
        <v>0</v>
      </c>
      <c r="M35" s="61"/>
      <c r="N35" s="61"/>
      <c r="O35" s="11">
        <f t="shared" si="3"/>
        <v>0</v>
      </c>
      <c r="P35" s="61"/>
      <c r="R35" s="11">
        <f t="shared" si="5"/>
        <v>0</v>
      </c>
      <c r="S35" s="61"/>
    </row>
    <row r="36" spans="1:19">
      <c r="A36" s="2">
        <f t="shared" si="0"/>
        <v>28</v>
      </c>
      <c r="B36" s="293" t="str">
        <f>'Exh CTM-8 (Res Bill Summary)'!Q39</f>
        <v>Schedule 141R Rates Subject to Refund</v>
      </c>
      <c r="C36" s="295">
        <f>'Exh CTM-8 Typical Res Bill RY#1'!AG36</f>
        <v>0</v>
      </c>
      <c r="D36" s="61"/>
      <c r="E36" s="64"/>
      <c r="F36" s="11">
        <f t="shared" si="4"/>
        <v>0</v>
      </c>
      <c r="G36" s="61"/>
      <c r="I36" s="11">
        <f t="shared" si="1"/>
        <v>0</v>
      </c>
      <c r="J36" s="61"/>
      <c r="K36" s="61"/>
      <c r="L36" s="11">
        <f t="shared" si="2"/>
        <v>0</v>
      </c>
      <c r="M36" s="61"/>
      <c r="N36" s="61"/>
      <c r="O36" s="11">
        <f t="shared" si="3"/>
        <v>0</v>
      </c>
      <c r="P36" s="61"/>
      <c r="R36" s="11">
        <f t="shared" si="5"/>
        <v>0</v>
      </c>
      <c r="S36" s="61"/>
    </row>
    <row r="37" spans="1:19">
      <c r="A37" s="2">
        <f t="shared" si="0"/>
        <v>29</v>
      </c>
      <c r="B37" s="293" t="str">
        <f>'Exh CTM-8 (Res Bill Summary)'!Q40</f>
        <v>Schedule 141 TEP</v>
      </c>
      <c r="C37" s="295">
        <f>'Exh CTM-8 Typical Res Bill RY#1'!AG37</f>
        <v>3.19E-4</v>
      </c>
      <c r="D37" s="61"/>
      <c r="E37" s="64"/>
      <c r="F37" s="11">
        <f t="shared" si="4"/>
        <v>3.19E-4</v>
      </c>
      <c r="G37" s="61"/>
      <c r="I37" s="11">
        <f t="shared" si="1"/>
        <v>3.19E-4</v>
      </c>
      <c r="J37" s="61"/>
      <c r="K37" s="61"/>
      <c r="L37" s="11">
        <f t="shared" si="2"/>
        <v>3.19E-4</v>
      </c>
      <c r="M37" s="61"/>
      <c r="N37" s="61"/>
      <c r="O37" s="11">
        <f t="shared" si="3"/>
        <v>3.19E-4</v>
      </c>
      <c r="P37" s="61"/>
      <c r="R37" s="11">
        <f t="shared" si="5"/>
        <v>3.19E-4</v>
      </c>
      <c r="S37" s="61"/>
    </row>
    <row r="38" spans="1:19">
      <c r="A38" s="2">
        <f t="shared" si="0"/>
        <v>30</v>
      </c>
      <c r="B38" s="299" t="str">
        <f>'Exh CTM-8 (Res Bill Summary)'!Q41</f>
        <v>Schedule 141WFP Wildfire Prevention Cost Recovery</v>
      </c>
      <c r="C38" s="295">
        <f>'Exh CTM-8 Typical Res Bill RY#1'!AG38</f>
        <v>1.4121617168578967E-3</v>
      </c>
      <c r="D38" s="61"/>
      <c r="E38" s="64"/>
      <c r="F38" s="11">
        <f t="shared" si="4"/>
        <v>1.4121617168578967E-3</v>
      </c>
      <c r="G38" s="61"/>
      <c r="I38" s="11">
        <f t="shared" si="1"/>
        <v>1.4121617168578967E-3</v>
      </c>
      <c r="J38" s="61"/>
      <c r="K38" s="61"/>
      <c r="L38" s="11">
        <f t="shared" si="2"/>
        <v>1.4121617168578967E-3</v>
      </c>
      <c r="M38" s="61"/>
      <c r="N38" s="61"/>
      <c r="O38" s="295">
        <f>'Exh CTM-8 (Res Bill Summary)'!W41</f>
        <v>1.7370387957768129E-3</v>
      </c>
      <c r="P38" s="61"/>
      <c r="R38" s="297">
        <f>+O38</f>
        <v>1.7370387957768129E-3</v>
      </c>
      <c r="S38" s="61"/>
    </row>
    <row r="39" spans="1:19">
      <c r="A39" s="2">
        <f t="shared" si="0"/>
        <v>31</v>
      </c>
      <c r="B39" s="293" t="str">
        <f>'Exh CTM-8 (Res Bill Summary)'!Q42</f>
        <v>Schedule 141X (Protected) EDIT</v>
      </c>
      <c r="C39" s="295">
        <f>'Exh CTM-8 Typical Res Bill RY#1'!AG39</f>
        <v>0</v>
      </c>
      <c r="D39" s="61"/>
      <c r="E39" s="64"/>
      <c r="F39" s="11">
        <f t="shared" si="4"/>
        <v>0</v>
      </c>
      <c r="G39" s="61"/>
      <c r="I39" s="11">
        <f t="shared" si="1"/>
        <v>0</v>
      </c>
      <c r="J39" s="61"/>
      <c r="K39" s="61"/>
      <c r="L39" s="11">
        <f t="shared" si="2"/>
        <v>0</v>
      </c>
      <c r="M39" s="61"/>
      <c r="N39" s="61"/>
      <c r="O39" s="11">
        <f t="shared" si="3"/>
        <v>0</v>
      </c>
      <c r="P39" s="61"/>
      <c r="R39" s="11">
        <f t="shared" si="5"/>
        <v>0</v>
      </c>
      <c r="S39" s="61"/>
    </row>
    <row r="40" spans="1:19">
      <c r="A40" s="2">
        <f t="shared" si="0"/>
        <v>32</v>
      </c>
      <c r="B40" s="293" t="str">
        <f>'Exh CTM-8 (Res Bill Summary)'!Q43</f>
        <v>Schedule 141Z (Unprotected) EDIT</v>
      </c>
      <c r="C40" s="295">
        <f>'Exh CTM-8 Typical Res Bill RY#1'!AG40</f>
        <v>0</v>
      </c>
      <c r="D40" s="61"/>
      <c r="E40" s="64"/>
      <c r="F40" s="11">
        <f t="shared" si="4"/>
        <v>0</v>
      </c>
      <c r="G40" s="61"/>
      <c r="I40" s="11">
        <f t="shared" si="1"/>
        <v>0</v>
      </c>
      <c r="J40" s="61"/>
      <c r="K40" s="61"/>
      <c r="L40" s="11">
        <f t="shared" si="2"/>
        <v>0</v>
      </c>
      <c r="M40" s="61"/>
      <c r="N40" s="61"/>
      <c r="O40" s="11">
        <f t="shared" si="3"/>
        <v>0</v>
      </c>
      <c r="P40" s="61"/>
      <c r="R40" s="11">
        <f t="shared" si="5"/>
        <v>0</v>
      </c>
      <c r="S40" s="61"/>
    </row>
    <row r="41" spans="1:19">
      <c r="A41" s="2">
        <f t="shared" si="0"/>
        <v>33</v>
      </c>
      <c r="B41" s="293" t="str">
        <f>'Exh CTM-8 (Res Bill Summary)'!Q44</f>
        <v>Schedule 142  Deocupling Deferral</v>
      </c>
      <c r="C41" s="295">
        <f>'Exh CTM-8 Typical Res Bill RY#1'!AG41</f>
        <v>-3.4759999999999999E-3</v>
      </c>
      <c r="D41" s="61"/>
      <c r="F41" s="11">
        <f t="shared" si="4"/>
        <v>-3.4759999999999999E-3</v>
      </c>
      <c r="G41" s="61"/>
      <c r="I41" s="11">
        <f t="shared" si="1"/>
        <v>-3.4759999999999999E-3</v>
      </c>
      <c r="L41" s="11">
        <f t="shared" si="2"/>
        <v>-3.4759999999999999E-3</v>
      </c>
      <c r="O41" s="11">
        <f t="shared" si="3"/>
        <v>-3.4759999999999999E-3</v>
      </c>
      <c r="R41" s="11">
        <f t="shared" si="5"/>
        <v>-3.4759999999999999E-3</v>
      </c>
    </row>
    <row r="42" spans="1:19">
      <c r="A42" s="2">
        <f t="shared" si="0"/>
        <v>34</v>
      </c>
      <c r="B42" s="293" t="str">
        <f>'Exh CTM-8 (Res Bill Summary)'!Q45</f>
        <v>Schedule 142 Deocupling Supplemental</v>
      </c>
      <c r="C42" s="295">
        <f>'Exh CTM-8 Typical Res Bill RY#1'!AG42</f>
        <v>0</v>
      </c>
      <c r="D42" s="61"/>
      <c r="E42" s="64"/>
      <c r="F42" s="11">
        <f t="shared" si="4"/>
        <v>0</v>
      </c>
      <c r="G42" s="61"/>
      <c r="I42" s="11">
        <f t="shared" si="1"/>
        <v>0</v>
      </c>
      <c r="J42" s="61"/>
      <c r="K42" s="61"/>
      <c r="L42" s="11">
        <f t="shared" si="2"/>
        <v>0</v>
      </c>
      <c r="M42" s="61"/>
      <c r="N42" s="61"/>
      <c r="O42" s="11">
        <f t="shared" si="3"/>
        <v>0</v>
      </c>
      <c r="P42" s="61"/>
      <c r="R42" s="11">
        <f t="shared" si="5"/>
        <v>0</v>
      </c>
      <c r="S42" s="61"/>
    </row>
    <row r="43" spans="1:19">
      <c r="A43" s="2">
        <f t="shared" si="0"/>
        <v>35</v>
      </c>
      <c r="B43" s="293" t="str">
        <f>'Exh CTM-8 (Res Bill Summary)'!Q46</f>
        <v>Schedule 194 BPA Res &amp; Farm Credit</v>
      </c>
      <c r="C43" s="295">
        <f>'Exh CTM-8 Typical Res Bill RY#1'!AG43</f>
        <v>-7.5339999999999999E-3</v>
      </c>
      <c r="D43" s="61"/>
      <c r="E43" s="64"/>
      <c r="F43" s="11">
        <f t="shared" si="4"/>
        <v>-7.5339999999999999E-3</v>
      </c>
      <c r="G43" s="61"/>
      <c r="I43" s="11">
        <f t="shared" si="1"/>
        <v>-7.5339999999999999E-3</v>
      </c>
      <c r="J43" s="61"/>
      <c r="K43" s="61"/>
      <c r="L43" s="11">
        <f t="shared" si="2"/>
        <v>-7.5339999999999999E-3</v>
      </c>
      <c r="M43" s="61"/>
      <c r="N43" s="61"/>
      <c r="O43" s="11">
        <f t="shared" si="3"/>
        <v>-7.5339999999999999E-3</v>
      </c>
      <c r="P43" s="61"/>
      <c r="R43" s="11">
        <f t="shared" si="5"/>
        <v>-7.5339999999999999E-3</v>
      </c>
      <c r="S43" s="61"/>
    </row>
    <row r="44" spans="1:19">
      <c r="A44" s="2">
        <f t="shared" si="0"/>
        <v>36</v>
      </c>
      <c r="B44" s="57"/>
      <c r="C44" s="60"/>
      <c r="D44" s="61"/>
      <c r="E44" s="64"/>
      <c r="F44" s="60"/>
      <c r="G44" s="61"/>
      <c r="I44" s="60"/>
      <c r="J44" s="61"/>
      <c r="K44" s="61"/>
      <c r="L44" s="60"/>
      <c r="M44" s="61"/>
      <c r="N44" s="61"/>
      <c r="O44" s="60"/>
      <c r="P44" s="61"/>
      <c r="R44" s="60"/>
      <c r="S44" s="61"/>
    </row>
    <row r="45" spans="1:19">
      <c r="A45" s="2">
        <f t="shared" si="0"/>
        <v>37</v>
      </c>
      <c r="B45" s="66" t="s">
        <v>132</v>
      </c>
      <c r="C45" s="11">
        <f>SUM(C16,C19:C43)</f>
        <v>0.12912108746935702</v>
      </c>
      <c r="D45" s="61">
        <f>ROUND(IF(C9&lt;600,C9*C45,600*C45),2)</f>
        <v>77.47</v>
      </c>
      <c r="E45" s="41"/>
      <c r="F45" s="11">
        <f>SUM(F16,F19:F43)</f>
        <v>0.13828008746935705</v>
      </c>
      <c r="G45" s="61">
        <f>ROUND(IF(F9&lt;600,F9*F45,600*F45),2)</f>
        <v>82.97</v>
      </c>
      <c r="I45" s="11">
        <f>SUM(I16,I19:I43)</f>
        <v>0.12999254937410956</v>
      </c>
      <c r="J45" s="61">
        <f>ROUND(IF(I9&lt;600,I9*I45,600*I45),2)</f>
        <v>78</v>
      </c>
      <c r="K45" s="61"/>
      <c r="L45" s="11">
        <f>SUM(L16,L19:L43)</f>
        <v>0.12911236508800494</v>
      </c>
      <c r="M45" s="61">
        <f>ROUND(IF(L9&lt;600,L9*L45,600*L45),2)</f>
        <v>77.47</v>
      </c>
      <c r="N45" s="61"/>
      <c r="O45" s="11">
        <f>SUM(O16,O19:O43)</f>
        <v>0.12944596454827592</v>
      </c>
      <c r="P45" s="61">
        <f>ROUND(IF(O9&lt;600,O9*O45,600*O45),2)</f>
        <v>77.67</v>
      </c>
      <c r="R45" s="11">
        <f>SUM(R16,R19:R43)</f>
        <v>0.13946770407167641</v>
      </c>
      <c r="S45" s="61">
        <f>ROUND(IF(R9&lt;600,R9*R45,600*R45),2)</f>
        <v>83.68</v>
      </c>
    </row>
    <row r="46" spans="1:19">
      <c r="A46" s="2">
        <f t="shared" si="0"/>
        <v>38</v>
      </c>
      <c r="B46" s="66" t="s">
        <v>133</v>
      </c>
      <c r="C46" s="11">
        <f>SUM(C17,C19:C43)</f>
        <v>0.14853808746935704</v>
      </c>
      <c r="D46" s="61">
        <f>ROUND(IF(C9&lt;600,0,(C9-600)*C46),2)</f>
        <v>29.71</v>
      </c>
      <c r="E46" s="41"/>
      <c r="F46" s="11">
        <f>SUM(F17,F19:F43)</f>
        <v>0.15769708746935704</v>
      </c>
      <c r="G46" s="61">
        <f>ROUND(IF(F9&lt;600,0,(F9-600)*F46),2)</f>
        <v>31.54</v>
      </c>
      <c r="I46" s="11">
        <f>SUM(I17,I19:I43)</f>
        <v>0.14940954937410958</v>
      </c>
      <c r="J46" s="61">
        <f>ROUND(IF(I9&lt;600,0,(I9-600)*I46),2)</f>
        <v>29.88</v>
      </c>
      <c r="K46" s="61"/>
      <c r="L46" s="11">
        <f>SUM(L17,L19:L43)</f>
        <v>0.14852936508800496</v>
      </c>
      <c r="M46" s="61">
        <f>ROUND(IF(L9&lt;600,0,(L9-600)*L46),2)</f>
        <v>29.71</v>
      </c>
      <c r="N46" s="61"/>
      <c r="O46" s="11">
        <f>SUM(O17,O19:O43)</f>
        <v>0.14886296454827594</v>
      </c>
      <c r="P46" s="61">
        <f>ROUND(IF(O9&lt;600,0,(O9-600)*O46),2)</f>
        <v>29.77</v>
      </c>
      <c r="R46" s="11">
        <f>SUM(R17,R19:R43)</f>
        <v>0.1588847040716764</v>
      </c>
      <c r="S46" s="61">
        <f>ROUND(IF(R9&lt;600,0,(R9-600)*R46),2)</f>
        <v>31.78</v>
      </c>
    </row>
    <row r="47" spans="1:19">
      <c r="A47" s="2">
        <f t="shared" si="0"/>
        <v>39</v>
      </c>
      <c r="B47" s="62" t="s">
        <v>134</v>
      </c>
      <c r="D47" s="63">
        <f>SUM(D45:D46)</f>
        <v>107.18</v>
      </c>
      <c r="G47" s="63">
        <f>SUM(G45:G46)</f>
        <v>114.50999999999999</v>
      </c>
      <c r="J47" s="63">
        <f>SUM(J45:J46)</f>
        <v>107.88</v>
      </c>
      <c r="K47" s="61"/>
      <c r="M47" s="63">
        <f>SUM(M45:M46)</f>
        <v>107.18</v>
      </c>
      <c r="N47" s="61"/>
      <c r="P47" s="63">
        <f>SUM(P45:P46)</f>
        <v>107.44</v>
      </c>
      <c r="S47" s="63">
        <f>SUM(S45:S46)</f>
        <v>115.46000000000001</v>
      </c>
    </row>
    <row r="48" spans="1:19">
      <c r="A48" s="2">
        <f t="shared" si="0"/>
        <v>40</v>
      </c>
      <c r="D48" s="16"/>
      <c r="G48" s="61"/>
      <c r="J48" s="61"/>
      <c r="K48" s="61"/>
      <c r="M48" s="61"/>
      <c r="N48" s="61"/>
      <c r="P48" s="61"/>
      <c r="S48" s="61"/>
    </row>
    <row r="49" spans="1:19">
      <c r="A49" s="2">
        <f t="shared" si="0"/>
        <v>41</v>
      </c>
      <c r="B49" s="3" t="s">
        <v>126</v>
      </c>
      <c r="C49" s="16"/>
      <c r="D49" s="61">
        <f>D13+D47</f>
        <v>116.92</v>
      </c>
      <c r="E49" s="16"/>
      <c r="F49" s="16"/>
      <c r="G49" s="61">
        <f>G13+G47</f>
        <v>127.16999999999999</v>
      </c>
      <c r="I49" s="16"/>
      <c r="J49" s="61">
        <f>J13+J47</f>
        <v>117.61999999999999</v>
      </c>
      <c r="K49" s="61"/>
      <c r="L49" s="16"/>
      <c r="M49" s="61">
        <f>M13+M47</f>
        <v>116.92</v>
      </c>
      <c r="N49" s="61"/>
      <c r="O49" s="16"/>
      <c r="P49" s="61">
        <f>P13+P47</f>
        <v>117.17999999999999</v>
      </c>
      <c r="R49" s="16"/>
      <c r="S49" s="61">
        <f>S13+S47</f>
        <v>128.12</v>
      </c>
    </row>
    <row r="50" spans="1:19">
      <c r="A50" s="2">
        <f t="shared" si="0"/>
        <v>42</v>
      </c>
      <c r="B50" s="3" t="s">
        <v>127</v>
      </c>
      <c r="C50" s="16"/>
      <c r="D50" s="61"/>
      <c r="E50" s="16"/>
      <c r="F50" s="16"/>
      <c r="G50" s="61">
        <f>G49-$D49</f>
        <v>10.249999999999986</v>
      </c>
      <c r="I50" s="16"/>
      <c r="J50" s="61">
        <f>J49-$D49</f>
        <v>0.69999999999998863</v>
      </c>
      <c r="K50" s="61"/>
      <c r="L50" s="16"/>
      <c r="M50" s="61">
        <f>M49-$D49</f>
        <v>0</v>
      </c>
      <c r="N50" s="61"/>
      <c r="O50" s="16"/>
      <c r="P50" s="61">
        <f>P49-$D49</f>
        <v>0.25999999999999091</v>
      </c>
      <c r="R50" s="16"/>
      <c r="S50" s="61">
        <f>S49-$D49</f>
        <v>11.200000000000003</v>
      </c>
    </row>
    <row r="51" spans="1:19">
      <c r="A51" s="2">
        <f t="shared" si="0"/>
        <v>43</v>
      </c>
      <c r="B51" s="3" t="s">
        <v>128</v>
      </c>
      <c r="C51" s="24"/>
      <c r="D51" s="24"/>
      <c r="E51" s="24"/>
      <c r="F51" s="24"/>
      <c r="G51" s="30">
        <f>G50/$D49</f>
        <v>8.7666780704755268E-2</v>
      </c>
      <c r="I51" s="24"/>
      <c r="J51" s="30">
        <f>J50/$D49</f>
        <v>5.9869996578856364E-3</v>
      </c>
      <c r="K51" s="30"/>
      <c r="L51" s="24"/>
      <c r="M51" s="30">
        <f>M50/$D49</f>
        <v>0</v>
      </c>
      <c r="N51" s="30"/>
      <c r="O51" s="24"/>
      <c r="P51" s="30">
        <f>P50/$D49</f>
        <v>2.223742730071766E-3</v>
      </c>
      <c r="R51" s="24"/>
      <c r="S51" s="30">
        <f>S50/$D49</f>
        <v>9.5791994526171764E-2</v>
      </c>
    </row>
    <row r="52" spans="1:19">
      <c r="A52" s="2">
        <f t="shared" si="0"/>
        <v>44</v>
      </c>
      <c r="D52" s="61"/>
    </row>
    <row r="53" spans="1:19">
      <c r="A53" s="2">
        <f t="shared" si="0"/>
        <v>45</v>
      </c>
      <c r="B53" s="190" t="s">
        <v>381</v>
      </c>
      <c r="C53" s="101"/>
    </row>
    <row r="55" spans="1:19">
      <c r="B55" s="9"/>
    </row>
  </sheetData>
  <mergeCells count="11">
    <mergeCell ref="C6:D6"/>
    <mergeCell ref="F6:G6"/>
    <mergeCell ref="A1:T1"/>
    <mergeCell ref="A2:T2"/>
    <mergeCell ref="A3:T3"/>
    <mergeCell ref="A4:T4"/>
    <mergeCell ref="R6:S6"/>
    <mergeCell ref="I5:P5"/>
    <mergeCell ref="I6:J6"/>
    <mergeCell ref="L6:M6"/>
    <mergeCell ref="O6:P6"/>
  </mergeCells>
  <pageMargins left="0.7" right="0.7" top="0.75" bottom="0.75" header="0.3" footer="0.3"/>
  <pageSetup scale="68" orientation="landscape" horizontalDpi="360" verticalDpi="360" r:id="rId1"/>
  <headerFooter>
    <oddFooter>&amp;R&amp;F
&amp;A
&amp;P of &amp;N</oddFooter>
  </headerFooter>
  <customProperties>
    <customPr name="_pios_id" r:id="rId2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3" tint="0.79998168889431442"/>
    <pageSetUpPr fitToPage="1"/>
  </sheetPr>
  <dimension ref="A1:AG50"/>
  <sheetViews>
    <sheetView zoomScaleNormal="100" zoomScaleSheetLayoutView="100" workbookViewId="0">
      <pane ySplit="10" topLeftCell="A11" activePane="bottomLeft" state="frozen"/>
      <selection activeCell="U42" sqref="U42"/>
      <selection pane="bottomLeft" activeCell="A10" sqref="A10"/>
    </sheetView>
  </sheetViews>
  <sheetFormatPr defaultColWidth="9.42578125" defaultRowHeight="11.25"/>
  <cols>
    <col min="1" max="1" width="4.5703125" style="142" customWidth="1"/>
    <col min="2" max="2" width="8.7109375" style="142" customWidth="1"/>
    <col min="3" max="3" width="7.140625" style="142" bestFit="1" customWidth="1"/>
    <col min="4" max="4" width="6.5703125" style="142" bestFit="1" customWidth="1"/>
    <col min="5" max="5" width="0.7109375" style="142" customWidth="1"/>
    <col min="6" max="9" width="6.85546875" style="142" bestFit="1" customWidth="1"/>
    <col min="10" max="10" width="0.7109375" style="142" customWidth="1"/>
    <col min="11" max="13" width="6.5703125" style="142" bestFit="1" customWidth="1"/>
    <col min="14" max="14" width="7.140625" style="142" bestFit="1" customWidth="1"/>
    <col min="15" max="15" width="0.7109375" style="142" customWidth="1"/>
    <col min="16" max="19" width="6.5703125" style="142" bestFit="1" customWidth="1"/>
    <col min="20" max="20" width="0.85546875" style="142" customWidth="1"/>
    <col min="21" max="21" width="38.5703125" style="142" bestFit="1" customWidth="1"/>
    <col min="22" max="22" width="11.140625" style="142" bestFit="1" customWidth="1"/>
    <col min="23" max="23" width="11" style="142" bestFit="1" customWidth="1"/>
    <col min="24" max="24" width="1.140625" style="142" customWidth="1"/>
    <col min="25" max="25" width="11.140625" style="142" bestFit="1" customWidth="1"/>
    <col min="26" max="26" width="11" style="142" bestFit="1" customWidth="1"/>
    <col min="27" max="27" width="11.140625" style="142" bestFit="1" customWidth="1"/>
    <col min="28" max="28" width="11" style="142" bestFit="1" customWidth="1"/>
    <col min="29" max="29" width="0.85546875" style="142" customWidth="1"/>
    <col min="30" max="30" width="11.140625" style="142" bestFit="1" customWidth="1"/>
    <col min="31" max="31" width="11" style="142" bestFit="1" customWidth="1"/>
    <col min="32" max="32" width="11.140625" style="142" customWidth="1"/>
    <col min="33" max="33" width="11" style="142" bestFit="1" customWidth="1"/>
    <col min="34" max="16384" width="9.42578125" style="142"/>
  </cols>
  <sheetData>
    <row r="1" spans="1:33" ht="12.75">
      <c r="A1" s="497" t="str">
        <f>'Table of Contents'!A1</f>
        <v>Puget Sound Energy</v>
      </c>
      <c r="B1" s="497"/>
      <c r="C1" s="497"/>
      <c r="D1" s="497"/>
      <c r="E1" s="497"/>
      <c r="F1" s="497"/>
      <c r="G1" s="497"/>
      <c r="H1" s="497"/>
      <c r="I1" s="497"/>
      <c r="J1" s="497"/>
      <c r="K1" s="497"/>
      <c r="L1" s="497"/>
      <c r="M1" s="497"/>
      <c r="N1" s="497"/>
      <c r="O1" s="497"/>
      <c r="P1" s="497"/>
      <c r="Q1" s="497"/>
      <c r="R1" s="497"/>
      <c r="S1" s="497"/>
      <c r="T1" s="497"/>
      <c r="U1" s="497"/>
      <c r="V1" s="497"/>
      <c r="W1" s="498"/>
      <c r="X1" s="498"/>
      <c r="Y1" s="498"/>
      <c r="Z1" s="498"/>
      <c r="AA1" s="498"/>
      <c r="AB1" s="498"/>
      <c r="AC1" s="498"/>
      <c r="AD1" s="498"/>
      <c r="AE1" s="498"/>
      <c r="AF1" s="498"/>
      <c r="AG1" s="498"/>
    </row>
    <row r="2" spans="1:33" ht="12.75">
      <c r="A2" s="497" t="str">
        <f>'Table of Contents'!A2</f>
        <v>2024 General Rate Case Docket No. UE-240004 and UG-240005</v>
      </c>
      <c r="B2" s="497"/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7"/>
      <c r="N2" s="497"/>
      <c r="O2" s="497"/>
      <c r="P2" s="497"/>
      <c r="Q2" s="497"/>
      <c r="R2" s="497"/>
      <c r="S2" s="497"/>
      <c r="T2" s="497"/>
      <c r="U2" s="497"/>
      <c r="V2" s="497"/>
      <c r="W2" s="498"/>
      <c r="X2" s="498"/>
      <c r="Y2" s="498"/>
      <c r="Z2" s="498"/>
      <c r="AA2" s="498"/>
      <c r="AB2" s="498"/>
      <c r="AC2" s="498"/>
      <c r="AD2" s="498"/>
      <c r="AE2" s="498"/>
      <c r="AF2" s="498"/>
      <c r="AG2" s="498"/>
    </row>
    <row r="3" spans="1:33" ht="12.75">
      <c r="A3" s="448" t="s">
        <v>35</v>
      </c>
      <c r="B3" s="503"/>
      <c r="C3" s="503"/>
      <c r="D3" s="503"/>
      <c r="E3" s="503"/>
      <c r="F3" s="503"/>
      <c r="G3" s="503"/>
      <c r="H3" s="503"/>
      <c r="I3" s="503"/>
      <c r="J3" s="503"/>
      <c r="K3" s="503"/>
      <c r="L3" s="503"/>
      <c r="M3" s="503"/>
      <c r="N3" s="503"/>
      <c r="O3" s="503"/>
      <c r="P3" s="503"/>
      <c r="Q3" s="503"/>
      <c r="R3" s="503"/>
      <c r="S3" s="503"/>
      <c r="T3" s="503"/>
      <c r="U3" s="503"/>
      <c r="V3" s="503"/>
      <c r="W3" s="503"/>
      <c r="X3" s="503"/>
      <c r="Y3" s="503"/>
      <c r="Z3" s="503"/>
      <c r="AA3" s="503"/>
      <c r="AB3" s="503"/>
      <c r="AC3" s="503"/>
      <c r="AD3" s="503"/>
      <c r="AE3" s="503"/>
      <c r="AF3" s="503"/>
      <c r="AG3" s="503"/>
    </row>
    <row r="4" spans="1:33" ht="12.75">
      <c r="A4" s="448" t="s">
        <v>382</v>
      </c>
      <c r="B4" s="503"/>
      <c r="C4" s="503"/>
      <c r="D4" s="503"/>
      <c r="E4" s="503"/>
      <c r="F4" s="503"/>
      <c r="G4" s="503"/>
      <c r="H4" s="503"/>
      <c r="I4" s="503"/>
      <c r="J4" s="503"/>
      <c r="K4" s="503"/>
      <c r="L4" s="503"/>
      <c r="M4" s="503"/>
      <c r="N4" s="503"/>
      <c r="O4" s="503"/>
      <c r="P4" s="503"/>
      <c r="Q4" s="503"/>
      <c r="R4" s="503"/>
      <c r="S4" s="503"/>
      <c r="T4" s="503"/>
      <c r="U4" s="503"/>
      <c r="V4" s="503"/>
      <c r="W4" s="503"/>
      <c r="X4" s="503"/>
      <c r="Y4" s="503"/>
      <c r="Z4" s="503"/>
      <c r="AA4" s="503"/>
      <c r="AB4" s="503"/>
      <c r="AC4" s="503"/>
      <c r="AD4" s="503"/>
      <c r="AE4" s="503"/>
      <c r="AF4" s="503"/>
      <c r="AG4" s="503"/>
    </row>
    <row r="5" spans="1:33" ht="12.75" customHeight="1">
      <c r="A5" s="344"/>
      <c r="B5" s="511"/>
      <c r="C5" s="512"/>
      <c r="D5" s="512"/>
      <c r="E5" s="512"/>
      <c r="F5" s="512"/>
      <c r="G5" s="512"/>
      <c r="H5" s="512"/>
      <c r="I5" s="512"/>
      <c r="J5" s="512"/>
      <c r="K5" s="512"/>
      <c r="L5" s="512"/>
      <c r="M5" s="512"/>
      <c r="N5" s="512"/>
      <c r="O5" s="512"/>
      <c r="P5" s="512"/>
      <c r="Q5" s="344"/>
      <c r="R5" s="344"/>
      <c r="S5" s="332"/>
      <c r="T5" s="331"/>
      <c r="U5" s="331"/>
      <c r="V5" s="331"/>
      <c r="W5" s="331"/>
      <c r="X5" s="331"/>
      <c r="Y5" s="331"/>
      <c r="Z5" s="331"/>
      <c r="AA5" s="331"/>
      <c r="AB5" s="331"/>
      <c r="AC5" s="331"/>
      <c r="AD5" s="331"/>
      <c r="AE5" s="331"/>
      <c r="AF5" s="331"/>
      <c r="AG5" s="331"/>
    </row>
    <row r="6" spans="1:33" ht="12" thickBot="1"/>
    <row r="7" spans="1:33" ht="13.5" thickBot="1">
      <c r="A7" s="136"/>
      <c r="B7" s="136"/>
      <c r="C7" s="509" t="s">
        <v>385</v>
      </c>
      <c r="D7" s="510"/>
      <c r="E7" s="510"/>
      <c r="F7" s="510"/>
      <c r="G7" s="510"/>
      <c r="H7" s="494"/>
      <c r="I7" s="493"/>
      <c r="J7" s="136"/>
      <c r="K7" s="509" t="s">
        <v>45</v>
      </c>
      <c r="L7" s="510"/>
      <c r="M7" s="494"/>
      <c r="N7" s="493"/>
      <c r="O7" s="136"/>
      <c r="P7" s="509" t="s">
        <v>44</v>
      </c>
      <c r="Q7" s="510"/>
      <c r="R7" s="494"/>
      <c r="S7" s="493"/>
      <c r="T7" s="330"/>
      <c r="U7" s="136"/>
      <c r="V7" s="136"/>
      <c r="W7" s="136"/>
      <c r="Y7" s="475" t="s">
        <v>353</v>
      </c>
      <c r="Z7" s="504"/>
      <c r="AA7" s="504"/>
      <c r="AB7" s="476"/>
      <c r="AD7" s="475" t="s">
        <v>354</v>
      </c>
      <c r="AE7" s="504"/>
      <c r="AF7" s="504"/>
      <c r="AG7" s="476"/>
    </row>
    <row r="8" spans="1:33" ht="34.5" customHeight="1">
      <c r="A8" s="136"/>
      <c r="B8" s="136"/>
      <c r="C8" s="507" t="s">
        <v>383</v>
      </c>
      <c r="D8" s="508"/>
      <c r="E8" s="358"/>
      <c r="F8" s="507" t="s">
        <v>384</v>
      </c>
      <c r="G8" s="508"/>
      <c r="H8" s="507" t="s">
        <v>386</v>
      </c>
      <c r="I8" s="508"/>
      <c r="J8" s="358"/>
      <c r="K8" s="499" t="s">
        <v>387</v>
      </c>
      <c r="L8" s="500"/>
      <c r="M8" s="499" t="s">
        <v>388</v>
      </c>
      <c r="N8" s="500"/>
      <c r="O8" s="358"/>
      <c r="P8" s="499" t="s">
        <v>387</v>
      </c>
      <c r="Q8" s="500"/>
      <c r="R8" s="499" t="s">
        <v>388</v>
      </c>
      <c r="S8" s="500"/>
      <c r="T8" s="330"/>
      <c r="U8" s="300"/>
      <c r="V8" s="501" t="s">
        <v>347</v>
      </c>
      <c r="W8" s="502"/>
      <c r="Y8" s="505" t="s">
        <v>352</v>
      </c>
      <c r="Z8" s="506"/>
      <c r="AA8" s="501" t="s">
        <v>351</v>
      </c>
      <c r="AB8" s="502"/>
      <c r="AD8" s="505" t="s">
        <v>352</v>
      </c>
      <c r="AE8" s="506"/>
      <c r="AF8" s="501" t="s">
        <v>351</v>
      </c>
      <c r="AG8" s="502"/>
    </row>
    <row r="9" spans="1:33" ht="22.5">
      <c r="A9" s="138" t="s">
        <v>350</v>
      </c>
      <c r="B9" s="287" t="s">
        <v>34</v>
      </c>
      <c r="C9" s="328" t="s">
        <v>43</v>
      </c>
      <c r="D9" s="329" t="s">
        <v>42</v>
      </c>
      <c r="E9" s="136"/>
      <c r="F9" s="328" t="s">
        <v>43</v>
      </c>
      <c r="G9" s="329" t="s">
        <v>42</v>
      </c>
      <c r="H9" s="328" t="s">
        <v>43</v>
      </c>
      <c r="I9" s="329" t="s">
        <v>42</v>
      </c>
      <c r="J9" s="136"/>
      <c r="K9" s="328" t="s">
        <v>43</v>
      </c>
      <c r="L9" s="329" t="s">
        <v>42</v>
      </c>
      <c r="M9" s="328" t="s">
        <v>43</v>
      </c>
      <c r="N9" s="329" t="s">
        <v>42</v>
      </c>
      <c r="O9" s="136"/>
      <c r="P9" s="328" t="s">
        <v>43</v>
      </c>
      <c r="Q9" s="329" t="s">
        <v>42</v>
      </c>
      <c r="R9" s="328" t="s">
        <v>43</v>
      </c>
      <c r="S9" s="329" t="s">
        <v>42</v>
      </c>
      <c r="T9" s="141"/>
      <c r="U9" s="334"/>
      <c r="V9" s="335" t="s">
        <v>41</v>
      </c>
      <c r="W9" s="336" t="s">
        <v>40</v>
      </c>
      <c r="X9" s="141"/>
      <c r="Y9" s="337" t="s">
        <v>41</v>
      </c>
      <c r="Z9" s="338" t="s">
        <v>40</v>
      </c>
      <c r="AA9" s="338" t="s">
        <v>41</v>
      </c>
      <c r="AB9" s="339" t="s">
        <v>40</v>
      </c>
      <c r="AC9" s="141"/>
      <c r="AD9" s="337" t="s">
        <v>41</v>
      </c>
      <c r="AE9" s="338" t="s">
        <v>40</v>
      </c>
      <c r="AF9" s="338" t="s">
        <v>41</v>
      </c>
      <c r="AG9" s="339" t="s">
        <v>40</v>
      </c>
    </row>
    <row r="10" spans="1:33" s="141" customFormat="1">
      <c r="B10" s="141" t="s">
        <v>18</v>
      </c>
      <c r="C10" s="141" t="s">
        <v>19</v>
      </c>
      <c r="D10" s="141" t="s">
        <v>20</v>
      </c>
      <c r="F10" s="141" t="s">
        <v>21</v>
      </c>
      <c r="G10" s="141" t="s">
        <v>24</v>
      </c>
      <c r="H10" s="141" t="s">
        <v>25</v>
      </c>
      <c r="I10" s="141" t="s">
        <v>26</v>
      </c>
      <c r="K10" s="141" t="s">
        <v>27</v>
      </c>
      <c r="L10" s="141" t="s">
        <v>28</v>
      </c>
      <c r="M10" s="141" t="s">
        <v>29</v>
      </c>
      <c r="N10" s="141" t="s">
        <v>30</v>
      </c>
      <c r="P10" s="141" t="s">
        <v>74</v>
      </c>
      <c r="Q10" s="141" t="s">
        <v>83</v>
      </c>
      <c r="R10" s="141" t="s">
        <v>84</v>
      </c>
      <c r="S10" s="141" t="s">
        <v>75</v>
      </c>
      <c r="U10" s="326" t="s">
        <v>85</v>
      </c>
      <c r="V10" s="141" t="s">
        <v>93</v>
      </c>
      <c r="W10" s="327" t="s">
        <v>94</v>
      </c>
      <c r="Y10" s="326" t="s">
        <v>86</v>
      </c>
      <c r="Z10" s="141" t="s">
        <v>91</v>
      </c>
      <c r="AA10" s="141" t="s">
        <v>92</v>
      </c>
      <c r="AB10" s="327" t="s">
        <v>146</v>
      </c>
      <c r="AD10" s="326" t="s">
        <v>147</v>
      </c>
      <c r="AE10" s="141" t="s">
        <v>95</v>
      </c>
      <c r="AF10" s="141" t="s">
        <v>96</v>
      </c>
      <c r="AG10" s="327" t="s">
        <v>265</v>
      </c>
    </row>
    <row r="11" spans="1:33">
      <c r="A11" s="142">
        <v>1</v>
      </c>
      <c r="B11" s="247">
        <v>500</v>
      </c>
      <c r="C11" s="309">
        <f>ROUND($V$11+$B11*$V$15,0)</f>
        <v>73</v>
      </c>
      <c r="D11" s="309">
        <f>ROUND($W$11+$B11*$W$15,0)</f>
        <v>89</v>
      </c>
      <c r="E11" s="309"/>
      <c r="F11" s="309">
        <f>ROUND($Y$11+$B11*$Y$15,0)</f>
        <v>80</v>
      </c>
      <c r="G11" s="309">
        <f>ROUND($Z$11+$B11*$Z$15,0)</f>
        <v>101</v>
      </c>
      <c r="H11" s="309">
        <f>ROUND($AD$11+$B11*$AD$15,0)</f>
        <v>89</v>
      </c>
      <c r="I11" s="309">
        <f>ROUND($AE$11+$B11*$AE$15,0)</f>
        <v>116</v>
      </c>
      <c r="K11" s="309">
        <f t="shared" ref="K11:L13" si="0">F11-C11</f>
        <v>7</v>
      </c>
      <c r="L11" s="309">
        <f t="shared" si="0"/>
        <v>12</v>
      </c>
      <c r="M11" s="309">
        <f t="shared" ref="M11:N13" si="1">H11-F11</f>
        <v>9</v>
      </c>
      <c r="N11" s="309">
        <f t="shared" si="1"/>
        <v>15</v>
      </c>
      <c r="P11" s="254">
        <f t="shared" ref="P11:Q13" si="2">ROUND(F11/C11-1,4)</f>
        <v>9.5899999999999999E-2</v>
      </c>
      <c r="Q11" s="254">
        <f t="shared" si="2"/>
        <v>0.1348</v>
      </c>
      <c r="R11" s="254">
        <f t="shared" ref="R11:S13" si="3">ROUND(H11/F11-1,4)</f>
        <v>0.1125</v>
      </c>
      <c r="S11" s="254">
        <f t="shared" si="3"/>
        <v>0.14849999999999999</v>
      </c>
      <c r="T11" s="254"/>
      <c r="U11" s="233" t="s">
        <v>39</v>
      </c>
      <c r="V11" s="166">
        <f>SUM(V18)</f>
        <v>10.210000000000001</v>
      </c>
      <c r="W11" s="274">
        <f>SUM(W18)</f>
        <v>25.95</v>
      </c>
      <c r="X11" s="254"/>
      <c r="Y11" s="325">
        <f>SUM(Y18)</f>
        <v>13.27</v>
      </c>
      <c r="Z11" s="324">
        <f>SUM(Z18)</f>
        <v>33.74</v>
      </c>
      <c r="AA11" s="254">
        <f>(Y11-V11)/V11</f>
        <v>0.2997061704211556</v>
      </c>
      <c r="AB11" s="308">
        <f>(Z11-W11)/W11</f>
        <v>0.3001926782273604</v>
      </c>
      <c r="AC11" s="254"/>
      <c r="AD11" s="325">
        <f>SUM(AD18)</f>
        <v>17.25</v>
      </c>
      <c r="AE11" s="324">
        <f>SUM(AE18)</f>
        <v>43.86</v>
      </c>
      <c r="AF11" s="254">
        <f>(AD11-Y11)/Y11</f>
        <v>0.29992464204973629</v>
      </c>
      <c r="AG11" s="308">
        <f>(AE11-Z11)/Z11</f>
        <v>0.29994072317723763</v>
      </c>
    </row>
    <row r="12" spans="1:33">
      <c r="A12" s="142">
        <f t="shared" ref="A12:A44" si="4">A11+1</f>
        <v>2</v>
      </c>
      <c r="B12" s="247">
        <f>+B11+500</f>
        <v>1000</v>
      </c>
      <c r="C12" s="309">
        <f>ROUND($V$11+$B12*$V$15,0)</f>
        <v>136</v>
      </c>
      <c r="D12" s="309">
        <f>ROUND($W$11+$B12*$W$15,0)</f>
        <v>152</v>
      </c>
      <c r="E12" s="309"/>
      <c r="F12" s="309">
        <f>ROUND($Y$11+$B12*$Y$15,0)</f>
        <v>147</v>
      </c>
      <c r="G12" s="309">
        <f>ROUND($Z$11+$B12*$Z$15,0)</f>
        <v>168</v>
      </c>
      <c r="H12" s="309">
        <f>ROUND($AD$11+$B12*$AD$15,0)</f>
        <v>161</v>
      </c>
      <c r="I12" s="309">
        <f>ROUND($AE$11+$B12*$AE$15,0)</f>
        <v>187</v>
      </c>
      <c r="K12" s="309">
        <f t="shared" si="0"/>
        <v>11</v>
      </c>
      <c r="L12" s="309">
        <f t="shared" si="0"/>
        <v>16</v>
      </c>
      <c r="M12" s="309">
        <f t="shared" si="1"/>
        <v>14</v>
      </c>
      <c r="N12" s="309">
        <f t="shared" si="1"/>
        <v>19</v>
      </c>
      <c r="P12" s="254">
        <f t="shared" si="2"/>
        <v>8.09E-2</v>
      </c>
      <c r="Q12" s="254">
        <f t="shared" si="2"/>
        <v>0.1053</v>
      </c>
      <c r="R12" s="254">
        <f t="shared" si="3"/>
        <v>9.5200000000000007E-2</v>
      </c>
      <c r="S12" s="254">
        <f t="shared" si="3"/>
        <v>0.11310000000000001</v>
      </c>
      <c r="T12" s="254"/>
      <c r="U12" s="233"/>
      <c r="V12" s="245"/>
      <c r="W12" s="323"/>
      <c r="X12" s="254"/>
      <c r="Y12" s="320"/>
      <c r="Z12" s="313"/>
      <c r="AA12" s="254"/>
      <c r="AB12" s="308"/>
      <c r="AC12" s="254"/>
      <c r="AD12" s="320"/>
      <c r="AE12" s="313"/>
      <c r="AF12" s="254"/>
      <c r="AG12" s="308"/>
    </row>
    <row r="13" spans="1:33">
      <c r="A13" s="142">
        <f t="shared" si="4"/>
        <v>3</v>
      </c>
      <c r="B13" s="247">
        <f>+B12+500</f>
        <v>1500</v>
      </c>
      <c r="C13" s="309">
        <f>ROUND($V$11+$B13*$V$15,0)</f>
        <v>199</v>
      </c>
      <c r="D13" s="309">
        <f>ROUND($W$11+$B13*$W$15,0)</f>
        <v>215</v>
      </c>
      <c r="E13" s="309"/>
      <c r="F13" s="309">
        <f>ROUND($Y$11+$B13*$Y$15,0)</f>
        <v>214</v>
      </c>
      <c r="G13" s="309">
        <f>ROUND($Z$11+$B13*$Z$15,0)</f>
        <v>235</v>
      </c>
      <c r="H13" s="309">
        <f>ROUND($AD$11+$B13*$AD$15,0)</f>
        <v>233</v>
      </c>
      <c r="I13" s="309">
        <f>ROUND($AE$11+$B13*$AE$15,0)</f>
        <v>259</v>
      </c>
      <c r="K13" s="309">
        <f t="shared" si="0"/>
        <v>15</v>
      </c>
      <c r="L13" s="309">
        <f t="shared" si="0"/>
        <v>20</v>
      </c>
      <c r="M13" s="309">
        <f t="shared" si="1"/>
        <v>19</v>
      </c>
      <c r="N13" s="309">
        <f t="shared" si="1"/>
        <v>24</v>
      </c>
      <c r="P13" s="254">
        <f t="shared" si="2"/>
        <v>7.5399999999999995E-2</v>
      </c>
      <c r="Q13" s="254">
        <f t="shared" si="2"/>
        <v>9.2999999999999999E-2</v>
      </c>
      <c r="R13" s="254">
        <f t="shared" si="3"/>
        <v>8.8800000000000004E-2</v>
      </c>
      <c r="S13" s="254">
        <f t="shared" si="3"/>
        <v>0.1021</v>
      </c>
      <c r="T13" s="254"/>
      <c r="U13" s="322" t="s">
        <v>38</v>
      </c>
      <c r="V13" s="130">
        <f>SUM(V19,V23:V45)</f>
        <v>0.12755999999999998</v>
      </c>
      <c r="W13" s="271">
        <f>V13</f>
        <v>0.12755999999999998</v>
      </c>
      <c r="X13" s="254"/>
      <c r="Y13" s="320">
        <f>SUM(Y19,Y23:Y45)</f>
        <v>0.13537300499131869</v>
      </c>
      <c r="Z13" s="313">
        <f>Y13</f>
        <v>0.13537300499131869</v>
      </c>
      <c r="AA13" s="254">
        <f t="shared" ref="AA13:AB15" si="5">(Y13-V13)/V13</f>
        <v>6.124964715677883E-2</v>
      </c>
      <c r="AB13" s="308">
        <f t="shared" si="5"/>
        <v>6.124964715677883E-2</v>
      </c>
      <c r="AC13" s="254"/>
      <c r="AD13" s="320">
        <f>SUM(AD19,AD23:AD45)</f>
        <v>0.1451065838468458</v>
      </c>
      <c r="AE13" s="313">
        <f>AD13</f>
        <v>0.1451065838468458</v>
      </c>
      <c r="AF13" s="254">
        <f t="shared" ref="AF13:AG15" si="6">(AD13-Y13)/Y13</f>
        <v>7.1901919117118782E-2</v>
      </c>
      <c r="AG13" s="308">
        <f t="shared" si="6"/>
        <v>7.1901919117118782E-2</v>
      </c>
    </row>
    <row r="14" spans="1:33">
      <c r="A14" s="142">
        <f t="shared" si="4"/>
        <v>4</v>
      </c>
      <c r="U14" s="233" t="s">
        <v>37</v>
      </c>
      <c r="V14" s="130">
        <f>SUM(V20,V23:V45)</f>
        <v>0.12436</v>
      </c>
      <c r="W14" s="271">
        <f>V14</f>
        <v>0.12436</v>
      </c>
      <c r="Y14" s="321">
        <f>SUM(Y20,Y23:Y45)</f>
        <v>0.13217300499131868</v>
      </c>
      <c r="Z14" s="316">
        <f>Y14</f>
        <v>0.13217300499131868</v>
      </c>
      <c r="AA14" s="254">
        <f t="shared" si="5"/>
        <v>6.2825707553221921E-2</v>
      </c>
      <c r="AB14" s="308">
        <f t="shared" si="5"/>
        <v>6.2825707553221921E-2</v>
      </c>
      <c r="AD14" s="321">
        <f>SUM(AD20,AD23:AD45)</f>
        <v>0.14190658384684579</v>
      </c>
      <c r="AE14" s="316">
        <f>AD14</f>
        <v>0.14190658384684579</v>
      </c>
      <c r="AF14" s="254">
        <f t="shared" si="6"/>
        <v>7.3642714381551899E-2</v>
      </c>
      <c r="AG14" s="308">
        <f t="shared" si="6"/>
        <v>7.3642714381551899E-2</v>
      </c>
    </row>
    <row r="15" spans="1:33">
      <c r="A15" s="142">
        <f t="shared" si="4"/>
        <v>5</v>
      </c>
      <c r="B15" s="247">
        <v>2500</v>
      </c>
      <c r="C15" s="309">
        <f>ROUND($V$11+$B15*$V$15,0)</f>
        <v>325</v>
      </c>
      <c r="D15" s="309">
        <f>ROUND($W$11+$B15*$W$15,0)</f>
        <v>340</v>
      </c>
      <c r="E15" s="309"/>
      <c r="F15" s="309">
        <f>ROUND($Y$11+$B15*$Y$15,0)</f>
        <v>348</v>
      </c>
      <c r="G15" s="309">
        <f>ROUND($Z$11+$B15*$Z$15,0)</f>
        <v>368</v>
      </c>
      <c r="H15" s="309">
        <f>ROUND($AD$11+$B15*$AD$15,0)</f>
        <v>376</v>
      </c>
      <c r="I15" s="309">
        <f>ROUND($AE$11+$B15*$AE$15,0)</f>
        <v>403</v>
      </c>
      <c r="K15" s="309">
        <f t="shared" ref="K15:K17" si="7">F15-C15</f>
        <v>23</v>
      </c>
      <c r="L15" s="309">
        <f t="shared" ref="L15:L17" si="8">G15-D15</f>
        <v>28</v>
      </c>
      <c r="M15" s="309">
        <f t="shared" ref="M15:M17" si="9">H15-F15</f>
        <v>28</v>
      </c>
      <c r="N15" s="309">
        <f t="shared" ref="N15:N17" si="10">I15-G15</f>
        <v>35</v>
      </c>
      <c r="P15" s="254">
        <f t="shared" ref="P15:P17" si="11">ROUND(F15/C15-1,4)</f>
        <v>7.0800000000000002E-2</v>
      </c>
      <c r="Q15" s="254">
        <f t="shared" ref="Q15:Q17" si="12">ROUND(G15/D15-1,4)</f>
        <v>8.2400000000000001E-2</v>
      </c>
      <c r="R15" s="254">
        <f t="shared" ref="R15:R17" si="13">ROUND(H15/F15-1,4)</f>
        <v>8.0500000000000002E-2</v>
      </c>
      <c r="S15" s="254">
        <f t="shared" ref="S15:S17" si="14">ROUND(I15/G15-1,4)</f>
        <v>9.5100000000000004E-2</v>
      </c>
      <c r="T15" s="254"/>
      <c r="U15" s="233" t="s">
        <v>36</v>
      </c>
      <c r="V15" s="130">
        <f>ROUND(SUM(V21,V23:V45),6)</f>
        <v>0.12576000000000001</v>
      </c>
      <c r="W15" s="271">
        <f>V15</f>
        <v>0.12576000000000001</v>
      </c>
      <c r="X15" s="254"/>
      <c r="Y15" s="320">
        <f>ROUND(SUM(Y21,Y23:Y45),6)</f>
        <v>0.13386100000000001</v>
      </c>
      <c r="Z15" s="313">
        <f>Y15</f>
        <v>0.13386100000000001</v>
      </c>
      <c r="AA15" s="254">
        <f t="shared" si="5"/>
        <v>6.4416348600508877E-2</v>
      </c>
      <c r="AB15" s="308">
        <f t="shared" si="5"/>
        <v>6.4416348600508877E-2</v>
      </c>
      <c r="AC15" s="254"/>
      <c r="AD15" s="320">
        <f>ROUND(SUM(AD21,AD23:AD45),6)</f>
        <v>0.143598</v>
      </c>
      <c r="AE15" s="313">
        <f>AD15</f>
        <v>0.143598</v>
      </c>
      <c r="AF15" s="254">
        <f t="shared" si="6"/>
        <v>7.2739632902787177E-2</v>
      </c>
      <c r="AG15" s="308">
        <f t="shared" si="6"/>
        <v>7.2739632902787177E-2</v>
      </c>
    </row>
    <row r="16" spans="1:33">
      <c r="A16" s="142">
        <f t="shared" si="4"/>
        <v>6</v>
      </c>
      <c r="B16" s="247">
        <f>+B15+500</f>
        <v>3000</v>
      </c>
      <c r="C16" s="309">
        <f>ROUND($V$11+$B16*$V$15,0)</f>
        <v>387</v>
      </c>
      <c r="D16" s="309">
        <f>ROUND($W$11+$B16*$W$15,0)</f>
        <v>403</v>
      </c>
      <c r="E16" s="309"/>
      <c r="F16" s="309">
        <f>ROUND($Y$11+$B16*$Y$15,0)</f>
        <v>415</v>
      </c>
      <c r="G16" s="309">
        <f>ROUND($Z$11+$B16*$Z$15,0)</f>
        <v>435</v>
      </c>
      <c r="H16" s="309">
        <f>ROUND($AD$11+$B16*$AD$15,0)</f>
        <v>448</v>
      </c>
      <c r="I16" s="309">
        <f>ROUND($AE$11+$B16*$AE$15,0)</f>
        <v>475</v>
      </c>
      <c r="K16" s="309">
        <f t="shared" si="7"/>
        <v>28</v>
      </c>
      <c r="L16" s="309">
        <f t="shared" si="8"/>
        <v>32</v>
      </c>
      <c r="M16" s="309">
        <f t="shared" si="9"/>
        <v>33</v>
      </c>
      <c r="N16" s="309">
        <f t="shared" si="10"/>
        <v>40</v>
      </c>
      <c r="P16" s="254">
        <f t="shared" si="11"/>
        <v>7.2400000000000006E-2</v>
      </c>
      <c r="Q16" s="254">
        <f t="shared" si="12"/>
        <v>7.9399999999999998E-2</v>
      </c>
      <c r="R16" s="254">
        <f t="shared" si="13"/>
        <v>7.9500000000000001E-2</v>
      </c>
      <c r="S16" s="254">
        <f t="shared" si="14"/>
        <v>9.1999999999999998E-2</v>
      </c>
      <c r="T16" s="254"/>
      <c r="U16" s="257" t="s">
        <v>12</v>
      </c>
      <c r="V16" s="310"/>
      <c r="W16" s="308"/>
      <c r="X16" s="254"/>
      <c r="Y16" s="320"/>
      <c r="Z16" s="313"/>
      <c r="AA16" s="254"/>
      <c r="AB16" s="308"/>
      <c r="AC16" s="254"/>
      <c r="AD16" s="320"/>
      <c r="AE16" s="313"/>
      <c r="AF16" s="254"/>
      <c r="AG16" s="308"/>
    </row>
    <row r="17" spans="1:33">
      <c r="A17" s="142">
        <f t="shared" si="4"/>
        <v>7</v>
      </c>
      <c r="B17" s="247">
        <f>+B16+500</f>
        <v>3500</v>
      </c>
      <c r="C17" s="309">
        <f>ROUND($V$11+$B17*$V$15,0)</f>
        <v>450</v>
      </c>
      <c r="D17" s="309">
        <f>ROUND($W$11+$B17*$W$15,0)</f>
        <v>466</v>
      </c>
      <c r="E17" s="309"/>
      <c r="F17" s="309">
        <f>ROUND($Y$11+$B17*$Y$15,0)</f>
        <v>482</v>
      </c>
      <c r="G17" s="309">
        <f>ROUND($Z$11+$B17*$Z$15,0)</f>
        <v>502</v>
      </c>
      <c r="H17" s="309">
        <f>ROUND($AD$11+$B17*$AD$15,0)</f>
        <v>520</v>
      </c>
      <c r="I17" s="309">
        <f>ROUND($AE$11+$B17*$AE$15,0)</f>
        <v>546</v>
      </c>
      <c r="K17" s="309">
        <f t="shared" si="7"/>
        <v>32</v>
      </c>
      <c r="L17" s="309">
        <f t="shared" si="8"/>
        <v>36</v>
      </c>
      <c r="M17" s="309">
        <f t="shared" si="9"/>
        <v>38</v>
      </c>
      <c r="N17" s="309">
        <f t="shared" si="10"/>
        <v>44</v>
      </c>
      <c r="P17" s="254">
        <f t="shared" si="11"/>
        <v>7.1099999999999997E-2</v>
      </c>
      <c r="Q17" s="254">
        <f t="shared" si="12"/>
        <v>7.7299999999999994E-2</v>
      </c>
      <c r="R17" s="254">
        <f t="shared" si="13"/>
        <v>7.8799999999999995E-2</v>
      </c>
      <c r="S17" s="254">
        <f t="shared" si="14"/>
        <v>8.7599999999999997E-2</v>
      </c>
      <c r="T17" s="254"/>
      <c r="U17" s="233"/>
      <c r="W17" s="308"/>
      <c r="X17" s="254"/>
      <c r="Y17" s="319"/>
      <c r="Z17" s="254"/>
      <c r="AA17" s="254"/>
      <c r="AB17" s="308"/>
      <c r="AC17" s="254"/>
      <c r="AD17" s="319"/>
      <c r="AE17" s="254"/>
      <c r="AF17" s="254"/>
      <c r="AG17" s="308"/>
    </row>
    <row r="18" spans="1:33">
      <c r="A18" s="142">
        <f t="shared" si="4"/>
        <v>8</v>
      </c>
      <c r="C18" s="309"/>
      <c r="D18" s="309"/>
      <c r="E18" s="309"/>
      <c r="F18" s="309"/>
      <c r="G18" s="309"/>
      <c r="H18" s="309"/>
      <c r="I18" s="309"/>
      <c r="K18" s="309"/>
      <c r="L18" s="309"/>
      <c r="M18" s="309"/>
      <c r="N18" s="309"/>
      <c r="P18" s="254"/>
      <c r="R18" s="254"/>
      <c r="U18" s="233" t="str">
        <f>+U11</f>
        <v>Basic Charge</v>
      </c>
      <c r="V18" s="173">
        <v>10.210000000000001</v>
      </c>
      <c r="W18" s="318">
        <v>25.95</v>
      </c>
      <c r="Y18" s="317">
        <v>13.27</v>
      </c>
      <c r="Z18" s="173">
        <v>33.74</v>
      </c>
      <c r="AA18" s="254">
        <f t="shared" ref="AA18:AB21" si="15">(Y18-V18)/V18</f>
        <v>0.2997061704211556</v>
      </c>
      <c r="AB18" s="308">
        <f t="shared" si="15"/>
        <v>0.3001926782273604</v>
      </c>
      <c r="AD18" s="317">
        <v>17.25</v>
      </c>
      <c r="AE18" s="173">
        <v>43.86</v>
      </c>
      <c r="AF18" s="254">
        <f t="shared" ref="AF18:AG21" si="16">(AD18-Y18)/Y18</f>
        <v>0.29992464204973629</v>
      </c>
      <c r="AG18" s="308">
        <f t="shared" si="16"/>
        <v>0.29994072317723763</v>
      </c>
    </row>
    <row r="19" spans="1:33">
      <c r="A19" s="142">
        <f t="shared" si="4"/>
        <v>9</v>
      </c>
      <c r="B19" s="247">
        <f>+B17+500</f>
        <v>4000</v>
      </c>
      <c r="C19" s="309">
        <f>ROUND($V$11+$B19*$V$15,0)</f>
        <v>513</v>
      </c>
      <c r="D19" s="309">
        <f>ROUND($W$11+$B19*$W$15,0)</f>
        <v>529</v>
      </c>
      <c r="E19" s="309"/>
      <c r="F19" s="309">
        <f>ROUND($Y$11+$B19*$Y$15,0)</f>
        <v>549</v>
      </c>
      <c r="G19" s="309">
        <f>ROUND($Z$11+$B19*$Z$15,0)</f>
        <v>569</v>
      </c>
      <c r="H19" s="309">
        <f>ROUND($AD$11+$B19*$AD$15,0)</f>
        <v>592</v>
      </c>
      <c r="I19" s="309">
        <f>ROUND($AE$11+$B19*$AE$15,0)</f>
        <v>618</v>
      </c>
      <c r="K19" s="309">
        <f t="shared" ref="K19:K21" si="17">F19-C19</f>
        <v>36</v>
      </c>
      <c r="L19" s="309">
        <f t="shared" ref="L19:L21" si="18">G19-D19</f>
        <v>40</v>
      </c>
      <c r="M19" s="309">
        <f t="shared" ref="M19:M21" si="19">H19-F19</f>
        <v>43</v>
      </c>
      <c r="N19" s="309">
        <f t="shared" ref="N19:N21" si="20">I19-G19</f>
        <v>49</v>
      </c>
      <c r="P19" s="254">
        <f t="shared" ref="P19:P21" si="21">ROUND(F19/C19-1,4)</f>
        <v>7.0199999999999999E-2</v>
      </c>
      <c r="Q19" s="254">
        <f t="shared" ref="Q19:Q21" si="22">ROUND(G19/D19-1,4)</f>
        <v>7.5600000000000001E-2</v>
      </c>
      <c r="R19" s="254">
        <f t="shared" ref="R19:R21" si="23">ROUND(H19/F19-1,4)</f>
        <v>7.8299999999999995E-2</v>
      </c>
      <c r="S19" s="254">
        <f t="shared" ref="S19:S21" si="24">ROUND(I19/G19-1,4)</f>
        <v>8.6099999999999996E-2</v>
      </c>
      <c r="T19" s="254"/>
      <c r="U19" s="233" t="str">
        <f>+U13</f>
        <v xml:space="preserve">Winter kWh </v>
      </c>
      <c r="V19" s="315">
        <v>9.2536999999999994E-2</v>
      </c>
      <c r="W19" s="271">
        <f>V19</f>
        <v>9.2536999999999994E-2</v>
      </c>
      <c r="X19" s="254"/>
      <c r="Y19" s="314">
        <v>0.116996</v>
      </c>
      <c r="Z19" s="313">
        <f>Y19</f>
        <v>0.116996</v>
      </c>
      <c r="AA19" s="254">
        <f t="shared" si="15"/>
        <v>0.26431589526351634</v>
      </c>
      <c r="AB19" s="308">
        <f t="shared" si="15"/>
        <v>0.26431589526351634</v>
      </c>
      <c r="AC19" s="254"/>
      <c r="AD19" s="314">
        <v>0.125609</v>
      </c>
      <c r="AE19" s="313">
        <f>AD19</f>
        <v>0.125609</v>
      </c>
      <c r="AF19" s="254">
        <f t="shared" si="16"/>
        <v>7.3617901466716776E-2</v>
      </c>
      <c r="AG19" s="308">
        <f t="shared" si="16"/>
        <v>7.3617901466716776E-2</v>
      </c>
    </row>
    <row r="20" spans="1:33">
      <c r="A20" s="142">
        <f t="shared" si="4"/>
        <v>10</v>
      </c>
      <c r="B20" s="247">
        <f>+B19+500</f>
        <v>4500</v>
      </c>
      <c r="C20" s="309">
        <f>ROUND($V$11+$B20*$V$15,0)</f>
        <v>576</v>
      </c>
      <c r="D20" s="309">
        <f>ROUND($W$11+$B20*$W$15,0)</f>
        <v>592</v>
      </c>
      <c r="E20" s="309"/>
      <c r="F20" s="309">
        <f>ROUND($Y$11+$B20*$Y$15,0)</f>
        <v>616</v>
      </c>
      <c r="G20" s="309">
        <f>ROUND($Z$11+$B20*$Z$15,0)</f>
        <v>636</v>
      </c>
      <c r="H20" s="309">
        <f>ROUND($AD$11+$B20*$AD$15,0)</f>
        <v>663</v>
      </c>
      <c r="I20" s="309">
        <f>ROUND($AE$11+$B20*$AE$15,0)</f>
        <v>690</v>
      </c>
      <c r="K20" s="309">
        <f t="shared" si="17"/>
        <v>40</v>
      </c>
      <c r="L20" s="309">
        <f t="shared" si="18"/>
        <v>44</v>
      </c>
      <c r="M20" s="309">
        <f t="shared" si="19"/>
        <v>47</v>
      </c>
      <c r="N20" s="309">
        <f t="shared" si="20"/>
        <v>54</v>
      </c>
      <c r="P20" s="254">
        <f t="shared" si="21"/>
        <v>6.9400000000000003E-2</v>
      </c>
      <c r="Q20" s="254">
        <f t="shared" si="22"/>
        <v>7.4300000000000005E-2</v>
      </c>
      <c r="R20" s="254">
        <f t="shared" si="23"/>
        <v>7.6300000000000007E-2</v>
      </c>
      <c r="S20" s="254">
        <f t="shared" si="24"/>
        <v>8.4900000000000003E-2</v>
      </c>
      <c r="T20" s="254"/>
      <c r="U20" s="233" t="str">
        <f>+U14</f>
        <v>Summer kWh</v>
      </c>
      <c r="V20" s="315">
        <v>8.9337E-2</v>
      </c>
      <c r="W20" s="271">
        <f>V20</f>
        <v>8.9337E-2</v>
      </c>
      <c r="X20" s="254"/>
      <c r="Y20" s="314">
        <v>0.11379599999999999</v>
      </c>
      <c r="Z20" s="316">
        <f>Y20</f>
        <v>0.11379599999999999</v>
      </c>
      <c r="AA20" s="254">
        <f t="shared" si="15"/>
        <v>0.27378353873535033</v>
      </c>
      <c r="AB20" s="308">
        <f t="shared" si="15"/>
        <v>0.27378353873535033</v>
      </c>
      <c r="AC20" s="254"/>
      <c r="AD20" s="314">
        <v>0.122409</v>
      </c>
      <c r="AE20" s="316">
        <f>AD20</f>
        <v>0.122409</v>
      </c>
      <c r="AF20" s="254">
        <f t="shared" si="16"/>
        <v>7.56880733944955E-2</v>
      </c>
      <c r="AG20" s="308">
        <f t="shared" si="16"/>
        <v>7.56880733944955E-2</v>
      </c>
    </row>
    <row r="21" spans="1:33">
      <c r="A21" s="142">
        <f t="shared" si="4"/>
        <v>11</v>
      </c>
      <c r="B21" s="247">
        <f>+B20+500</f>
        <v>5000</v>
      </c>
      <c r="C21" s="309">
        <f>ROUND($V$11+$B21*$V$15,0)</f>
        <v>639</v>
      </c>
      <c r="D21" s="309">
        <f>ROUND($W$11+$B21*$W$15,0)</f>
        <v>655</v>
      </c>
      <c r="E21" s="309"/>
      <c r="F21" s="309">
        <f>ROUND($Y$11+$B21*$Y$15,0)</f>
        <v>683</v>
      </c>
      <c r="G21" s="309">
        <f>ROUND($Z$11+$B21*$Z$15,0)</f>
        <v>703</v>
      </c>
      <c r="H21" s="309">
        <f>ROUND($AD$11+$B21*$AD$15,0)</f>
        <v>735</v>
      </c>
      <c r="I21" s="309">
        <f>ROUND($AE$11+$B21*$AE$15,0)</f>
        <v>762</v>
      </c>
      <c r="K21" s="309">
        <f t="shared" si="17"/>
        <v>44</v>
      </c>
      <c r="L21" s="309">
        <f t="shared" si="18"/>
        <v>48</v>
      </c>
      <c r="M21" s="309">
        <f t="shared" si="19"/>
        <v>52</v>
      </c>
      <c r="N21" s="309">
        <f t="shared" si="20"/>
        <v>59</v>
      </c>
      <c r="P21" s="254">
        <f t="shared" si="21"/>
        <v>6.8900000000000003E-2</v>
      </c>
      <c r="Q21" s="254">
        <f t="shared" si="22"/>
        <v>7.3300000000000004E-2</v>
      </c>
      <c r="R21" s="254">
        <f t="shared" si="23"/>
        <v>7.6100000000000001E-2</v>
      </c>
      <c r="S21" s="254">
        <f t="shared" si="24"/>
        <v>8.3900000000000002E-2</v>
      </c>
      <c r="T21" s="254"/>
      <c r="U21" s="233" t="str">
        <f>+U15</f>
        <v>Average kWh</v>
      </c>
      <c r="V21" s="315">
        <v>9.0736999999999998E-2</v>
      </c>
      <c r="W21" s="271">
        <f>V21</f>
        <v>9.0736999999999998E-2</v>
      </c>
      <c r="X21" s="254"/>
      <c r="Y21" s="314">
        <v>0.115484</v>
      </c>
      <c r="Z21" s="313">
        <f>Y21</f>
        <v>0.115484</v>
      </c>
      <c r="AA21" s="254">
        <f t="shared" si="15"/>
        <v>0.27273328410681424</v>
      </c>
      <c r="AB21" s="308">
        <f t="shared" si="15"/>
        <v>0.27273328410681424</v>
      </c>
      <c r="AC21" s="254"/>
      <c r="AD21" s="314">
        <v>0.1241</v>
      </c>
      <c r="AE21" s="313">
        <f>AD21</f>
        <v>0.1241</v>
      </c>
      <c r="AF21" s="254">
        <f t="shared" si="16"/>
        <v>7.4607737868449292E-2</v>
      </c>
      <c r="AG21" s="308">
        <f t="shared" si="16"/>
        <v>7.4607737868449292E-2</v>
      </c>
    </row>
    <row r="22" spans="1:33">
      <c r="A22" s="142">
        <f t="shared" si="4"/>
        <v>12</v>
      </c>
      <c r="C22" s="309"/>
      <c r="D22" s="309"/>
      <c r="E22" s="309"/>
      <c r="F22" s="309"/>
      <c r="G22" s="309"/>
      <c r="H22" s="309"/>
      <c r="I22" s="309"/>
      <c r="K22" s="309"/>
      <c r="L22" s="309"/>
      <c r="M22" s="309"/>
      <c r="N22" s="309"/>
      <c r="P22" s="254"/>
      <c r="R22" s="254"/>
      <c r="U22" s="233"/>
      <c r="W22" s="235"/>
      <c r="Y22" s="233"/>
      <c r="AB22" s="235"/>
      <c r="AD22" s="233"/>
      <c r="AG22" s="235"/>
    </row>
    <row r="23" spans="1:33">
      <c r="A23" s="142">
        <f t="shared" si="4"/>
        <v>13</v>
      </c>
      <c r="B23" s="247">
        <f>+B21+1000</f>
        <v>6000</v>
      </c>
      <c r="C23" s="309">
        <f>ROUND($V$11+$B23*$V$15,0)</f>
        <v>765</v>
      </c>
      <c r="D23" s="309">
        <f>ROUND($W$11+$B23*$W$15,0)</f>
        <v>781</v>
      </c>
      <c r="E23" s="309"/>
      <c r="F23" s="309">
        <f>ROUND($Y$11+$B23*$Y$15,0)</f>
        <v>816</v>
      </c>
      <c r="G23" s="309">
        <f>ROUND($Z$11+$B23*$Z$15,0)</f>
        <v>837</v>
      </c>
      <c r="H23" s="309">
        <f>ROUND($AD$11+$B23*$AD$15,0)</f>
        <v>879</v>
      </c>
      <c r="I23" s="309">
        <f>ROUND($AE$11+$B23*$AE$15,0)</f>
        <v>905</v>
      </c>
      <c r="K23" s="309">
        <f t="shared" ref="K23:K25" si="25">F23-C23</f>
        <v>51</v>
      </c>
      <c r="L23" s="309">
        <f t="shared" ref="L23:L25" si="26">G23-D23</f>
        <v>56</v>
      </c>
      <c r="M23" s="309">
        <f t="shared" ref="M23:M25" si="27">H23-F23</f>
        <v>63</v>
      </c>
      <c r="N23" s="309">
        <f t="shared" ref="N23:N25" si="28">I23-G23</f>
        <v>68</v>
      </c>
      <c r="P23" s="254">
        <f t="shared" ref="P23:P25" si="29">ROUND(F23/C23-1,4)</f>
        <v>6.6699999999999995E-2</v>
      </c>
      <c r="Q23" s="254">
        <f t="shared" ref="Q23:Q25" si="30">ROUND(G23/D23-1,4)</f>
        <v>7.17E-2</v>
      </c>
      <c r="R23" s="254">
        <f t="shared" ref="R23:R25" si="31">ROUND(H23/F23-1,4)</f>
        <v>7.7200000000000005E-2</v>
      </c>
      <c r="S23" s="254">
        <f t="shared" ref="S23:S25" si="32">ROUND(I23/G23-1,4)</f>
        <v>8.1199999999999994E-2</v>
      </c>
      <c r="T23" s="254"/>
      <c r="U23" s="312" t="str">
        <f>'Exh CTM-8 (Res Bill Summary)'!Q22</f>
        <v xml:space="preserve">Schedule 95 Power Cost
</v>
      </c>
      <c r="V23" s="159">
        <f>'Sch 95'!$E$13</f>
        <v>7.5050000000000004E-3</v>
      </c>
      <c r="W23" s="340">
        <f>V23</f>
        <v>7.5050000000000004E-3</v>
      </c>
      <c r="X23" s="258"/>
      <c r="Y23" s="249">
        <f>'Sch 95'!$I$13</f>
        <v>0</v>
      </c>
      <c r="Z23" s="161">
        <f>Y23</f>
        <v>0</v>
      </c>
      <c r="AA23" s="258"/>
      <c r="AB23" s="311"/>
      <c r="AC23" s="258"/>
      <c r="AD23" s="249">
        <f>'Sch 95'!$M$13</f>
        <v>0</v>
      </c>
      <c r="AE23" s="161">
        <f>AD23</f>
        <v>0</v>
      </c>
      <c r="AF23" s="254"/>
      <c r="AG23" s="308"/>
    </row>
    <row r="24" spans="1:33">
      <c r="A24" s="142">
        <f t="shared" si="4"/>
        <v>14</v>
      </c>
      <c r="B24" s="247">
        <f>+B23+1000</f>
        <v>7000</v>
      </c>
      <c r="C24" s="309">
        <f>ROUND($V$11+$B24*$V$15,0)</f>
        <v>891</v>
      </c>
      <c r="D24" s="309">
        <f>ROUND($W$11+$B24*$W$15,0)</f>
        <v>906</v>
      </c>
      <c r="E24" s="309"/>
      <c r="F24" s="309">
        <f>ROUND($Y$11+$B24*$Y$15,0)</f>
        <v>950</v>
      </c>
      <c r="G24" s="309">
        <f>ROUND($Z$11+$B24*$Z$15,0)</f>
        <v>971</v>
      </c>
      <c r="H24" s="309">
        <f>ROUND($AD$11+$B24*$AD$15,0)</f>
        <v>1022</v>
      </c>
      <c r="I24" s="309">
        <f>ROUND($AE$11+$B24*$AE$15,0)</f>
        <v>1049</v>
      </c>
      <c r="K24" s="309">
        <f t="shared" si="25"/>
        <v>59</v>
      </c>
      <c r="L24" s="309">
        <f t="shared" si="26"/>
        <v>65</v>
      </c>
      <c r="M24" s="309">
        <f t="shared" si="27"/>
        <v>72</v>
      </c>
      <c r="N24" s="309">
        <f t="shared" si="28"/>
        <v>78</v>
      </c>
      <c r="P24" s="254">
        <f t="shared" si="29"/>
        <v>6.6199999999999995E-2</v>
      </c>
      <c r="Q24" s="254">
        <f t="shared" si="30"/>
        <v>7.17E-2</v>
      </c>
      <c r="R24" s="254">
        <f t="shared" si="31"/>
        <v>7.5800000000000006E-2</v>
      </c>
      <c r="S24" s="254">
        <f t="shared" si="32"/>
        <v>8.0299999999999996E-2</v>
      </c>
      <c r="T24" s="254"/>
      <c r="U24" s="307" t="str">
        <f>'Exh CTM-8 (Res Bill Summary)'!Q23</f>
        <v>Schedule 95 PCA Imbalance</v>
      </c>
      <c r="V24" s="148">
        <f>'Sch 95 Imbalance'!$E$13</f>
        <v>3.2200000000000002E-3</v>
      </c>
      <c r="W24" s="271">
        <f t="shared" ref="W24:W44" si="33">V24</f>
        <v>3.2200000000000002E-3</v>
      </c>
      <c r="X24" s="254"/>
      <c r="Y24" s="238">
        <f>'Sch 95 Imbalance'!$I$13</f>
        <v>3.2200000000000002E-3</v>
      </c>
      <c r="Z24" s="130">
        <f t="shared" ref="Z24:Z44" si="34">Y24</f>
        <v>3.2200000000000002E-3</v>
      </c>
      <c r="AA24" s="254"/>
      <c r="AB24" s="308"/>
      <c r="AC24" s="254"/>
      <c r="AD24" s="238">
        <f>'Sch 95 Imbalance'!$M$13</f>
        <v>3.2200000000000002E-3</v>
      </c>
      <c r="AE24" s="130">
        <f t="shared" ref="AE24:AE44" si="35">AD24</f>
        <v>3.2200000000000002E-3</v>
      </c>
      <c r="AF24" s="254"/>
      <c r="AG24" s="308"/>
    </row>
    <row r="25" spans="1:33">
      <c r="A25" s="142">
        <f t="shared" si="4"/>
        <v>15</v>
      </c>
      <c r="B25" s="247">
        <f>+B24+1000</f>
        <v>8000</v>
      </c>
      <c r="C25" s="309">
        <f>ROUND($V$11+$B25*$V$15,0)</f>
        <v>1016</v>
      </c>
      <c r="D25" s="309">
        <f>ROUND($W$11+$B25*$W$15,0)</f>
        <v>1032</v>
      </c>
      <c r="E25" s="309"/>
      <c r="F25" s="309">
        <f>ROUND($Y$11+$B25*$Y$15,0)</f>
        <v>1084</v>
      </c>
      <c r="G25" s="309">
        <f>ROUND($Z$11+$B25*$Z$15,0)</f>
        <v>1105</v>
      </c>
      <c r="H25" s="309">
        <f>ROUND($AD$11+$B25*$AD$15,0)</f>
        <v>1166</v>
      </c>
      <c r="I25" s="309">
        <f>ROUND($AE$11+$B25*$AE$15,0)</f>
        <v>1193</v>
      </c>
      <c r="K25" s="309">
        <f t="shared" si="25"/>
        <v>68</v>
      </c>
      <c r="L25" s="309">
        <f t="shared" si="26"/>
        <v>73</v>
      </c>
      <c r="M25" s="309">
        <f t="shared" si="27"/>
        <v>82</v>
      </c>
      <c r="N25" s="309">
        <f t="shared" si="28"/>
        <v>88</v>
      </c>
      <c r="P25" s="254">
        <f t="shared" si="29"/>
        <v>6.6900000000000001E-2</v>
      </c>
      <c r="Q25" s="254">
        <f t="shared" si="30"/>
        <v>7.0699999999999999E-2</v>
      </c>
      <c r="R25" s="254">
        <f t="shared" si="31"/>
        <v>7.5600000000000001E-2</v>
      </c>
      <c r="S25" s="254">
        <f t="shared" si="32"/>
        <v>7.9600000000000004E-2</v>
      </c>
      <c r="T25" s="254"/>
      <c r="U25" s="307" t="str">
        <f>'Exh CTM-8 (Res Bill Summary)'!Q24</f>
        <v>Schedule 95A Federal Incentive Credit</v>
      </c>
      <c r="V25" s="148">
        <f>'Sch 95a'!$E$13</f>
        <v>0</v>
      </c>
      <c r="W25" s="271">
        <f t="shared" si="33"/>
        <v>0</v>
      </c>
      <c r="X25" s="254"/>
      <c r="Y25" s="238">
        <f>'Sch 95a'!$I$13</f>
        <v>0</v>
      </c>
      <c r="Z25" s="130">
        <f t="shared" si="34"/>
        <v>0</v>
      </c>
      <c r="AA25" s="254"/>
      <c r="AB25" s="308"/>
      <c r="AC25" s="254"/>
      <c r="AD25" s="238">
        <f>'Sch 95a'!$M$13</f>
        <v>0</v>
      </c>
      <c r="AE25" s="130">
        <f t="shared" si="35"/>
        <v>0</v>
      </c>
      <c r="AF25" s="254"/>
      <c r="AG25" s="308"/>
    </row>
    <row r="26" spans="1:33">
      <c r="A26" s="142">
        <f t="shared" si="4"/>
        <v>16</v>
      </c>
      <c r="U26" s="307" t="str">
        <f>'Exh CTM-8 (Res Bill Summary)'!Q25</f>
        <v>Schedule 120 Conservation</v>
      </c>
      <c r="V26" s="148">
        <f>'Sch 120'!$E$13</f>
        <v>4.2760000000000003E-3</v>
      </c>
      <c r="W26" s="271">
        <f t="shared" si="33"/>
        <v>4.2760000000000003E-3</v>
      </c>
      <c r="Y26" s="238">
        <f>'Sch 120'!$I$13</f>
        <v>4.2760000000000003E-3</v>
      </c>
      <c r="Z26" s="130">
        <f t="shared" si="34"/>
        <v>4.2760000000000003E-3</v>
      </c>
      <c r="AB26" s="235"/>
      <c r="AD26" s="238">
        <f>'Sch 120'!$M$13</f>
        <v>4.2760000000000003E-3</v>
      </c>
      <c r="AE26" s="130">
        <f t="shared" si="35"/>
        <v>4.2760000000000003E-3</v>
      </c>
      <c r="AG26" s="235"/>
    </row>
    <row r="27" spans="1:33">
      <c r="A27" s="142">
        <f t="shared" si="4"/>
        <v>17</v>
      </c>
      <c r="B27" s="247">
        <f>+B25+1000</f>
        <v>9000</v>
      </c>
      <c r="C27" s="309">
        <f>ROUND($V$11+$B27*$V$15,0)</f>
        <v>1142</v>
      </c>
      <c r="D27" s="309">
        <f>ROUND($W$11+$B27*$W$15,0)</f>
        <v>1158</v>
      </c>
      <c r="E27" s="309"/>
      <c r="F27" s="309">
        <f>ROUND($Y$11+$B27*$Y$15,0)</f>
        <v>1218</v>
      </c>
      <c r="G27" s="309">
        <f>ROUND($Z$11+$B27*$Z$15,0)</f>
        <v>1238</v>
      </c>
      <c r="H27" s="309">
        <f>ROUND($AD$11+$B27*$AD$15,0)</f>
        <v>1310</v>
      </c>
      <c r="I27" s="309">
        <f>ROUND($AE$11+$B27*$AE$15,0)</f>
        <v>1336</v>
      </c>
      <c r="K27" s="309">
        <f t="shared" ref="K27:K29" si="36">F27-C27</f>
        <v>76</v>
      </c>
      <c r="L27" s="309">
        <f t="shared" ref="L27:L29" si="37">G27-D27</f>
        <v>80</v>
      </c>
      <c r="M27" s="309">
        <f t="shared" ref="M27:M29" si="38">H27-F27</f>
        <v>92</v>
      </c>
      <c r="N27" s="309">
        <f t="shared" ref="N27:N29" si="39">I27-G27</f>
        <v>98</v>
      </c>
      <c r="P27" s="254">
        <f t="shared" ref="P27:P29" si="40">ROUND(F27/C27-1,4)</f>
        <v>6.6500000000000004E-2</v>
      </c>
      <c r="Q27" s="254">
        <f t="shared" ref="Q27:Q29" si="41">ROUND(G27/D27-1,4)</f>
        <v>6.9099999999999995E-2</v>
      </c>
      <c r="R27" s="254">
        <f t="shared" ref="R27:R29" si="42">ROUND(H27/F27-1,4)</f>
        <v>7.5499999999999998E-2</v>
      </c>
      <c r="S27" s="254">
        <f t="shared" ref="S27:S29" si="43">ROUND(I27/G27-1,4)</f>
        <v>7.9200000000000007E-2</v>
      </c>
      <c r="T27" s="254"/>
      <c r="U27" s="307" t="str">
        <f>'Exh CTM-8 (Res Bill Summary)'!Q26</f>
        <v>Schedule 129 Low Income</v>
      </c>
      <c r="V27" s="148">
        <f>'Sch 129'!$E$13</f>
        <v>1.315E-3</v>
      </c>
      <c r="W27" s="271">
        <f t="shared" si="33"/>
        <v>1.315E-3</v>
      </c>
      <c r="X27" s="254"/>
      <c r="Y27" s="238">
        <f>'Sch 129'!$I$13</f>
        <v>1.315E-3</v>
      </c>
      <c r="Z27" s="130">
        <f t="shared" si="34"/>
        <v>1.315E-3</v>
      </c>
      <c r="AA27" s="254"/>
      <c r="AB27" s="308"/>
      <c r="AC27" s="254"/>
      <c r="AD27" s="238">
        <f>'Sch 129'!$M$13</f>
        <v>1.315E-3</v>
      </c>
      <c r="AE27" s="130">
        <f t="shared" si="35"/>
        <v>1.315E-3</v>
      </c>
      <c r="AF27" s="254"/>
      <c r="AG27" s="308"/>
    </row>
    <row r="28" spans="1:33">
      <c r="A28" s="142">
        <f t="shared" si="4"/>
        <v>18</v>
      </c>
      <c r="B28" s="247">
        <f>+B27+1000</f>
        <v>10000</v>
      </c>
      <c r="C28" s="309">
        <f>ROUND($V$11+$B28*$V$15,0)</f>
        <v>1268</v>
      </c>
      <c r="D28" s="309">
        <f>ROUND($W$11+$B28*$W$15,0)</f>
        <v>1284</v>
      </c>
      <c r="E28" s="309"/>
      <c r="F28" s="309">
        <f>ROUND($Y$11+$B28*$Y$15,0)</f>
        <v>1352</v>
      </c>
      <c r="G28" s="309">
        <f>ROUND($Z$11+$B28*$Z$15,0)</f>
        <v>1372</v>
      </c>
      <c r="H28" s="309">
        <f>ROUND($AD$11+$B28*$AD$15,0)</f>
        <v>1453</v>
      </c>
      <c r="I28" s="309">
        <f>ROUND($AE$11+$B28*$AE$15,0)</f>
        <v>1480</v>
      </c>
      <c r="K28" s="309">
        <f t="shared" si="36"/>
        <v>84</v>
      </c>
      <c r="L28" s="309">
        <f t="shared" si="37"/>
        <v>88</v>
      </c>
      <c r="M28" s="309">
        <f t="shared" si="38"/>
        <v>101</v>
      </c>
      <c r="N28" s="309">
        <f t="shared" si="39"/>
        <v>108</v>
      </c>
      <c r="P28" s="254">
        <f t="shared" si="40"/>
        <v>6.6199999999999995E-2</v>
      </c>
      <c r="Q28" s="254">
        <f t="shared" si="41"/>
        <v>6.8500000000000005E-2</v>
      </c>
      <c r="R28" s="254">
        <f t="shared" si="42"/>
        <v>7.4700000000000003E-2</v>
      </c>
      <c r="S28" s="254">
        <f t="shared" si="43"/>
        <v>7.8700000000000006E-2</v>
      </c>
      <c r="T28" s="254"/>
      <c r="U28" s="307" t="str">
        <f>'Exh CTM-8 (Res Bill Summary)'!Q27</f>
        <v>Schedule 129D Bill Discount</v>
      </c>
      <c r="V28" s="148">
        <f>'Sch 129D'!$E$13</f>
        <v>5.5900000000000004E-4</v>
      </c>
      <c r="W28" s="271">
        <f t="shared" si="33"/>
        <v>5.5900000000000004E-4</v>
      </c>
      <c r="X28" s="254"/>
      <c r="Y28" s="238">
        <f>'Sch 129D'!$I$13</f>
        <v>5.5900000000000004E-4</v>
      </c>
      <c r="Z28" s="130">
        <f t="shared" si="34"/>
        <v>5.5900000000000004E-4</v>
      </c>
      <c r="AA28" s="254"/>
      <c r="AB28" s="308"/>
      <c r="AC28" s="254"/>
      <c r="AD28" s="238">
        <f>'Sch 129D'!$M$13</f>
        <v>5.5900000000000004E-4</v>
      </c>
      <c r="AE28" s="130">
        <f t="shared" si="35"/>
        <v>5.5900000000000004E-4</v>
      </c>
      <c r="AF28" s="254"/>
      <c r="AG28" s="308"/>
    </row>
    <row r="29" spans="1:33">
      <c r="A29" s="142">
        <f t="shared" si="4"/>
        <v>19</v>
      </c>
      <c r="B29" s="247">
        <f>+B28+1000</f>
        <v>11000</v>
      </c>
      <c r="C29" s="309">
        <f>ROUND($V$11+$B29*$V$15,0)</f>
        <v>1394</v>
      </c>
      <c r="D29" s="309">
        <f>ROUND($W$11+$B29*$W$15,0)</f>
        <v>1409</v>
      </c>
      <c r="E29" s="309"/>
      <c r="F29" s="309">
        <f>ROUND($Y$11+$B29*$Y$15,0)</f>
        <v>1486</v>
      </c>
      <c r="G29" s="309">
        <f>ROUND($Z$11+$B29*$Z$15,0)</f>
        <v>1506</v>
      </c>
      <c r="H29" s="309">
        <f>ROUND($AD$11+$B29*$AD$15,0)</f>
        <v>1597</v>
      </c>
      <c r="I29" s="309">
        <f>ROUND($AE$11+$B29*$AE$15,0)</f>
        <v>1623</v>
      </c>
      <c r="K29" s="309">
        <f t="shared" si="36"/>
        <v>92</v>
      </c>
      <c r="L29" s="309">
        <f t="shared" si="37"/>
        <v>97</v>
      </c>
      <c r="M29" s="309">
        <f t="shared" si="38"/>
        <v>111</v>
      </c>
      <c r="N29" s="309">
        <f t="shared" si="39"/>
        <v>117</v>
      </c>
      <c r="P29" s="254">
        <f t="shared" si="40"/>
        <v>6.6000000000000003E-2</v>
      </c>
      <c r="Q29" s="254">
        <f t="shared" si="41"/>
        <v>6.88E-2</v>
      </c>
      <c r="R29" s="254">
        <f t="shared" si="42"/>
        <v>7.4700000000000003E-2</v>
      </c>
      <c r="S29" s="254">
        <f t="shared" si="43"/>
        <v>7.7700000000000005E-2</v>
      </c>
      <c r="T29" s="254"/>
      <c r="U29" s="312" t="str">
        <f>'Exh CTM-8 (Res Bill Summary)'!Q28</f>
        <v>Schedule 137 REC</v>
      </c>
      <c r="V29" s="159">
        <f>'Sch 137'!$E$13</f>
        <v>6.9999999999999999E-6</v>
      </c>
      <c r="W29" s="340">
        <f t="shared" si="33"/>
        <v>6.9999999999999999E-6</v>
      </c>
      <c r="X29" s="258"/>
      <c r="Y29" s="249">
        <f>'Sch 137'!$I$13</f>
        <v>0</v>
      </c>
      <c r="Z29" s="161">
        <f t="shared" si="34"/>
        <v>0</v>
      </c>
      <c r="AA29" s="258"/>
      <c r="AB29" s="311"/>
      <c r="AC29" s="258"/>
      <c r="AD29" s="249">
        <f>'Sch 137'!$M$13</f>
        <v>0</v>
      </c>
      <c r="AE29" s="161">
        <f t="shared" si="35"/>
        <v>0</v>
      </c>
      <c r="AF29" s="254"/>
      <c r="AG29" s="308"/>
    </row>
    <row r="30" spans="1:33">
      <c r="A30" s="142">
        <f t="shared" si="4"/>
        <v>20</v>
      </c>
      <c r="U30" s="307" t="str">
        <f>'Exh CTM-8 (Res Bill Summary)'!Q31</f>
        <v>Schedule 140 Property Tax</v>
      </c>
      <c r="V30" s="148">
        <f>'Sch 140'!$E$13</f>
        <v>2.0930000000000002E-3</v>
      </c>
      <c r="W30" s="271">
        <f t="shared" si="33"/>
        <v>2.0930000000000002E-3</v>
      </c>
      <c r="X30" s="254"/>
      <c r="Y30" s="238">
        <f>'Sch 140'!$I$13</f>
        <v>2.0930000000000002E-3</v>
      </c>
      <c r="Z30" s="130">
        <f t="shared" si="34"/>
        <v>2.0930000000000002E-3</v>
      </c>
      <c r="AA30" s="254"/>
      <c r="AB30" s="308"/>
      <c r="AC30" s="254"/>
      <c r="AD30" s="238">
        <f>'Sch 140'!$M$13</f>
        <v>2.0930000000000002E-3</v>
      </c>
      <c r="AE30" s="130">
        <f t="shared" si="35"/>
        <v>2.0930000000000002E-3</v>
      </c>
      <c r="AF30" s="254"/>
      <c r="AG30" s="308"/>
    </row>
    <row r="31" spans="1:33">
      <c r="A31" s="142">
        <f t="shared" si="4"/>
        <v>21</v>
      </c>
      <c r="B31" s="247">
        <f>+B29+1000</f>
        <v>12000</v>
      </c>
      <c r="C31" s="309">
        <f>ROUND($V$11+$B31*$V$15,0)</f>
        <v>1519</v>
      </c>
      <c r="D31" s="309">
        <f>ROUND($W$11+$B31*$W$15,0)</f>
        <v>1535</v>
      </c>
      <c r="E31" s="309"/>
      <c r="F31" s="309">
        <f>ROUND($Y$11+$B31*$Y$15,0)</f>
        <v>1620</v>
      </c>
      <c r="G31" s="309">
        <f>ROUND($Z$11+$B31*$Z$15,0)</f>
        <v>1640</v>
      </c>
      <c r="H31" s="309">
        <f>ROUND($AD$11+$B31*$AD$15,0)</f>
        <v>1740</v>
      </c>
      <c r="I31" s="309">
        <f>ROUND($AE$11+$B31*$AE$15,0)</f>
        <v>1767</v>
      </c>
      <c r="K31" s="309">
        <f t="shared" ref="K31:K33" si="44">F31-C31</f>
        <v>101</v>
      </c>
      <c r="L31" s="309">
        <f t="shared" ref="L31:L33" si="45">G31-D31</f>
        <v>105</v>
      </c>
      <c r="M31" s="309">
        <f t="shared" ref="M31:M33" si="46">H31-F31</f>
        <v>120</v>
      </c>
      <c r="N31" s="309">
        <f t="shared" ref="N31:N33" si="47">I31-G31</f>
        <v>127</v>
      </c>
      <c r="P31" s="254">
        <f t="shared" ref="P31:P33" si="48">ROUND(F31/C31-1,4)</f>
        <v>6.6500000000000004E-2</v>
      </c>
      <c r="Q31" s="254">
        <f t="shared" ref="Q31:Q33" si="49">ROUND(G31/D31-1,4)</f>
        <v>6.8400000000000002E-2</v>
      </c>
      <c r="R31" s="254">
        <f t="shared" ref="R31:R33" si="50">ROUND(H31/F31-1,4)</f>
        <v>7.4099999999999999E-2</v>
      </c>
      <c r="S31" s="254">
        <f t="shared" ref="S31:S33" si="51">ROUND(I31/G31-1,4)</f>
        <v>7.7399999999999997E-2</v>
      </c>
      <c r="T31" s="254"/>
      <c r="U31" s="307" t="str">
        <f>'Exh CTM-8 (Res Bill Summary)'!Q32</f>
        <v>Schedule 141 ERF</v>
      </c>
      <c r="V31" s="148">
        <f>'Sch 141'!$E$13</f>
        <v>0</v>
      </c>
      <c r="W31" s="271">
        <f t="shared" si="33"/>
        <v>0</v>
      </c>
      <c r="X31" s="254"/>
      <c r="Y31" s="238">
        <f>'Sch 141'!$I$13</f>
        <v>0</v>
      </c>
      <c r="Z31" s="130">
        <f t="shared" si="34"/>
        <v>0</v>
      </c>
      <c r="AA31" s="254"/>
      <c r="AB31" s="308"/>
      <c r="AC31" s="254"/>
      <c r="AD31" s="238">
        <f>'Sch 141'!$M$13</f>
        <v>0</v>
      </c>
      <c r="AE31" s="130">
        <f t="shared" si="35"/>
        <v>0</v>
      </c>
      <c r="AF31" s="254"/>
      <c r="AG31" s="308"/>
    </row>
    <row r="32" spans="1:33">
      <c r="A32" s="142">
        <f t="shared" si="4"/>
        <v>22</v>
      </c>
      <c r="B32" s="247">
        <f>+B31+1000</f>
        <v>13000</v>
      </c>
      <c r="C32" s="309">
        <f>ROUND($V$11+$B32*$V$15,0)</f>
        <v>1645</v>
      </c>
      <c r="D32" s="309">
        <f>ROUND($W$11+$B32*$W$15,0)</f>
        <v>1661</v>
      </c>
      <c r="E32" s="309"/>
      <c r="F32" s="309">
        <f>ROUND($Y$11+$B32*$Y$15,0)</f>
        <v>1753</v>
      </c>
      <c r="G32" s="309">
        <f>ROUND($Z$11+$B32*$Z$15,0)</f>
        <v>1774</v>
      </c>
      <c r="H32" s="309">
        <f>ROUND($AD$11+$B32*$AD$15,0)</f>
        <v>1884</v>
      </c>
      <c r="I32" s="309">
        <f>ROUND($AE$11+$B32*$AE$15,0)</f>
        <v>1911</v>
      </c>
      <c r="K32" s="309">
        <f t="shared" si="44"/>
        <v>108</v>
      </c>
      <c r="L32" s="309">
        <f t="shared" si="45"/>
        <v>113</v>
      </c>
      <c r="M32" s="309">
        <f t="shared" si="46"/>
        <v>131</v>
      </c>
      <c r="N32" s="309">
        <f t="shared" si="47"/>
        <v>137</v>
      </c>
      <c r="P32" s="254">
        <f t="shared" si="48"/>
        <v>6.5699999999999995E-2</v>
      </c>
      <c r="Q32" s="254">
        <f t="shared" si="49"/>
        <v>6.8000000000000005E-2</v>
      </c>
      <c r="R32" s="254">
        <f t="shared" si="50"/>
        <v>7.4700000000000003E-2</v>
      </c>
      <c r="S32" s="254">
        <f t="shared" si="51"/>
        <v>7.7200000000000005E-2</v>
      </c>
      <c r="T32" s="254"/>
      <c r="U32" s="307" t="str">
        <f>'Exh CTM-8 (Res Bill Summary)'!Q33</f>
        <v>Schedule 141A Energy Charge Credit</v>
      </c>
      <c r="V32" s="148">
        <f>'Sch 141A'!$F$13</f>
        <v>1.6659999999999999E-3</v>
      </c>
      <c r="W32" s="271">
        <f t="shared" si="33"/>
        <v>1.6659999999999999E-3</v>
      </c>
      <c r="Y32" s="238">
        <f>'Sch 141A'!$J$13</f>
        <v>1.6659999999999999E-3</v>
      </c>
      <c r="Z32" s="130">
        <f t="shared" si="34"/>
        <v>1.6659999999999999E-3</v>
      </c>
      <c r="AB32" s="235"/>
      <c r="AD32" s="238">
        <f>'Sch 141A'!$N$13</f>
        <v>1.6659999999999999E-3</v>
      </c>
      <c r="AE32" s="130">
        <f t="shared" si="35"/>
        <v>1.6659999999999999E-3</v>
      </c>
      <c r="AG32" s="235"/>
    </row>
    <row r="33" spans="1:33">
      <c r="A33" s="142">
        <f t="shared" si="4"/>
        <v>23</v>
      </c>
      <c r="B33" s="247">
        <f>+B32+1000</f>
        <v>14000</v>
      </c>
      <c r="C33" s="309">
        <f>ROUND($V$11+$B33*$V$15,0)</f>
        <v>1771</v>
      </c>
      <c r="D33" s="309">
        <f>ROUND($W$11+$B33*$W$15,0)</f>
        <v>1787</v>
      </c>
      <c r="E33" s="309"/>
      <c r="F33" s="309">
        <f>ROUND($Y$11+$B33*$Y$15,0)</f>
        <v>1887</v>
      </c>
      <c r="G33" s="309">
        <f>ROUND($Z$11+$B33*$Z$15,0)</f>
        <v>1908</v>
      </c>
      <c r="H33" s="309">
        <f>ROUND($AD$11+$B33*$AD$15,0)</f>
        <v>2028</v>
      </c>
      <c r="I33" s="309">
        <f>ROUND($AE$11+$B33*$AE$15,0)</f>
        <v>2054</v>
      </c>
      <c r="K33" s="309">
        <f t="shared" si="44"/>
        <v>116</v>
      </c>
      <c r="L33" s="309">
        <f t="shared" si="45"/>
        <v>121</v>
      </c>
      <c r="M33" s="309">
        <f t="shared" si="46"/>
        <v>141</v>
      </c>
      <c r="N33" s="309">
        <f t="shared" si="47"/>
        <v>146</v>
      </c>
      <c r="P33" s="254">
        <f t="shared" si="48"/>
        <v>6.5500000000000003E-2</v>
      </c>
      <c r="Q33" s="254">
        <f t="shared" si="49"/>
        <v>6.7699999999999996E-2</v>
      </c>
      <c r="R33" s="254">
        <f t="shared" si="50"/>
        <v>7.4700000000000003E-2</v>
      </c>
      <c r="S33" s="254">
        <f t="shared" si="51"/>
        <v>7.6499999999999999E-2</v>
      </c>
      <c r="T33" s="254"/>
      <c r="U33" s="312" t="str">
        <f>'Exh CTM-8 (Res Bill Summary)'!Q34</f>
        <v>Schedule 141CEI Clean Energy Implementation Plan</v>
      </c>
      <c r="V33" s="159">
        <f>'Sch 141CEI'!$F$13</f>
        <v>9.9099999999999991E-4</v>
      </c>
      <c r="W33" s="340">
        <f t="shared" si="33"/>
        <v>9.9099999999999991E-4</v>
      </c>
      <c r="X33" s="258"/>
      <c r="Y33" s="249">
        <f>'Sch 141CEI'!$L$13</f>
        <v>0</v>
      </c>
      <c r="Z33" s="161">
        <f t="shared" si="34"/>
        <v>0</v>
      </c>
      <c r="AA33" s="258"/>
      <c r="AB33" s="311"/>
      <c r="AC33" s="258"/>
      <c r="AD33" s="249">
        <f>'Sch 141CEI'!$R$13</f>
        <v>0</v>
      </c>
      <c r="AE33" s="161">
        <f t="shared" si="35"/>
        <v>0</v>
      </c>
      <c r="AF33" s="254"/>
      <c r="AG33" s="308"/>
    </row>
    <row r="34" spans="1:33">
      <c r="A34" s="142">
        <f t="shared" si="4"/>
        <v>24</v>
      </c>
      <c r="U34" s="312" t="str">
        <f>'Exh CTM-8 (Res Bill Summary)'!Q35</f>
        <v>Schedule 141CGR Clean Generation Resources</v>
      </c>
      <c r="V34" s="159">
        <f>'Sch 141CGR'!$F$13</f>
        <v>0</v>
      </c>
      <c r="W34" s="340">
        <f t="shared" si="33"/>
        <v>0</v>
      </c>
      <c r="X34" s="258"/>
      <c r="Y34" s="249">
        <f>'Sch 141CGR'!$L$13</f>
        <v>3.2694180092110192E-3</v>
      </c>
      <c r="Z34" s="161">
        <f t="shared" si="34"/>
        <v>3.2694180092110192E-3</v>
      </c>
      <c r="AA34" s="258"/>
      <c r="AB34" s="311"/>
      <c r="AC34" s="258"/>
      <c r="AD34" s="249">
        <f>'Sch 141CGR'!$R$13</f>
        <v>4.0915915206471499E-3</v>
      </c>
      <c r="AE34" s="161">
        <f t="shared" si="35"/>
        <v>4.0915915206471499E-3</v>
      </c>
      <c r="AF34" s="254"/>
      <c r="AG34" s="308"/>
    </row>
    <row r="35" spans="1:33">
      <c r="A35" s="142">
        <f t="shared" si="4"/>
        <v>25</v>
      </c>
      <c r="B35" s="247">
        <f>+B33+1000</f>
        <v>15000</v>
      </c>
      <c r="C35" s="309">
        <f>ROUND($V$11+$B35*$V$15,0)</f>
        <v>1897</v>
      </c>
      <c r="D35" s="309">
        <f>ROUND($W$11+$B35*$W$15,0)</f>
        <v>1912</v>
      </c>
      <c r="E35" s="309"/>
      <c r="F35" s="309">
        <f>ROUND($Y$11+$B35*$Y$15,0)</f>
        <v>2021</v>
      </c>
      <c r="G35" s="309">
        <f>ROUND($Z$11+$B35*$Z$15,0)</f>
        <v>2042</v>
      </c>
      <c r="H35" s="309">
        <f>ROUND($AD$11+$B35*$AD$15,0)</f>
        <v>2171</v>
      </c>
      <c r="I35" s="309">
        <f>ROUND($AE$11+$B35*$AE$15,0)</f>
        <v>2198</v>
      </c>
      <c r="K35" s="309">
        <f t="shared" ref="K35:K37" si="52">F35-C35</f>
        <v>124</v>
      </c>
      <c r="L35" s="309">
        <f t="shared" ref="L35:L37" si="53">G35-D35</f>
        <v>130</v>
      </c>
      <c r="M35" s="309">
        <f t="shared" ref="M35:M37" si="54">H35-F35</f>
        <v>150</v>
      </c>
      <c r="N35" s="309">
        <f t="shared" ref="N35:N37" si="55">I35-G35</f>
        <v>156</v>
      </c>
      <c r="P35" s="254">
        <f t="shared" ref="P35:P37" si="56">ROUND(F35/C35-1,4)</f>
        <v>6.54E-2</v>
      </c>
      <c r="Q35" s="254">
        <f t="shared" ref="Q35:Q37" si="57">ROUND(G35/D35-1,4)</f>
        <v>6.8000000000000005E-2</v>
      </c>
      <c r="R35" s="254">
        <f t="shared" ref="R35:R37" si="58">ROUND(H35/F35-1,4)</f>
        <v>7.4200000000000002E-2</v>
      </c>
      <c r="S35" s="254">
        <f t="shared" ref="S35:S37" si="59">ROUND(I35/G35-1,4)</f>
        <v>7.6399999999999996E-2</v>
      </c>
      <c r="T35" s="254"/>
      <c r="U35" s="312" t="str">
        <f>'Exh CTM-8 (Res Bill Summary)'!Q36</f>
        <v>Schedule 141DCARB Decarbonization</v>
      </c>
      <c r="V35" s="159">
        <f>'Sch 141DCARB'!$E$13</f>
        <v>0</v>
      </c>
      <c r="W35" s="340">
        <f t="shared" si="33"/>
        <v>0</v>
      </c>
      <c r="X35" s="258"/>
      <c r="Y35" s="249">
        <f>'Sch 141DCARB'!$I$13</f>
        <v>2.8727030798653835E-4</v>
      </c>
      <c r="Z35" s="161">
        <f t="shared" si="34"/>
        <v>2.8727030798653835E-4</v>
      </c>
      <c r="AA35" s="258"/>
      <c r="AB35" s="311"/>
      <c r="AC35" s="258"/>
      <c r="AD35" s="249">
        <f>'Sch 141DCARB'!$M$13</f>
        <v>2.8599373040827478E-4</v>
      </c>
      <c r="AE35" s="161">
        <f t="shared" si="35"/>
        <v>2.8599373040827478E-4</v>
      </c>
      <c r="AF35" s="254"/>
      <c r="AG35" s="308"/>
    </row>
    <row r="36" spans="1:33">
      <c r="A36" s="142">
        <f t="shared" si="4"/>
        <v>26</v>
      </c>
      <c r="B36" s="247">
        <f>+B35+1000</f>
        <v>16000</v>
      </c>
      <c r="C36" s="309">
        <f>ROUND($V$11+$B36*$V$15,0)</f>
        <v>2022</v>
      </c>
      <c r="D36" s="309">
        <f>ROUND($W$11+$B36*$W$15,0)</f>
        <v>2038</v>
      </c>
      <c r="E36" s="309"/>
      <c r="F36" s="309">
        <f>ROUND($Y$11+$B36*$Y$15,0)</f>
        <v>2155</v>
      </c>
      <c r="G36" s="309">
        <f>ROUND($Z$11+$B36*$Z$15,0)</f>
        <v>2176</v>
      </c>
      <c r="H36" s="309">
        <f>ROUND($AD$11+$B36*$AD$15,0)</f>
        <v>2315</v>
      </c>
      <c r="I36" s="309">
        <f>ROUND($AE$11+$B36*$AE$15,0)</f>
        <v>2341</v>
      </c>
      <c r="K36" s="309">
        <f t="shared" si="52"/>
        <v>133</v>
      </c>
      <c r="L36" s="309">
        <f t="shared" si="53"/>
        <v>138</v>
      </c>
      <c r="M36" s="309">
        <f t="shared" si="54"/>
        <v>160</v>
      </c>
      <c r="N36" s="309">
        <f t="shared" si="55"/>
        <v>165</v>
      </c>
      <c r="P36" s="254">
        <f t="shared" si="56"/>
        <v>6.5799999999999997E-2</v>
      </c>
      <c r="Q36" s="254">
        <f t="shared" si="57"/>
        <v>6.7699999999999996E-2</v>
      </c>
      <c r="R36" s="254">
        <f t="shared" si="58"/>
        <v>7.4200000000000002E-2</v>
      </c>
      <c r="S36" s="254">
        <f t="shared" si="59"/>
        <v>7.5800000000000006E-2</v>
      </c>
      <c r="T36" s="254"/>
      <c r="U36" s="307" t="str">
        <f>'Exh CTM-8 (Res Bill Summary)'!Q37</f>
        <v>Schedule 141COL Colstrip Adjustment</v>
      </c>
      <c r="V36" s="148">
        <f>'Sch 141COL'!$F$13</f>
        <v>2.3960000000000001E-3</v>
      </c>
      <c r="W36" s="271">
        <f t="shared" si="33"/>
        <v>2.3960000000000001E-3</v>
      </c>
      <c r="Y36" s="238">
        <f>'Sch 141COL'!$L$13</f>
        <v>2.3960000000000001E-3</v>
      </c>
      <c r="Z36" s="130">
        <f t="shared" si="34"/>
        <v>2.3960000000000001E-3</v>
      </c>
      <c r="AB36" s="235"/>
      <c r="AD36" s="238">
        <f>'Sch 141COL'!$R$13</f>
        <v>2.3960000000000001E-3</v>
      </c>
      <c r="AE36" s="130">
        <f t="shared" si="35"/>
        <v>2.3960000000000001E-3</v>
      </c>
      <c r="AG36" s="235"/>
    </row>
    <row r="37" spans="1:33">
      <c r="A37" s="142">
        <f t="shared" si="4"/>
        <v>27</v>
      </c>
      <c r="B37" s="247">
        <f>+B36+1000</f>
        <v>17000</v>
      </c>
      <c r="C37" s="309">
        <f>ROUND($V$11+$B37*$V$15,0)</f>
        <v>2148</v>
      </c>
      <c r="D37" s="309">
        <f>ROUND($W$11+$B37*$W$15,0)</f>
        <v>2164</v>
      </c>
      <c r="E37" s="309"/>
      <c r="F37" s="309">
        <f>ROUND($Y$11+$B37*$Y$15,0)</f>
        <v>2289</v>
      </c>
      <c r="G37" s="309">
        <f>ROUND($Z$11+$B37*$Z$15,0)</f>
        <v>2309</v>
      </c>
      <c r="H37" s="309">
        <f>ROUND($AD$11+$B37*$AD$15,0)</f>
        <v>2458</v>
      </c>
      <c r="I37" s="309">
        <f>ROUND($AE$11+$B37*$AE$15,0)</f>
        <v>2485</v>
      </c>
      <c r="K37" s="309">
        <f t="shared" si="52"/>
        <v>141</v>
      </c>
      <c r="L37" s="309">
        <f t="shared" si="53"/>
        <v>145</v>
      </c>
      <c r="M37" s="309">
        <f t="shared" si="54"/>
        <v>169</v>
      </c>
      <c r="N37" s="309">
        <f t="shared" si="55"/>
        <v>176</v>
      </c>
      <c r="P37" s="254">
        <f t="shared" si="56"/>
        <v>6.5600000000000006E-2</v>
      </c>
      <c r="Q37" s="254">
        <f t="shared" si="57"/>
        <v>6.7000000000000004E-2</v>
      </c>
      <c r="R37" s="254">
        <f t="shared" si="58"/>
        <v>7.3800000000000004E-2</v>
      </c>
      <c r="S37" s="254">
        <f t="shared" si="59"/>
        <v>7.6200000000000004E-2</v>
      </c>
      <c r="T37" s="254"/>
      <c r="U37" s="312" t="str">
        <f>'Exh CTM-8 (Res Bill Summary)'!Q38</f>
        <v>Schedule 141N Rates Not Subject to Refund</v>
      </c>
      <c r="V37" s="159">
        <f>'Sch 141N'!$G$13</f>
        <v>6.6309999999999997E-3</v>
      </c>
      <c r="W37" s="340">
        <f t="shared" si="33"/>
        <v>6.6309999999999997E-3</v>
      </c>
      <c r="X37" s="258"/>
      <c r="Y37" s="249">
        <f>'Sch 141N'!$M$13</f>
        <v>0</v>
      </c>
      <c r="Z37" s="161">
        <f t="shared" si="34"/>
        <v>0</v>
      </c>
      <c r="AA37" s="258"/>
      <c r="AB37" s="311"/>
      <c r="AC37" s="258"/>
      <c r="AD37" s="249">
        <f>'Sch 141N'!$S$13</f>
        <v>0</v>
      </c>
      <c r="AE37" s="161">
        <f t="shared" si="35"/>
        <v>0</v>
      </c>
      <c r="AF37" s="254"/>
      <c r="AG37" s="308"/>
    </row>
    <row r="38" spans="1:33">
      <c r="A38" s="142">
        <f t="shared" si="4"/>
        <v>28</v>
      </c>
      <c r="U38" s="312" t="str">
        <f>'Exh CTM-8 (Res Bill Summary)'!Q39</f>
        <v>Schedule 141R Rates Subject to Refund</v>
      </c>
      <c r="V38" s="159">
        <f>'Sch 141R'!$G$13</f>
        <v>6.3020000000000003E-3</v>
      </c>
      <c r="W38" s="340">
        <f t="shared" si="33"/>
        <v>6.3020000000000003E-3</v>
      </c>
      <c r="X38" s="258"/>
      <c r="Y38" s="249">
        <f>'Sch 141R'!$M$13</f>
        <v>0</v>
      </c>
      <c r="Z38" s="161">
        <f t="shared" si="34"/>
        <v>0</v>
      </c>
      <c r="AA38" s="258"/>
      <c r="AB38" s="311"/>
      <c r="AC38" s="258"/>
      <c r="AD38" s="249">
        <f>'Sch 141R'!$S$13</f>
        <v>0</v>
      </c>
      <c r="AE38" s="161">
        <f t="shared" si="35"/>
        <v>0</v>
      </c>
      <c r="AF38" s="254"/>
      <c r="AG38" s="308"/>
    </row>
    <row r="39" spans="1:33">
      <c r="A39" s="142">
        <f t="shared" si="4"/>
        <v>29</v>
      </c>
      <c r="B39" s="247">
        <f>+B37+1000</f>
        <v>18000</v>
      </c>
      <c r="C39" s="309">
        <f>ROUND($V$11+$B39*$V$15,0)</f>
        <v>2274</v>
      </c>
      <c r="D39" s="309">
        <f>ROUND($W$11+$B39*$W$15,0)</f>
        <v>2290</v>
      </c>
      <c r="E39" s="309"/>
      <c r="F39" s="309">
        <f>ROUND($Y$11+$B39*$Y$15,0)</f>
        <v>2423</v>
      </c>
      <c r="G39" s="309">
        <f>ROUND($Z$11+$B39*$Z$15,0)</f>
        <v>2443</v>
      </c>
      <c r="H39" s="309">
        <f>ROUND($AD$11+$B39*$AD$15,0)</f>
        <v>2602</v>
      </c>
      <c r="I39" s="309">
        <f>ROUND($AE$11+$B39*$AE$15,0)</f>
        <v>2629</v>
      </c>
      <c r="K39" s="309">
        <f t="shared" ref="K39:K41" si="60">F39-C39</f>
        <v>149</v>
      </c>
      <c r="L39" s="309">
        <f t="shared" ref="L39:L41" si="61">G39-D39</f>
        <v>153</v>
      </c>
      <c r="M39" s="309">
        <f t="shared" ref="M39:M41" si="62">H39-F39</f>
        <v>179</v>
      </c>
      <c r="N39" s="309">
        <f t="shared" ref="N39:N41" si="63">I39-G39</f>
        <v>186</v>
      </c>
      <c r="P39" s="254">
        <f t="shared" ref="P39:P41" si="64">ROUND(F39/C39-1,4)</f>
        <v>6.5500000000000003E-2</v>
      </c>
      <c r="Q39" s="254">
        <f t="shared" ref="Q39:Q41" si="65">ROUND(G39/D39-1,4)</f>
        <v>6.6799999999999998E-2</v>
      </c>
      <c r="R39" s="254">
        <f t="shared" ref="R39:R41" si="66">ROUND(H39/F39-1,4)</f>
        <v>7.3899999999999993E-2</v>
      </c>
      <c r="S39" s="254">
        <f t="shared" ref="S39:S41" si="67">ROUND(I39/G39-1,4)</f>
        <v>7.6100000000000001E-2</v>
      </c>
      <c r="T39" s="254"/>
      <c r="U39" s="307" t="str">
        <f>'Exh CTM-8 (Res Bill Summary)'!Q40</f>
        <v>Schedule 141 TEP</v>
      </c>
      <c r="V39" s="148">
        <f>'Sch 141TEP'!$E$13</f>
        <v>2.7700000000000001E-4</v>
      </c>
      <c r="W39" s="271">
        <f t="shared" si="33"/>
        <v>2.7700000000000001E-4</v>
      </c>
      <c r="X39" s="254"/>
      <c r="Y39" s="238">
        <f>'Sch 141TEP'!$I$13</f>
        <v>2.7700000000000001E-4</v>
      </c>
      <c r="Z39" s="130">
        <f t="shared" si="34"/>
        <v>2.7700000000000001E-4</v>
      </c>
      <c r="AA39" s="254"/>
      <c r="AB39" s="308"/>
      <c r="AC39" s="254"/>
      <c r="AD39" s="238">
        <f>'Sch 141TEP'!$M$13</f>
        <v>2.7700000000000001E-4</v>
      </c>
      <c r="AE39" s="130">
        <f t="shared" si="35"/>
        <v>2.7700000000000001E-4</v>
      </c>
      <c r="AF39" s="254"/>
      <c r="AG39" s="308"/>
    </row>
    <row r="40" spans="1:33">
      <c r="A40" s="142">
        <f t="shared" si="4"/>
        <v>30</v>
      </c>
      <c r="B40" s="247">
        <f>+B39+1000</f>
        <v>19000</v>
      </c>
      <c r="C40" s="309">
        <f>ROUND($V$11+$B40*$V$15,0)</f>
        <v>2400</v>
      </c>
      <c r="D40" s="309">
        <f>ROUND($W$11+$B40*$W$15,0)</f>
        <v>2415</v>
      </c>
      <c r="E40" s="309"/>
      <c r="F40" s="309">
        <f>ROUND($Y$11+$B40*$Y$15,0)</f>
        <v>2557</v>
      </c>
      <c r="G40" s="309">
        <f>ROUND($Z$11+$B40*$Z$15,0)</f>
        <v>2577</v>
      </c>
      <c r="H40" s="309">
        <f>ROUND($AD$11+$B40*$AD$15,0)</f>
        <v>2746</v>
      </c>
      <c r="I40" s="309">
        <f>ROUND($AE$11+$B40*$AE$15,0)</f>
        <v>2772</v>
      </c>
      <c r="K40" s="309">
        <f t="shared" si="60"/>
        <v>157</v>
      </c>
      <c r="L40" s="309">
        <f t="shared" si="61"/>
        <v>162</v>
      </c>
      <c r="M40" s="309">
        <f t="shared" si="62"/>
        <v>189</v>
      </c>
      <c r="N40" s="309">
        <f t="shared" si="63"/>
        <v>195</v>
      </c>
      <c r="P40" s="254">
        <f t="shared" si="64"/>
        <v>6.54E-2</v>
      </c>
      <c r="Q40" s="254">
        <f t="shared" si="65"/>
        <v>6.7100000000000007E-2</v>
      </c>
      <c r="R40" s="254">
        <f t="shared" si="66"/>
        <v>7.3899999999999993E-2</v>
      </c>
      <c r="S40" s="254">
        <f t="shared" si="67"/>
        <v>7.5700000000000003E-2</v>
      </c>
      <c r="T40" s="254"/>
      <c r="U40" s="307" t="str">
        <f>'Exh CTM-8 (Res Bill Summary)'!Q41</f>
        <v>Schedule 141WFP Wildfire Prevention Cost Recovery</v>
      </c>
      <c r="V40" s="159">
        <f>'Sch 141WFP'!$F$13</f>
        <v>0</v>
      </c>
      <c r="W40" s="271">
        <f t="shared" si="33"/>
        <v>0</v>
      </c>
      <c r="Y40" s="249">
        <f>'Sch 141WFP'!$L$13</f>
        <v>1.2333166741210985E-3</v>
      </c>
      <c r="Z40" s="130">
        <f t="shared" si="34"/>
        <v>1.2333166741210985E-3</v>
      </c>
      <c r="AB40" s="235"/>
      <c r="AD40" s="249">
        <f>'Sch 141WFP'!$R$13</f>
        <v>1.5329985957903459E-3</v>
      </c>
      <c r="AE40" s="130">
        <f t="shared" si="35"/>
        <v>1.5329985957903459E-3</v>
      </c>
      <c r="AG40" s="235"/>
    </row>
    <row r="41" spans="1:33">
      <c r="A41" s="142">
        <f t="shared" si="4"/>
        <v>31</v>
      </c>
      <c r="B41" s="247">
        <f>+B40+1000</f>
        <v>20000</v>
      </c>
      <c r="C41" s="309">
        <f>ROUND($V$11+$B41*$V$15,0)</f>
        <v>2525</v>
      </c>
      <c r="D41" s="309">
        <f>ROUND($W$11+$B41*$W$15,0)</f>
        <v>2541</v>
      </c>
      <c r="E41" s="309"/>
      <c r="F41" s="309">
        <f>ROUND($Y$11+$B41*$Y$15,0)</f>
        <v>2690</v>
      </c>
      <c r="G41" s="309">
        <f>ROUND($Z$11+$B41*$Z$15,0)</f>
        <v>2711</v>
      </c>
      <c r="H41" s="309">
        <f>ROUND($AD$11+$B41*$AD$15,0)</f>
        <v>2889</v>
      </c>
      <c r="I41" s="309">
        <f>ROUND($AE$11+$B41*$AE$15,0)</f>
        <v>2916</v>
      </c>
      <c r="K41" s="309">
        <f t="shared" si="60"/>
        <v>165</v>
      </c>
      <c r="L41" s="309">
        <f t="shared" si="61"/>
        <v>170</v>
      </c>
      <c r="M41" s="309">
        <f t="shared" si="62"/>
        <v>199</v>
      </c>
      <c r="N41" s="309">
        <f t="shared" si="63"/>
        <v>205</v>
      </c>
      <c r="P41" s="254">
        <f t="shared" si="64"/>
        <v>6.5299999999999997E-2</v>
      </c>
      <c r="Q41" s="254">
        <f t="shared" si="65"/>
        <v>6.6900000000000001E-2</v>
      </c>
      <c r="R41" s="254">
        <f t="shared" si="66"/>
        <v>7.3999999999999996E-2</v>
      </c>
      <c r="S41" s="254">
        <f t="shared" si="67"/>
        <v>7.5600000000000001E-2</v>
      </c>
      <c r="T41" s="254"/>
      <c r="U41" s="307" t="str">
        <f>'Exh CTM-8 (Res Bill Summary)'!Q42</f>
        <v>Schedule 141X (Protected) EDIT</v>
      </c>
      <c r="V41" s="148">
        <f>'Sch 141X'!$E$13</f>
        <v>0</v>
      </c>
      <c r="W41" s="271">
        <f t="shared" si="33"/>
        <v>0</v>
      </c>
      <c r="X41" s="149"/>
      <c r="Y41" s="238">
        <f>'Sch 141X'!$I$13</f>
        <v>0</v>
      </c>
      <c r="Z41" s="130">
        <f t="shared" si="34"/>
        <v>0</v>
      </c>
      <c r="AA41" s="149"/>
      <c r="AB41" s="306"/>
      <c r="AC41" s="149"/>
      <c r="AD41" s="238">
        <f>'Sch 141X'!$M$13</f>
        <v>0</v>
      </c>
      <c r="AE41" s="130">
        <f t="shared" si="35"/>
        <v>0</v>
      </c>
      <c r="AF41" s="149"/>
      <c r="AG41" s="306"/>
    </row>
    <row r="42" spans="1:33">
      <c r="A42" s="142">
        <f t="shared" si="4"/>
        <v>32</v>
      </c>
      <c r="U42" s="307" t="str">
        <f>'Exh CTM-8 (Res Bill Summary)'!Q43</f>
        <v>Schedule 141Z (Unprotected) EDIT</v>
      </c>
      <c r="V42" s="148">
        <f>'Sch 141Z'!$E$13</f>
        <v>0</v>
      </c>
      <c r="W42" s="271">
        <f t="shared" si="33"/>
        <v>0</v>
      </c>
      <c r="X42" s="149"/>
      <c r="Y42" s="238">
        <f>'Sch 141Z'!$I$13</f>
        <v>0</v>
      </c>
      <c r="Z42" s="130">
        <f t="shared" si="34"/>
        <v>0</v>
      </c>
      <c r="AA42" s="149"/>
      <c r="AB42" s="306"/>
      <c r="AC42" s="149"/>
      <c r="AD42" s="238">
        <f>'Sch 141Z'!$M$13</f>
        <v>0</v>
      </c>
      <c r="AE42" s="130">
        <f t="shared" si="35"/>
        <v>0</v>
      </c>
      <c r="AF42" s="149"/>
      <c r="AG42" s="306"/>
    </row>
    <row r="43" spans="1:33">
      <c r="A43" s="142">
        <f t="shared" si="4"/>
        <v>33</v>
      </c>
      <c r="B43" s="333"/>
      <c r="C43" s="333"/>
      <c r="D43" s="333"/>
      <c r="E43" s="333"/>
      <c r="F43" s="333"/>
      <c r="G43" s="333"/>
      <c r="H43" s="333"/>
      <c r="I43" s="333"/>
      <c r="J43" s="333"/>
      <c r="K43" s="333"/>
      <c r="L43" s="333"/>
      <c r="M43" s="333"/>
      <c r="N43" s="333"/>
      <c r="O43" s="333"/>
      <c r="P43" s="333"/>
      <c r="Q43" s="333"/>
      <c r="R43" s="333"/>
      <c r="S43" s="333"/>
      <c r="T43" s="149"/>
      <c r="U43" s="307" t="str">
        <f>'Exh CTM-8 (Res Bill Summary)'!Q44</f>
        <v>Schedule 142  Deocupling Deferral</v>
      </c>
      <c r="V43" s="148">
        <f>'Sch 142'!$F$13</f>
        <v>-2.215E-3</v>
      </c>
      <c r="W43" s="271">
        <f t="shared" si="33"/>
        <v>-2.215E-3</v>
      </c>
      <c r="X43" s="149"/>
      <c r="Y43" s="238">
        <f>'Sch 142'!$L$13</f>
        <v>-2.215E-3</v>
      </c>
      <c r="Z43" s="130">
        <f t="shared" si="34"/>
        <v>-2.215E-3</v>
      </c>
      <c r="AA43" s="149"/>
      <c r="AB43" s="306"/>
      <c r="AC43" s="149"/>
      <c r="AD43" s="238">
        <f>'Sch 142'!$R$13</f>
        <v>-2.215E-3</v>
      </c>
      <c r="AE43" s="130">
        <f t="shared" si="35"/>
        <v>-2.215E-3</v>
      </c>
      <c r="AF43" s="149"/>
      <c r="AG43" s="306"/>
    </row>
    <row r="44" spans="1:33" ht="15.6" customHeight="1">
      <c r="A44" s="142">
        <f t="shared" si="4"/>
        <v>34</v>
      </c>
      <c r="R44" s="242"/>
      <c r="S44" s="242"/>
      <c r="T44" s="242"/>
      <c r="U44" s="307" t="str">
        <f>'Exh CTM-8 (Res Bill Summary)'!Q45</f>
        <v>Schedule 142 Deocupling Supplemental</v>
      </c>
      <c r="V44" s="148">
        <f>'Sch 142 Supplemental'!$F$13</f>
        <v>0</v>
      </c>
      <c r="W44" s="271">
        <f t="shared" si="33"/>
        <v>0</v>
      </c>
      <c r="X44" s="149"/>
      <c r="Y44" s="238">
        <f>'Sch 142 Supplemental'!$L$13</f>
        <v>0</v>
      </c>
      <c r="Z44" s="130">
        <f t="shared" si="34"/>
        <v>0</v>
      </c>
      <c r="AA44" s="149"/>
      <c r="AB44" s="306"/>
      <c r="AC44" s="149"/>
      <c r="AD44" s="238">
        <f>'Sch 142 Supplemental'!$R$13</f>
        <v>0</v>
      </c>
      <c r="AE44" s="130">
        <f t="shared" si="35"/>
        <v>0</v>
      </c>
      <c r="AF44" s="149"/>
      <c r="AG44" s="306"/>
    </row>
    <row r="45" spans="1:33">
      <c r="A45" s="142">
        <f t="shared" ref="A45:A50" si="68">A44+1</f>
        <v>35</v>
      </c>
      <c r="B45" s="333"/>
      <c r="C45" s="333"/>
      <c r="D45" s="333"/>
      <c r="E45" s="333"/>
      <c r="F45" s="333"/>
      <c r="G45" s="333"/>
      <c r="H45" s="333"/>
      <c r="I45" s="333"/>
      <c r="J45" s="333"/>
      <c r="K45" s="333"/>
      <c r="L45" s="333"/>
      <c r="M45" s="333"/>
      <c r="N45" s="333"/>
      <c r="O45" s="333"/>
      <c r="P45" s="333"/>
      <c r="Q45" s="333"/>
      <c r="R45" s="149"/>
      <c r="S45" s="149"/>
      <c r="T45" s="149"/>
      <c r="U45" s="307" t="str">
        <f>'Exh CTM-8 (Res Bill Summary)'!Q46</f>
        <v>Schedule 194 BPA Res &amp; Farm Credit</v>
      </c>
      <c r="V45" s="342" t="s">
        <v>391</v>
      </c>
      <c r="W45" s="271"/>
      <c r="X45" s="149"/>
      <c r="Y45" s="238"/>
      <c r="Z45" s="341"/>
      <c r="AA45" s="149"/>
      <c r="AB45" s="306"/>
      <c r="AC45" s="149"/>
      <c r="AD45" s="238"/>
      <c r="AE45" s="341"/>
      <c r="AF45" s="149"/>
      <c r="AG45" s="306"/>
    </row>
    <row r="46" spans="1:33" ht="12" thickBot="1">
      <c r="A46" s="142">
        <f t="shared" si="68"/>
        <v>36</v>
      </c>
      <c r="R46" s="149"/>
      <c r="S46" s="149"/>
      <c r="T46" s="149"/>
      <c r="U46" s="291" t="s">
        <v>392</v>
      </c>
      <c r="V46" s="303">
        <f>SUM(V23:V45)+V19</f>
        <v>0.12756000000000001</v>
      </c>
      <c r="W46" s="289">
        <f>SUM(W23:W45)+W20</f>
        <v>0.12436</v>
      </c>
      <c r="Y46" s="290">
        <f>SUM(Y23:Y45)+Y18</f>
        <v>13.288377004991318</v>
      </c>
      <c r="Z46" s="303">
        <f>SUM(Z23:Z45)+Z18</f>
        <v>33.758377004991324</v>
      </c>
      <c r="AA46" s="303">
        <f>SUM(AA23:AA45)+AA18</f>
        <v>0.2997061704211556</v>
      </c>
      <c r="AB46" s="289">
        <f>SUM(AB23:AB45)+AB18</f>
        <v>0.3001926782273604</v>
      </c>
      <c r="AD46" s="290">
        <f>SUM(AD23:AD45)+AD18</f>
        <v>17.269497583846846</v>
      </c>
      <c r="AE46" s="303">
        <f>SUM(AE23:AE45)+AE18</f>
        <v>43.879497583846842</v>
      </c>
      <c r="AF46" s="303">
        <f>SUM(AF23:AF45)+AF18</f>
        <v>0.29992464204973629</v>
      </c>
      <c r="AG46" s="289">
        <f>SUM(AG23:AG45)+AG18</f>
        <v>0.29994072317723763</v>
      </c>
    </row>
    <row r="47" spans="1:33" ht="12" thickTop="1">
      <c r="A47" s="142">
        <f t="shared" si="68"/>
        <v>37</v>
      </c>
      <c r="U47" s="291"/>
      <c r="V47" s="305"/>
      <c r="W47" s="271"/>
      <c r="Y47" s="270"/>
      <c r="Z47" s="130"/>
      <c r="AA47" s="130"/>
      <c r="AB47" s="235"/>
      <c r="AD47" s="270"/>
      <c r="AE47" s="130"/>
      <c r="AF47" s="130"/>
      <c r="AG47" s="235"/>
    </row>
    <row r="48" spans="1:33">
      <c r="A48" s="142">
        <f t="shared" si="68"/>
        <v>38</v>
      </c>
      <c r="B48" s="9"/>
      <c r="U48" s="234" t="s">
        <v>357</v>
      </c>
      <c r="V48" s="304"/>
      <c r="W48" s="232"/>
      <c r="Y48" s="233"/>
      <c r="AB48" s="232">
        <f>'Exh CTM-8 (Rate Impacts_RY#1)'!$H$11</f>
        <v>0.20245791877085481</v>
      </c>
      <c r="AD48" s="233"/>
      <c r="AG48" s="232">
        <f>'Exh CTM-8 (Rate Impacts_RY#2)'!$I$11</f>
        <v>8.4928357063868309E-2</v>
      </c>
    </row>
    <row r="49" spans="1:33">
      <c r="A49" s="142">
        <f t="shared" si="68"/>
        <v>39</v>
      </c>
      <c r="U49" s="234" t="s">
        <v>356</v>
      </c>
      <c r="V49" s="304"/>
      <c r="W49" s="232"/>
      <c r="Y49" s="233"/>
      <c r="AB49" s="232">
        <f>'Exh CTM-8 (Rate Impacts_RY#1)'!$AI$11</f>
        <v>7.8304169712582708E-2</v>
      </c>
      <c r="AD49" s="233"/>
      <c r="AG49" s="232">
        <f>'Exh CTM-8 (Rate Impacts_RY#2)'!$V$11</f>
        <v>9.2833928739956245E-2</v>
      </c>
    </row>
    <row r="50" spans="1:33" ht="12" thickBot="1">
      <c r="A50" s="142">
        <f t="shared" si="68"/>
        <v>40</v>
      </c>
      <c r="U50" s="343" t="s">
        <v>393</v>
      </c>
      <c r="V50" s="301"/>
      <c r="W50" s="230"/>
      <c r="Y50" s="231"/>
      <c r="Z50" s="301"/>
      <c r="AA50" s="301"/>
      <c r="AB50" s="230"/>
      <c r="AD50" s="231"/>
      <c r="AE50" s="301"/>
      <c r="AF50" s="301"/>
      <c r="AG50" s="230"/>
    </row>
  </sheetData>
  <mergeCells count="22">
    <mergeCell ref="M8:N8"/>
    <mergeCell ref="K7:N7"/>
    <mergeCell ref="P7:S7"/>
    <mergeCell ref="B5:P5"/>
    <mergeCell ref="C8:D8"/>
    <mergeCell ref="F8:G8"/>
    <mergeCell ref="A1:AG1"/>
    <mergeCell ref="A2:AG2"/>
    <mergeCell ref="K8:L8"/>
    <mergeCell ref="AF8:AG8"/>
    <mergeCell ref="A3:AG3"/>
    <mergeCell ref="A4:AG4"/>
    <mergeCell ref="Y7:AB7"/>
    <mergeCell ref="P8:Q8"/>
    <mergeCell ref="AA8:AB8"/>
    <mergeCell ref="AD8:AE8"/>
    <mergeCell ref="AD7:AG7"/>
    <mergeCell ref="R8:S8"/>
    <mergeCell ref="V8:W8"/>
    <mergeCell ref="Y8:Z8"/>
    <mergeCell ref="H8:I8"/>
    <mergeCell ref="C7:I7"/>
  </mergeCells>
  <pageMargins left="0.7" right="0.7" top="0.75" bottom="0.75" header="0.3" footer="0.3"/>
  <pageSetup scale="31" orientation="landscape" horizontalDpi="360" verticalDpi="360" r:id="rId1"/>
  <headerFooter>
    <oddFooter>&amp;R&amp;F
&amp;A
&amp;P of &amp;N</oddFooter>
  </headerFooter>
  <customProperties>
    <customPr name="_pios_id" r:id="rId2"/>
  </customProperties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3" tint="0.79998168889431442"/>
    <pageSetUpPr fitToPage="1"/>
  </sheetPr>
  <dimension ref="A1:T67"/>
  <sheetViews>
    <sheetView zoomScaleNormal="100" zoomScaleSheetLayoutView="100" workbookViewId="0">
      <pane ySplit="9" topLeftCell="A44" activePane="bottomLeft" state="frozen"/>
      <selection activeCell="U42" sqref="U42"/>
      <selection pane="bottomLeft" activeCell="U42" sqref="U42"/>
    </sheetView>
  </sheetViews>
  <sheetFormatPr defaultColWidth="9.42578125" defaultRowHeight="11.25"/>
  <cols>
    <col min="1" max="1" width="4.42578125" style="142" customWidth="1"/>
    <col min="2" max="2" width="11.42578125" style="142" bestFit="1" customWidth="1"/>
    <col min="3" max="3" width="13.42578125" style="142" bestFit="1" customWidth="1"/>
    <col min="4" max="4" width="10.28515625" style="142" bestFit="1" customWidth="1"/>
    <col min="5" max="5" width="1" style="142" customWidth="1"/>
    <col min="6" max="7" width="13.28515625" style="142" bestFit="1" customWidth="1"/>
    <col min="8" max="8" width="10.5703125" style="142" bestFit="1" customWidth="1"/>
    <col min="9" max="9" width="1" style="142" customWidth="1"/>
    <col min="10" max="10" width="10" style="142" bestFit="1" customWidth="1"/>
    <col min="11" max="11" width="10" style="142" customWidth="1"/>
    <col min="12" max="12" width="1" style="142" customWidth="1"/>
    <col min="13" max="13" width="38.5703125" style="142" bestFit="1" customWidth="1"/>
    <col min="14" max="14" width="11.140625" style="142" bestFit="1" customWidth="1"/>
    <col min="15" max="15" width="1.140625" style="142" customWidth="1"/>
    <col min="16" max="17" width="11.140625" style="142" bestFit="1" customWidth="1"/>
    <col min="18" max="18" width="0.85546875" style="142" customWidth="1"/>
    <col min="19" max="19" width="11.140625" style="142" bestFit="1" customWidth="1"/>
    <col min="20" max="20" width="11.140625" style="142" customWidth="1"/>
    <col min="21" max="16384" width="9.42578125" style="142"/>
  </cols>
  <sheetData>
    <row r="1" spans="1:20">
      <c r="A1" s="497" t="str">
        <f>'Table of Contents'!A1</f>
        <v>Puget Sound Energy</v>
      </c>
      <c r="B1" s="497"/>
      <c r="C1" s="497"/>
      <c r="D1" s="497"/>
      <c r="E1" s="497"/>
      <c r="F1" s="497"/>
      <c r="G1" s="497"/>
      <c r="H1" s="497"/>
      <c r="I1" s="497"/>
      <c r="J1" s="497"/>
      <c r="K1" s="497"/>
      <c r="L1" s="497"/>
      <c r="M1" s="497"/>
      <c r="N1" s="497"/>
      <c r="O1" s="497"/>
      <c r="P1" s="497"/>
      <c r="Q1" s="497"/>
      <c r="R1" s="497"/>
      <c r="S1" s="497"/>
      <c r="T1" s="497"/>
    </row>
    <row r="2" spans="1:20">
      <c r="A2" s="497" t="str">
        <f>'Table of Contents'!A2</f>
        <v>2024 General Rate Case Docket No. UE-240004 and UG-240005</v>
      </c>
      <c r="B2" s="497"/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7"/>
      <c r="N2" s="497"/>
      <c r="O2" s="497"/>
      <c r="P2" s="497"/>
      <c r="Q2" s="497"/>
      <c r="R2" s="497"/>
      <c r="S2" s="497"/>
      <c r="T2" s="497"/>
    </row>
    <row r="3" spans="1:20" ht="12.75">
      <c r="A3" s="448" t="s">
        <v>35</v>
      </c>
      <c r="B3" s="503"/>
      <c r="C3" s="503"/>
      <c r="D3" s="503"/>
      <c r="E3" s="503"/>
      <c r="F3" s="503"/>
      <c r="G3" s="503"/>
      <c r="H3" s="503"/>
      <c r="I3" s="503"/>
      <c r="J3" s="503"/>
      <c r="K3" s="503"/>
      <c r="L3" s="503"/>
      <c r="M3" s="503"/>
      <c r="N3" s="503"/>
      <c r="O3" s="503"/>
      <c r="P3" s="503"/>
      <c r="Q3" s="503"/>
      <c r="R3" s="503"/>
      <c r="S3" s="503"/>
      <c r="T3" s="503"/>
    </row>
    <row r="4" spans="1:20" ht="12.75">
      <c r="A4" s="448" t="s">
        <v>394</v>
      </c>
      <c r="B4" s="503" t="s">
        <v>55</v>
      </c>
      <c r="C4" s="503"/>
      <c r="D4" s="503"/>
      <c r="E4" s="503"/>
      <c r="F4" s="503"/>
      <c r="G4" s="503"/>
      <c r="H4" s="503"/>
      <c r="I4" s="503"/>
      <c r="J4" s="503"/>
      <c r="K4" s="503"/>
      <c r="L4" s="503"/>
      <c r="M4" s="503"/>
      <c r="N4" s="503"/>
      <c r="O4" s="503"/>
      <c r="P4" s="503"/>
      <c r="Q4" s="503"/>
      <c r="R4" s="503"/>
      <c r="S4" s="503"/>
      <c r="T4" s="503"/>
    </row>
    <row r="5" spans="1:20" ht="12" thickBot="1">
      <c r="B5" s="178"/>
      <c r="M5" s="331"/>
      <c r="N5" s="331"/>
      <c r="O5" s="331"/>
      <c r="P5" s="331"/>
      <c r="Q5" s="331"/>
      <c r="R5" s="331"/>
      <c r="S5" s="331"/>
      <c r="T5" s="331"/>
    </row>
    <row r="6" spans="1:20" ht="13.5" thickBot="1">
      <c r="B6" s="141"/>
      <c r="M6" s="136"/>
      <c r="N6" s="136"/>
      <c r="P6" s="475" t="s">
        <v>353</v>
      </c>
      <c r="Q6" s="517"/>
      <c r="S6" s="475" t="s">
        <v>354</v>
      </c>
      <c r="T6" s="517"/>
    </row>
    <row r="7" spans="1:20" ht="12.75">
      <c r="A7" s="136"/>
      <c r="B7" s="135"/>
      <c r="C7" s="135"/>
      <c r="D7" s="136"/>
      <c r="E7" s="136"/>
      <c r="F7" s="514" t="s">
        <v>401</v>
      </c>
      <c r="G7" s="515"/>
      <c r="H7" s="516"/>
      <c r="I7" s="136"/>
      <c r="J7" s="509" t="s">
        <v>44</v>
      </c>
      <c r="K7" s="516"/>
      <c r="L7" s="330"/>
      <c r="M7" s="300"/>
      <c r="N7" s="302"/>
      <c r="P7" s="351"/>
      <c r="Q7" s="302"/>
      <c r="S7" s="351"/>
      <c r="T7" s="302"/>
    </row>
    <row r="8" spans="1:20" ht="45">
      <c r="A8" s="138" t="s">
        <v>350</v>
      </c>
      <c r="B8" s="287" t="s">
        <v>400</v>
      </c>
      <c r="C8" s="287" t="s">
        <v>54</v>
      </c>
      <c r="D8" s="287" t="s">
        <v>34</v>
      </c>
      <c r="E8" s="136"/>
      <c r="F8" s="140" t="s">
        <v>402</v>
      </c>
      <c r="G8" s="140" t="s">
        <v>412</v>
      </c>
      <c r="H8" s="140" t="s">
        <v>413</v>
      </c>
      <c r="I8" s="358"/>
      <c r="J8" s="140" t="s">
        <v>387</v>
      </c>
      <c r="K8" s="140" t="s">
        <v>388</v>
      </c>
      <c r="L8" s="330"/>
      <c r="M8" s="334"/>
      <c r="N8" s="349" t="s">
        <v>347</v>
      </c>
      <c r="P8" s="350" t="s">
        <v>352</v>
      </c>
      <c r="Q8" s="349" t="s">
        <v>351</v>
      </c>
      <c r="S8" s="350" t="s">
        <v>352</v>
      </c>
      <c r="T8" s="349" t="s">
        <v>351</v>
      </c>
    </row>
    <row r="9" spans="1:20" s="141" customFormat="1">
      <c r="B9" s="141" t="s">
        <v>18</v>
      </c>
      <c r="C9" s="141" t="s">
        <v>19</v>
      </c>
      <c r="D9" s="141" t="s">
        <v>20</v>
      </c>
      <c r="F9" s="141" t="s">
        <v>21</v>
      </c>
      <c r="G9" s="141" t="s">
        <v>24</v>
      </c>
      <c r="H9" s="141" t="s">
        <v>25</v>
      </c>
      <c r="J9" s="141" t="s">
        <v>26</v>
      </c>
      <c r="K9" s="141" t="s">
        <v>27</v>
      </c>
      <c r="M9" s="326" t="s">
        <v>28</v>
      </c>
      <c r="N9" s="327" t="s">
        <v>29</v>
      </c>
      <c r="P9" s="326" t="s">
        <v>30</v>
      </c>
      <c r="Q9" s="327" t="s">
        <v>74</v>
      </c>
      <c r="S9" s="326" t="s">
        <v>83</v>
      </c>
      <c r="T9" s="327" t="s">
        <v>84</v>
      </c>
    </row>
    <row r="10" spans="1:20">
      <c r="A10" s="142">
        <v>1</v>
      </c>
      <c r="B10" s="142">
        <v>50</v>
      </c>
      <c r="C10" s="142">
        <v>300</v>
      </c>
      <c r="D10" s="247">
        <f>ROUND((B$10*C10),0)</f>
        <v>15000</v>
      </c>
      <c r="F10" s="309">
        <f>+N$10+IF($D10&lt;20000,$D10*N$14,20000*N$14+($D10-20000)*N$16)+IF($B10&gt;50,($B10-50)*N$22,0)</f>
        <v>1898.575</v>
      </c>
      <c r="G10" s="309">
        <f>+P$10+IF($D10&lt;20000,$D10*P$14,20000*P$14+($D10-20000)*P$16)+IF($B10&gt;50,($B10-50)*P$22,0)</f>
        <v>1897.581842000651</v>
      </c>
      <c r="H10" s="309">
        <f>+S$10+IF($D10&lt;20000,$D10*S$14,20000*S$14+($D10-20000)*S$16)+IF($B10&gt;50,($B10-50)*S$22,0)</f>
        <v>2001.7629042080735</v>
      </c>
      <c r="J10" s="187">
        <f t="shared" ref="J10:K12" si="0">ROUND((+G10-F10)/F10,3)</f>
        <v>-1E-3</v>
      </c>
      <c r="K10" s="187">
        <f t="shared" si="0"/>
        <v>5.5E-2</v>
      </c>
      <c r="L10" s="187"/>
      <c r="M10" s="233" t="s">
        <v>39</v>
      </c>
      <c r="N10" s="274">
        <f>SUM(N27)</f>
        <v>53.95</v>
      </c>
      <c r="O10" s="254"/>
      <c r="P10" s="325">
        <f>SUM(P27)</f>
        <v>70.14</v>
      </c>
      <c r="Q10" s="308">
        <f>(P10-N10)/N10</f>
        <v>0.30009267840593135</v>
      </c>
      <c r="R10" s="254"/>
      <c r="S10" s="325">
        <f>SUM(S27)</f>
        <v>91.18</v>
      </c>
      <c r="T10" s="308">
        <f>(S10-P10)/P10</f>
        <v>0.29997148560022818</v>
      </c>
    </row>
    <row r="11" spans="1:20">
      <c r="A11" s="142">
        <f t="shared" ref="A11:A51" si="1">A10+1</f>
        <v>2</v>
      </c>
      <c r="B11" s="142">
        <f>+B10</f>
        <v>50</v>
      </c>
      <c r="C11" s="142">
        <v>500</v>
      </c>
      <c r="D11" s="247">
        <f>ROUND((B$10*C11),0)</f>
        <v>25000</v>
      </c>
      <c r="F11" s="309">
        <f>+N$10+IF($D11&lt;20000,$D11*N$14,20000*N$14+($D11-20000)*N$16)+IF($B11&gt;50,($B11-50)*N$22,0)</f>
        <v>2965.4749999999999</v>
      </c>
      <c r="G11" s="309">
        <f>+P$10+IF($D11&lt;20000,$D11*P$14,20000*P$14+($D11-20000)*P$16)+IF($B11&gt;50,($B11-50)*P$22,0)</f>
        <v>3002.7672644777235</v>
      </c>
      <c r="H11" s="309">
        <f>+S$10+IF($D11&lt;20000,$D11*S$14,20000*S$14+($D11-20000)*S$16)+IF($B11&gt;50,($B11-50)*S$22,0)</f>
        <v>3161.376215156572</v>
      </c>
      <c r="J11" s="187">
        <f t="shared" si="0"/>
        <v>1.2999999999999999E-2</v>
      </c>
      <c r="K11" s="187">
        <f t="shared" si="0"/>
        <v>5.2999999999999999E-2</v>
      </c>
      <c r="L11" s="187"/>
      <c r="M11" s="233"/>
      <c r="N11" s="274"/>
      <c r="O11" s="254"/>
      <c r="P11" s="325"/>
      <c r="Q11" s="308"/>
      <c r="R11" s="254"/>
      <c r="S11" s="325"/>
      <c r="T11" s="308"/>
    </row>
    <row r="12" spans="1:20">
      <c r="A12" s="142">
        <f t="shared" si="1"/>
        <v>3</v>
      </c>
      <c r="B12" s="142">
        <f>+B11</f>
        <v>50</v>
      </c>
      <c r="C12" s="142">
        <v>700</v>
      </c>
      <c r="D12" s="247">
        <f>ROUND((B$10*C12),0)</f>
        <v>35000</v>
      </c>
      <c r="F12" s="309">
        <f>+N$10+IF($D12&lt;20000,$D12*N$14,20000*N$14+($D12-20000)*N$16)+IF($B12&gt;50,($B12-50)*N$22,0)</f>
        <v>3869.5249999999996</v>
      </c>
      <c r="G12" s="309">
        <f>+P$10+IF($D12&lt;20000,$D12*P$14,20000*P$14+($D12-20000)*P$16)+IF($B12&gt;50,($B12-50)*P$22,0)</f>
        <v>3994.8435480981016</v>
      </c>
      <c r="H12" s="309">
        <f>+S$10+IF($D12&lt;20000,$D12*S$14,20000*S$14+($D12-20000)*S$16)+IF($B12&gt;50,($B12-50)*S$22,0)</f>
        <v>4206.8809009148554</v>
      </c>
      <c r="J12" s="187">
        <f t="shared" si="0"/>
        <v>3.2000000000000001E-2</v>
      </c>
      <c r="K12" s="187">
        <f t="shared" si="0"/>
        <v>5.2999999999999999E-2</v>
      </c>
      <c r="L12" s="187"/>
      <c r="M12" s="322" t="s">
        <v>53</v>
      </c>
      <c r="N12" s="274">
        <f>SUM(N28,N38:N60)</f>
        <v>0.12739400000000001</v>
      </c>
      <c r="O12" s="254"/>
      <c r="P12" s="325">
        <f>SUM(P28,P38:P60)</f>
        <v>0.12868445613337676</v>
      </c>
      <c r="Q12" s="308">
        <f>(P12-N12)/N12</f>
        <v>1.0129646085190428E-2</v>
      </c>
      <c r="R12" s="254"/>
      <c r="S12" s="325">
        <f>SUM(S28,S38:S60)</f>
        <v>0.13403019361387158</v>
      </c>
      <c r="T12" s="308">
        <f>(S12-P12)/P12</f>
        <v>4.1541438967222004E-2</v>
      </c>
    </row>
    <row r="13" spans="1:20">
      <c r="A13" s="142">
        <f t="shared" si="1"/>
        <v>4</v>
      </c>
      <c r="F13" s="309"/>
      <c r="G13" s="309"/>
      <c r="H13" s="309"/>
      <c r="J13" s="187"/>
      <c r="K13" s="187"/>
      <c r="M13" s="322" t="s">
        <v>52</v>
      </c>
      <c r="N13" s="274">
        <f>SUM(N29,N38:N60)</f>
        <v>0.118448</v>
      </c>
      <c r="O13" s="254"/>
      <c r="P13" s="325">
        <f>SUM(P29,P38:P60)</f>
        <v>0.11973845613337672</v>
      </c>
      <c r="Q13" s="308">
        <f>(P13-N13)/N13</f>
        <v>1.0894705975421465E-2</v>
      </c>
      <c r="R13" s="254"/>
      <c r="S13" s="325">
        <f>SUM(S29,S38:S60)</f>
        <v>0.12508419361387157</v>
      </c>
      <c r="T13" s="308">
        <f>(S13-P13)/P13</f>
        <v>4.4645117810273388E-2</v>
      </c>
    </row>
    <row r="14" spans="1:20">
      <c r="A14" s="142">
        <f t="shared" si="1"/>
        <v>5</v>
      </c>
      <c r="B14" s="142">
        <v>100</v>
      </c>
      <c r="C14" s="142">
        <v>300</v>
      </c>
      <c r="D14" s="247">
        <f>ROUND((B$14*C14),0)</f>
        <v>30000</v>
      </c>
      <c r="F14" s="309">
        <f>+N$10+IF($D14&lt;20000,$D14*N$14,20000*N$14+($D14-20000)*N$16)+IF($B14&gt;50,($B14-50)*N$22,0)</f>
        <v>3841</v>
      </c>
      <c r="G14" s="309">
        <f>+P$10+IF($D14&lt;20000,$D14*P$14,20000*P$14+($D14-20000)*P$16)+IF($B14&gt;50,($B14-50)*P$22,0)</f>
        <v>4048.3054062879123</v>
      </c>
      <c r="H14" s="309">
        <f>+S$10+IF($D14&lt;20000,$D14*S$14,20000*S$14+($D14-20000)*S$16)+IF($B14&gt;50,($B14-50)*S$22,0)</f>
        <v>4398.6285580357135</v>
      </c>
      <c r="J14" s="187">
        <f t="shared" ref="J14:K16" si="2">ROUND((+G14-F14)/F14,3)</f>
        <v>5.3999999999999999E-2</v>
      </c>
      <c r="K14" s="187">
        <f t="shared" si="2"/>
        <v>8.6999999999999994E-2</v>
      </c>
      <c r="L14" s="187"/>
      <c r="M14" s="322" t="s">
        <v>71</v>
      </c>
      <c r="N14" s="323">
        <f>SUM(N30,N38:N60)</f>
        <v>0.122975</v>
      </c>
      <c r="O14" s="254"/>
      <c r="P14" s="325">
        <f>SUM(P30,P38:P60)</f>
        <v>0.12182945613337673</v>
      </c>
      <c r="Q14" s="308">
        <f>(P14-N14)/N14</f>
        <v>-9.3152581144401066E-3</v>
      </c>
      <c r="R14" s="254"/>
      <c r="S14" s="325">
        <f>SUM(S30,S38:S60)</f>
        <v>0.12737219361387156</v>
      </c>
      <c r="T14" s="308">
        <f>(S14-P14)/P14</f>
        <v>4.5495873136187519E-2</v>
      </c>
    </row>
    <row r="15" spans="1:20">
      <c r="A15" s="142">
        <f t="shared" si="1"/>
        <v>6</v>
      </c>
      <c r="B15" s="142">
        <f>+B14</f>
        <v>100</v>
      </c>
      <c r="C15" s="142">
        <v>500</v>
      </c>
      <c r="D15" s="247">
        <f>ROUND((B$14*C15),0)</f>
        <v>50000</v>
      </c>
      <c r="F15" s="309">
        <f>+N$10+IF($D15&lt;20000,$D15*N$14,20000*N$14+($D15-20000)*N$16)+IF($B15&gt;50,($B15-50)*N$22,0)</f>
        <v>5649.0999999999995</v>
      </c>
      <c r="G15" s="309">
        <f>+P$10+IF($D15&lt;20000,$D15*P$14,20000*P$14+($D15-20000)*P$16)+IF($B15&gt;50,($B15-50)*P$22,0)</f>
        <v>6032.4579735286688</v>
      </c>
      <c r="H15" s="309">
        <f>+S$10+IF($D15&lt;20000,$D15*S$14,20000*S$14+($D15-20000)*S$16)+IF($B15&gt;50,($B15-50)*S$22,0)</f>
        <v>6489.6379295522793</v>
      </c>
      <c r="J15" s="187">
        <f t="shared" si="2"/>
        <v>6.8000000000000005E-2</v>
      </c>
      <c r="K15" s="187">
        <f t="shared" si="2"/>
        <v>7.5999999999999998E-2</v>
      </c>
      <c r="L15" s="187"/>
      <c r="M15" s="233"/>
      <c r="N15" s="274"/>
      <c r="O15" s="254"/>
      <c r="P15" s="325"/>
      <c r="Q15" s="308"/>
      <c r="R15" s="254"/>
      <c r="S15" s="325"/>
      <c r="T15" s="308"/>
    </row>
    <row r="16" spans="1:20">
      <c r="A16" s="142">
        <f t="shared" si="1"/>
        <v>7</v>
      </c>
      <c r="B16" s="142">
        <f>+B15</f>
        <v>100</v>
      </c>
      <c r="C16" s="142">
        <v>700</v>
      </c>
      <c r="D16" s="247">
        <f>ROUND((B$14*C16),0)</f>
        <v>70000</v>
      </c>
      <c r="F16" s="309">
        <f>+N$10+IF($D16&lt;20000,$D16*N$14,20000*N$14+($D16-20000)*N$16)+IF($B16&gt;50,($B16-50)*N$22,0)</f>
        <v>7457.2</v>
      </c>
      <c r="G16" s="309">
        <f>+P$10+IF($D16&lt;20000,$D16*P$14,20000*P$14+($D16-20000)*P$16)+IF($B16&gt;50,($B16-50)*P$22,0)</f>
        <v>8016.6105407694258</v>
      </c>
      <c r="H16" s="309">
        <f>+S$10+IF($D16&lt;20000,$D16*S$14,20000*S$14+($D16-20000)*S$16)+IF($B16&gt;50,($B16-50)*S$22,0)</f>
        <v>8580.6473010688442</v>
      </c>
      <c r="J16" s="187">
        <f t="shared" si="2"/>
        <v>7.4999999999999997E-2</v>
      </c>
      <c r="K16" s="187">
        <f t="shared" si="2"/>
        <v>7.0000000000000007E-2</v>
      </c>
      <c r="L16" s="187"/>
      <c r="M16" s="322" t="s">
        <v>51</v>
      </c>
      <c r="N16" s="274">
        <f>SUM(N31,N39:N53)</f>
        <v>9.0404999999999999E-2</v>
      </c>
      <c r="O16" s="254"/>
      <c r="P16" s="325">
        <f>SUM(P31,P39:P53)</f>
        <v>9.9207628362037822E-2</v>
      </c>
      <c r="Q16" s="308">
        <f>(P16-N16)/N16</f>
        <v>9.736882210096591E-2</v>
      </c>
      <c r="R16" s="254"/>
      <c r="S16" s="325">
        <f>SUM(S31,S39:S53)</f>
        <v>0.10455046857582825</v>
      </c>
      <c r="T16" s="308">
        <f>(S16-P16)/P16</f>
        <v>5.3855134952857008E-2</v>
      </c>
    </row>
    <row r="17" spans="1:20">
      <c r="A17" s="142">
        <f t="shared" si="1"/>
        <v>8</v>
      </c>
      <c r="F17" s="309"/>
      <c r="G17" s="309"/>
      <c r="H17" s="309"/>
      <c r="J17" s="187"/>
      <c r="K17" s="187"/>
      <c r="L17" s="254"/>
      <c r="M17" s="322"/>
      <c r="N17" s="274"/>
      <c r="O17" s="254"/>
      <c r="P17" s="325"/>
      <c r="Q17" s="308"/>
      <c r="R17" s="254"/>
      <c r="S17" s="325"/>
      <c r="T17" s="308"/>
    </row>
    <row r="18" spans="1:20">
      <c r="A18" s="142">
        <f t="shared" si="1"/>
        <v>9</v>
      </c>
      <c r="B18" s="142">
        <v>150</v>
      </c>
      <c r="C18" s="142">
        <v>300</v>
      </c>
      <c r="D18" s="247">
        <f>ROUND((B$18*C18),0)</f>
        <v>45000</v>
      </c>
      <c r="F18" s="309">
        <f>+N$10+IF($D18&lt;20000,$D18*N$14,20000*N$14+($D18-20000)*N$16)+IF($B18&gt;50,($B18-50)*N$22,0)</f>
        <v>5620.5749999999998</v>
      </c>
      <c r="G18" s="309">
        <f>+P$10+IF($D18&lt;20000,$D18*P$14,20000*P$14+($D18-20000)*P$16)+IF($B18&gt;50,($B18-50)*P$22,0)</f>
        <v>6085.919831718481</v>
      </c>
      <c r="H18" s="309">
        <f>+S$10+IF($D18&lt;20000,$D18*S$14,20000*S$14+($D18-20000)*S$16)+IF($B18&gt;50,($B18-50)*S$22,0)</f>
        <v>6681.3855866731374</v>
      </c>
      <c r="J18" s="187">
        <f t="shared" ref="J18:K20" si="3">ROUND((+G18-F18)/F18,3)</f>
        <v>8.3000000000000004E-2</v>
      </c>
      <c r="K18" s="187">
        <f t="shared" si="3"/>
        <v>9.8000000000000004E-2</v>
      </c>
      <c r="L18" s="187"/>
      <c r="M18" s="322" t="s">
        <v>50</v>
      </c>
      <c r="N18" s="274">
        <v>0</v>
      </c>
      <c r="O18" s="254"/>
      <c r="P18" s="325">
        <v>0</v>
      </c>
      <c r="Q18" s="308">
        <f>IFERROR((P18-N18)/N18,0)</f>
        <v>0</v>
      </c>
      <c r="R18" s="254"/>
      <c r="S18" s="325">
        <v>0</v>
      </c>
      <c r="T18" s="308">
        <f>IFERROR((S18-P18)/P18,0)</f>
        <v>0</v>
      </c>
    </row>
    <row r="19" spans="1:20">
      <c r="A19" s="142">
        <f t="shared" si="1"/>
        <v>10</v>
      </c>
      <c r="B19" s="142">
        <f>+B18</f>
        <v>150</v>
      </c>
      <c r="C19" s="142">
        <v>500</v>
      </c>
      <c r="D19" s="247">
        <f>ROUND((B$18*C19),0)</f>
        <v>75000</v>
      </c>
      <c r="F19" s="309">
        <f>+N$10+IF($D19&lt;20000,$D19*N$14,20000*N$14+($D19-20000)*N$16)+IF($B19&gt;50,($B19-50)*N$22,0)</f>
        <v>8332.7250000000004</v>
      </c>
      <c r="G19" s="309">
        <f>+P$10+IF($D19&lt;20000,$D19*P$14,20000*P$14+($D19-20000)*P$16)+IF($B19&gt;50,($B19-50)*P$22,0)</f>
        <v>9062.1486825796164</v>
      </c>
      <c r="H19" s="309">
        <f>+S$10+IF($D19&lt;20000,$D19*S$14,20000*S$14+($D19-20000)*S$16)+IF($B19&gt;50,($B19-50)*S$22,0)</f>
        <v>9817.8996439479852</v>
      </c>
      <c r="J19" s="187">
        <f t="shared" si="3"/>
        <v>8.7999999999999995E-2</v>
      </c>
      <c r="K19" s="187">
        <f t="shared" si="3"/>
        <v>8.3000000000000004E-2</v>
      </c>
      <c r="L19" s="187"/>
      <c r="M19" s="322"/>
      <c r="N19" s="274"/>
      <c r="O19" s="254"/>
      <c r="P19" s="325"/>
      <c r="Q19" s="308"/>
      <c r="R19" s="254"/>
      <c r="S19" s="325"/>
      <c r="T19" s="308"/>
    </row>
    <row r="20" spans="1:20">
      <c r="A20" s="142">
        <f t="shared" si="1"/>
        <v>11</v>
      </c>
      <c r="B20" s="142">
        <f>+B19</f>
        <v>150</v>
      </c>
      <c r="C20" s="142">
        <v>700</v>
      </c>
      <c r="D20" s="247">
        <f>ROUND((B$18*C20),0)</f>
        <v>105000</v>
      </c>
      <c r="F20" s="309">
        <f>+N$10+IF($D20&lt;20000,$D20*N$14,20000*N$14+($D20-20000)*N$16)+IF($B20&gt;50,($B20-50)*N$22,0)</f>
        <v>11044.875</v>
      </c>
      <c r="G20" s="309">
        <f>+P$10+IF($D20&lt;20000,$D20*P$14,20000*P$14+($D20-20000)*P$16)+IF($B20&gt;50,($B20-50)*P$22,0)</f>
        <v>12038.377533440749</v>
      </c>
      <c r="H20" s="309">
        <f>+S$10+IF($D20&lt;20000,$D20*S$14,20000*S$14+($D20-20000)*S$16)+IF($B20&gt;50,($B20-50)*S$22,0)</f>
        <v>12954.413701222835</v>
      </c>
      <c r="J20" s="187">
        <f t="shared" si="3"/>
        <v>0.09</v>
      </c>
      <c r="K20" s="187">
        <f t="shared" si="3"/>
        <v>7.5999999999999998E-2</v>
      </c>
      <c r="L20" s="187"/>
      <c r="M20" s="322" t="s">
        <v>49</v>
      </c>
      <c r="N20" s="274">
        <f>SUM(N33)</f>
        <v>10.119999999999999</v>
      </c>
      <c r="O20" s="254"/>
      <c r="P20" s="325">
        <f>SUM(P33)</f>
        <v>13.16</v>
      </c>
      <c r="Q20" s="308">
        <f>(P20-N20)/N20</f>
        <v>0.30039525691699615</v>
      </c>
      <c r="R20" s="254"/>
      <c r="S20" s="325">
        <f>SUM(S33)</f>
        <v>17.100000000000001</v>
      </c>
      <c r="T20" s="308">
        <f>(S20-P20)/P20</f>
        <v>0.29939209726443777</v>
      </c>
    </row>
    <row r="21" spans="1:20">
      <c r="A21" s="142">
        <f t="shared" si="1"/>
        <v>12</v>
      </c>
      <c r="F21" s="309"/>
      <c r="G21" s="309"/>
      <c r="H21" s="309"/>
      <c r="J21" s="187"/>
      <c r="K21" s="187"/>
      <c r="L21" s="254"/>
      <c r="M21" s="322" t="s">
        <v>48</v>
      </c>
      <c r="N21" s="274">
        <f>SUM(N34)</f>
        <v>6.75</v>
      </c>
      <c r="O21" s="254"/>
      <c r="P21" s="325">
        <f>SUM(P34)</f>
        <v>8.7799999999999994</v>
      </c>
      <c r="Q21" s="308">
        <f>(P21-N21)/N21</f>
        <v>0.30074074074074064</v>
      </c>
      <c r="R21" s="254"/>
      <c r="S21" s="325">
        <f>SUM(S34)</f>
        <v>11.41</v>
      </c>
      <c r="T21" s="308">
        <f>(S21-P21)/P21</f>
        <v>0.29954441913439644</v>
      </c>
    </row>
    <row r="22" spans="1:20">
      <c r="A22" s="142">
        <f t="shared" si="1"/>
        <v>13</v>
      </c>
      <c r="B22" s="142">
        <v>200</v>
      </c>
      <c r="C22" s="142">
        <v>300</v>
      </c>
      <c r="D22" s="247">
        <f>ROUND((B$22*C22),0)</f>
        <v>60000</v>
      </c>
      <c r="F22" s="309">
        <f>+N$10+IF($D22&lt;20000,$D22*N$14,20000*N$14+($D22-20000)*N$16)+IF($B22&gt;50,($B22-50)*N$22,0)</f>
        <v>7400.15</v>
      </c>
      <c r="G22" s="309">
        <f>+P$10+IF($D22&lt;20000,$D22*P$14,20000*P$14+($D22-20000)*P$16)+IF($B22&gt;50,($B22-50)*P$22,0)</f>
        <v>8123.5342571490482</v>
      </c>
      <c r="H22" s="309">
        <f>+S$10+IF($D22&lt;20000,$D22*S$14,20000*S$14+($D22-20000)*S$16)+IF($B22&gt;50,($B22-50)*S$22,0)</f>
        <v>8964.1426153105604</v>
      </c>
      <c r="J22" s="187">
        <f t="shared" ref="J22:K24" si="4">ROUND((+G22-F22)/F22,3)</f>
        <v>9.8000000000000004E-2</v>
      </c>
      <c r="K22" s="187">
        <f t="shared" si="4"/>
        <v>0.10299999999999999</v>
      </c>
      <c r="L22" s="187"/>
      <c r="M22" s="322" t="s">
        <v>47</v>
      </c>
      <c r="N22" s="274">
        <f>SUM(N35)</f>
        <v>8.4700000000000006</v>
      </c>
      <c r="O22" s="254"/>
      <c r="P22" s="325">
        <f>SUM(P35)</f>
        <v>10.99</v>
      </c>
      <c r="Q22" s="308">
        <f>(P22-N22)/N22</f>
        <v>0.29752066115702475</v>
      </c>
      <c r="R22" s="254"/>
      <c r="S22" s="325">
        <f>SUM(S35)</f>
        <v>14.29</v>
      </c>
      <c r="T22" s="308">
        <f>(S22-P22)/P22</f>
        <v>0.30027297543221099</v>
      </c>
    </row>
    <row r="23" spans="1:20">
      <c r="A23" s="142">
        <f t="shared" si="1"/>
        <v>14</v>
      </c>
      <c r="B23" s="142">
        <f>+B22</f>
        <v>200</v>
      </c>
      <c r="C23" s="142">
        <v>500</v>
      </c>
      <c r="D23" s="247">
        <f>ROUND((B$22*C23),0)</f>
        <v>100000</v>
      </c>
      <c r="F23" s="309">
        <f>+N$10+IF($D23&lt;20000,$D23*N$14,20000*N$14+($D23-20000)*N$16)+IF($B23&gt;50,($B23-50)*N$22,0)</f>
        <v>11016.35</v>
      </c>
      <c r="G23" s="309">
        <f>+P$10+IF($D23&lt;20000,$D23*P$14,20000*P$14+($D23-20000)*P$16)+IF($B23&gt;50,($B23-50)*P$22,0)</f>
        <v>12091.839391630559</v>
      </c>
      <c r="H23" s="309">
        <f>+S$10+IF($D23&lt;20000,$D23*S$14,20000*S$14+($D23-20000)*S$16)+IF($B23&gt;50,($B23-50)*S$22,0)</f>
        <v>13146.161358343692</v>
      </c>
      <c r="J23" s="187">
        <f t="shared" si="4"/>
        <v>9.8000000000000004E-2</v>
      </c>
      <c r="K23" s="187">
        <f t="shared" si="4"/>
        <v>8.6999999999999994E-2</v>
      </c>
      <c r="L23" s="187"/>
      <c r="M23" s="233"/>
      <c r="N23" s="274"/>
      <c r="O23" s="254"/>
      <c r="P23" s="325"/>
      <c r="Q23" s="308"/>
      <c r="R23" s="254"/>
      <c r="S23" s="325"/>
      <c r="T23" s="308"/>
    </row>
    <row r="24" spans="1:20">
      <c r="A24" s="142">
        <f t="shared" si="1"/>
        <v>15</v>
      </c>
      <c r="B24" s="142">
        <f>+B23</f>
        <v>200</v>
      </c>
      <c r="C24" s="142">
        <v>700</v>
      </c>
      <c r="D24" s="247">
        <f>ROUND((B$22*C24),0)</f>
        <v>140000</v>
      </c>
      <c r="F24" s="309">
        <f>+N$10+IF($D24&lt;20000,$D24*N$14,20000*N$14+($D24-20000)*N$16)+IF($B24&gt;50,($B24-50)*N$22,0)</f>
        <v>14632.550000000001</v>
      </c>
      <c r="G24" s="309">
        <f>+P$10+IF($D24&lt;20000,$D24*P$14,20000*P$14+($D24-20000)*P$16)+IF($B24&gt;50,($B24-50)*P$22,0)</f>
        <v>16060.144526112072</v>
      </c>
      <c r="H24" s="309">
        <f>+S$10+IF($D24&lt;20000,$D24*S$14,20000*S$14+($D24-20000)*S$16)+IF($B24&gt;50,($B24-50)*S$22,0)</f>
        <v>17328.180101376824</v>
      </c>
      <c r="J24" s="187">
        <f t="shared" si="4"/>
        <v>9.8000000000000004E-2</v>
      </c>
      <c r="K24" s="187">
        <f t="shared" si="4"/>
        <v>7.9000000000000001E-2</v>
      </c>
      <c r="L24" s="187"/>
      <c r="M24" s="233" t="s">
        <v>46</v>
      </c>
      <c r="N24" s="274">
        <f>SUM(N36)</f>
        <v>3.1800000000000001E-3</v>
      </c>
      <c r="O24" s="254"/>
      <c r="P24" s="325">
        <f>SUM(P36)</f>
        <v>4.13E-3</v>
      </c>
      <c r="Q24" s="308">
        <f>(P24-N24)/N24</f>
        <v>0.29874213836477981</v>
      </c>
      <c r="R24" s="254"/>
      <c r="S24" s="325">
        <f>SUM(S36)</f>
        <v>5.3699999999999998E-3</v>
      </c>
      <c r="T24" s="308">
        <f>(S24-P24)/P24</f>
        <v>0.3002421307506053</v>
      </c>
    </row>
    <row r="25" spans="1:20">
      <c r="A25" s="142">
        <f t="shared" si="1"/>
        <v>16</v>
      </c>
      <c r="F25" s="309"/>
      <c r="G25" s="309"/>
      <c r="H25" s="309"/>
      <c r="J25" s="187"/>
      <c r="K25" s="187"/>
      <c r="L25" s="254"/>
      <c r="M25" s="233"/>
      <c r="N25" s="274"/>
      <c r="O25" s="254"/>
      <c r="P25" s="325"/>
      <c r="Q25" s="308"/>
      <c r="R25" s="254"/>
      <c r="S25" s="325"/>
      <c r="T25" s="308"/>
    </row>
    <row r="26" spans="1:20">
      <c r="A26" s="142">
        <f t="shared" si="1"/>
        <v>17</v>
      </c>
      <c r="B26" s="142">
        <v>250</v>
      </c>
      <c r="C26" s="142">
        <v>300</v>
      </c>
      <c r="D26" s="247">
        <f>ROUND((B$26*C26),0)</f>
        <v>75000</v>
      </c>
      <c r="F26" s="309">
        <f>+N$10+IF($D26&lt;20000,$D26*N$14,20000*N$14+($D26-20000)*N$16)+IF($B26&gt;50,($B26-50)*N$22,0)</f>
        <v>9179.7250000000004</v>
      </c>
      <c r="G26" s="309">
        <f>+P$10+IF($D26&lt;20000,$D26*P$14,20000*P$14+($D26-20000)*P$16)+IF($B26&gt;50,($B26-50)*P$22,0)</f>
        <v>10161.148682579616</v>
      </c>
      <c r="H26" s="309">
        <f>+S$10+IF($D26&lt;20000,$D26*S$14,20000*S$14+($D26-20000)*S$16)+IF($B26&gt;50,($B26-50)*S$22,0)</f>
        <v>11246.899643947985</v>
      </c>
      <c r="J26" s="187">
        <f t="shared" ref="J26:K28" si="5">ROUND((+G26-F26)/F26,3)</f>
        <v>0.107</v>
      </c>
      <c r="K26" s="187">
        <f t="shared" si="5"/>
        <v>0.107</v>
      </c>
      <c r="L26" s="187"/>
      <c r="M26" s="233"/>
      <c r="N26" s="274"/>
      <c r="O26" s="254"/>
      <c r="P26" s="325"/>
      <c r="Q26" s="308"/>
      <c r="R26" s="254"/>
      <c r="S26" s="325"/>
      <c r="T26" s="308"/>
    </row>
    <row r="27" spans="1:20">
      <c r="A27" s="142">
        <f t="shared" si="1"/>
        <v>18</v>
      </c>
      <c r="B27" s="142">
        <f>+B26</f>
        <v>250</v>
      </c>
      <c r="C27" s="142">
        <v>500</v>
      </c>
      <c r="D27" s="247">
        <f>ROUND((B$26*C27),0)</f>
        <v>125000</v>
      </c>
      <c r="F27" s="309">
        <f>+N$10+IF($D27&lt;20000,$D27*N$14,20000*N$14+($D27-20000)*N$16)+IF($B27&gt;50,($B27-50)*N$22,0)</f>
        <v>13699.975</v>
      </c>
      <c r="G27" s="309">
        <f>+P$10+IF($D27&lt;20000,$D27*P$14,20000*P$14+($D27-20000)*P$16)+IF($B27&gt;50,($B27-50)*P$22,0)</f>
        <v>15121.530100681504</v>
      </c>
      <c r="H27" s="309">
        <f>+S$10+IF($D27&lt;20000,$D27*S$14,20000*S$14+($D27-20000)*S$16)+IF($B27&gt;50,($B27-50)*S$22,0)</f>
        <v>16474.423072739399</v>
      </c>
      <c r="J27" s="187">
        <f t="shared" si="5"/>
        <v>0.104</v>
      </c>
      <c r="K27" s="187">
        <f t="shared" si="5"/>
        <v>8.8999999999999996E-2</v>
      </c>
      <c r="L27" s="187"/>
      <c r="M27" s="233" t="str">
        <f>+M10</f>
        <v>Basic Charge</v>
      </c>
      <c r="N27" s="318">
        <v>53.95</v>
      </c>
      <c r="O27" s="254"/>
      <c r="P27" s="317">
        <v>70.14</v>
      </c>
      <c r="Q27" s="308">
        <f>(P27-N27)/N27</f>
        <v>0.30009267840593135</v>
      </c>
      <c r="R27" s="254"/>
      <c r="S27" s="317">
        <v>91.18</v>
      </c>
      <c r="T27" s="308">
        <f>(S27-P27)/P27</f>
        <v>0.29997148560022818</v>
      </c>
    </row>
    <row r="28" spans="1:20">
      <c r="A28" s="142">
        <f t="shared" si="1"/>
        <v>19</v>
      </c>
      <c r="B28" s="142">
        <f>+B27</f>
        <v>250</v>
      </c>
      <c r="C28" s="142">
        <v>700</v>
      </c>
      <c r="D28" s="247">
        <f>ROUND((B$26*C28),0)</f>
        <v>175000</v>
      </c>
      <c r="F28" s="309">
        <f>+N$10+IF($D28&lt;20000,$D28*N$14,20000*N$14+($D28-20000)*N$16)+IF($B28&gt;50,($B28-50)*N$22,0)</f>
        <v>18220.225000000002</v>
      </c>
      <c r="G28" s="309">
        <f>+P$10+IF($D28&lt;20000,$D28*P$14,20000*P$14+($D28-20000)*P$16)+IF($B28&gt;50,($B28-50)*P$22,0)</f>
        <v>20081.911518783396</v>
      </c>
      <c r="H28" s="309">
        <f>+S$10+IF($D28&lt;20000,$D28*S$14,20000*S$14+($D28-20000)*S$16)+IF($B28&gt;50,($B28-50)*S$22,0)</f>
        <v>21701.946501530812</v>
      </c>
      <c r="J28" s="187">
        <f t="shared" si="5"/>
        <v>0.10199999999999999</v>
      </c>
      <c r="K28" s="187">
        <f t="shared" si="5"/>
        <v>8.1000000000000003E-2</v>
      </c>
      <c r="L28" s="187"/>
      <c r="M28" s="233" t="str">
        <f>+M12</f>
        <v>Winter kWh - First 20,000</v>
      </c>
      <c r="N28" s="352">
        <v>9.0594999999999995E-2</v>
      </c>
      <c r="O28" s="254"/>
      <c r="P28" s="354">
        <v>0.110684</v>
      </c>
      <c r="Q28" s="308">
        <f>(P28-N28)/N28</f>
        <v>0.22174512942215366</v>
      </c>
      <c r="R28" s="254"/>
      <c r="S28" s="354">
        <v>0.115771</v>
      </c>
      <c r="T28" s="308">
        <f>(S28-P28)/P28</f>
        <v>4.595966896751106E-2</v>
      </c>
    </row>
    <row r="29" spans="1:20">
      <c r="A29" s="142">
        <f t="shared" si="1"/>
        <v>20</v>
      </c>
      <c r="F29" s="309"/>
      <c r="G29" s="309"/>
      <c r="H29" s="309"/>
      <c r="J29" s="187"/>
      <c r="K29" s="187"/>
      <c r="L29" s="254"/>
      <c r="M29" s="233" t="str">
        <f>+M13</f>
        <v>Summer kWh - First 20,000</v>
      </c>
      <c r="N29" s="352">
        <v>8.1648999999999999E-2</v>
      </c>
      <c r="O29" s="254"/>
      <c r="P29" s="354">
        <v>0.101738</v>
      </c>
      <c r="Q29" s="308">
        <f>(P29-N29)/N29</f>
        <v>0.24604098029369614</v>
      </c>
      <c r="R29" s="254"/>
      <c r="S29" s="354">
        <v>0.106825</v>
      </c>
      <c r="T29" s="308">
        <f>(S29-P29)/P29</f>
        <v>5.0000982916904288E-2</v>
      </c>
    </row>
    <row r="30" spans="1:20">
      <c r="A30" s="142">
        <f t="shared" si="1"/>
        <v>21</v>
      </c>
      <c r="B30" s="142">
        <v>300</v>
      </c>
      <c r="C30" s="142">
        <v>300</v>
      </c>
      <c r="D30" s="247">
        <f>ROUND((B$30*C30),0)</f>
        <v>90000</v>
      </c>
      <c r="F30" s="309">
        <f>+N$10+IF($D30&lt;20000,$D30*N$14,20000*N$14+($D30-20000)*N$16)+IF($B30&gt;50,($B30-50)*N$22,0)</f>
        <v>10959.300000000001</v>
      </c>
      <c r="G30" s="309">
        <f>+P$10+IF($D30&lt;20000,$D30*P$14,20000*P$14+($D30-20000)*P$16)+IF($B30&gt;50,($B30-50)*P$22,0)</f>
        <v>12198.763108010182</v>
      </c>
      <c r="H30" s="309">
        <f>+S$10+IF($D30&lt;20000,$D30*S$14,20000*S$14+($D30-20000)*S$16)+IF($B30&gt;50,($B30-50)*S$22,0)</f>
        <v>13529.65667258541</v>
      </c>
      <c r="J30" s="187">
        <f t="shared" ref="J30:K32" si="6">ROUND((+G30-F30)/F30,3)</f>
        <v>0.113</v>
      </c>
      <c r="K30" s="187">
        <f t="shared" si="6"/>
        <v>0.109</v>
      </c>
      <c r="L30" s="187"/>
      <c r="M30" s="233" t="str">
        <f>+M14</f>
        <v>Average kWh - First 20,000</v>
      </c>
      <c r="N30" s="352">
        <v>8.6176000000000003E-2</v>
      </c>
      <c r="O30" s="254"/>
      <c r="P30" s="354">
        <v>0.103829</v>
      </c>
      <c r="Q30" s="308">
        <f>(P30-N30)/N30</f>
        <v>0.20484821760118829</v>
      </c>
      <c r="R30" s="254"/>
      <c r="S30" s="354">
        <v>0.109113</v>
      </c>
      <c r="T30" s="308">
        <f>(S30-P30)/P30</f>
        <v>5.0891369463252047E-2</v>
      </c>
    </row>
    <row r="31" spans="1:20">
      <c r="A31" s="142">
        <f t="shared" si="1"/>
        <v>22</v>
      </c>
      <c r="B31" s="142">
        <f>+B30</f>
        <v>300</v>
      </c>
      <c r="C31" s="142">
        <v>500</v>
      </c>
      <c r="D31" s="247">
        <f>ROUND((B$30*C31),0)</f>
        <v>150000</v>
      </c>
      <c r="F31" s="309">
        <f>+N$10+IF($D31&lt;20000,$D31*N$14,20000*N$14+($D31-20000)*N$16)+IF($B31&gt;50,($B31-50)*N$22,0)</f>
        <v>16383.6</v>
      </c>
      <c r="G31" s="309">
        <f>+P$10+IF($D31&lt;20000,$D31*P$14,20000*P$14+($D31-20000)*P$16)+IF($B31&gt;50,($B31-50)*P$22,0)</f>
        <v>18151.220809732451</v>
      </c>
      <c r="H31" s="309">
        <f>+S$10+IF($D31&lt;20000,$D31*S$14,20000*S$14+($D31-20000)*S$16)+IF($B31&gt;50,($B31-50)*S$22,0)</f>
        <v>19802.684787135106</v>
      </c>
      <c r="J31" s="187">
        <f t="shared" si="6"/>
        <v>0.108</v>
      </c>
      <c r="K31" s="187">
        <f t="shared" si="6"/>
        <v>9.0999999999999998E-2</v>
      </c>
      <c r="L31" s="187"/>
      <c r="M31" s="233" t="str">
        <f>+M16</f>
        <v>kWh - All Over 20,000</v>
      </c>
      <c r="N31" s="352">
        <v>6.4577999999999997E-2</v>
      </c>
      <c r="O31" s="254"/>
      <c r="P31" s="354">
        <v>8.4667000000000006E-2</v>
      </c>
      <c r="Q31" s="308">
        <f>(P31-N31)/N31</f>
        <v>0.3110811731549446</v>
      </c>
      <c r="R31" s="254"/>
      <c r="S31" s="354">
        <v>8.9754E-2</v>
      </c>
      <c r="T31" s="308">
        <f>(S31-P31)/P31</f>
        <v>6.0082440620312448E-2</v>
      </c>
    </row>
    <row r="32" spans="1:20">
      <c r="A32" s="142">
        <f t="shared" si="1"/>
        <v>23</v>
      </c>
      <c r="B32" s="142">
        <f>+B31</f>
        <v>300</v>
      </c>
      <c r="C32" s="142">
        <v>700</v>
      </c>
      <c r="D32" s="247">
        <f>ROUND((B$30*C32),0)</f>
        <v>210000</v>
      </c>
      <c r="F32" s="309">
        <f>+N$10+IF($D32&lt;20000,$D32*N$14,20000*N$14+($D32-20000)*N$16)+IF($B32&gt;50,($B32-50)*N$22,0)</f>
        <v>21807.9</v>
      </c>
      <c r="G32" s="309">
        <f>+P$10+IF($D32&lt;20000,$D32*P$14,20000*P$14+($D32-20000)*P$16)+IF($B32&gt;50,($B32-50)*P$22,0)</f>
        <v>24103.67851145472</v>
      </c>
      <c r="H32" s="309">
        <f>+S$10+IF($D32&lt;20000,$D32*S$14,20000*S$14+($D32-20000)*S$16)+IF($B32&gt;50,($B32-50)*S$22,0)</f>
        <v>26075.712901684801</v>
      </c>
      <c r="J32" s="187">
        <f t="shared" si="6"/>
        <v>0.105</v>
      </c>
      <c r="K32" s="187">
        <f t="shared" si="6"/>
        <v>8.2000000000000003E-2</v>
      </c>
      <c r="L32" s="187"/>
      <c r="M32" s="233" t="str">
        <f>+M18</f>
        <v>kW - First 50</v>
      </c>
      <c r="N32" s="318">
        <v>0</v>
      </c>
      <c r="P32" s="317">
        <v>0</v>
      </c>
      <c r="Q32" s="308">
        <f>IFERROR((P32-N32)/N32,0)</f>
        <v>0</v>
      </c>
      <c r="S32" s="317">
        <v>0</v>
      </c>
      <c r="T32" s="308">
        <f>IFERROR((S32-P32)/P32,0)</f>
        <v>0</v>
      </c>
    </row>
    <row r="33" spans="1:20">
      <c r="A33" s="142">
        <f t="shared" si="1"/>
        <v>24</v>
      </c>
      <c r="F33" s="309"/>
      <c r="G33" s="309"/>
      <c r="H33" s="309"/>
      <c r="J33" s="187"/>
      <c r="K33" s="187"/>
      <c r="L33" s="254"/>
      <c r="M33" s="233" t="str">
        <f>+M20</f>
        <v>Winter kW - Over 50</v>
      </c>
      <c r="N33" s="318">
        <v>10.119999999999999</v>
      </c>
      <c r="O33" s="254"/>
      <c r="P33" s="317">
        <v>13.16</v>
      </c>
      <c r="Q33" s="308">
        <f>(P33-N33)/N33</f>
        <v>0.30039525691699615</v>
      </c>
      <c r="R33" s="254"/>
      <c r="S33" s="317">
        <v>17.100000000000001</v>
      </c>
      <c r="T33" s="308">
        <f>(S33-P33)/P33</f>
        <v>0.29939209726443777</v>
      </c>
    </row>
    <row r="34" spans="1:20">
      <c r="A34" s="142">
        <f t="shared" si="1"/>
        <v>25</v>
      </c>
      <c r="B34" s="142">
        <v>350</v>
      </c>
      <c r="C34" s="142">
        <v>300</v>
      </c>
      <c r="D34" s="247">
        <f>ROUND((B$34*C34),0)</f>
        <v>105000</v>
      </c>
      <c r="F34" s="309">
        <f>+N$10+IF($D34&lt;20000,$D34*N$14,20000*N$14+($D34-20000)*N$16)+IF($B34&gt;50,($B34-50)*N$22,0)</f>
        <v>12738.875</v>
      </c>
      <c r="G34" s="309">
        <f>+P$10+IF($D34&lt;20000,$D34*P$14,20000*P$14+($D34-20000)*P$16)+IF($B34&gt;50,($B34-50)*P$22,0)</f>
        <v>14236.377533440749</v>
      </c>
      <c r="H34" s="309">
        <f>+S$10+IF($D34&lt;20000,$D34*S$14,20000*S$14+($D34-20000)*S$16)+IF($B34&gt;50,($B34-50)*S$22,0)</f>
        <v>15812.413701222835</v>
      </c>
      <c r="J34" s="187">
        <f t="shared" ref="J34:K36" si="7">ROUND((+G34-F34)/F34,3)</f>
        <v>0.11799999999999999</v>
      </c>
      <c r="K34" s="187">
        <f t="shared" si="7"/>
        <v>0.111</v>
      </c>
      <c r="L34" s="187"/>
      <c r="M34" s="233" t="str">
        <f>+M21</f>
        <v>Summer kW - Over 50</v>
      </c>
      <c r="N34" s="318">
        <v>6.75</v>
      </c>
      <c r="O34" s="254"/>
      <c r="P34" s="317">
        <v>8.7799999999999994</v>
      </c>
      <c r="Q34" s="308">
        <f>(P34-N34)/N34</f>
        <v>0.30074074074074064</v>
      </c>
      <c r="R34" s="254"/>
      <c r="S34" s="317">
        <v>11.41</v>
      </c>
      <c r="T34" s="308">
        <f>(S34-P34)/P34</f>
        <v>0.29954441913439644</v>
      </c>
    </row>
    <row r="35" spans="1:20">
      <c r="A35" s="142">
        <f t="shared" si="1"/>
        <v>26</v>
      </c>
      <c r="B35" s="142">
        <f>+B34</f>
        <v>350</v>
      </c>
      <c r="C35" s="142">
        <v>500</v>
      </c>
      <c r="D35" s="247">
        <f>ROUND((B$34*C35),0)</f>
        <v>175000</v>
      </c>
      <c r="F35" s="309">
        <f>+N$10+IF($D35&lt;20000,$D35*N$14,20000*N$14+($D35-20000)*N$16)+IF($B35&gt;50,($B35-50)*N$22,0)</f>
        <v>19067.225000000002</v>
      </c>
      <c r="G35" s="309">
        <f>+P$10+IF($D35&lt;20000,$D35*P$14,20000*P$14+($D35-20000)*P$16)+IF($B35&gt;50,($B35-50)*P$22,0)</f>
        <v>21180.911518783396</v>
      </c>
      <c r="H35" s="309">
        <f>+S$10+IF($D35&lt;20000,$D35*S$14,20000*S$14+($D35-20000)*S$16)+IF($B35&gt;50,($B35-50)*S$22,0)</f>
        <v>23130.946501530812</v>
      </c>
      <c r="J35" s="187">
        <f t="shared" si="7"/>
        <v>0.111</v>
      </c>
      <c r="K35" s="187">
        <f t="shared" si="7"/>
        <v>9.1999999999999998E-2</v>
      </c>
      <c r="L35" s="187"/>
      <c r="M35" s="233" t="str">
        <f>+M22</f>
        <v>Average kW - Over 50</v>
      </c>
      <c r="N35" s="318">
        <v>8.4700000000000006</v>
      </c>
      <c r="O35" s="254"/>
      <c r="P35" s="317">
        <v>10.99</v>
      </c>
      <c r="Q35" s="308">
        <f>(P35-N35)/N35</f>
        <v>0.29752066115702475</v>
      </c>
      <c r="R35" s="254"/>
      <c r="S35" s="317">
        <v>14.29</v>
      </c>
      <c r="T35" s="308">
        <f>(S35-P35)/P35</f>
        <v>0.30027297543221099</v>
      </c>
    </row>
    <row r="36" spans="1:20">
      <c r="A36" s="142">
        <f t="shared" si="1"/>
        <v>27</v>
      </c>
      <c r="B36" s="142">
        <f>+B35</f>
        <v>350</v>
      </c>
      <c r="C36" s="142">
        <v>700</v>
      </c>
      <c r="D36" s="247">
        <f>ROUND((B$34*C36),0)</f>
        <v>245000</v>
      </c>
      <c r="F36" s="309">
        <f>+N$10+IF($D36&lt;20000,$D36*N$14,20000*N$14+($D36-20000)*N$16)+IF($B36&gt;50,($B36-50)*N$22,0)</f>
        <v>25395.575000000001</v>
      </c>
      <c r="G36" s="309">
        <f>+P$10+IF($D36&lt;20000,$D36*P$14,20000*P$14+($D36-20000)*P$16)+IF($B36&gt;50,($B36-50)*P$22,0)</f>
        <v>28125.445504126044</v>
      </c>
      <c r="H36" s="309">
        <f>+S$10+IF($D36&lt;20000,$D36*S$14,20000*S$14+($D36-20000)*S$16)+IF($B36&gt;50,($B36-50)*S$22,0)</f>
        <v>30449.47930183879</v>
      </c>
      <c r="J36" s="187">
        <f t="shared" si="7"/>
        <v>0.107</v>
      </c>
      <c r="K36" s="187">
        <f t="shared" si="7"/>
        <v>8.3000000000000004E-2</v>
      </c>
      <c r="L36" s="187"/>
      <c r="M36" s="233" t="str">
        <f>+M24</f>
        <v>kVarh</v>
      </c>
      <c r="N36" s="352">
        <v>3.1800000000000001E-3</v>
      </c>
      <c r="P36" s="354">
        <v>4.13E-3</v>
      </c>
      <c r="Q36" s="308">
        <f>(P36-N36)/N36</f>
        <v>0.29874213836477981</v>
      </c>
      <c r="S36" s="354">
        <v>5.3699999999999998E-3</v>
      </c>
      <c r="T36" s="308">
        <f>(S36-P36)/P36</f>
        <v>0.3002421307506053</v>
      </c>
    </row>
    <row r="37" spans="1:20">
      <c r="A37" s="142">
        <f t="shared" si="1"/>
        <v>28</v>
      </c>
      <c r="B37" s="244"/>
      <c r="C37" s="244"/>
      <c r="D37" s="244"/>
      <c r="E37" s="244"/>
      <c r="F37" s="244"/>
      <c r="G37" s="244"/>
      <c r="H37" s="244"/>
      <c r="I37" s="244"/>
      <c r="J37" s="244"/>
      <c r="K37" s="244"/>
      <c r="M37" s="233"/>
      <c r="N37" s="235"/>
      <c r="P37" s="233"/>
      <c r="Q37" s="235"/>
      <c r="S37" s="233"/>
      <c r="T37" s="235"/>
    </row>
    <row r="38" spans="1:20">
      <c r="A38" s="142">
        <f t="shared" si="1"/>
        <v>29</v>
      </c>
      <c r="M38" s="312" t="str">
        <f>'Exh CTM-8 (Schedule 24 Impacts)'!U23</f>
        <v xml:space="preserve">Schedule 95 Power Cost
</v>
      </c>
      <c r="N38" s="251">
        <f>'Sch 95'!$E$15</f>
        <v>7.5240000000000003E-3</v>
      </c>
      <c r="O38" s="258"/>
      <c r="P38" s="249">
        <f>'Sch 95'!$I$15</f>
        <v>0</v>
      </c>
      <c r="Q38" s="311"/>
      <c r="R38" s="258"/>
      <c r="S38" s="249">
        <f>'Sch 95'!$M$15</f>
        <v>0</v>
      </c>
      <c r="T38" s="308"/>
    </row>
    <row r="39" spans="1:20">
      <c r="A39" s="142">
        <f t="shared" si="1"/>
        <v>30</v>
      </c>
      <c r="M39" s="307" t="str">
        <f>'Exh CTM-8 (Schedule 24 Impacts)'!U24</f>
        <v>Schedule 95 PCA Imbalance</v>
      </c>
      <c r="N39" s="240">
        <f>'Sch 95 Imbalance'!$E$15</f>
        <v>3.2850000000000002E-3</v>
      </c>
      <c r="O39" s="254"/>
      <c r="P39" s="238">
        <f>'Sch 95 Imbalance'!$I$15</f>
        <v>3.2850000000000002E-3</v>
      </c>
      <c r="Q39" s="308"/>
      <c r="R39" s="254"/>
      <c r="S39" s="238">
        <f>'Sch 95 Imbalance'!$M$15</f>
        <v>3.2850000000000002E-3</v>
      </c>
      <c r="T39" s="308"/>
    </row>
    <row r="40" spans="1:20">
      <c r="A40" s="142">
        <f t="shared" si="1"/>
        <v>31</v>
      </c>
      <c r="B40" s="513"/>
      <c r="C40" s="513"/>
      <c r="D40" s="513"/>
      <c r="E40" s="513"/>
      <c r="F40" s="513"/>
      <c r="G40" s="513"/>
      <c r="H40" s="513"/>
      <c r="I40" s="513"/>
      <c r="J40" s="513"/>
      <c r="K40" s="149"/>
      <c r="L40" s="149"/>
      <c r="M40" s="307" t="str">
        <f>'Exh CTM-8 (Schedule 24 Impacts)'!U25</f>
        <v>Schedule 95A Federal Incentive Credit</v>
      </c>
      <c r="N40" s="240">
        <f>'Sch 95a'!$E$15</f>
        <v>0</v>
      </c>
      <c r="O40" s="254"/>
      <c r="P40" s="238">
        <f>'Sch 95a'!$I$15</f>
        <v>0</v>
      </c>
      <c r="Q40" s="308"/>
      <c r="R40" s="254"/>
      <c r="S40" s="238">
        <f>'Sch 95a'!$M$15</f>
        <v>0</v>
      </c>
      <c r="T40" s="308"/>
    </row>
    <row r="41" spans="1:20">
      <c r="A41" s="142">
        <f t="shared" si="1"/>
        <v>32</v>
      </c>
      <c r="B41" s="513"/>
      <c r="C41" s="513"/>
      <c r="D41" s="513"/>
      <c r="E41" s="513"/>
      <c r="F41" s="513"/>
      <c r="G41" s="513"/>
      <c r="H41" s="513"/>
      <c r="I41" s="513"/>
      <c r="J41" s="513"/>
      <c r="K41" s="149"/>
      <c r="L41" s="149"/>
      <c r="M41" s="307" t="str">
        <f>'Exh CTM-8 (Schedule 24 Impacts)'!U26</f>
        <v>Schedule 120 Conservation</v>
      </c>
      <c r="N41" s="240">
        <f>'Sch 120'!$E$15</f>
        <v>4.3480000000000003E-3</v>
      </c>
      <c r="P41" s="238">
        <f>'Sch 120'!$I$15</f>
        <v>4.3480000000000003E-3</v>
      </c>
      <c r="Q41" s="235"/>
      <c r="S41" s="238">
        <f>'Sch 120'!$M$15</f>
        <v>4.3480000000000003E-3</v>
      </c>
      <c r="T41" s="235"/>
    </row>
    <row r="42" spans="1:20">
      <c r="A42" s="142">
        <f t="shared" si="1"/>
        <v>33</v>
      </c>
      <c r="B42" s="513"/>
      <c r="C42" s="513"/>
      <c r="D42" s="513"/>
      <c r="E42" s="513"/>
      <c r="F42" s="513"/>
      <c r="G42" s="513"/>
      <c r="H42" s="513"/>
      <c r="I42" s="513"/>
      <c r="J42" s="513"/>
      <c r="K42" s="149"/>
      <c r="L42" s="149"/>
      <c r="M42" s="307" t="str">
        <f>'Exh CTM-8 (Schedule 24 Impacts)'!U27</f>
        <v>Schedule 129 Low Income</v>
      </c>
      <c r="N42" s="240">
        <f>'Sch 129'!$E$15</f>
        <v>1.222E-3</v>
      </c>
      <c r="O42" s="254"/>
      <c r="P42" s="238">
        <f>'Sch 129'!$I$15</f>
        <v>1.222E-3</v>
      </c>
      <c r="Q42" s="308"/>
      <c r="R42" s="254"/>
      <c r="S42" s="238">
        <f>'Sch 129'!$M$15</f>
        <v>1.222E-3</v>
      </c>
      <c r="T42" s="308"/>
    </row>
    <row r="43" spans="1:20">
      <c r="A43" s="142">
        <f t="shared" si="1"/>
        <v>34</v>
      </c>
      <c r="B43" s="513"/>
      <c r="C43" s="513"/>
      <c r="D43" s="513"/>
      <c r="E43" s="513"/>
      <c r="F43" s="513"/>
      <c r="G43" s="513"/>
      <c r="H43" s="513"/>
      <c r="I43" s="513"/>
      <c r="J43" s="513"/>
      <c r="K43" s="149"/>
      <c r="L43" s="149"/>
      <c r="M43" s="307" t="str">
        <f>'Exh CTM-8 (Schedule 24 Impacts)'!U28</f>
        <v>Schedule 129D Bill Discount</v>
      </c>
      <c r="N43" s="240">
        <f>'Sch 129D'!$E$15</f>
        <v>5.1999999999999995E-4</v>
      </c>
      <c r="O43" s="254"/>
      <c r="P43" s="238">
        <f>'Sch 129D'!$I$15</f>
        <v>5.1999999999999995E-4</v>
      </c>
      <c r="Q43" s="308"/>
      <c r="R43" s="254"/>
      <c r="S43" s="238">
        <f>'Sch 129D'!$M$15</f>
        <v>5.1999999999999995E-4</v>
      </c>
      <c r="T43" s="308"/>
    </row>
    <row r="44" spans="1:20">
      <c r="A44" s="142">
        <f t="shared" si="1"/>
        <v>35</v>
      </c>
      <c r="M44" s="312" t="str">
        <f>'Exh CTM-8 (Schedule 24 Impacts)'!U29</f>
        <v>Schedule 137 REC</v>
      </c>
      <c r="N44" s="251">
        <f>'Sch 137'!$E$15</f>
        <v>6.9999999999999999E-6</v>
      </c>
      <c r="O44" s="258"/>
      <c r="P44" s="249">
        <f>'Sch 137'!$I$15</f>
        <v>0</v>
      </c>
      <c r="Q44" s="311"/>
      <c r="R44" s="258"/>
      <c r="S44" s="249">
        <f>'Sch 137'!$M$15</f>
        <v>0</v>
      </c>
      <c r="T44" s="308"/>
    </row>
    <row r="45" spans="1:20">
      <c r="A45" s="142">
        <f t="shared" si="1"/>
        <v>36</v>
      </c>
      <c r="B45" s="149"/>
      <c r="M45" s="307" t="str">
        <f>'Exh CTM-8 (Schedule 24 Impacts)'!U30</f>
        <v>Schedule 140 Property Tax</v>
      </c>
      <c r="N45" s="240">
        <f>'Sch 140'!$E$15</f>
        <v>1.98E-3</v>
      </c>
      <c r="O45" s="254"/>
      <c r="P45" s="238">
        <f>'Sch 140'!$I$15</f>
        <v>1.98E-3</v>
      </c>
      <c r="Q45" s="308"/>
      <c r="R45" s="254"/>
      <c r="S45" s="238">
        <f>'Sch 140'!$M$15</f>
        <v>1.98E-3</v>
      </c>
      <c r="T45" s="308"/>
    </row>
    <row r="46" spans="1:20">
      <c r="A46" s="142">
        <f t="shared" si="1"/>
        <v>37</v>
      </c>
      <c r="M46" s="307" t="str">
        <f>'Exh CTM-8 (Schedule 24 Impacts)'!U31</f>
        <v>Schedule 141 ERF</v>
      </c>
      <c r="N46" s="240">
        <f>'Sch 141'!$E$15</f>
        <v>0</v>
      </c>
      <c r="O46" s="254"/>
      <c r="P46" s="238">
        <f>'Sch 141'!$I$15</f>
        <v>0</v>
      </c>
      <c r="Q46" s="308"/>
      <c r="R46" s="254"/>
      <c r="S46" s="238">
        <f>'Sch 141'!$M$15</f>
        <v>0</v>
      </c>
      <c r="T46" s="308"/>
    </row>
    <row r="47" spans="1:20">
      <c r="A47" s="142">
        <f t="shared" si="1"/>
        <v>38</v>
      </c>
      <c r="M47" s="307" t="str">
        <f>'Exh CTM-8 (Schedule 24 Impacts)'!U32</f>
        <v>Schedule 141A Energy Charge Credit</v>
      </c>
      <c r="N47" s="240">
        <f>'Sch 141A'!$F$15</f>
        <v>1.6720000000000001E-3</v>
      </c>
      <c r="P47" s="238">
        <f>'Sch 141A'!$J$15</f>
        <v>1.6720000000000001E-3</v>
      </c>
      <c r="Q47" s="235"/>
      <c r="S47" s="238">
        <f>'Sch 141A'!$N$15</f>
        <v>1.6720000000000001E-3</v>
      </c>
      <c r="T47" s="235"/>
    </row>
    <row r="48" spans="1:20">
      <c r="A48" s="142">
        <f t="shared" si="1"/>
        <v>39</v>
      </c>
      <c r="M48" s="312" t="str">
        <f>'Exh CTM-8 (Schedule 24 Impacts)'!U33</f>
        <v>Schedule 141CEI Clean Energy Implementation Plan</v>
      </c>
      <c r="N48" s="251">
        <f>'Sch 141CEI'!$F$15</f>
        <v>8.8199999999999997E-4</v>
      </c>
      <c r="O48" s="258"/>
      <c r="P48" s="249">
        <f>'Sch 141CEI'!$L$15</f>
        <v>0</v>
      </c>
      <c r="Q48" s="311"/>
      <c r="R48" s="258"/>
      <c r="S48" s="249">
        <f>'Sch 141CEI'!$R$15</f>
        <v>0</v>
      </c>
      <c r="T48" s="308"/>
    </row>
    <row r="49" spans="1:20">
      <c r="A49" s="142">
        <f t="shared" si="1"/>
        <v>40</v>
      </c>
      <c r="M49" s="312" t="str">
        <f>'Exh CTM-8 (Schedule 24 Impacts)'!U34</f>
        <v>Schedule 141CGR Clean Generation Resources</v>
      </c>
      <c r="N49" s="251">
        <f>'Sch 141CGR'!$F$15</f>
        <v>0</v>
      </c>
      <c r="O49" s="258"/>
      <c r="P49" s="249">
        <f>'Sch 141CGR'!$L$15</f>
        <v>1.0093506537375539E-3</v>
      </c>
      <c r="Q49" s="311"/>
      <c r="R49" s="258"/>
      <c r="S49" s="249">
        <f>'Sch 141CGR'!$R$15</f>
        <v>1.2652290691821497E-3</v>
      </c>
      <c r="T49" s="308"/>
    </row>
    <row r="50" spans="1:20">
      <c r="A50" s="142">
        <f t="shared" si="1"/>
        <v>41</v>
      </c>
      <c r="M50" s="312" t="str">
        <f>'Exh CTM-8 (Schedule 24 Impacts)'!U35</f>
        <v>Schedule 141DCARB Decarbonization</v>
      </c>
      <c r="N50" s="251">
        <f>'Sch 141DCARB'!$E$15</f>
        <v>0</v>
      </c>
      <c r="O50" s="258"/>
      <c r="P50" s="249">
        <f>'Sch 141DCARB'!$I$15</f>
        <v>2.4277708300260852E-5</v>
      </c>
      <c r="Q50" s="311"/>
      <c r="R50" s="258"/>
      <c r="S50" s="249">
        <f>'Sch 141DCARB'!$M$15</f>
        <v>2.4239506646092717E-5</v>
      </c>
      <c r="T50" s="308"/>
    </row>
    <row r="51" spans="1:20">
      <c r="A51" s="142">
        <f t="shared" si="1"/>
        <v>42</v>
      </c>
      <c r="M51" s="307" t="str">
        <f>'Exh CTM-8 (Schedule 24 Impacts)'!U36</f>
        <v>Schedule 141COL Colstrip Adjustment</v>
      </c>
      <c r="N51" s="240">
        <f>'Sch 141COL'!$F$15</f>
        <v>4.8000000000000001E-4</v>
      </c>
      <c r="P51" s="238">
        <f>'Sch 141COL'!$L$15</f>
        <v>4.8000000000000001E-4</v>
      </c>
      <c r="Q51" s="235"/>
      <c r="S51" s="238">
        <f>'Sch 141COL'!$R$15</f>
        <v>4.8000000000000001E-4</v>
      </c>
      <c r="T51" s="235"/>
    </row>
    <row r="52" spans="1:20">
      <c r="A52" s="142">
        <f t="shared" ref="A52:A67" si="8">A51+1</f>
        <v>43</v>
      </c>
      <c r="M52" s="312" t="str">
        <f>'Exh CTM-8 (Schedule 24 Impacts)'!U37</f>
        <v>Schedule 141N Rates Not Subject to Refund</v>
      </c>
      <c r="N52" s="251">
        <f>'Sch 141N'!$G$15</f>
        <v>5.8609999999999999E-3</v>
      </c>
      <c r="O52" s="258"/>
      <c r="P52" s="249">
        <f>'Sch 141N'!$M$15</f>
        <v>0</v>
      </c>
      <c r="Q52" s="311"/>
      <c r="R52" s="258"/>
      <c r="S52" s="249">
        <f>'Sch 141N'!$S$15</f>
        <v>0</v>
      </c>
      <c r="T52" s="308"/>
    </row>
    <row r="53" spans="1:20">
      <c r="A53" s="142">
        <f t="shared" si="8"/>
        <v>44</v>
      </c>
      <c r="M53" s="312" t="str">
        <f>'Exh CTM-8 (Schedule 24 Impacts)'!U38</f>
        <v>Schedule 141R Rates Subject to Refund</v>
      </c>
      <c r="N53" s="251">
        <f>'Sch 141R'!$G$15</f>
        <v>5.5700000000000003E-3</v>
      </c>
      <c r="O53" s="258"/>
      <c r="P53" s="249">
        <f>'Sch 141R'!$M$15</f>
        <v>0</v>
      </c>
      <c r="Q53" s="311"/>
      <c r="R53" s="258"/>
      <c r="S53" s="249">
        <f>'Sch 141R'!$S$15</f>
        <v>0</v>
      </c>
      <c r="T53" s="308"/>
    </row>
    <row r="54" spans="1:20">
      <c r="A54" s="142">
        <f t="shared" si="8"/>
        <v>45</v>
      </c>
      <c r="M54" s="307" t="str">
        <f>'Exh CTM-8 (Schedule 24 Impacts)'!U39</f>
        <v>Schedule 141 TEP</v>
      </c>
      <c r="N54" s="240">
        <f>'Sch 141TEP'!$E$15</f>
        <v>2.8699999999999998E-4</v>
      </c>
      <c r="O54" s="254"/>
      <c r="P54" s="238">
        <f>'Sch 141TEP'!$I$15</f>
        <v>2.8699999999999998E-4</v>
      </c>
      <c r="Q54" s="308"/>
      <c r="R54" s="254"/>
      <c r="S54" s="238">
        <f>'Sch 141TEP'!$M$15</f>
        <v>2.8699999999999998E-4</v>
      </c>
      <c r="T54" s="308"/>
    </row>
    <row r="55" spans="1:20">
      <c r="A55" s="142">
        <f t="shared" si="8"/>
        <v>46</v>
      </c>
      <c r="M55" s="312" t="str">
        <f>'Exh CTM-8 (Schedule 24 Impacts)'!U40</f>
        <v>Schedule 141WFP Wildfire Prevention Cost Recovery</v>
      </c>
      <c r="N55" s="251">
        <f>'Sch 141WFP'!$F$15</f>
        <v>0</v>
      </c>
      <c r="P55" s="249">
        <f>'Sch 141WFP'!$L$15</f>
        <v>1.1827771338917468E-5</v>
      </c>
      <c r="Q55" s="235"/>
      <c r="S55" s="249">
        <f>'Sch 141WFP'!$R$15</f>
        <v>1.472503804331429E-5</v>
      </c>
      <c r="T55" s="235"/>
    </row>
    <row r="56" spans="1:20">
      <c r="A56" s="142">
        <f t="shared" si="8"/>
        <v>47</v>
      </c>
      <c r="M56" s="307" t="str">
        <f>'Exh CTM-8 (Schedule 24 Impacts)'!U41</f>
        <v>Schedule 141X (Protected) EDIT</v>
      </c>
      <c r="N56" s="240">
        <f>'Sch 141X'!$E$15</f>
        <v>0</v>
      </c>
      <c r="O56" s="149"/>
      <c r="P56" s="238">
        <f>'Sch 141X'!$I$15</f>
        <v>0</v>
      </c>
      <c r="Q56" s="306"/>
      <c r="R56" s="149"/>
      <c r="S56" s="238">
        <f>'Sch 141X'!$M$15</f>
        <v>0</v>
      </c>
      <c r="T56" s="306"/>
    </row>
    <row r="57" spans="1:20">
      <c r="A57" s="142">
        <f t="shared" si="8"/>
        <v>48</v>
      </c>
      <c r="B57" s="9"/>
      <c r="M57" s="307" t="str">
        <f>'Exh CTM-8 (Schedule 24 Impacts)'!U42</f>
        <v>Schedule 141Z (Unprotected) EDIT</v>
      </c>
      <c r="N57" s="240">
        <f>'Sch 141Z'!$E$15</f>
        <v>0</v>
      </c>
      <c r="O57" s="149"/>
      <c r="P57" s="238">
        <f>'Sch 141Z'!$I$15</f>
        <v>0</v>
      </c>
      <c r="Q57" s="306"/>
      <c r="R57" s="149"/>
      <c r="S57" s="238">
        <f>'Sch 141Z'!$M$15</f>
        <v>0</v>
      </c>
      <c r="T57" s="306"/>
    </row>
    <row r="58" spans="1:20">
      <c r="A58" s="142">
        <f t="shared" si="8"/>
        <v>49</v>
      </c>
      <c r="M58" s="307" t="str">
        <f>'Exh CTM-8 (Schedule 24 Impacts)'!U43</f>
        <v>Schedule 142  Deocupling Deferral</v>
      </c>
      <c r="N58" s="240">
        <f>'Sch 142'!$F$15</f>
        <v>3.1609999999999997E-3</v>
      </c>
      <c r="O58" s="149"/>
      <c r="P58" s="238">
        <f>'Sch 142'!$L$15</f>
        <v>3.1609999999999997E-3</v>
      </c>
      <c r="Q58" s="306"/>
      <c r="R58" s="149"/>
      <c r="S58" s="238">
        <f>'Sch 142'!$R$15</f>
        <v>3.1609999999999997E-3</v>
      </c>
      <c r="T58" s="306"/>
    </row>
    <row r="59" spans="1:20">
      <c r="A59" s="142">
        <f t="shared" si="8"/>
        <v>50</v>
      </c>
      <c r="M59" s="307" t="str">
        <f>'Exh CTM-8 (Schedule 24 Impacts)'!U44</f>
        <v>Schedule 142 Deocupling Supplemental</v>
      </c>
      <c r="N59" s="240">
        <f>'Sch 142 Supplemental'!$F$15</f>
        <v>0</v>
      </c>
      <c r="O59" s="149"/>
      <c r="P59" s="238">
        <f>'Sch 142 Supplemental'!$L$15</f>
        <v>0</v>
      </c>
      <c r="Q59" s="306"/>
      <c r="R59" s="149"/>
      <c r="S59" s="238">
        <f>'Sch 142 Supplemental'!$R$15</f>
        <v>0</v>
      </c>
      <c r="T59" s="306"/>
    </row>
    <row r="60" spans="1:20">
      <c r="A60" s="142">
        <f t="shared" si="8"/>
        <v>51</v>
      </c>
      <c r="M60" s="307" t="str">
        <f>'Exh CTM-8 (Schedule 24 Impacts)'!U45</f>
        <v>Schedule 194 BPA Res &amp; Farm Credit</v>
      </c>
      <c r="N60" s="346" t="s">
        <v>409</v>
      </c>
      <c r="O60" s="149"/>
      <c r="P60" s="238"/>
      <c r="Q60" s="306"/>
      <c r="R60" s="149"/>
      <c r="S60" s="238"/>
      <c r="T60" s="306"/>
    </row>
    <row r="61" spans="1:20" ht="12" thickBot="1">
      <c r="A61" s="142">
        <f t="shared" si="8"/>
        <v>52</v>
      </c>
      <c r="M61" s="291" t="s">
        <v>404</v>
      </c>
      <c r="N61" s="289">
        <f>SUM(N38:N60)+N28</f>
        <v>0.12739400000000001</v>
      </c>
      <c r="P61" s="290">
        <f>SUM(P38:P60)+P28</f>
        <v>0.12868445613337673</v>
      </c>
      <c r="Q61" s="306"/>
      <c r="S61" s="290">
        <f>SUM(S38:S60)+S28</f>
        <v>0.13403019361387156</v>
      </c>
      <c r="T61" s="306"/>
    </row>
    <row r="62" spans="1:20" ht="12.75" thickTop="1" thickBot="1">
      <c r="A62" s="142">
        <f t="shared" si="8"/>
        <v>53</v>
      </c>
      <c r="M62" s="291" t="s">
        <v>405</v>
      </c>
      <c r="N62" s="289">
        <f>SUM(N38:N60)+N29</f>
        <v>0.118448</v>
      </c>
      <c r="P62" s="290">
        <f>SUM(P38:P60)+P29</f>
        <v>0.11973845613337672</v>
      </c>
      <c r="Q62" s="306"/>
      <c r="S62" s="290">
        <f>SUM(S38:S60)+S29</f>
        <v>0.12508419361387155</v>
      </c>
      <c r="T62" s="306"/>
    </row>
    <row r="63" spans="1:20" ht="12.75" thickTop="1" thickBot="1">
      <c r="A63" s="142">
        <f t="shared" si="8"/>
        <v>54</v>
      </c>
      <c r="M63" s="291" t="s">
        <v>407</v>
      </c>
      <c r="N63" s="289">
        <f>SUM(N38:N60)+N31</f>
        <v>0.10137699999999999</v>
      </c>
      <c r="P63" s="290">
        <f>SUM(P38:P60)+P31</f>
        <v>0.10266745613337674</v>
      </c>
      <c r="Q63" s="306"/>
      <c r="S63" s="290">
        <f>SUM(S38:S60)+S31</f>
        <v>0.10801319361387156</v>
      </c>
      <c r="T63" s="306"/>
    </row>
    <row r="64" spans="1:20" ht="12" thickTop="1">
      <c r="A64" s="142">
        <f t="shared" si="8"/>
        <v>55</v>
      </c>
      <c r="M64" s="291"/>
      <c r="N64" s="347"/>
      <c r="P64" s="270"/>
      <c r="Q64" s="271"/>
      <c r="S64" s="270"/>
      <c r="T64" s="271"/>
    </row>
    <row r="65" spans="1:20">
      <c r="A65" s="142">
        <f t="shared" si="8"/>
        <v>56</v>
      </c>
      <c r="M65" s="234" t="s">
        <v>357</v>
      </c>
      <c r="N65" s="348"/>
      <c r="P65" s="233"/>
      <c r="Q65" s="232">
        <f>'Exh CTM-8 (Rate Impacts_RY#1)'!$H$12</f>
        <v>0.18840548596091006</v>
      </c>
      <c r="S65" s="233"/>
      <c r="T65" s="232">
        <f>'Exh CTM-8 (Rate Impacts_RY#2)'!$I$12</f>
        <v>8.0641535210449228E-2</v>
      </c>
    </row>
    <row r="66" spans="1:20">
      <c r="A66" s="142">
        <f t="shared" si="8"/>
        <v>57</v>
      </c>
      <c r="M66" s="234" t="s">
        <v>356</v>
      </c>
      <c r="N66" s="348"/>
      <c r="P66" s="233"/>
      <c r="Q66" s="232">
        <f>'Exh CTM-8 (Rate Impacts_RY#1)'!$AI$12</f>
        <v>5.6134288300362871E-2</v>
      </c>
      <c r="S66" s="233"/>
      <c r="T66" s="232">
        <f>'Exh CTM-8 (Rate Impacts_RY#2)'!$V$12</f>
        <v>8.9014889094888097E-2</v>
      </c>
    </row>
    <row r="67" spans="1:20" ht="12" thickBot="1">
      <c r="A67" s="142">
        <f t="shared" si="8"/>
        <v>58</v>
      </c>
      <c r="M67" s="343" t="s">
        <v>393</v>
      </c>
      <c r="N67" s="230"/>
      <c r="P67" s="231"/>
      <c r="Q67" s="230"/>
      <c r="S67" s="231"/>
      <c r="T67" s="230"/>
    </row>
  </sheetData>
  <mergeCells count="12">
    <mergeCell ref="A1:T1"/>
    <mergeCell ref="A2:T2"/>
    <mergeCell ref="A3:T3"/>
    <mergeCell ref="A4:T4"/>
    <mergeCell ref="P6:Q6"/>
    <mergeCell ref="S6:T6"/>
    <mergeCell ref="B42:J42"/>
    <mergeCell ref="B43:J43"/>
    <mergeCell ref="B40:J40"/>
    <mergeCell ref="B41:J41"/>
    <mergeCell ref="F7:H7"/>
    <mergeCell ref="J7:K7"/>
  </mergeCells>
  <pageMargins left="0.7" right="0.7" top="0.75" bottom="0.75" header="0.3" footer="0.3"/>
  <pageSetup scale="37" orientation="landscape" horizontalDpi="360" verticalDpi="360" r:id="rId1"/>
  <headerFooter>
    <oddFooter>&amp;R&amp;F
&amp;A
&amp;P of &amp;N</oddFooter>
  </headerFooter>
  <customProperties>
    <customPr name="_pios_id" r:id="rId2"/>
  </customProperties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3" tint="0.79998168889431442"/>
    <pageSetUpPr fitToPage="1"/>
  </sheetPr>
  <dimension ref="A1:T56"/>
  <sheetViews>
    <sheetView zoomScaleNormal="100" zoomScaleSheetLayoutView="100" workbookViewId="0">
      <pane ySplit="9" topLeftCell="A25" activePane="bottomLeft" state="frozen"/>
      <selection activeCell="U42" sqref="U42"/>
      <selection pane="bottomLeft" activeCell="U42" sqref="U42"/>
    </sheetView>
  </sheetViews>
  <sheetFormatPr defaultColWidth="9.42578125" defaultRowHeight="11.25"/>
  <cols>
    <col min="1" max="1" width="5.28515625" style="3" customWidth="1"/>
    <col min="2" max="2" width="11.42578125" style="3" customWidth="1"/>
    <col min="3" max="3" width="11.42578125" style="3" bestFit="1" customWidth="1"/>
    <col min="4" max="4" width="7.140625" style="3" bestFit="1" customWidth="1"/>
    <col min="5" max="5" width="1.140625" style="3" customWidth="1"/>
    <col min="6" max="6" width="11.7109375" style="3" bestFit="1" customWidth="1"/>
    <col min="7" max="8" width="13.28515625" style="3" bestFit="1" customWidth="1"/>
    <col min="9" max="9" width="1.140625" style="3" customWidth="1"/>
    <col min="10" max="11" width="9.28515625" style="3" bestFit="1" customWidth="1"/>
    <col min="12" max="12" width="1.28515625" style="3" customWidth="1"/>
    <col min="13" max="13" width="38.5703125" style="142" bestFit="1" customWidth="1"/>
    <col min="14" max="14" width="11.140625" style="142" bestFit="1" customWidth="1"/>
    <col min="15" max="15" width="1.140625" style="142" customWidth="1"/>
    <col min="16" max="17" width="11.140625" style="142" bestFit="1" customWidth="1"/>
    <col min="18" max="18" width="0.85546875" style="142" customWidth="1"/>
    <col min="19" max="19" width="11.140625" style="142" bestFit="1" customWidth="1"/>
    <col min="20" max="20" width="11.140625" style="142" customWidth="1"/>
    <col min="21" max="16384" width="9.42578125" style="3"/>
  </cols>
  <sheetData>
    <row r="1" spans="1:20">
      <c r="A1" s="497" t="str">
        <f>'Table of Contents'!A1</f>
        <v>Puget Sound Energy</v>
      </c>
      <c r="B1" s="497"/>
      <c r="C1" s="497"/>
      <c r="D1" s="497"/>
      <c r="E1" s="497"/>
      <c r="F1" s="497"/>
      <c r="G1" s="497"/>
      <c r="H1" s="497"/>
      <c r="I1" s="497"/>
      <c r="J1" s="497"/>
      <c r="K1" s="497"/>
      <c r="L1" s="497"/>
      <c r="M1" s="497"/>
      <c r="N1" s="497"/>
      <c r="O1" s="497"/>
      <c r="P1" s="497"/>
      <c r="Q1" s="497"/>
      <c r="R1" s="497"/>
      <c r="S1" s="497"/>
      <c r="T1" s="497"/>
    </row>
    <row r="2" spans="1:20">
      <c r="A2" s="497" t="str">
        <f>'Table of Contents'!A2</f>
        <v>2024 General Rate Case Docket No. UE-240004 and UG-240005</v>
      </c>
      <c r="B2" s="497"/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7"/>
      <c r="N2" s="497"/>
      <c r="O2" s="497"/>
      <c r="P2" s="497"/>
      <c r="Q2" s="497"/>
      <c r="R2" s="497"/>
      <c r="S2" s="497"/>
      <c r="T2" s="497"/>
    </row>
    <row r="3" spans="1:20" ht="12.75">
      <c r="A3" s="448" t="s">
        <v>35</v>
      </c>
      <c r="B3" s="503"/>
      <c r="C3" s="503"/>
      <c r="D3" s="503"/>
      <c r="E3" s="503"/>
      <c r="F3" s="503"/>
      <c r="G3" s="503"/>
      <c r="H3" s="503"/>
      <c r="I3" s="503"/>
      <c r="J3" s="503"/>
      <c r="K3" s="503"/>
      <c r="L3" s="503"/>
      <c r="M3" s="503"/>
      <c r="N3" s="503"/>
      <c r="O3" s="503"/>
      <c r="P3" s="503"/>
      <c r="Q3" s="503"/>
      <c r="R3" s="503"/>
      <c r="S3" s="503"/>
      <c r="T3" s="503"/>
    </row>
    <row r="4" spans="1:20" ht="12.75">
      <c r="A4" s="448" t="s">
        <v>403</v>
      </c>
      <c r="B4" s="503" t="s">
        <v>60</v>
      </c>
      <c r="C4" s="503"/>
      <c r="D4" s="503"/>
      <c r="E4" s="503"/>
      <c r="F4" s="503"/>
      <c r="G4" s="503"/>
      <c r="H4" s="503"/>
      <c r="I4" s="503"/>
      <c r="J4" s="503"/>
      <c r="K4" s="503"/>
      <c r="L4" s="503"/>
      <c r="M4" s="503"/>
      <c r="N4" s="503"/>
      <c r="O4" s="503"/>
      <c r="P4" s="503"/>
      <c r="Q4" s="503"/>
      <c r="R4" s="503"/>
      <c r="S4" s="503"/>
      <c r="T4" s="503"/>
    </row>
    <row r="5" spans="1:20" ht="12" thickBot="1">
      <c r="B5" s="23"/>
      <c r="M5" s="331"/>
      <c r="N5" s="331"/>
      <c r="O5" s="331"/>
      <c r="P5" s="331"/>
      <c r="Q5" s="331"/>
      <c r="R5" s="331"/>
      <c r="S5" s="331"/>
      <c r="T5" s="331"/>
    </row>
    <row r="6" spans="1:20" ht="13.5" customHeight="1" thickBot="1">
      <c r="B6" s="2"/>
      <c r="F6" s="519"/>
      <c r="G6" s="519"/>
      <c r="H6" s="519"/>
      <c r="M6" s="136"/>
      <c r="N6" s="136"/>
      <c r="P6" s="475" t="s">
        <v>353</v>
      </c>
      <c r="Q6" s="517"/>
      <c r="S6" s="475" t="s">
        <v>354</v>
      </c>
      <c r="T6" s="517"/>
    </row>
    <row r="7" spans="1:20" ht="12.75">
      <c r="A7" s="136"/>
      <c r="B7" s="135"/>
      <c r="C7" s="135"/>
      <c r="D7" s="136"/>
      <c r="E7" s="136"/>
      <c r="F7" s="514" t="s">
        <v>401</v>
      </c>
      <c r="G7" s="515"/>
      <c r="H7" s="516"/>
      <c r="I7" s="136"/>
      <c r="J7" s="509" t="s">
        <v>44</v>
      </c>
      <c r="K7" s="516"/>
      <c r="L7" s="49"/>
      <c r="M7" s="300"/>
      <c r="N7" s="302"/>
      <c r="P7" s="351"/>
      <c r="Q7" s="302"/>
      <c r="S7" s="351"/>
      <c r="T7" s="302"/>
    </row>
    <row r="8" spans="1:20" ht="45" customHeight="1">
      <c r="A8" s="138" t="s">
        <v>350</v>
      </c>
      <c r="B8" s="287" t="s">
        <v>400</v>
      </c>
      <c r="C8" s="287" t="s">
        <v>54</v>
      </c>
      <c r="D8" s="287" t="s">
        <v>34</v>
      </c>
      <c r="E8" s="136"/>
      <c r="F8" s="140" t="s">
        <v>414</v>
      </c>
      <c r="G8" s="140" t="s">
        <v>415</v>
      </c>
      <c r="H8" s="140" t="s">
        <v>416</v>
      </c>
      <c r="I8" s="358"/>
      <c r="J8" s="140" t="s">
        <v>387</v>
      </c>
      <c r="K8" s="140" t="s">
        <v>388</v>
      </c>
      <c r="L8" s="49"/>
      <c r="M8" s="334"/>
      <c r="N8" s="349" t="s">
        <v>347</v>
      </c>
      <c r="P8" s="350" t="s">
        <v>352</v>
      </c>
      <c r="Q8" s="349" t="s">
        <v>351</v>
      </c>
      <c r="S8" s="350" t="s">
        <v>352</v>
      </c>
      <c r="T8" s="349" t="s">
        <v>351</v>
      </c>
    </row>
    <row r="9" spans="1:20">
      <c r="B9" s="141" t="s">
        <v>18</v>
      </c>
      <c r="C9" s="141" t="s">
        <v>19</v>
      </c>
      <c r="D9" s="141" t="s">
        <v>20</v>
      </c>
      <c r="E9" s="141"/>
      <c r="F9" s="141" t="s">
        <v>21</v>
      </c>
      <c r="G9" s="141" t="s">
        <v>24</v>
      </c>
      <c r="H9" s="141" t="s">
        <v>25</v>
      </c>
      <c r="I9" s="141"/>
      <c r="J9" s="141" t="s">
        <v>26</v>
      </c>
      <c r="K9" s="141" t="s">
        <v>27</v>
      </c>
      <c r="L9" s="141"/>
      <c r="M9" s="326" t="s">
        <v>28</v>
      </c>
      <c r="N9" s="327" t="s">
        <v>29</v>
      </c>
      <c r="O9" s="141"/>
      <c r="P9" s="326" t="s">
        <v>30</v>
      </c>
      <c r="Q9" s="327" t="s">
        <v>74</v>
      </c>
      <c r="R9" s="141"/>
      <c r="S9" s="326" t="s">
        <v>83</v>
      </c>
      <c r="T9" s="327" t="s">
        <v>84</v>
      </c>
    </row>
    <row r="10" spans="1:20">
      <c r="A10" s="142">
        <v>1</v>
      </c>
      <c r="B10" s="3">
        <v>350</v>
      </c>
      <c r="C10" s="3">
        <v>300</v>
      </c>
      <c r="D10" s="52">
        <f>ROUND((B$10*C10),0)</f>
        <v>105000</v>
      </c>
      <c r="F10" s="53">
        <f>+N$10+$B10*N$16+$D10*N$12</f>
        <v>12229.253450000002</v>
      </c>
      <c r="G10" s="53">
        <f>+P$10+$B10*P$16+$D10*P$12</f>
        <v>13901.215558324151</v>
      </c>
      <c r="H10" s="53">
        <f>+S$10+$B10*S$16+$D10*S$12</f>
        <v>15488.685000372654</v>
      </c>
      <c r="J10" s="24">
        <f t="shared" ref="J10:K12" si="0">ROUND((+G10-F10)/F10,3)</f>
        <v>0.13700000000000001</v>
      </c>
      <c r="K10" s="24">
        <f t="shared" si="0"/>
        <v>0.114</v>
      </c>
      <c r="L10" s="24"/>
      <c r="M10" s="233" t="s">
        <v>39</v>
      </c>
      <c r="N10" s="274">
        <f>SUM(N21,)</f>
        <v>109.08</v>
      </c>
      <c r="O10" s="254"/>
      <c r="P10" s="325">
        <f>SUM(P21,)</f>
        <v>141.80000000000001</v>
      </c>
      <c r="Q10" s="308">
        <f>(P10-N10)/N10</f>
        <v>0.29996332966630007</v>
      </c>
      <c r="R10" s="254"/>
      <c r="S10" s="325">
        <f>SUM(S21,)</f>
        <v>184.35</v>
      </c>
      <c r="T10" s="308">
        <f>(S10-P10)/P10</f>
        <v>0.30007052186177702</v>
      </c>
    </row>
    <row r="11" spans="1:20">
      <c r="A11" s="142">
        <f t="shared" ref="A11:A38" si="1">A10+1</f>
        <v>2</v>
      </c>
      <c r="B11" s="3">
        <f>+B10</f>
        <v>350</v>
      </c>
      <c r="C11" s="3">
        <v>500</v>
      </c>
      <c r="D11" s="52">
        <f>ROUND((B$10*C11),0)</f>
        <v>175000</v>
      </c>
      <c r="F11" s="53">
        <f>+N$10+$B11*N$16+$D11*N$12</f>
        <v>17939.993450000002</v>
      </c>
      <c r="G11" s="53">
        <f>+P$10+$B11*P$16+$D11*P$12</f>
        <v>19898.43589720692</v>
      </c>
      <c r="H11" s="53">
        <f>+S$10+$B11*S$16+$D11*S$12</f>
        <v>21489.184967287754</v>
      </c>
      <c r="J11" s="24">
        <f t="shared" si="0"/>
        <v>0.109</v>
      </c>
      <c r="K11" s="24">
        <f t="shared" si="0"/>
        <v>0.08</v>
      </c>
      <c r="L11" s="24"/>
      <c r="M11" s="233"/>
      <c r="N11" s="274"/>
      <c r="O11" s="254"/>
      <c r="P11" s="325"/>
      <c r="Q11" s="308"/>
      <c r="R11" s="254"/>
      <c r="S11" s="325"/>
      <c r="T11" s="308"/>
    </row>
    <row r="12" spans="1:20">
      <c r="A12" s="142">
        <f t="shared" si="1"/>
        <v>3</v>
      </c>
      <c r="B12" s="3">
        <f>+B11</f>
        <v>350</v>
      </c>
      <c r="C12" s="3">
        <v>700</v>
      </c>
      <c r="D12" s="52">
        <f>ROUND((B$10*C12),0)</f>
        <v>245000</v>
      </c>
      <c r="F12" s="53">
        <f>+N$10+$B12*N$16+$D12*N$12</f>
        <v>23650.733450000003</v>
      </c>
      <c r="G12" s="53">
        <f>+P$10+$B12*P$16+$D12*P$12</f>
        <v>25895.65623608969</v>
      </c>
      <c r="H12" s="53">
        <f>+S$10+$B12*S$16+$D12*S$12</f>
        <v>27489.684934202854</v>
      </c>
      <c r="J12" s="24">
        <f t="shared" si="0"/>
        <v>9.5000000000000001E-2</v>
      </c>
      <c r="K12" s="24">
        <f t="shared" si="0"/>
        <v>6.2E-2</v>
      </c>
      <c r="L12" s="24"/>
      <c r="M12" s="322" t="s">
        <v>59</v>
      </c>
      <c r="N12" s="274">
        <f>SUM(N22,N28:N41,N43)</f>
        <v>8.1582000000000016E-2</v>
      </c>
      <c r="O12" s="254"/>
      <c r="P12" s="325">
        <f>SUM(P22,P28:P41,P43)</f>
        <v>8.5674576269753833E-2</v>
      </c>
      <c r="Q12" s="308">
        <f>(P12-N12)/N12</f>
        <v>5.0165186802895445E-2</v>
      </c>
      <c r="R12" s="254"/>
      <c r="S12" s="325">
        <f>SUM(S22,S28:S41,S43)</f>
        <v>8.5721428098787161E-2</v>
      </c>
      <c r="T12" s="308">
        <f>(S12-P12)/P12</f>
        <v>5.4685801871737986E-4</v>
      </c>
    </row>
    <row r="13" spans="1:20">
      <c r="A13" s="142">
        <f t="shared" si="1"/>
        <v>4</v>
      </c>
      <c r="M13" s="322"/>
      <c r="N13" s="274"/>
      <c r="O13" s="254"/>
      <c r="P13" s="325"/>
      <c r="Q13" s="308"/>
      <c r="R13" s="254"/>
      <c r="S13" s="325"/>
      <c r="T13" s="308"/>
    </row>
    <row r="14" spans="1:20">
      <c r="A14" s="142">
        <f t="shared" si="1"/>
        <v>5</v>
      </c>
      <c r="B14" s="3">
        <f>+B12+50</f>
        <v>400</v>
      </c>
      <c r="C14" s="3">
        <v>300</v>
      </c>
      <c r="D14" s="52">
        <f>ROUND((B$14*C14),0)</f>
        <v>120000</v>
      </c>
      <c r="F14" s="53">
        <f t="shared" ref="F14:F16" si="2">+N$10+$B14*N$16+$D14*N$12</f>
        <v>13960.706800000004</v>
      </c>
      <c r="G14" s="53">
        <f t="shared" ref="G14:G16" si="3">+P$10+$B14*P$16+$D14*P$12</f>
        <v>15866.846352370459</v>
      </c>
      <c r="H14" s="53">
        <f t="shared" ref="H14:H16" si="4">+S$10+$B14*S$16+$D14*S$12</f>
        <v>17675.01857185446</v>
      </c>
      <c r="J14" s="24">
        <f t="shared" ref="J14:J16" si="5">ROUND((+G14-F14)/F14,3)</f>
        <v>0.13700000000000001</v>
      </c>
      <c r="K14" s="24">
        <f t="shared" ref="K14:K16" si="6">ROUND((+H14-G14)/G14,3)</f>
        <v>0.114</v>
      </c>
      <c r="L14" s="24"/>
      <c r="M14" s="322" t="s">
        <v>58</v>
      </c>
      <c r="N14" s="323">
        <f>SUM(N23,N42,N44)</f>
        <v>12.234467</v>
      </c>
      <c r="O14" s="254"/>
      <c r="P14" s="325">
        <f>SUM(P23,P42,P44)</f>
        <v>15.900243</v>
      </c>
      <c r="Q14" s="308">
        <f>(P14-N14)/N14</f>
        <v>0.29962694737743778</v>
      </c>
      <c r="R14" s="254"/>
      <c r="S14" s="325">
        <f>SUM(S23,S42,S44)</f>
        <v>20.670243000000003</v>
      </c>
      <c r="T14" s="308">
        <f>(S14-P14)/P14</f>
        <v>0.29999541516440997</v>
      </c>
    </row>
    <row r="15" spans="1:20">
      <c r="A15" s="142">
        <f t="shared" si="1"/>
        <v>6</v>
      </c>
      <c r="B15" s="3">
        <f>+B14</f>
        <v>400</v>
      </c>
      <c r="C15" s="3">
        <v>500</v>
      </c>
      <c r="D15" s="52">
        <f>ROUND((B$14*C15),0)</f>
        <v>200000</v>
      </c>
      <c r="F15" s="53">
        <f t="shared" si="2"/>
        <v>20487.266800000005</v>
      </c>
      <c r="G15" s="53">
        <f t="shared" si="3"/>
        <v>22720.812453950766</v>
      </c>
      <c r="H15" s="53">
        <f t="shared" si="4"/>
        <v>24532.732819757435</v>
      </c>
      <c r="J15" s="24">
        <f t="shared" si="5"/>
        <v>0.109</v>
      </c>
      <c r="K15" s="24">
        <f t="shared" si="6"/>
        <v>0.08</v>
      </c>
      <c r="L15" s="24"/>
      <c r="M15" s="233" t="s">
        <v>57</v>
      </c>
      <c r="N15" s="274">
        <f>SUM(N24,N42,N44)</f>
        <v>8.1544670000000004</v>
      </c>
      <c r="O15" s="254"/>
      <c r="P15" s="325">
        <f>SUM(P24,P42,P44)</f>
        <v>10.600242999999999</v>
      </c>
      <c r="Q15" s="308"/>
      <c r="R15" s="254"/>
      <c r="S15" s="325">
        <f>SUM(S24,S42,S44)</f>
        <v>13.770242999999999</v>
      </c>
      <c r="T15" s="308"/>
    </row>
    <row r="16" spans="1:20">
      <c r="A16" s="142">
        <f t="shared" si="1"/>
        <v>7</v>
      </c>
      <c r="B16" s="3">
        <f>+B15</f>
        <v>400</v>
      </c>
      <c r="C16" s="3">
        <v>700</v>
      </c>
      <c r="D16" s="52">
        <f>ROUND((B$14*C16),0)</f>
        <v>280000</v>
      </c>
      <c r="F16" s="53">
        <f t="shared" si="2"/>
        <v>27013.826800000003</v>
      </c>
      <c r="G16" s="53">
        <f t="shared" si="3"/>
        <v>29574.778555531073</v>
      </c>
      <c r="H16" s="53">
        <f t="shared" si="4"/>
        <v>31390.447067660407</v>
      </c>
      <c r="J16" s="24">
        <f t="shared" si="5"/>
        <v>9.5000000000000001E-2</v>
      </c>
      <c r="K16" s="24">
        <f t="shared" si="6"/>
        <v>6.0999999999999999E-2</v>
      </c>
      <c r="L16" s="24"/>
      <c r="M16" s="322" t="s">
        <v>56</v>
      </c>
      <c r="N16" s="274">
        <f>SUM(N25,N42,N44)</f>
        <v>10.154467</v>
      </c>
      <c r="O16" s="254"/>
      <c r="P16" s="325">
        <f>SUM(P25,P42,P44)</f>
        <v>13.610242999999999</v>
      </c>
      <c r="Q16" s="308">
        <f>(P16-N16)/N16</f>
        <v>0.34032076720521109</v>
      </c>
      <c r="R16" s="254"/>
      <c r="S16" s="325">
        <f>SUM(S25,S42,S44)</f>
        <v>18.010243000000003</v>
      </c>
      <c r="T16" s="308">
        <f>(S16-P16)/P16</f>
        <v>0.32328592516680299</v>
      </c>
    </row>
    <row r="17" spans="1:20">
      <c r="A17" s="142">
        <f t="shared" si="1"/>
        <v>8</v>
      </c>
      <c r="F17" s="53"/>
      <c r="G17" s="53"/>
      <c r="H17" s="53"/>
      <c r="J17" s="30"/>
      <c r="K17" s="30"/>
      <c r="L17" s="30"/>
      <c r="M17" s="322"/>
      <c r="N17" s="274"/>
      <c r="O17" s="254"/>
      <c r="P17" s="325"/>
      <c r="Q17" s="308"/>
      <c r="R17" s="254"/>
      <c r="S17" s="325"/>
      <c r="T17" s="308"/>
    </row>
    <row r="18" spans="1:20">
      <c r="A18" s="142">
        <f t="shared" si="1"/>
        <v>9</v>
      </c>
      <c r="B18" s="3">
        <f>+B16+100</f>
        <v>500</v>
      </c>
      <c r="C18" s="3">
        <v>300</v>
      </c>
      <c r="D18" s="52">
        <f>ROUND((B$18*C18),0)</f>
        <v>150000</v>
      </c>
      <c r="F18" s="53">
        <f t="shared" ref="F18:F20" si="7">+N$10+$B18*N$16+$D18*N$12</f>
        <v>17423.613500000003</v>
      </c>
      <c r="G18" s="53">
        <f t="shared" ref="G18:G20" si="8">+P$10+$B18*P$16+$D18*P$12</f>
        <v>19798.107940463073</v>
      </c>
      <c r="H18" s="53">
        <f t="shared" ref="H18:H20" si="9">+S$10+$B18*S$16+$D18*S$12</f>
        <v>22047.685714818075</v>
      </c>
      <c r="J18" s="24">
        <f t="shared" ref="J18:J20" si="10">ROUND((+G18-F18)/F18,3)</f>
        <v>0.13600000000000001</v>
      </c>
      <c r="K18" s="24">
        <f t="shared" ref="K18:K20" si="11">ROUND((+H18-G18)/G18,3)</f>
        <v>0.114</v>
      </c>
      <c r="L18" s="24"/>
      <c r="M18" s="322" t="s">
        <v>46</v>
      </c>
      <c r="N18" s="274">
        <f>SUM(N26)</f>
        <v>1.2999999999999999E-3</v>
      </c>
      <c r="O18" s="254"/>
      <c r="P18" s="325">
        <f>SUM(P26)</f>
        <v>1.6900000000000001E-3</v>
      </c>
      <c r="Q18" s="308">
        <f>IFERROR((P18-N18)/N18,0)</f>
        <v>0.30000000000000016</v>
      </c>
      <c r="R18" s="254"/>
      <c r="S18" s="325">
        <f>SUM(S26)</f>
        <v>2.2000000000000001E-3</v>
      </c>
      <c r="T18" s="308">
        <f>IFERROR((S18-P18)/P18,0)</f>
        <v>0.30177514792899407</v>
      </c>
    </row>
    <row r="19" spans="1:20">
      <c r="A19" s="142">
        <f t="shared" si="1"/>
        <v>10</v>
      </c>
      <c r="B19" s="3">
        <f>+B18</f>
        <v>500</v>
      </c>
      <c r="C19" s="3">
        <v>500</v>
      </c>
      <c r="D19" s="52">
        <f>ROUND((B$18*C19),0)</f>
        <v>250000</v>
      </c>
      <c r="F19" s="53">
        <f t="shared" si="7"/>
        <v>25581.813500000004</v>
      </c>
      <c r="G19" s="53">
        <f t="shared" si="8"/>
        <v>28365.565567438458</v>
      </c>
      <c r="H19" s="53">
        <f t="shared" si="9"/>
        <v>30619.828524696793</v>
      </c>
      <c r="J19" s="24">
        <f t="shared" si="10"/>
        <v>0.109</v>
      </c>
      <c r="K19" s="24">
        <f t="shared" si="11"/>
        <v>7.9000000000000001E-2</v>
      </c>
      <c r="L19" s="24"/>
      <c r="M19" s="322" t="s">
        <v>12</v>
      </c>
      <c r="N19" s="274"/>
      <c r="O19" s="254"/>
      <c r="P19" s="325"/>
      <c r="Q19" s="308"/>
      <c r="R19" s="254"/>
      <c r="S19" s="325"/>
      <c r="T19" s="308"/>
    </row>
    <row r="20" spans="1:20">
      <c r="A20" s="142">
        <f t="shared" si="1"/>
        <v>11</v>
      </c>
      <c r="B20" s="3">
        <f>+B19</f>
        <v>500</v>
      </c>
      <c r="C20" s="3">
        <v>700</v>
      </c>
      <c r="D20" s="52">
        <f>ROUND((B$18*C20),0)</f>
        <v>350000</v>
      </c>
      <c r="F20" s="53">
        <f t="shared" si="7"/>
        <v>33740.013500000001</v>
      </c>
      <c r="G20" s="53">
        <f t="shared" si="8"/>
        <v>36933.023194413843</v>
      </c>
      <c r="H20" s="53">
        <f t="shared" si="9"/>
        <v>39191.971334575508</v>
      </c>
      <c r="J20" s="24">
        <f t="shared" si="10"/>
        <v>9.5000000000000001E-2</v>
      </c>
      <c r="K20" s="24">
        <f t="shared" si="11"/>
        <v>6.0999999999999999E-2</v>
      </c>
      <c r="L20" s="24"/>
      <c r="M20" s="322"/>
      <c r="N20" s="274"/>
      <c r="O20" s="254"/>
      <c r="P20" s="325"/>
      <c r="Q20" s="308"/>
      <c r="R20" s="254"/>
      <c r="S20" s="325"/>
      <c r="T20" s="308"/>
    </row>
    <row r="21" spans="1:20">
      <c r="A21" s="142">
        <f t="shared" si="1"/>
        <v>12</v>
      </c>
      <c r="F21" s="53"/>
      <c r="G21" s="53"/>
      <c r="H21" s="53"/>
      <c r="J21" s="30"/>
      <c r="K21" s="30"/>
      <c r="L21" s="30"/>
      <c r="M21" s="322" t="s">
        <v>39</v>
      </c>
      <c r="N21" s="318">
        <v>109.08</v>
      </c>
      <c r="O21" s="254"/>
      <c r="P21" s="317">
        <v>141.80000000000001</v>
      </c>
      <c r="Q21" s="308">
        <f t="shared" ref="Q21:Q26" si="12">(P21-N21)/N21</f>
        <v>0.29996332966630007</v>
      </c>
      <c r="R21" s="254"/>
      <c r="S21" s="317">
        <v>184.35</v>
      </c>
      <c r="T21" s="308">
        <f t="shared" ref="T21:T26" si="13">(S21-P21)/P21</f>
        <v>0.30007052186177702</v>
      </c>
    </row>
    <row r="22" spans="1:20">
      <c r="A22" s="142">
        <f t="shared" si="1"/>
        <v>13</v>
      </c>
      <c r="B22" s="3">
        <f>+B20+100</f>
        <v>600</v>
      </c>
      <c r="C22" s="3">
        <v>300</v>
      </c>
      <c r="D22" s="52">
        <f>ROUND((B$22*C22),0)</f>
        <v>180000</v>
      </c>
      <c r="F22" s="53">
        <f t="shared" ref="F22:F24" si="14">+N$10+$B22*N$16+$D22*N$12</f>
        <v>20886.520200000003</v>
      </c>
      <c r="G22" s="53">
        <f t="shared" ref="G22:G24" si="15">+P$10+$B22*P$16+$D22*P$12</f>
        <v>23729.36952855569</v>
      </c>
      <c r="H22" s="53">
        <f t="shared" ref="H22:H24" si="16">+S$10+$B22*S$16+$D22*S$12</f>
        <v>26420.352857781691</v>
      </c>
      <c r="J22" s="24">
        <f t="shared" ref="J22:J24" si="17">ROUND((+G22-F22)/F22,3)</f>
        <v>0.13600000000000001</v>
      </c>
      <c r="K22" s="24">
        <f t="shared" ref="K22:K24" si="18">ROUND((+H22-G22)/G22,3)</f>
        <v>0.113</v>
      </c>
      <c r="L22" s="24"/>
      <c r="M22" s="322" t="s">
        <v>59</v>
      </c>
      <c r="N22" s="352">
        <v>5.7457000000000001E-2</v>
      </c>
      <c r="O22" s="254"/>
      <c r="P22" s="354">
        <v>7.2320999999999996E-2</v>
      </c>
      <c r="Q22" s="308">
        <f t="shared" si="12"/>
        <v>0.25869780879614312</v>
      </c>
      <c r="R22" s="254"/>
      <c r="S22" s="354">
        <v>7.2173000000000001E-2</v>
      </c>
      <c r="T22" s="308">
        <f t="shared" si="13"/>
        <v>-2.0464318800900894E-3</v>
      </c>
    </row>
    <row r="23" spans="1:20">
      <c r="A23" s="142">
        <f t="shared" si="1"/>
        <v>14</v>
      </c>
      <c r="B23" s="3">
        <f>+B22</f>
        <v>600</v>
      </c>
      <c r="C23" s="3">
        <v>500</v>
      </c>
      <c r="D23" s="52">
        <f>ROUND((B$22*C23),0)</f>
        <v>300000</v>
      </c>
      <c r="F23" s="53">
        <f t="shared" si="14"/>
        <v>30676.360200000006</v>
      </c>
      <c r="G23" s="53">
        <f t="shared" si="15"/>
        <v>34010.318680926146</v>
      </c>
      <c r="H23" s="53">
        <f t="shared" si="16"/>
        <v>36706.924229636148</v>
      </c>
      <c r="J23" s="24">
        <f t="shared" si="17"/>
        <v>0.109</v>
      </c>
      <c r="K23" s="24">
        <f t="shared" si="18"/>
        <v>7.9000000000000001E-2</v>
      </c>
      <c r="L23" s="24"/>
      <c r="M23" s="233" t="s">
        <v>58</v>
      </c>
      <c r="N23" s="318">
        <v>12.23</v>
      </c>
      <c r="O23" s="254"/>
      <c r="P23" s="317">
        <v>15.9</v>
      </c>
      <c r="Q23" s="308">
        <f t="shared" si="12"/>
        <v>0.30008176614881438</v>
      </c>
      <c r="R23" s="254"/>
      <c r="S23" s="317">
        <v>20.67</v>
      </c>
      <c r="T23" s="308">
        <f t="shared" si="13"/>
        <v>0.3000000000000001</v>
      </c>
    </row>
    <row r="24" spans="1:20">
      <c r="A24" s="142">
        <f t="shared" si="1"/>
        <v>15</v>
      </c>
      <c r="B24" s="3">
        <f>+B23</f>
        <v>600</v>
      </c>
      <c r="C24" s="3">
        <v>700</v>
      </c>
      <c r="D24" s="52">
        <f>ROUND((B$22*C24),0)</f>
        <v>420000</v>
      </c>
      <c r="F24" s="53">
        <f t="shared" si="14"/>
        <v>40466.200200000007</v>
      </c>
      <c r="G24" s="53">
        <f t="shared" si="15"/>
        <v>44291.26783329661</v>
      </c>
      <c r="H24" s="53">
        <f t="shared" si="16"/>
        <v>46993.495601490613</v>
      </c>
      <c r="J24" s="24">
        <f t="shared" si="17"/>
        <v>9.5000000000000001E-2</v>
      </c>
      <c r="K24" s="24">
        <f t="shared" si="18"/>
        <v>6.0999999999999999E-2</v>
      </c>
      <c r="L24" s="24"/>
      <c r="M24" s="233" t="s">
        <v>57</v>
      </c>
      <c r="N24" s="318">
        <v>8.15</v>
      </c>
      <c r="O24" s="254"/>
      <c r="P24" s="317">
        <v>10.6</v>
      </c>
      <c r="Q24" s="308">
        <f t="shared" si="12"/>
        <v>0.30061349693251521</v>
      </c>
      <c r="R24" s="254"/>
      <c r="S24" s="317">
        <v>13.77</v>
      </c>
      <c r="T24" s="308">
        <f t="shared" si="13"/>
        <v>0.29905660377358489</v>
      </c>
    </row>
    <row r="25" spans="1:20">
      <c r="A25" s="142">
        <f t="shared" si="1"/>
        <v>16</v>
      </c>
      <c r="F25" s="53"/>
      <c r="G25" s="53"/>
      <c r="H25" s="53"/>
      <c r="J25" s="30"/>
      <c r="K25" s="30"/>
      <c r="L25" s="30"/>
      <c r="M25" s="233" t="s">
        <v>56</v>
      </c>
      <c r="N25" s="318">
        <v>10.15</v>
      </c>
      <c r="O25" s="254"/>
      <c r="P25" s="317">
        <v>13.61</v>
      </c>
      <c r="Q25" s="308">
        <f t="shared" si="12"/>
        <v>0.34088669950738903</v>
      </c>
      <c r="R25" s="254"/>
      <c r="S25" s="317">
        <v>18.010000000000002</v>
      </c>
      <c r="T25" s="308">
        <f t="shared" si="13"/>
        <v>0.32329169728141088</v>
      </c>
    </row>
    <row r="26" spans="1:20">
      <c r="A26" s="142">
        <f t="shared" si="1"/>
        <v>17</v>
      </c>
      <c r="B26" s="3">
        <f>+B24+100</f>
        <v>700</v>
      </c>
      <c r="C26" s="3">
        <v>300</v>
      </c>
      <c r="D26" s="52">
        <f>ROUND((B$26*C26),0)</f>
        <v>210000</v>
      </c>
      <c r="F26" s="53">
        <f t="shared" ref="F26:F28" si="19">+N$10+$B26*N$16+$D26*N$12</f>
        <v>24349.426900000006</v>
      </c>
      <c r="G26" s="53">
        <f t="shared" ref="G26:G28" si="20">+P$10+$B26*P$16+$D26*P$12</f>
        <v>27660.631116648303</v>
      </c>
      <c r="H26" s="53">
        <f t="shared" ref="H26:H28" si="21">+S$10+$B26*S$16+$D26*S$12</f>
        <v>30793.020000745306</v>
      </c>
      <c r="J26" s="24">
        <f t="shared" ref="J26:J28" si="22">ROUND((+G26-F26)/F26,3)</f>
        <v>0.13600000000000001</v>
      </c>
      <c r="K26" s="24">
        <f t="shared" ref="K26:K28" si="23">ROUND((+H26-G26)/G26,3)</f>
        <v>0.113</v>
      </c>
      <c r="L26" s="24"/>
      <c r="M26" s="233" t="s">
        <v>46</v>
      </c>
      <c r="N26" s="353">
        <v>1.2999999999999999E-3</v>
      </c>
      <c r="O26" s="356"/>
      <c r="P26" s="357">
        <v>1.6900000000000001E-3</v>
      </c>
      <c r="Q26" s="308">
        <f t="shared" si="12"/>
        <v>0.30000000000000016</v>
      </c>
      <c r="R26" s="356"/>
      <c r="S26" s="357">
        <v>2.2000000000000001E-3</v>
      </c>
      <c r="T26" s="308">
        <f t="shared" si="13"/>
        <v>0.30177514792899407</v>
      </c>
    </row>
    <row r="27" spans="1:20">
      <c r="A27" s="142">
        <f t="shared" si="1"/>
        <v>18</v>
      </c>
      <c r="B27" s="3">
        <f>+B26</f>
        <v>700</v>
      </c>
      <c r="C27" s="3">
        <v>500</v>
      </c>
      <c r="D27" s="52">
        <f>ROUND((B$26*C27),0)</f>
        <v>350000</v>
      </c>
      <c r="F27" s="53">
        <f t="shared" si="19"/>
        <v>35770.906900000002</v>
      </c>
      <c r="G27" s="53">
        <f t="shared" si="20"/>
        <v>39655.071794413845</v>
      </c>
      <c r="H27" s="53">
        <f t="shared" si="21"/>
        <v>42794.01993457551</v>
      </c>
      <c r="J27" s="24">
        <f t="shared" si="22"/>
        <v>0.109</v>
      </c>
      <c r="K27" s="24">
        <f t="shared" si="23"/>
        <v>7.9000000000000001E-2</v>
      </c>
      <c r="L27" s="24"/>
      <c r="M27" s="233"/>
      <c r="N27" s="235"/>
      <c r="P27" s="233"/>
      <c r="Q27" s="235"/>
      <c r="S27" s="233"/>
      <c r="T27" s="235"/>
    </row>
    <row r="28" spans="1:20">
      <c r="A28" s="142">
        <f t="shared" si="1"/>
        <v>19</v>
      </c>
      <c r="B28" s="3">
        <f>+B27</f>
        <v>700</v>
      </c>
      <c r="C28" s="3">
        <v>700</v>
      </c>
      <c r="D28" s="52">
        <f>ROUND((B$26*C28),0)</f>
        <v>490000</v>
      </c>
      <c r="F28" s="53">
        <f t="shared" si="19"/>
        <v>47192.386900000005</v>
      </c>
      <c r="G28" s="53">
        <f t="shared" si="20"/>
        <v>51649.512472179376</v>
      </c>
      <c r="H28" s="53">
        <f t="shared" si="21"/>
        <v>54795.01986840571</v>
      </c>
      <c r="J28" s="24">
        <f t="shared" si="22"/>
        <v>9.4E-2</v>
      </c>
      <c r="K28" s="24">
        <f t="shared" si="23"/>
        <v>6.0999999999999999E-2</v>
      </c>
      <c r="L28" s="24"/>
      <c r="M28" s="312" t="str">
        <f>'Exh CTM-8 (Schedule 24 Impacts)'!U23</f>
        <v xml:space="preserve">Schedule 95 Power Cost
</v>
      </c>
      <c r="N28" s="251">
        <f>'Sch 95'!$E$17</f>
        <v>7.0130000000000001E-3</v>
      </c>
      <c r="O28" s="258"/>
      <c r="P28" s="249">
        <f>'Sch 95'!$I$17</f>
        <v>0</v>
      </c>
      <c r="Q28" s="311"/>
      <c r="R28" s="258"/>
      <c r="S28" s="249">
        <f>'Sch 95'!$M$17</f>
        <v>0</v>
      </c>
      <c r="T28" s="308"/>
    </row>
    <row r="29" spans="1:20">
      <c r="A29" s="142">
        <f t="shared" si="1"/>
        <v>20</v>
      </c>
      <c r="F29" s="53"/>
      <c r="G29" s="53"/>
      <c r="H29" s="53"/>
      <c r="J29" s="30"/>
      <c r="K29" s="30"/>
      <c r="L29" s="30"/>
      <c r="M29" s="307" t="str">
        <f>'Exh CTM-8 (Schedule 24 Impacts)'!U24</f>
        <v>Schedule 95 PCA Imbalance</v>
      </c>
      <c r="N29" s="240">
        <f>'Sch 95 Imbalance'!$E$17</f>
        <v>3.2260000000000001E-3</v>
      </c>
      <c r="O29" s="254"/>
      <c r="P29" s="238">
        <f>'Sch 95 Imbalance'!$I$17</f>
        <v>3.2260000000000001E-3</v>
      </c>
      <c r="Q29" s="308"/>
      <c r="R29" s="254"/>
      <c r="S29" s="238">
        <f>'Sch 95 Imbalance'!$M$17</f>
        <v>3.2260000000000001E-3</v>
      </c>
      <c r="T29" s="308"/>
    </row>
    <row r="30" spans="1:20">
      <c r="A30" s="142">
        <f t="shared" si="1"/>
        <v>21</v>
      </c>
      <c r="B30" s="3">
        <f>+B28+100</f>
        <v>800</v>
      </c>
      <c r="C30" s="3">
        <v>300</v>
      </c>
      <c r="D30" s="52">
        <f>ROUND((B$30*C30),0)</f>
        <v>240000</v>
      </c>
      <c r="F30" s="53">
        <f t="shared" ref="F30:F32" si="24">+N$10+$B30*N$16+$D30*N$12</f>
        <v>27812.333600000005</v>
      </c>
      <c r="G30" s="53">
        <f t="shared" ref="G30:G32" si="25">+P$10+$B30*P$16+$D30*P$12</f>
        <v>31591.892704740916</v>
      </c>
      <c r="H30" s="53">
        <f t="shared" ref="H30:H32" si="26">+S$10+$B30*S$16+$D30*S$12</f>
        <v>35165.687143708921</v>
      </c>
      <c r="J30" s="24">
        <f t="shared" ref="J30:J32" si="27">ROUND((+G30-F30)/F30,3)</f>
        <v>0.13600000000000001</v>
      </c>
      <c r="K30" s="24">
        <f t="shared" ref="K30:K32" si="28">ROUND((+H30-G30)/G30,3)</f>
        <v>0.113</v>
      </c>
      <c r="L30" s="24"/>
      <c r="M30" s="307" t="str">
        <f>'Exh CTM-8 (Schedule 24 Impacts)'!U25</f>
        <v>Schedule 95A Federal Incentive Credit</v>
      </c>
      <c r="N30" s="240">
        <f>'Sch 95a'!$E$17</f>
        <v>0</v>
      </c>
      <c r="O30" s="254"/>
      <c r="P30" s="238">
        <f>'Sch 95a'!$I$17</f>
        <v>0</v>
      </c>
      <c r="Q30" s="308"/>
      <c r="R30" s="254"/>
      <c r="S30" s="238">
        <f>'Sch 95a'!$M$17</f>
        <v>0</v>
      </c>
      <c r="T30" s="308"/>
    </row>
    <row r="31" spans="1:20">
      <c r="A31" s="142">
        <f t="shared" si="1"/>
        <v>22</v>
      </c>
      <c r="B31" s="3">
        <f>+B30</f>
        <v>800</v>
      </c>
      <c r="C31" s="3">
        <v>500</v>
      </c>
      <c r="D31" s="52">
        <f>ROUND((B$30*C31),0)</f>
        <v>400000</v>
      </c>
      <c r="F31" s="53">
        <f t="shared" si="24"/>
        <v>40865.453600000008</v>
      </c>
      <c r="G31" s="53">
        <f t="shared" si="25"/>
        <v>45299.82490790153</v>
      </c>
      <c r="H31" s="53">
        <f t="shared" si="26"/>
        <v>48881.115639514872</v>
      </c>
      <c r="J31" s="24">
        <f t="shared" si="27"/>
        <v>0.109</v>
      </c>
      <c r="K31" s="24">
        <f t="shared" si="28"/>
        <v>7.9000000000000001E-2</v>
      </c>
      <c r="L31" s="24"/>
      <c r="M31" s="307" t="str">
        <f>'Exh CTM-8 (Schedule 24 Impacts)'!U26</f>
        <v>Schedule 120 Conservation</v>
      </c>
      <c r="N31" s="240">
        <f>'Sch 120'!$E$17</f>
        <v>3.9810000000000002E-3</v>
      </c>
      <c r="P31" s="238">
        <f>'Sch 120'!$I$17</f>
        <v>3.9810000000000002E-3</v>
      </c>
      <c r="Q31" s="235"/>
      <c r="S31" s="238">
        <f>'Sch 120'!$M$17</f>
        <v>3.9810000000000002E-3</v>
      </c>
      <c r="T31" s="235"/>
    </row>
    <row r="32" spans="1:20">
      <c r="A32" s="142">
        <f t="shared" si="1"/>
        <v>23</v>
      </c>
      <c r="B32" s="3">
        <f>+B31</f>
        <v>800</v>
      </c>
      <c r="C32" s="3">
        <v>700</v>
      </c>
      <c r="D32" s="52">
        <f>ROUND((B$30*C32),0)</f>
        <v>560000</v>
      </c>
      <c r="F32" s="53">
        <f t="shared" si="24"/>
        <v>53918.573600000003</v>
      </c>
      <c r="G32" s="53">
        <f t="shared" si="25"/>
        <v>59007.757111062143</v>
      </c>
      <c r="H32" s="53">
        <f t="shared" si="26"/>
        <v>62596.544135320815</v>
      </c>
      <c r="J32" s="24">
        <f t="shared" si="27"/>
        <v>9.4E-2</v>
      </c>
      <c r="K32" s="24">
        <f t="shared" si="28"/>
        <v>6.0999999999999999E-2</v>
      </c>
      <c r="L32" s="24"/>
      <c r="M32" s="307" t="str">
        <f>'Exh CTM-8 (Schedule 24 Impacts)'!U27</f>
        <v>Schedule 129 Low Income</v>
      </c>
      <c r="N32" s="240">
        <f>'Sch 129'!$E$17</f>
        <v>1.1230000000000001E-3</v>
      </c>
      <c r="O32" s="254"/>
      <c r="P32" s="238">
        <f>'Sch 129'!$I$17</f>
        <v>1.1230000000000001E-3</v>
      </c>
      <c r="Q32" s="308"/>
      <c r="R32" s="254"/>
      <c r="S32" s="238">
        <f>'Sch 129'!$M$17</f>
        <v>1.1230000000000001E-3</v>
      </c>
      <c r="T32" s="308"/>
    </row>
    <row r="33" spans="1:20">
      <c r="A33" s="142">
        <f t="shared" si="1"/>
        <v>24</v>
      </c>
      <c r="F33" s="53"/>
      <c r="G33" s="53"/>
      <c r="H33" s="53"/>
      <c r="J33" s="30"/>
      <c r="K33" s="30"/>
      <c r="L33" s="30"/>
      <c r="M33" s="307" t="str">
        <f>'Exh CTM-8 (Schedule 24 Impacts)'!U28</f>
        <v>Schedule 129D Bill Discount</v>
      </c>
      <c r="N33" s="240">
        <f>'Sch 129D'!$E$17</f>
        <v>4.7800000000000002E-4</v>
      </c>
      <c r="O33" s="254"/>
      <c r="P33" s="238">
        <f>'Sch 129D'!$I$17</f>
        <v>4.7800000000000002E-4</v>
      </c>
      <c r="Q33" s="308"/>
      <c r="R33" s="254"/>
      <c r="S33" s="238">
        <f>'Sch 129D'!$M$17</f>
        <v>4.7800000000000002E-4</v>
      </c>
      <c r="T33" s="308"/>
    </row>
    <row r="34" spans="1:20">
      <c r="A34" s="142">
        <f t="shared" si="1"/>
        <v>25</v>
      </c>
      <c r="B34" s="3">
        <f>+B32+200</f>
        <v>1000</v>
      </c>
      <c r="C34" s="3">
        <v>300</v>
      </c>
      <c r="D34" s="52">
        <f>ROUND((B$34*C34),0)</f>
        <v>300000</v>
      </c>
      <c r="F34" s="53">
        <f t="shared" ref="F34:F36" si="29">+N$10+$B34*N$16+$D34*N$12</f>
        <v>34738.147000000004</v>
      </c>
      <c r="G34" s="53">
        <f t="shared" ref="G34:G36" si="30">+P$10+$B34*P$16+$D34*P$12</f>
        <v>39454.415880926143</v>
      </c>
      <c r="H34" s="53">
        <f t="shared" ref="H34:H36" si="31">+S$10+$B34*S$16+$D34*S$12</f>
        <v>43911.021429636152</v>
      </c>
      <c r="J34" s="24">
        <f t="shared" ref="J34:J36" si="32">ROUND((+G34-F34)/F34,3)</f>
        <v>0.13600000000000001</v>
      </c>
      <c r="K34" s="24">
        <f t="shared" ref="K34:K36" si="33">ROUND((+H34-G34)/G34,3)</f>
        <v>0.113</v>
      </c>
      <c r="L34" s="24"/>
      <c r="M34" s="312" t="str">
        <f>'Exh CTM-8 (Schedule 24 Impacts)'!U29</f>
        <v>Schedule 137 REC</v>
      </c>
      <c r="N34" s="251">
        <f>'Sch 137'!$E$17</f>
        <v>6.0000000000000002E-6</v>
      </c>
      <c r="O34" s="258"/>
      <c r="P34" s="249">
        <f>'Sch 137'!$I$17</f>
        <v>0</v>
      </c>
      <c r="Q34" s="311"/>
      <c r="R34" s="258"/>
      <c r="S34" s="249">
        <f>'Sch 137'!$M$17</f>
        <v>0</v>
      </c>
      <c r="T34" s="308"/>
    </row>
    <row r="35" spans="1:20">
      <c r="A35" s="142">
        <f t="shared" si="1"/>
        <v>26</v>
      </c>
      <c r="B35" s="3">
        <f>+B34</f>
        <v>1000</v>
      </c>
      <c r="C35" s="3">
        <v>500</v>
      </c>
      <c r="D35" s="52">
        <f>ROUND((B$34*C35),0)</f>
        <v>500000</v>
      </c>
      <c r="F35" s="53">
        <f t="shared" si="29"/>
        <v>51054.547000000006</v>
      </c>
      <c r="G35" s="53">
        <f t="shared" si="30"/>
        <v>56589.331134876913</v>
      </c>
      <c r="H35" s="53">
        <f t="shared" si="31"/>
        <v>61055.307049393581</v>
      </c>
      <c r="J35" s="24">
        <f t="shared" si="32"/>
        <v>0.108</v>
      </c>
      <c r="K35" s="24">
        <f t="shared" si="33"/>
        <v>7.9000000000000001E-2</v>
      </c>
      <c r="L35" s="24"/>
      <c r="M35" s="307" t="str">
        <f>'Exh CTM-8 (Schedule 24 Impacts)'!U30</f>
        <v>Schedule 140 Property Tax</v>
      </c>
      <c r="N35" s="240">
        <f>'Sch 140'!$E$17</f>
        <v>1.7149999999999999E-3</v>
      </c>
      <c r="O35" s="254"/>
      <c r="P35" s="238">
        <f>'Sch 140'!$I$17</f>
        <v>1.7149999999999999E-3</v>
      </c>
      <c r="Q35" s="308"/>
      <c r="R35" s="254"/>
      <c r="S35" s="238">
        <f>'Sch 140'!$M$17</f>
        <v>1.7149999999999999E-3</v>
      </c>
      <c r="T35" s="308"/>
    </row>
    <row r="36" spans="1:20">
      <c r="A36" s="142">
        <f t="shared" si="1"/>
        <v>27</v>
      </c>
      <c r="B36" s="3">
        <f>+B35</f>
        <v>1000</v>
      </c>
      <c r="C36" s="3">
        <v>700</v>
      </c>
      <c r="D36" s="52">
        <f>ROUND((B$34*C36),0)</f>
        <v>700000</v>
      </c>
      <c r="F36" s="53">
        <f t="shared" si="29"/>
        <v>67370.947000000015</v>
      </c>
      <c r="G36" s="53">
        <f t="shared" si="30"/>
        <v>73724.246388827683</v>
      </c>
      <c r="H36" s="53">
        <f t="shared" si="31"/>
        <v>78199.59266915101</v>
      </c>
      <c r="J36" s="24">
        <f t="shared" si="32"/>
        <v>9.4E-2</v>
      </c>
      <c r="K36" s="24">
        <f t="shared" si="33"/>
        <v>6.0999999999999999E-2</v>
      </c>
      <c r="L36" s="24"/>
      <c r="M36" s="307" t="str">
        <f>'Exh CTM-8 (Schedule 24 Impacts)'!U31</f>
        <v>Schedule 141 ERF</v>
      </c>
      <c r="N36" s="240">
        <f>'Sch 141'!$E$17</f>
        <v>0</v>
      </c>
      <c r="O36" s="254"/>
      <c r="P36" s="238">
        <f>'Sch 141'!$I$17</f>
        <v>0</v>
      </c>
      <c r="Q36" s="308"/>
      <c r="R36" s="254"/>
      <c r="S36" s="238">
        <f>'Sch 141'!$M$17</f>
        <v>0</v>
      </c>
      <c r="T36" s="308"/>
    </row>
    <row r="37" spans="1:20">
      <c r="A37" s="142">
        <f t="shared" si="1"/>
        <v>28</v>
      </c>
      <c r="B37" s="58"/>
      <c r="C37" s="58"/>
      <c r="D37" s="58"/>
      <c r="E37" s="58"/>
      <c r="F37" s="58"/>
      <c r="G37" s="58"/>
      <c r="H37" s="58"/>
      <c r="I37" s="58"/>
      <c r="J37" s="58"/>
      <c r="K37" s="58"/>
      <c r="M37" s="307" t="str">
        <f>'Exh CTM-8 (Schedule 24 Impacts)'!U32</f>
        <v>Schedule 141A Energy Charge Credit</v>
      </c>
      <c r="N37" s="240">
        <f>'Sch 141A'!$F$17</f>
        <v>1.549E-3</v>
      </c>
      <c r="P37" s="238">
        <f>'Sch 141A'!$J$17</f>
        <v>1.549E-3</v>
      </c>
      <c r="Q37" s="235"/>
      <c r="S37" s="238">
        <f>'Sch 141A'!$N$17</f>
        <v>1.549E-3</v>
      </c>
      <c r="T37" s="235"/>
    </row>
    <row r="38" spans="1:20">
      <c r="A38" s="142">
        <f t="shared" si="1"/>
        <v>29</v>
      </c>
      <c r="M38" s="312" t="str">
        <f>'Exh CTM-8 (Schedule 24 Impacts)'!U33</f>
        <v>Schedule 141CEI Clean Energy Implementation Plan</v>
      </c>
      <c r="N38" s="251">
        <f>'Sch 141CEI'!$F$17</f>
        <v>6.02E-4</v>
      </c>
      <c r="O38" s="258"/>
      <c r="P38" s="249">
        <f>'Sch 141CEI'!$L$17</f>
        <v>0</v>
      </c>
      <c r="Q38" s="311"/>
      <c r="R38" s="258"/>
      <c r="S38" s="249">
        <f>'Sch 141CEI'!$R$17</f>
        <v>0</v>
      </c>
      <c r="T38" s="308"/>
    </row>
    <row r="39" spans="1:20">
      <c r="A39" s="142">
        <f t="shared" ref="A39:A55" si="34">A38+1</f>
        <v>30</v>
      </c>
      <c r="M39" s="312" t="str">
        <f>'Exh CTM-8 (Schedule 24 Impacts)'!U34</f>
        <v>Schedule 141CGR Clean Generation Resources</v>
      </c>
      <c r="N39" s="251">
        <f>'Sch 141CGR'!$F$17</f>
        <v>0</v>
      </c>
      <c r="O39" s="258"/>
      <c r="P39" s="249">
        <f>'Sch 141CGR'!$L$17</f>
        <v>8.4571042049831472E-4</v>
      </c>
      <c r="Q39" s="311"/>
      <c r="R39" s="258"/>
      <c r="S39" s="249">
        <f>'Sch 141CGR'!$R$17</f>
        <v>1.0409348891093082E-3</v>
      </c>
      <c r="T39" s="308"/>
    </row>
    <row r="40" spans="1:20">
      <c r="A40" s="142">
        <f t="shared" si="34"/>
        <v>31</v>
      </c>
      <c r="B40" s="518"/>
      <c r="C40" s="518"/>
      <c r="D40" s="518"/>
      <c r="E40" s="518"/>
      <c r="F40" s="518"/>
      <c r="G40" s="518"/>
      <c r="H40" s="518"/>
      <c r="I40" s="518"/>
      <c r="J40" s="518"/>
      <c r="K40" s="7"/>
      <c r="L40" s="7"/>
      <c r="M40" s="312" t="str">
        <f>'Exh CTM-8 (Schedule 24 Impacts)'!U35</f>
        <v>Schedule 141DCARB Decarbonization</v>
      </c>
      <c r="N40" s="251">
        <f>'Sch 141DCARB'!$E$17</f>
        <v>0</v>
      </c>
      <c r="O40" s="258"/>
      <c r="P40" s="249">
        <f>'Sch 141DCARB'!$I$17</f>
        <v>1.7865849255524671E-5</v>
      </c>
      <c r="Q40" s="311"/>
      <c r="R40" s="258"/>
      <c r="S40" s="249">
        <f>'Sch 141DCARB'!$M$17</f>
        <v>1.7493209677852782E-5</v>
      </c>
      <c r="T40" s="308"/>
    </row>
    <row r="41" spans="1:20">
      <c r="A41" s="142">
        <f t="shared" si="34"/>
        <v>32</v>
      </c>
      <c r="B41" s="518"/>
      <c r="C41" s="518"/>
      <c r="D41" s="518"/>
      <c r="E41" s="518"/>
      <c r="F41" s="518"/>
      <c r="G41" s="518"/>
      <c r="H41" s="518"/>
      <c r="I41" s="518"/>
      <c r="J41" s="518"/>
      <c r="K41" s="7"/>
      <c r="L41" s="7"/>
      <c r="M41" s="307" t="str">
        <f>'Exh CTM-8 (Schedule 24 Impacts)'!U36</f>
        <v>Schedule 141COL Colstrip Adjustment</v>
      </c>
      <c r="N41" s="240">
        <f>'Sch 141COL'!$F$17</f>
        <v>4.1800000000000002E-4</v>
      </c>
      <c r="P41" s="238">
        <f>'Sch 141COL'!$L$17</f>
        <v>4.1800000000000002E-4</v>
      </c>
      <c r="Q41" s="235"/>
      <c r="S41" s="238">
        <f>'Sch 141COL'!$R$17</f>
        <v>4.1800000000000002E-4</v>
      </c>
      <c r="T41" s="235"/>
    </row>
    <row r="42" spans="1:20">
      <c r="A42" s="142">
        <f t="shared" si="34"/>
        <v>33</v>
      </c>
      <c r="B42" s="518"/>
      <c r="C42" s="518"/>
      <c r="D42" s="518"/>
      <c r="E42" s="518"/>
      <c r="F42" s="518"/>
      <c r="G42" s="518"/>
      <c r="H42" s="518"/>
      <c r="I42" s="518"/>
      <c r="J42" s="518"/>
      <c r="K42" s="7"/>
      <c r="L42" s="7"/>
      <c r="M42" s="312" t="str">
        <f>'Exh CTM-8 (Schedule 24 Impacts)'!U37</f>
        <v>Schedule 141N Rates Not Subject to Refund</v>
      </c>
      <c r="N42" s="251">
        <f>'Sch 141N'!$G$17</f>
        <v>4.2240000000000003E-3</v>
      </c>
      <c r="O42" s="258"/>
      <c r="P42" s="249">
        <f>'Sch 141N'!$M$17</f>
        <v>0</v>
      </c>
      <c r="Q42" s="311"/>
      <c r="R42" s="258"/>
      <c r="S42" s="249">
        <f>'Sch 141N'!$S$17</f>
        <v>0</v>
      </c>
      <c r="T42" s="308"/>
    </row>
    <row r="43" spans="1:20">
      <c r="A43" s="142">
        <f t="shared" si="34"/>
        <v>34</v>
      </c>
      <c r="B43" s="518"/>
      <c r="C43" s="518"/>
      <c r="D43" s="518"/>
      <c r="E43" s="518"/>
      <c r="F43" s="518"/>
      <c r="G43" s="518"/>
      <c r="H43" s="518"/>
      <c r="I43" s="518"/>
      <c r="J43" s="518"/>
      <c r="K43" s="7"/>
      <c r="L43" s="7"/>
      <c r="M43" s="312" t="str">
        <f>'Exh CTM-8 (Schedule 24 Impacts)'!U38</f>
        <v>Schedule 141R Rates Subject to Refund</v>
      </c>
      <c r="N43" s="251">
        <f>'Sch 141R'!$G$17</f>
        <v>4.0140000000000002E-3</v>
      </c>
      <c r="O43" s="258"/>
      <c r="P43" s="249">
        <f>'Sch 141R'!$M$17</f>
        <v>0</v>
      </c>
      <c r="Q43" s="311"/>
      <c r="R43" s="258"/>
      <c r="S43" s="249">
        <f>'Sch 141R'!$S$17</f>
        <v>0</v>
      </c>
      <c r="T43" s="308"/>
    </row>
    <row r="44" spans="1:20">
      <c r="A44" s="142">
        <f t="shared" si="34"/>
        <v>35</v>
      </c>
      <c r="M44" s="307" t="str">
        <f>'Exh CTM-8 (Schedule 24 Impacts)'!U39</f>
        <v>Schedule 141 TEP</v>
      </c>
      <c r="N44" s="240">
        <f>'Sch 141TEP'!$E$17</f>
        <v>2.43E-4</v>
      </c>
      <c r="O44" s="254"/>
      <c r="P44" s="238">
        <f>'Sch 141TEP'!$I$17</f>
        <v>2.43E-4</v>
      </c>
      <c r="Q44" s="308"/>
      <c r="R44" s="254"/>
      <c r="S44" s="238">
        <f>'Sch 141TEP'!$M$17</f>
        <v>2.43E-4</v>
      </c>
      <c r="T44" s="308"/>
    </row>
    <row r="45" spans="1:20">
      <c r="A45" s="142">
        <f t="shared" si="34"/>
        <v>36</v>
      </c>
      <c r="M45" s="312" t="str">
        <f>'Exh CTM-8 (Schedule 24 Impacts)'!U40</f>
        <v>Schedule 141WFP Wildfire Prevention Cost Recovery</v>
      </c>
      <c r="N45" s="251">
        <f>'Sch 141WFP'!$F$17</f>
        <v>0</v>
      </c>
      <c r="P45" s="249">
        <f>'Sch 141WFP'!$L$17</f>
        <v>1.0480251758214365E-5</v>
      </c>
      <c r="Q45" s="235"/>
      <c r="S45" s="249">
        <f>'Sch 141WFP'!$R$17</f>
        <v>1.2812059099364239E-5</v>
      </c>
      <c r="T45" s="235"/>
    </row>
    <row r="46" spans="1:20">
      <c r="A46" s="142">
        <f t="shared" si="34"/>
        <v>37</v>
      </c>
      <c r="M46" s="307" t="str">
        <f>'Exh CTM-8 (Schedule 24 Impacts)'!U41</f>
        <v>Schedule 141X (Protected) EDIT</v>
      </c>
      <c r="N46" s="240">
        <f>'Sch 141X'!$E$17</f>
        <v>0</v>
      </c>
      <c r="O46" s="149"/>
      <c r="P46" s="238">
        <f>'Sch 141X'!$I$17</f>
        <v>0</v>
      </c>
      <c r="Q46" s="306"/>
      <c r="R46" s="149"/>
      <c r="S46" s="238">
        <f>'Sch 141X'!$M$17</f>
        <v>0</v>
      </c>
      <c r="T46" s="306"/>
    </row>
    <row r="47" spans="1:20">
      <c r="A47" s="142">
        <f t="shared" si="34"/>
        <v>38</v>
      </c>
      <c r="M47" s="307" t="str">
        <f>'Exh CTM-8 (Schedule 24 Impacts)'!U42</f>
        <v>Schedule 141Z (Unprotected) EDIT</v>
      </c>
      <c r="N47" s="240">
        <f>'Sch 141Z'!$E$17</f>
        <v>0</v>
      </c>
      <c r="O47" s="149"/>
      <c r="P47" s="238">
        <f>'Sch 141Z'!$I$17</f>
        <v>0</v>
      </c>
      <c r="Q47" s="306"/>
      <c r="R47" s="149"/>
      <c r="S47" s="238">
        <f>'Sch 141Z'!$M$17</f>
        <v>0</v>
      </c>
      <c r="T47" s="306"/>
    </row>
    <row r="48" spans="1:20">
      <c r="A48" s="142">
        <f t="shared" si="34"/>
        <v>39</v>
      </c>
      <c r="B48" s="9"/>
      <c r="M48" s="307" t="str">
        <f>'Exh CTM-8 (Schedule 24 Impacts)'!U43</f>
        <v>Schedule 142  Deocupling Deferral</v>
      </c>
      <c r="N48" s="240">
        <f>'Sch 142'!$F$17</f>
        <v>4.8200000000000001E-4</v>
      </c>
      <c r="O48" s="149"/>
      <c r="P48" s="238">
        <f>'Sch 142'!$L$17</f>
        <v>4.8200000000000001E-4</v>
      </c>
      <c r="Q48" s="306"/>
      <c r="R48" s="149"/>
      <c r="S48" s="238">
        <f>'Sch 142'!$R$17</f>
        <v>4.8200000000000001E-4</v>
      </c>
      <c r="T48" s="306"/>
    </row>
    <row r="49" spans="1:20">
      <c r="A49" s="142">
        <f t="shared" si="34"/>
        <v>40</v>
      </c>
      <c r="M49" s="307" t="str">
        <f>'Exh CTM-8 (Schedule 24 Impacts)'!U44</f>
        <v>Schedule 142 Deocupling Supplemental</v>
      </c>
      <c r="N49" s="240">
        <f>'Sch 142 Supplemental'!$F$17</f>
        <v>0</v>
      </c>
      <c r="O49" s="149"/>
      <c r="P49" s="238">
        <f>'Sch 142 Supplemental'!$L$17</f>
        <v>0</v>
      </c>
      <c r="Q49" s="306"/>
      <c r="R49" s="149"/>
      <c r="S49" s="238">
        <f>'Sch 142 Supplemental'!$R$17</f>
        <v>0</v>
      </c>
      <c r="T49" s="306"/>
    </row>
    <row r="50" spans="1:20">
      <c r="A50" s="142">
        <f t="shared" si="34"/>
        <v>41</v>
      </c>
      <c r="M50" s="307" t="str">
        <f>'Exh CTM-8 (Schedule 24 Impacts)'!U45</f>
        <v>Schedule 194 BPA Res &amp; Farm Credit</v>
      </c>
      <c r="N50" s="346" t="s">
        <v>410</v>
      </c>
      <c r="O50" s="149"/>
      <c r="P50" s="238"/>
      <c r="Q50" s="306"/>
      <c r="R50" s="149"/>
      <c r="S50" s="238"/>
      <c r="T50" s="306"/>
    </row>
    <row r="51" spans="1:20" ht="12" thickBot="1">
      <c r="A51" s="142">
        <f t="shared" si="34"/>
        <v>42</v>
      </c>
      <c r="M51" s="291" t="s">
        <v>392</v>
      </c>
      <c r="N51" s="289">
        <f>SUM(N28:N50)+N22</f>
        <v>8.6530999999999997E-2</v>
      </c>
      <c r="P51" s="290">
        <f>SUM(P28:P50)+P22</f>
        <v>8.6410056521512055E-2</v>
      </c>
      <c r="Q51" s="306"/>
      <c r="S51" s="290">
        <f>SUM(S28:S50)+S22</f>
        <v>8.645924015788653E-2</v>
      </c>
      <c r="T51" s="306"/>
    </row>
    <row r="52" spans="1:20" ht="12" thickTop="1">
      <c r="A52" s="142">
        <f t="shared" si="34"/>
        <v>43</v>
      </c>
      <c r="M52" s="291"/>
      <c r="N52" s="347"/>
      <c r="P52" s="270"/>
      <c r="Q52" s="271"/>
      <c r="S52" s="270"/>
      <c r="T52" s="271"/>
    </row>
    <row r="53" spans="1:20">
      <c r="A53" s="142">
        <f t="shared" si="34"/>
        <v>44</v>
      </c>
      <c r="M53" s="234" t="s">
        <v>357</v>
      </c>
      <c r="N53" s="348"/>
      <c r="P53" s="233"/>
      <c r="Q53" s="232">
        <f>'Exh CTM-8 (Rate Impacts_RY#1)'!$H$13</f>
        <v>0.1898196410159145</v>
      </c>
      <c r="S53" s="233"/>
      <c r="T53" s="232">
        <f>'Exh CTM-8 (Rate Impacts_RY#2)'!$I$13</f>
        <v>8.1844086033646971E-2</v>
      </c>
    </row>
    <row r="54" spans="1:20">
      <c r="A54" s="142">
        <f t="shared" si="34"/>
        <v>45</v>
      </c>
      <c r="M54" s="234" t="s">
        <v>356</v>
      </c>
      <c r="N54" s="348"/>
      <c r="P54" s="233"/>
      <c r="Q54" s="232">
        <f>'Exh CTM-8 (Rate Impacts_RY#1)'!$AI$13</f>
        <v>5.469144289009456E-2</v>
      </c>
      <c r="S54" s="233"/>
      <c r="T54" s="232">
        <f>'Exh CTM-8 (Rate Impacts_RY#2)'!$V$13</f>
        <v>8.9434898642828747E-2</v>
      </c>
    </row>
    <row r="55" spans="1:20" ht="12" thickBot="1">
      <c r="A55" s="142">
        <f t="shared" si="34"/>
        <v>46</v>
      </c>
      <c r="M55" s="343" t="s">
        <v>408</v>
      </c>
      <c r="N55" s="230"/>
      <c r="P55" s="231"/>
      <c r="Q55" s="230"/>
      <c r="S55" s="231"/>
      <c r="T55" s="230"/>
    </row>
    <row r="56" spans="1:20">
      <c r="A56" s="142"/>
    </row>
  </sheetData>
  <mergeCells count="13">
    <mergeCell ref="A1:T1"/>
    <mergeCell ref="A2:T2"/>
    <mergeCell ref="A3:T3"/>
    <mergeCell ref="A4:T4"/>
    <mergeCell ref="P6:Q6"/>
    <mergeCell ref="S6:T6"/>
    <mergeCell ref="B42:J42"/>
    <mergeCell ref="B43:J43"/>
    <mergeCell ref="F6:H6"/>
    <mergeCell ref="B40:J40"/>
    <mergeCell ref="B41:J41"/>
    <mergeCell ref="F7:H7"/>
    <mergeCell ref="J7:K7"/>
  </mergeCells>
  <pageMargins left="0.7" right="0.7" top="0.75" bottom="0.75" header="0.3" footer="0.3"/>
  <pageSetup scale="38" orientation="landscape" horizontalDpi="360" verticalDpi="360" r:id="rId1"/>
  <headerFooter>
    <oddFooter>&amp;R&amp;F
&amp;A
&amp;P of &amp;N</oddFooter>
  </headerFooter>
  <customProperties>
    <customPr name="_pios_id" r:id="rId2"/>
  </customProperties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3" tint="0.79998168889431442"/>
    <pageSetUpPr fitToPage="1"/>
  </sheetPr>
  <dimension ref="A1:T74"/>
  <sheetViews>
    <sheetView zoomScaleNormal="100" zoomScaleSheetLayoutView="100" workbookViewId="0">
      <pane xSplit="2" ySplit="9" topLeftCell="C43" activePane="bottomRight" state="frozen"/>
      <selection activeCell="U42" sqref="U42"/>
      <selection pane="topRight" activeCell="U42" sqref="U42"/>
      <selection pane="bottomLeft" activeCell="U42" sqref="U42"/>
      <selection pane="bottomRight" activeCell="U42" sqref="U42"/>
    </sheetView>
  </sheetViews>
  <sheetFormatPr defaultColWidth="9.42578125" defaultRowHeight="11.25"/>
  <cols>
    <col min="1" max="1" width="4.28515625" style="3" customWidth="1"/>
    <col min="2" max="2" width="11.42578125" style="3" bestFit="1" customWidth="1"/>
    <col min="3" max="3" width="11.42578125" style="3" customWidth="1"/>
    <col min="4" max="4" width="7.140625" style="3" bestFit="1" customWidth="1"/>
    <col min="5" max="5" width="0.7109375" style="3" customWidth="1"/>
    <col min="6" max="6" width="11.85546875" style="3" customWidth="1"/>
    <col min="7" max="7" width="12.5703125" style="3" customWidth="1"/>
    <col min="8" max="8" width="13" style="3" customWidth="1"/>
    <col min="9" max="9" width="0.7109375" style="3" customWidth="1"/>
    <col min="10" max="10" width="10" style="3" bestFit="1" customWidth="1"/>
    <col min="11" max="11" width="10" style="3" customWidth="1"/>
    <col min="12" max="12" width="0.7109375" style="3" customWidth="1"/>
    <col min="13" max="13" width="38.5703125" style="142" bestFit="1" customWidth="1"/>
    <col min="14" max="14" width="11.140625" style="142" bestFit="1" customWidth="1"/>
    <col min="15" max="15" width="1.140625" style="142" customWidth="1"/>
    <col min="16" max="17" width="11.140625" style="142" bestFit="1" customWidth="1"/>
    <col min="18" max="18" width="0.85546875" style="142" customWidth="1"/>
    <col min="19" max="19" width="11.140625" style="142" bestFit="1" customWidth="1"/>
    <col min="20" max="20" width="11.140625" style="142" customWidth="1"/>
    <col min="21" max="16384" width="9.42578125" style="3"/>
  </cols>
  <sheetData>
    <row r="1" spans="1:20">
      <c r="A1" s="497" t="str">
        <f>'Table of Contents'!A1</f>
        <v>Puget Sound Energy</v>
      </c>
      <c r="B1" s="497"/>
      <c r="C1" s="497"/>
      <c r="D1" s="497"/>
      <c r="E1" s="497"/>
      <c r="F1" s="497"/>
      <c r="G1" s="497"/>
      <c r="H1" s="497"/>
      <c r="I1" s="497"/>
      <c r="J1" s="497"/>
      <c r="K1" s="497"/>
      <c r="L1" s="497"/>
      <c r="M1" s="497"/>
      <c r="N1" s="497"/>
      <c r="O1" s="497"/>
      <c r="P1" s="497"/>
      <c r="Q1" s="497"/>
      <c r="R1" s="497"/>
      <c r="S1" s="497"/>
      <c r="T1" s="48"/>
    </row>
    <row r="2" spans="1:20">
      <c r="A2" s="497" t="str">
        <f>'Table of Contents'!A2</f>
        <v>2024 General Rate Case Docket No. UE-240004 and UG-240005</v>
      </c>
      <c r="B2" s="497"/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7"/>
      <c r="N2" s="497"/>
      <c r="O2" s="497"/>
      <c r="P2" s="497"/>
      <c r="Q2" s="497"/>
      <c r="R2" s="497"/>
      <c r="S2" s="497"/>
      <c r="T2" s="48"/>
    </row>
    <row r="3" spans="1:20" ht="12.75">
      <c r="A3" s="448" t="s">
        <v>35</v>
      </c>
      <c r="B3" s="503"/>
      <c r="C3" s="503"/>
      <c r="D3" s="503"/>
      <c r="E3" s="503"/>
      <c r="F3" s="503"/>
      <c r="G3" s="503"/>
      <c r="H3" s="503"/>
      <c r="I3" s="503"/>
      <c r="J3" s="503"/>
      <c r="K3" s="503"/>
      <c r="L3" s="503"/>
      <c r="M3" s="503"/>
      <c r="N3" s="503"/>
      <c r="O3" s="503"/>
      <c r="P3" s="503"/>
      <c r="Q3" s="503"/>
      <c r="R3" s="503"/>
      <c r="S3" s="503"/>
      <c r="T3" s="48"/>
    </row>
    <row r="4" spans="1:20" ht="12.75">
      <c r="A4" s="448" t="s">
        <v>411</v>
      </c>
      <c r="B4" s="503" t="s">
        <v>66</v>
      </c>
      <c r="C4" s="503"/>
      <c r="D4" s="503"/>
      <c r="E4" s="503"/>
      <c r="F4" s="503"/>
      <c r="G4" s="503"/>
      <c r="H4" s="503"/>
      <c r="I4" s="503"/>
      <c r="J4" s="503"/>
      <c r="K4" s="503"/>
      <c r="L4" s="503"/>
      <c r="M4" s="503"/>
      <c r="N4" s="503"/>
      <c r="O4" s="503"/>
      <c r="P4" s="503"/>
      <c r="Q4" s="503"/>
      <c r="R4" s="503"/>
      <c r="S4" s="503"/>
      <c r="T4" s="48"/>
    </row>
    <row r="5" spans="1:20" ht="12" thickBot="1">
      <c r="F5" s="2"/>
      <c r="G5" s="2"/>
      <c r="H5" s="2"/>
      <c r="I5" s="2"/>
      <c r="J5" s="2"/>
      <c r="K5" s="2"/>
      <c r="L5" s="2"/>
      <c r="M5" s="331"/>
      <c r="N5" s="331"/>
      <c r="O5" s="331"/>
      <c r="P5" s="331"/>
      <c r="Q5" s="331"/>
      <c r="R5" s="331"/>
      <c r="S5" s="331"/>
      <c r="T5" s="331"/>
    </row>
    <row r="6" spans="1:20" ht="13.5" thickBot="1">
      <c r="B6" s="2"/>
      <c r="F6" s="519"/>
      <c r="G6" s="520"/>
      <c r="H6" s="520"/>
      <c r="I6" s="2"/>
      <c r="J6" s="2"/>
      <c r="K6" s="2"/>
      <c r="L6" s="2"/>
      <c r="M6" s="136"/>
      <c r="N6" s="136"/>
      <c r="P6" s="475" t="s">
        <v>353</v>
      </c>
      <c r="Q6" s="517"/>
      <c r="S6" s="475" t="s">
        <v>354</v>
      </c>
      <c r="T6" s="517"/>
    </row>
    <row r="7" spans="1:20" ht="12.75">
      <c r="A7" s="136"/>
      <c r="B7" s="135"/>
      <c r="C7" s="135"/>
      <c r="D7" s="136"/>
      <c r="E7" s="136"/>
      <c r="F7" s="514" t="s">
        <v>401</v>
      </c>
      <c r="G7" s="515"/>
      <c r="H7" s="516"/>
      <c r="I7" s="136"/>
      <c r="J7" s="509" t="s">
        <v>44</v>
      </c>
      <c r="K7" s="516"/>
      <c r="L7" s="2"/>
      <c r="M7" s="300"/>
      <c r="N7" s="302"/>
      <c r="P7" s="351"/>
      <c r="Q7" s="302"/>
      <c r="S7" s="351"/>
      <c r="T7" s="302"/>
    </row>
    <row r="8" spans="1:20" ht="45">
      <c r="A8" s="288" t="s">
        <v>350</v>
      </c>
      <c r="B8" s="287" t="s">
        <v>400</v>
      </c>
      <c r="C8" s="355" t="s">
        <v>54</v>
      </c>
      <c r="D8" s="287" t="s">
        <v>34</v>
      </c>
      <c r="E8" s="136"/>
      <c r="F8" s="140" t="s">
        <v>417</v>
      </c>
      <c r="G8" s="140" t="s">
        <v>418</v>
      </c>
      <c r="H8" s="140" t="s">
        <v>419</v>
      </c>
      <c r="I8" s="358"/>
      <c r="J8" s="140" t="s">
        <v>387</v>
      </c>
      <c r="K8" s="140" t="s">
        <v>388</v>
      </c>
      <c r="L8" s="2"/>
      <c r="M8" s="334"/>
      <c r="N8" s="349" t="s">
        <v>347</v>
      </c>
      <c r="P8" s="350" t="s">
        <v>352</v>
      </c>
      <c r="Q8" s="349" t="s">
        <v>351</v>
      </c>
      <c r="S8" s="350" t="s">
        <v>352</v>
      </c>
      <c r="T8" s="349" t="s">
        <v>351</v>
      </c>
    </row>
    <row r="9" spans="1:20">
      <c r="B9" s="141" t="s">
        <v>18</v>
      </c>
      <c r="C9" s="141" t="s">
        <v>19</v>
      </c>
      <c r="D9" s="141" t="s">
        <v>20</v>
      </c>
      <c r="E9" s="141"/>
      <c r="F9" s="141" t="s">
        <v>21</v>
      </c>
      <c r="G9" s="141" t="s">
        <v>24</v>
      </c>
      <c r="H9" s="141" t="s">
        <v>25</v>
      </c>
      <c r="I9" s="141"/>
      <c r="J9" s="141" t="s">
        <v>26</v>
      </c>
      <c r="K9" s="141" t="s">
        <v>27</v>
      </c>
      <c r="L9" s="2"/>
      <c r="M9" s="326" t="s">
        <v>28</v>
      </c>
      <c r="N9" s="327" t="s">
        <v>29</v>
      </c>
      <c r="O9" s="141"/>
      <c r="P9" s="326" t="s">
        <v>30</v>
      </c>
      <c r="Q9" s="327" t="s">
        <v>74</v>
      </c>
      <c r="R9" s="141"/>
      <c r="S9" s="326" t="s">
        <v>83</v>
      </c>
      <c r="T9" s="327" t="s">
        <v>84</v>
      </c>
    </row>
    <row r="10" spans="1:20">
      <c r="A10" s="142">
        <v>1</v>
      </c>
      <c r="B10" s="50" t="s">
        <v>41</v>
      </c>
      <c r="F10" s="50"/>
      <c r="G10" s="50"/>
      <c r="M10" s="233" t="s">
        <v>64</v>
      </c>
      <c r="N10" s="274">
        <f>SUM(N30)</f>
        <v>9.99</v>
      </c>
      <c r="O10" s="254"/>
      <c r="P10" s="325">
        <f>SUM(P30)</f>
        <v>12.99</v>
      </c>
      <c r="Q10" s="308">
        <f>(P10-N10)/N10</f>
        <v>0.3003003003003003</v>
      </c>
      <c r="R10" s="254"/>
      <c r="S10" s="325">
        <f>SUM(S30)</f>
        <v>16.88</v>
      </c>
      <c r="T10" s="308">
        <f>(S10-P10)/P10</f>
        <v>0.29946112394149338</v>
      </c>
    </row>
    <row r="11" spans="1:20">
      <c r="A11" s="142">
        <f t="shared" ref="A11:A30" si="0">A10+1</f>
        <v>2</v>
      </c>
      <c r="B11" s="3">
        <v>25</v>
      </c>
      <c r="C11" s="52">
        <v>200</v>
      </c>
      <c r="D11" s="52">
        <f>ROUND((B$11*C11),0)</f>
        <v>5000</v>
      </c>
      <c r="F11" s="53">
        <f>ROUND(+N$10+IF(D11&gt;20000,20000*N$15+(D11-20000)*N$19,D11*N$15)+IF(B11&gt;50,(B11-50)*N$25,0),0)</f>
        <v>527</v>
      </c>
      <c r="G11" s="53">
        <f>ROUND(+P$10+IF(D11&gt;20000,20000*P$15+(D11-20000)*P$19,D11*P$15)+IF(B11&gt;50,(B11-50)*P$25,0),0)</f>
        <v>530</v>
      </c>
      <c r="H11" s="53">
        <f>ROUND(+S$10+IF(D11&gt;20000,20000*S$15+(D11-20000)*S$19,D11*S$15)+IF(B11&gt;50,(B11-50)*S$25,0),0)</f>
        <v>559</v>
      </c>
      <c r="I11" s="53"/>
      <c r="J11" s="30">
        <f t="shared" ref="J11:K13" si="1">ROUND((G11-F11)/F11,4)</f>
        <v>5.7000000000000002E-3</v>
      </c>
      <c r="K11" s="30">
        <f t="shared" si="1"/>
        <v>5.4699999999999999E-2</v>
      </c>
      <c r="L11" s="30"/>
      <c r="M11" s="233" t="s">
        <v>63</v>
      </c>
      <c r="N11" s="274">
        <f>SUM(N31)</f>
        <v>25.36</v>
      </c>
      <c r="O11" s="254"/>
      <c r="P11" s="325">
        <f>SUM(P31)</f>
        <v>32.97</v>
      </c>
      <c r="Q11" s="308">
        <f t="shared" ref="Q11:Q41" si="2">(P11-N11)/N11</f>
        <v>0.30007886435331227</v>
      </c>
      <c r="R11" s="254"/>
      <c r="S11" s="325">
        <f>SUM(S31)</f>
        <v>42.86</v>
      </c>
      <c r="T11" s="308">
        <f t="shared" ref="T11:T41" si="3">(S11-P11)/P11</f>
        <v>0.299969669396421</v>
      </c>
    </row>
    <row r="12" spans="1:20">
      <c r="A12" s="142">
        <f t="shared" si="0"/>
        <v>3</v>
      </c>
      <c r="B12" s="3">
        <f>+B11</f>
        <v>25</v>
      </c>
      <c r="C12" s="52">
        <v>300</v>
      </c>
      <c r="D12" s="52">
        <f>ROUND((B$11*C12),0)</f>
        <v>7500</v>
      </c>
      <c r="F12" s="53">
        <f>ROUND(+N$10+IF(D12&gt;20000,20000*N$15+(D12-20000)*N$19,D12*N$15)+IF(B12&gt;50,(B12-50)*N$25,0),0)</f>
        <v>786</v>
      </c>
      <c r="G12" s="53">
        <f>ROUND(+P$10+IF(D12&gt;20000,20000*P$15+(D12-20000)*P$19,D12*P$15)+IF(B12&gt;50,(B12-50)*P$25,0),0)</f>
        <v>789</v>
      </c>
      <c r="H12" s="53">
        <f>ROUND(+S$10+IF(D12&gt;20000,20000*S$15+(D12-20000)*S$19,D12*S$15)+IF(B12&gt;50,(B12-50)*S$25,0),0)</f>
        <v>830</v>
      </c>
      <c r="I12" s="53"/>
      <c r="J12" s="30">
        <f t="shared" si="1"/>
        <v>3.8E-3</v>
      </c>
      <c r="K12" s="30">
        <f t="shared" si="1"/>
        <v>5.1999999999999998E-2</v>
      </c>
      <c r="L12" s="30"/>
      <c r="M12" s="322"/>
      <c r="N12" s="274"/>
      <c r="O12" s="254"/>
      <c r="P12" s="325"/>
      <c r="Q12" s="308"/>
      <c r="R12" s="254"/>
      <c r="S12" s="325"/>
      <c r="T12" s="308"/>
    </row>
    <row r="13" spans="1:20">
      <c r="A13" s="142">
        <f t="shared" si="0"/>
        <v>4</v>
      </c>
      <c r="B13" s="3">
        <f>+B12</f>
        <v>25</v>
      </c>
      <c r="C13" s="52">
        <v>500</v>
      </c>
      <c r="D13" s="52">
        <f>ROUND((B$11*C13),0)</f>
        <v>12500</v>
      </c>
      <c r="F13" s="53">
        <f>ROUND(+N$10+IF(D13&gt;20000,20000*N$15+(D13-20000)*N$19,D13*N$15)+IF(B13&gt;50,(B13-50)*N$25,0),0)</f>
        <v>1304</v>
      </c>
      <c r="G13" s="53">
        <f>ROUND(+P$10+IF(D13&gt;20000,20000*P$15+(D13-20000)*P$19,D13*P$15)+IF(B13&gt;50,(B13-50)*P$25,0),0)</f>
        <v>1306</v>
      </c>
      <c r="H13" s="53">
        <f>ROUND(+S$10+IF(D13&gt;20000,20000*S$15+(D13-20000)*S$19,D13*S$15)+IF(B13&gt;50,(B13-50)*S$25,0),0)</f>
        <v>1372</v>
      </c>
      <c r="I13" s="53"/>
      <c r="J13" s="30">
        <f t="shared" si="1"/>
        <v>1.5E-3</v>
      </c>
      <c r="K13" s="30">
        <f t="shared" si="1"/>
        <v>5.0500000000000003E-2</v>
      </c>
      <c r="L13" s="30"/>
      <c r="M13" s="322" t="s">
        <v>53</v>
      </c>
      <c r="N13" s="271">
        <f>SUM(N32,N44:N59)</f>
        <v>0.12704000000000001</v>
      </c>
      <c r="O13" s="254"/>
      <c r="P13" s="320">
        <f>SUM(P32,P44:P59)</f>
        <v>0.12624366766119127</v>
      </c>
      <c r="Q13" s="308">
        <f t="shared" si="2"/>
        <v>-6.2683590901191884E-3</v>
      </c>
      <c r="R13" s="254"/>
      <c r="S13" s="320">
        <f>SUM(S32,S44:S59)</f>
        <v>0.13119331454077915</v>
      </c>
      <c r="T13" s="308">
        <f t="shared" si="3"/>
        <v>3.9207090314197626E-2</v>
      </c>
    </row>
    <row r="14" spans="1:20">
      <c r="A14" s="142">
        <f t="shared" si="0"/>
        <v>5</v>
      </c>
      <c r="F14" s="53"/>
      <c r="G14" s="53"/>
      <c r="H14" s="53"/>
      <c r="I14" s="53"/>
      <c r="M14" s="322" t="s">
        <v>52</v>
      </c>
      <c r="N14" s="271">
        <f>SUM(N33,N44:N59)</f>
        <v>9.8973999999999993E-2</v>
      </c>
      <c r="O14" s="254"/>
      <c r="P14" s="320">
        <f>SUM(P33,P44:P59)</f>
        <v>9.8177667661191265E-2</v>
      </c>
      <c r="Q14" s="308">
        <f t="shared" si="2"/>
        <v>-8.0458740559008219E-3</v>
      </c>
      <c r="R14" s="254"/>
      <c r="S14" s="320">
        <f>SUM(S33,S44:S59)</f>
        <v>0.10312731454077914</v>
      </c>
      <c r="T14" s="308">
        <f t="shared" si="3"/>
        <v>5.0415201313082601E-2</v>
      </c>
    </row>
    <row r="15" spans="1:20">
      <c r="A15" s="142">
        <f t="shared" si="0"/>
        <v>6</v>
      </c>
      <c r="B15" s="3">
        <v>50</v>
      </c>
      <c r="C15" s="52">
        <v>200</v>
      </c>
      <c r="D15" s="52">
        <f>ROUND((B$15*C15),0)</f>
        <v>10000</v>
      </c>
      <c r="F15" s="53">
        <f t="shared" ref="F15:F17" si="4">ROUND(+N$10+IF(D15&gt;20000,20000*N$15+(D15-20000)*N$19,D15*N$15)+IF(B15&gt;50,(B15-50)*N$25,0),0)</f>
        <v>1045</v>
      </c>
      <c r="G15" s="53">
        <f t="shared" ref="G15:G17" si="5">ROUND(+P$10+IF(D15&gt;20000,20000*P$15+(D15-20000)*P$19,D15*P$15)+IF(B15&gt;50,(B15-50)*P$25,0),0)</f>
        <v>1048</v>
      </c>
      <c r="H15" s="53">
        <f t="shared" ref="H15:H17" si="6">ROUND(+S$10+IF(D15&gt;20000,20000*S$15+(D15-20000)*S$19,D15*S$15)+IF(B15&gt;50,(B15-50)*S$25,0),0)</f>
        <v>1101</v>
      </c>
      <c r="I15" s="53"/>
      <c r="J15" s="30">
        <f t="shared" ref="J15:J17" si="7">ROUND((G15-F15)/F15,4)</f>
        <v>2.8999999999999998E-3</v>
      </c>
      <c r="K15" s="30">
        <f t="shared" ref="K15:K17" si="8">ROUND((H15-G15)/G15,4)</f>
        <v>5.0599999999999999E-2</v>
      </c>
      <c r="L15" s="30"/>
      <c r="M15" s="233" t="s">
        <v>36</v>
      </c>
      <c r="N15" s="271">
        <f>SUM(N34,N44:N59)</f>
        <v>0.10348300000000001</v>
      </c>
      <c r="O15" s="254"/>
      <c r="P15" s="320">
        <f>SUM(P34,P44:P59)</f>
        <v>0.10346466766119126</v>
      </c>
      <c r="Q15" s="308">
        <f t="shared" si="2"/>
        <v>-1.7715314407913238E-4</v>
      </c>
      <c r="R15" s="254"/>
      <c r="S15" s="320">
        <f>SUM(S34,S44:S59)</f>
        <v>0.10841931454077913</v>
      </c>
      <c r="T15" s="308">
        <f t="shared" si="3"/>
        <v>4.788733189394194E-2</v>
      </c>
    </row>
    <row r="16" spans="1:20">
      <c r="A16" s="142">
        <f t="shared" si="0"/>
        <v>7</v>
      </c>
      <c r="B16" s="3">
        <f>+B15</f>
        <v>50</v>
      </c>
      <c r="C16" s="52">
        <v>300</v>
      </c>
      <c r="D16" s="52">
        <f>ROUND((B$15*C16),0)</f>
        <v>15000</v>
      </c>
      <c r="F16" s="53">
        <f t="shared" si="4"/>
        <v>1562</v>
      </c>
      <c r="G16" s="53">
        <f t="shared" si="5"/>
        <v>1565</v>
      </c>
      <c r="H16" s="53">
        <f t="shared" si="6"/>
        <v>1643</v>
      </c>
      <c r="I16" s="53"/>
      <c r="J16" s="30">
        <f t="shared" si="7"/>
        <v>1.9E-3</v>
      </c>
      <c r="K16" s="30">
        <f t="shared" si="8"/>
        <v>4.9799999999999997E-2</v>
      </c>
      <c r="L16" s="30"/>
      <c r="M16" s="322"/>
      <c r="N16" s="271"/>
      <c r="O16" s="254"/>
      <c r="P16" s="320"/>
      <c r="Q16" s="308"/>
      <c r="R16" s="254"/>
      <c r="S16" s="320"/>
      <c r="T16" s="308"/>
    </row>
    <row r="17" spans="1:20">
      <c r="A17" s="142">
        <f t="shared" si="0"/>
        <v>8</v>
      </c>
      <c r="B17" s="3">
        <f>+B16</f>
        <v>50</v>
      </c>
      <c r="C17" s="52">
        <v>500</v>
      </c>
      <c r="D17" s="52">
        <f>ROUND((B$15*C17),0)</f>
        <v>25000</v>
      </c>
      <c r="F17" s="53">
        <f t="shared" si="4"/>
        <v>2540</v>
      </c>
      <c r="G17" s="53">
        <f t="shared" si="5"/>
        <v>2539</v>
      </c>
      <c r="H17" s="53">
        <f t="shared" si="6"/>
        <v>2667</v>
      </c>
      <c r="I17" s="53"/>
      <c r="J17" s="30">
        <f t="shared" si="7"/>
        <v>-4.0000000000000002E-4</v>
      </c>
      <c r="K17" s="30">
        <f t="shared" si="8"/>
        <v>5.04E-2</v>
      </c>
      <c r="L17" s="30"/>
      <c r="M17" s="322" t="s">
        <v>62</v>
      </c>
      <c r="N17" s="271">
        <f>SUM(N35,N44:N59)</f>
        <v>0.105055</v>
      </c>
      <c r="O17" s="254"/>
      <c r="P17" s="320">
        <f>SUM(P35,P44:P59)</f>
        <v>0.10425866766119127</v>
      </c>
      <c r="Q17" s="308">
        <f t="shared" si="2"/>
        <v>-7.5801469592949207E-3</v>
      </c>
      <c r="R17" s="254"/>
      <c r="S17" s="320">
        <f>SUM(S35,S44:S59)</f>
        <v>0.10920831454077914</v>
      </c>
      <c r="T17" s="308">
        <f t="shared" si="3"/>
        <v>4.7474679953447257E-2</v>
      </c>
    </row>
    <row r="18" spans="1:20">
      <c r="A18" s="142">
        <f t="shared" si="0"/>
        <v>9</v>
      </c>
      <c r="F18" s="53"/>
      <c r="G18" s="53"/>
      <c r="H18" s="53"/>
      <c r="I18" s="53"/>
      <c r="M18" s="322" t="s">
        <v>61</v>
      </c>
      <c r="N18" s="271">
        <f>SUM(N36,N44:N59)</f>
        <v>8.9906E-2</v>
      </c>
      <c r="O18" s="254"/>
      <c r="P18" s="320">
        <f>SUM(P36,P44:P59)</f>
        <v>8.9109667661191272E-2</v>
      </c>
      <c r="Q18" s="308">
        <f t="shared" si="2"/>
        <v>-8.8573881477179272E-3</v>
      </c>
      <c r="R18" s="254"/>
      <c r="S18" s="320">
        <f>SUM(S36,S44:S59)</f>
        <v>9.4059314540779135E-2</v>
      </c>
      <c r="T18" s="308">
        <f t="shared" si="3"/>
        <v>5.5545565475647214E-2</v>
      </c>
    </row>
    <row r="19" spans="1:20">
      <c r="A19" s="142">
        <f t="shared" si="0"/>
        <v>10</v>
      </c>
      <c r="B19" s="3">
        <v>75</v>
      </c>
      <c r="C19" s="52">
        <v>200</v>
      </c>
      <c r="D19" s="52">
        <f>ROUND((B$15*C19),0)</f>
        <v>10000</v>
      </c>
      <c r="F19" s="53">
        <f t="shared" ref="F19:F21" si="9">ROUND(+N$10+IF(D19&gt;20000,20000*N$15+(D19-20000)*N$19,D19*N$15)+IF(B19&gt;50,(B19-50)*N$25,0),0)</f>
        <v>1261</v>
      </c>
      <c r="G19" s="53">
        <f t="shared" ref="G19:G21" si="10">ROUND(+P$10+IF(D19&gt;20000,20000*P$15+(D19-20000)*P$19,D19*P$15)+IF(B19&gt;50,(B19-50)*P$25,0),0)</f>
        <v>1241</v>
      </c>
      <c r="H19" s="53">
        <f t="shared" ref="H19:H21" si="11">ROUND(+S$10+IF(D19&gt;20000,20000*S$15+(D19-20000)*S$19,D19*S$15)+IF(B19&gt;50,(B19-50)*S$25,0),0)</f>
        <v>1352</v>
      </c>
      <c r="I19" s="53"/>
      <c r="J19" s="30">
        <f t="shared" ref="J19:J21" si="12">ROUND((G19-F19)/F19,4)</f>
        <v>-1.5900000000000001E-2</v>
      </c>
      <c r="K19" s="30">
        <f t="shared" ref="K19:K21" si="13">ROUND((H19-G19)/G19,4)</f>
        <v>8.9399999999999993E-2</v>
      </c>
      <c r="L19" s="30"/>
      <c r="M19" s="322" t="s">
        <v>51</v>
      </c>
      <c r="N19" s="271">
        <f>SUM(N37,N44:N59)</f>
        <v>9.2113999999999988E-2</v>
      </c>
      <c r="O19" s="254"/>
      <c r="P19" s="320">
        <f>SUM(P37,P44:P59)</f>
        <v>9.1301667661191271E-2</v>
      </c>
      <c r="Q19" s="308">
        <f t="shared" si="2"/>
        <v>-8.818771726433727E-3</v>
      </c>
      <c r="R19" s="254"/>
      <c r="S19" s="320">
        <f>SUM(S37,S44:S59)</f>
        <v>9.6252314540779135E-2</v>
      </c>
      <c r="T19" s="308">
        <f t="shared" si="3"/>
        <v>5.4222962256933543E-2</v>
      </c>
    </row>
    <row r="20" spans="1:20">
      <c r="A20" s="142">
        <f t="shared" si="0"/>
        <v>11</v>
      </c>
      <c r="B20" s="3">
        <f>+B19</f>
        <v>75</v>
      </c>
      <c r="C20" s="52">
        <v>300</v>
      </c>
      <c r="D20" s="52">
        <f>ROUND((B$15*C20),0)</f>
        <v>15000</v>
      </c>
      <c r="F20" s="53">
        <f t="shared" si="9"/>
        <v>1779</v>
      </c>
      <c r="G20" s="53">
        <f t="shared" si="10"/>
        <v>1758</v>
      </c>
      <c r="H20" s="53">
        <f t="shared" si="11"/>
        <v>1894</v>
      </c>
      <c r="I20" s="53"/>
      <c r="J20" s="30">
        <f t="shared" si="12"/>
        <v>-1.18E-2</v>
      </c>
      <c r="K20" s="30">
        <f t="shared" si="13"/>
        <v>7.7399999999999997E-2</v>
      </c>
      <c r="L20" s="30"/>
      <c r="M20" s="322"/>
      <c r="N20" s="274"/>
      <c r="O20" s="254"/>
      <c r="P20" s="325"/>
      <c r="Q20" s="308"/>
      <c r="R20" s="254"/>
      <c r="S20" s="325"/>
      <c r="T20" s="308"/>
    </row>
    <row r="21" spans="1:20">
      <c r="A21" s="142">
        <f t="shared" si="0"/>
        <v>12</v>
      </c>
      <c r="B21" s="3">
        <f>+B20</f>
        <v>75</v>
      </c>
      <c r="C21" s="52">
        <v>500</v>
      </c>
      <c r="D21" s="52">
        <f>ROUND((B$15*C21),0)</f>
        <v>25000</v>
      </c>
      <c r="F21" s="53">
        <f t="shared" si="9"/>
        <v>2757</v>
      </c>
      <c r="G21" s="53">
        <f t="shared" si="10"/>
        <v>2732</v>
      </c>
      <c r="H21" s="53">
        <f t="shared" si="11"/>
        <v>2918</v>
      </c>
      <c r="I21" s="53"/>
      <c r="J21" s="30">
        <f t="shared" si="12"/>
        <v>-9.1000000000000004E-3</v>
      </c>
      <c r="K21" s="30">
        <f t="shared" si="13"/>
        <v>6.8099999999999994E-2</v>
      </c>
      <c r="L21" s="30"/>
      <c r="M21" s="322" t="s">
        <v>50</v>
      </c>
      <c r="N21" s="274">
        <f>SUM(N38)</f>
        <v>0</v>
      </c>
      <c r="O21" s="254"/>
      <c r="P21" s="325">
        <f>SUM(P38)</f>
        <v>0</v>
      </c>
      <c r="Q21" s="308">
        <f>IFERROR((P21-N21)/N21,0)</f>
        <v>0</v>
      </c>
      <c r="R21" s="254"/>
      <c r="S21" s="325">
        <f>SUM(S38)</f>
        <v>0</v>
      </c>
      <c r="T21" s="308">
        <f>IFERROR((S21-P21)/P21,0)</f>
        <v>0</v>
      </c>
    </row>
    <row r="22" spans="1:20">
      <c r="A22" s="142">
        <f t="shared" si="0"/>
        <v>13</v>
      </c>
      <c r="M22" s="322"/>
      <c r="N22" s="274"/>
      <c r="O22" s="254"/>
      <c r="P22" s="325"/>
      <c r="Q22" s="308"/>
      <c r="R22" s="254"/>
      <c r="S22" s="325"/>
      <c r="T22" s="308"/>
    </row>
    <row r="23" spans="1:20">
      <c r="A23" s="142">
        <f t="shared" si="0"/>
        <v>14</v>
      </c>
      <c r="B23" s="50" t="s">
        <v>40</v>
      </c>
      <c r="F23" s="53"/>
      <c r="G23" s="53"/>
      <c r="H23" s="53"/>
      <c r="I23" s="53"/>
      <c r="M23" s="322" t="s">
        <v>49</v>
      </c>
      <c r="N23" s="274">
        <f>SUM(N39)</f>
        <v>9.2200000000000006</v>
      </c>
      <c r="O23" s="254"/>
      <c r="P23" s="325">
        <f>SUM(P39)</f>
        <v>11.99</v>
      </c>
      <c r="Q23" s="308">
        <f t="shared" si="2"/>
        <v>0.30043383947939256</v>
      </c>
      <c r="R23" s="254"/>
      <c r="S23" s="325">
        <f>SUM(S39)</f>
        <v>15.58</v>
      </c>
      <c r="T23" s="308">
        <f t="shared" si="3"/>
        <v>0.29941618015012511</v>
      </c>
    </row>
    <row r="24" spans="1:20">
      <c r="A24" s="142">
        <f t="shared" si="0"/>
        <v>15</v>
      </c>
      <c r="B24" s="3">
        <v>100</v>
      </c>
      <c r="C24" s="52">
        <v>200</v>
      </c>
      <c r="D24" s="52">
        <f>ROUND((B$24*C24),0)</f>
        <v>20000</v>
      </c>
      <c r="F24" s="53">
        <f>ROUND(+N$11+IF(D24&gt;20000,20000*N$15+(D24-20000)*N$19,D24*N$15)+IF(B24&gt;50,(B24-50)*N$25,0),0)</f>
        <v>2528</v>
      </c>
      <c r="G24" s="53">
        <f>ROUND(+P$11+IF(D24&gt;20000,20000*P$15+(D24-20000)*P$19,D24*P$15)+IF(B24&gt;50,(B24-50)*P$25,0),0)</f>
        <v>2489</v>
      </c>
      <c r="H24" s="53">
        <f>ROUND(+S$11+IF(D24&gt;20000,20000*S$15+(D24-20000)*S$19,D24*S$15)+IF(B24&gt;50,(B24-50)*S$25,0),0)</f>
        <v>2713</v>
      </c>
      <c r="I24" s="53"/>
      <c r="J24" s="30">
        <f t="shared" ref="J24:J26" si="14">ROUND((G24-F24)/F24,4)</f>
        <v>-1.54E-2</v>
      </c>
      <c r="K24" s="30">
        <f t="shared" ref="K24:K26" si="15">ROUND((H24-G24)/G24,4)</f>
        <v>0.09</v>
      </c>
      <c r="L24" s="30"/>
      <c r="M24" s="322" t="s">
        <v>48</v>
      </c>
      <c r="N24" s="274">
        <f t="shared" ref="N24" si="16">SUM(N40)</f>
        <v>4.54</v>
      </c>
      <c r="O24" s="254"/>
      <c r="P24" s="325">
        <f t="shared" ref="P24" si="17">SUM(P40)</f>
        <v>5.9</v>
      </c>
      <c r="Q24" s="308">
        <f t="shared" si="2"/>
        <v>0.29955947136563882</v>
      </c>
      <c r="R24" s="254"/>
      <c r="S24" s="325">
        <f t="shared" ref="S24" si="18">SUM(S40)</f>
        <v>7.67</v>
      </c>
      <c r="T24" s="308">
        <f t="shared" si="3"/>
        <v>0.29999999999999993</v>
      </c>
    </row>
    <row r="25" spans="1:20">
      <c r="A25" s="142">
        <f t="shared" si="0"/>
        <v>16</v>
      </c>
      <c r="B25" s="3">
        <f>+B24</f>
        <v>100</v>
      </c>
      <c r="C25" s="52">
        <v>300</v>
      </c>
      <c r="D25" s="52">
        <f>ROUND((B$24*C25),0)</f>
        <v>30000</v>
      </c>
      <c r="F25" s="53">
        <f>ROUND(+N$11+IF(D25&gt;20000,20000*N$15+(D25-20000)*N$19,D25*N$15)+IF(B25&gt;50,(B25-50)*N$25,0),0)</f>
        <v>3449</v>
      </c>
      <c r="G25" s="53">
        <f>ROUND(+P$11+IF(D25&gt;20000,20000*P$15+(D25-20000)*P$19,D25*P$15)+IF(B25&gt;50,(B25-50)*P$25,0),0)</f>
        <v>3402</v>
      </c>
      <c r="H25" s="53">
        <f>ROUND(+S$11+IF(D25&gt;20000,20000*S$15+(D25-20000)*S$19,D25*S$15)+IF(B25&gt;50,(B25-50)*S$25,0),0)</f>
        <v>3676</v>
      </c>
      <c r="I25" s="53"/>
      <c r="J25" s="30">
        <f t="shared" si="14"/>
        <v>-1.3599999999999999E-2</v>
      </c>
      <c r="K25" s="30">
        <f t="shared" si="15"/>
        <v>8.0500000000000002E-2</v>
      </c>
      <c r="L25" s="30"/>
      <c r="M25" s="322" t="s">
        <v>47</v>
      </c>
      <c r="N25" s="274">
        <f t="shared" ref="N25" si="19">SUM(N41)</f>
        <v>8.66</v>
      </c>
      <c r="O25" s="254"/>
      <c r="P25" s="325">
        <f t="shared" ref="P25" si="20">SUM(P41)</f>
        <v>7.73</v>
      </c>
      <c r="Q25" s="308">
        <f t="shared" si="2"/>
        <v>-0.10739030023094685</v>
      </c>
      <c r="R25" s="254"/>
      <c r="S25" s="325">
        <f t="shared" ref="S25" si="21">SUM(S41)</f>
        <v>10.039999999999999</v>
      </c>
      <c r="T25" s="308">
        <f t="shared" si="3"/>
        <v>0.29883570504527796</v>
      </c>
    </row>
    <row r="26" spans="1:20">
      <c r="A26" s="142">
        <f t="shared" si="0"/>
        <v>17</v>
      </c>
      <c r="B26" s="3">
        <f>+B25</f>
        <v>100</v>
      </c>
      <c r="C26" s="52">
        <v>500</v>
      </c>
      <c r="D26" s="52">
        <f>ROUND((B$24*C26),0)</f>
        <v>50000</v>
      </c>
      <c r="F26" s="53">
        <f>ROUND(+N$11+IF(D26&gt;20000,20000*N$15+(D26-20000)*N$19,D26*N$15)+IF(B26&gt;50,(B26-50)*N$25,0),0)</f>
        <v>5291</v>
      </c>
      <c r="G26" s="53">
        <f>ROUND(+P$11+IF(D26&gt;20000,20000*P$15+(D26-20000)*P$19,D26*P$15)+IF(B26&gt;50,(B26-50)*P$25,0),0)</f>
        <v>5228</v>
      </c>
      <c r="H26" s="53">
        <f>ROUND(+S$11+IF(D26&gt;20000,20000*S$15+(D26-20000)*S$19,D26*S$15)+IF(B26&gt;50,(B26-50)*S$25,0),0)</f>
        <v>5601</v>
      </c>
      <c r="I26" s="53"/>
      <c r="J26" s="30">
        <f t="shared" si="14"/>
        <v>-1.1900000000000001E-2</v>
      </c>
      <c r="K26" s="30">
        <f t="shared" si="15"/>
        <v>7.1300000000000002E-2</v>
      </c>
      <c r="L26" s="30"/>
      <c r="M26" s="322"/>
      <c r="N26" s="274"/>
      <c r="O26" s="254"/>
      <c r="P26" s="325"/>
      <c r="Q26" s="308"/>
      <c r="R26" s="254"/>
      <c r="S26" s="325"/>
      <c r="T26" s="308"/>
    </row>
    <row r="27" spans="1:20">
      <c r="A27" s="142">
        <f t="shared" si="0"/>
        <v>18</v>
      </c>
      <c r="M27" s="322" t="s">
        <v>46</v>
      </c>
      <c r="N27" s="274">
        <f>SUM(N42)</f>
        <v>2.9299999999999999E-3</v>
      </c>
      <c r="O27" s="254"/>
      <c r="P27" s="325">
        <f>SUM(P42)</f>
        <v>3.81E-3</v>
      </c>
      <c r="Q27" s="308">
        <f t="shared" si="2"/>
        <v>0.30034129692832773</v>
      </c>
      <c r="R27" s="254"/>
      <c r="S27" s="325">
        <f>SUM(S42)</f>
        <v>4.9500000000000004E-3</v>
      </c>
      <c r="T27" s="308">
        <f t="shared" si="3"/>
        <v>0.29921259842519693</v>
      </c>
    </row>
    <row r="28" spans="1:20">
      <c r="A28" s="142">
        <f t="shared" si="0"/>
        <v>19</v>
      </c>
      <c r="B28" s="3">
        <v>150</v>
      </c>
      <c r="C28" s="52">
        <v>200</v>
      </c>
      <c r="D28" s="52">
        <f>ROUND((B$28*C28),0)</f>
        <v>30000</v>
      </c>
      <c r="F28" s="53">
        <f>ROUND(+N$11+IF(D28&gt;20000,20000*N$15+(D28-20000)*N$19,D28*N$15)+IF(B28&gt;50,(B28-50)*N$25,0),0)</f>
        <v>3882</v>
      </c>
      <c r="G28" s="53">
        <f>ROUND(+P$11+IF(D28&gt;20000,20000*P$15+(D28-20000)*P$19,D28*P$15)+IF(B28&gt;50,(B28-50)*P$25,0),0)</f>
        <v>3788</v>
      </c>
      <c r="H28" s="53">
        <f>ROUND(+S$11+IF(D28&gt;20000,20000*S$15+(D28-20000)*S$19,D28*S$15)+IF(B28&gt;50,(B28-50)*S$25,0),0)</f>
        <v>4178</v>
      </c>
      <c r="I28" s="53"/>
      <c r="J28" s="30">
        <f t="shared" ref="J28:J30" si="22">ROUND((G28-F28)/F28,4)</f>
        <v>-2.4199999999999999E-2</v>
      </c>
      <c r="K28" s="30">
        <f t="shared" ref="K28:K30" si="23">ROUND((H28-G28)/G28,4)</f>
        <v>0.10299999999999999</v>
      </c>
      <c r="L28" s="30"/>
      <c r="M28" s="322" t="s">
        <v>12</v>
      </c>
      <c r="N28" s="274"/>
      <c r="O28" s="254"/>
      <c r="P28" s="325"/>
      <c r="Q28" s="308"/>
      <c r="R28" s="254"/>
      <c r="S28" s="325"/>
      <c r="T28" s="308"/>
    </row>
    <row r="29" spans="1:20">
      <c r="A29" s="142">
        <f t="shared" si="0"/>
        <v>20</v>
      </c>
      <c r="B29" s="3">
        <f>+B28</f>
        <v>150</v>
      </c>
      <c r="C29" s="52">
        <v>300</v>
      </c>
      <c r="D29" s="52">
        <f>ROUND((B$28*C29),0)</f>
        <v>45000</v>
      </c>
      <c r="F29" s="53">
        <f>ROUND(+N$11+IF(D29&gt;20000,20000*N$15+(D29-20000)*N$19,D29*N$15)+IF(B29&gt;50,(B29-50)*N$25,0),0)</f>
        <v>5264</v>
      </c>
      <c r="G29" s="53">
        <f>ROUND(+P$11+IF(D29&gt;20000,20000*P$15+(D29-20000)*P$19,D29*P$15)+IF(B29&gt;50,(B29-50)*P$25,0),0)</f>
        <v>5158</v>
      </c>
      <c r="H29" s="53">
        <f>ROUND(+S$11+IF(D29&gt;20000,20000*S$15+(D29-20000)*S$19,D29*S$15)+IF(B29&gt;50,(B29-50)*S$25,0),0)</f>
        <v>5622</v>
      </c>
      <c r="I29" s="53"/>
      <c r="J29" s="30">
        <f t="shared" si="22"/>
        <v>-2.01E-2</v>
      </c>
      <c r="K29" s="30">
        <f t="shared" si="23"/>
        <v>0.09</v>
      </c>
      <c r="L29" s="30"/>
      <c r="M29" s="322"/>
      <c r="N29" s="274"/>
      <c r="O29" s="254"/>
      <c r="P29" s="325"/>
      <c r="Q29" s="308"/>
      <c r="R29" s="254"/>
      <c r="S29" s="325"/>
      <c r="T29" s="308"/>
    </row>
    <row r="30" spans="1:20">
      <c r="A30" s="142">
        <f t="shared" si="0"/>
        <v>21</v>
      </c>
      <c r="B30" s="3">
        <f>+B29</f>
        <v>150</v>
      </c>
      <c r="C30" s="52">
        <v>500</v>
      </c>
      <c r="D30" s="52">
        <f>ROUND((B$28*C30),0)</f>
        <v>75000</v>
      </c>
      <c r="F30" s="53">
        <f>ROUND(+N$11+IF(D30&gt;20000,20000*N$15+(D30-20000)*N$19,D30*N$15)+IF(B30&gt;50,(B30-50)*N$25,0),0)</f>
        <v>8027</v>
      </c>
      <c r="G30" s="53">
        <f>ROUND(+P$11+IF(D30&gt;20000,20000*P$15+(D30-20000)*P$19,D30*P$15)+IF(B30&gt;50,(B30-50)*P$25,0),0)</f>
        <v>7897</v>
      </c>
      <c r="H30" s="53">
        <f>ROUND(+S$11+IF(D30&gt;20000,20000*S$15+(D30-20000)*S$19,D30*S$15)+IF(B30&gt;50,(B30-50)*S$25,0),0)</f>
        <v>8509</v>
      </c>
      <c r="I30" s="53"/>
      <c r="J30" s="30">
        <f t="shared" si="22"/>
        <v>-1.6199999999999999E-2</v>
      </c>
      <c r="K30" s="30">
        <f t="shared" si="23"/>
        <v>7.7499999999999999E-2</v>
      </c>
      <c r="L30" s="30"/>
      <c r="M30" s="322" t="str">
        <f>+M10</f>
        <v>Basic Charge (1 Phase)</v>
      </c>
      <c r="N30" s="318">
        <v>9.99</v>
      </c>
      <c r="O30" s="254"/>
      <c r="P30" s="317">
        <v>12.99</v>
      </c>
      <c r="Q30" s="308">
        <f t="shared" si="2"/>
        <v>0.3003003003003003</v>
      </c>
      <c r="R30" s="254"/>
      <c r="S30" s="317">
        <v>16.88</v>
      </c>
      <c r="T30" s="308">
        <f t="shared" si="3"/>
        <v>0.29946112394149338</v>
      </c>
    </row>
    <row r="31" spans="1:20">
      <c r="A31" s="142">
        <f t="shared" ref="A31:A74" si="24">A30+1</f>
        <v>22</v>
      </c>
      <c r="M31" s="322" t="str">
        <f>+M11</f>
        <v>Basic Charge (3 Phase)</v>
      </c>
      <c r="N31" s="318">
        <v>25.36</v>
      </c>
      <c r="O31" s="254"/>
      <c r="P31" s="317">
        <v>32.97</v>
      </c>
      <c r="Q31" s="308">
        <f t="shared" si="2"/>
        <v>0.30007886435331227</v>
      </c>
      <c r="R31" s="254"/>
      <c r="S31" s="317">
        <v>42.86</v>
      </c>
      <c r="T31" s="308">
        <f t="shared" si="3"/>
        <v>0.299969669396421</v>
      </c>
    </row>
    <row r="32" spans="1:20">
      <c r="A32" s="142">
        <f t="shared" si="24"/>
        <v>23</v>
      </c>
      <c r="B32" s="3">
        <v>200</v>
      </c>
      <c r="C32" s="52">
        <v>200</v>
      </c>
      <c r="D32" s="52">
        <f>ROUND((B$32*C32),0)</f>
        <v>40000</v>
      </c>
      <c r="F32" s="53">
        <f>ROUND(+N$11+IF(D32&gt;20000,20000*N$15+(D32-20000)*N$19,D32*N$15)+IF(B32&gt;50,(B32-50)*N$25,0),0)</f>
        <v>5236</v>
      </c>
      <c r="G32" s="53">
        <f>ROUND(+P$11+IF(D32&gt;20000,20000*P$15+(D32-20000)*P$19,D32*P$15)+IF(B32&gt;50,(B32-50)*P$25,0),0)</f>
        <v>5088</v>
      </c>
      <c r="H32" s="53">
        <f>ROUND(+S$11+IF(D32&gt;20000,20000*S$15+(D32-20000)*S$19,D32*S$15)+IF(B32&gt;50,(B32-50)*S$25,0),0)</f>
        <v>5642</v>
      </c>
      <c r="I32" s="53"/>
      <c r="J32" s="30">
        <f t="shared" ref="J32:J34" si="25">ROUND((G32-F32)/F32,4)</f>
        <v>-2.8299999999999999E-2</v>
      </c>
      <c r="K32" s="30">
        <f t="shared" ref="K32:K34" si="26">ROUND((H32-G32)/G32,4)</f>
        <v>0.1089</v>
      </c>
      <c r="L32" s="30"/>
      <c r="M32" s="322" t="str">
        <f>+M13</f>
        <v>Winter kWh - First 20,000</v>
      </c>
      <c r="N32" s="352">
        <v>9.1401999999999997E-2</v>
      </c>
      <c r="O32" s="254"/>
      <c r="P32" s="354">
        <v>0.110945</v>
      </c>
      <c r="Q32" s="308">
        <f t="shared" si="2"/>
        <v>0.21381370210717496</v>
      </c>
      <c r="R32" s="254"/>
      <c r="S32" s="354">
        <v>0.115643</v>
      </c>
      <c r="T32" s="308">
        <f t="shared" si="3"/>
        <v>4.2345306232818007E-2</v>
      </c>
    </row>
    <row r="33" spans="1:20">
      <c r="A33" s="142">
        <f t="shared" si="24"/>
        <v>24</v>
      </c>
      <c r="B33" s="3">
        <f>+B32</f>
        <v>200</v>
      </c>
      <c r="C33" s="52">
        <v>300</v>
      </c>
      <c r="D33" s="52">
        <f>ROUND((B$32*C33),0)</f>
        <v>60000</v>
      </c>
      <c r="F33" s="53">
        <f>ROUND(+N$11+IF(D33&gt;20000,20000*N$15+(D33-20000)*N$19,D33*N$15)+IF(B33&gt;50,(B33-50)*N$25,0),0)</f>
        <v>7079</v>
      </c>
      <c r="G33" s="53">
        <f>ROUND(+P$11+IF(D33&gt;20000,20000*P$15+(D33-20000)*P$19,D33*P$15)+IF(B33&gt;50,(B33-50)*P$25,0),0)</f>
        <v>6914</v>
      </c>
      <c r="H33" s="53">
        <f>ROUND(+S$11+IF(D33&gt;20000,20000*S$15+(D33-20000)*S$19,D33*S$15)+IF(B33&gt;50,(B33-50)*S$25,0),0)</f>
        <v>7567</v>
      </c>
      <c r="I33" s="53"/>
      <c r="J33" s="30">
        <f t="shared" si="25"/>
        <v>-2.3300000000000001E-2</v>
      </c>
      <c r="K33" s="30">
        <f t="shared" si="26"/>
        <v>9.4399999999999998E-2</v>
      </c>
      <c r="L33" s="30"/>
      <c r="M33" s="322" t="str">
        <f>+M14</f>
        <v>Summer kWh - First 20,000</v>
      </c>
      <c r="N33" s="352">
        <v>6.3336000000000003E-2</v>
      </c>
      <c r="O33" s="254"/>
      <c r="P33" s="354">
        <v>8.2878999999999994E-2</v>
      </c>
      <c r="Q33" s="308">
        <f t="shared" si="2"/>
        <v>0.30856069218138166</v>
      </c>
      <c r="R33" s="254"/>
      <c r="S33" s="354">
        <v>8.7577000000000002E-2</v>
      </c>
      <c r="T33" s="308">
        <f t="shared" si="3"/>
        <v>5.6685046875565678E-2</v>
      </c>
    </row>
    <row r="34" spans="1:20">
      <c r="A34" s="142">
        <f t="shared" si="24"/>
        <v>25</v>
      </c>
      <c r="B34" s="3">
        <f>+B33</f>
        <v>200</v>
      </c>
      <c r="C34" s="52">
        <v>500</v>
      </c>
      <c r="D34" s="52">
        <f>ROUND((B$32*C34),0)</f>
        <v>100000</v>
      </c>
      <c r="F34" s="53">
        <f>ROUND(+N$11+IF(D34&gt;20000,20000*N$15+(D34-20000)*N$19,D34*N$15)+IF(B34&gt;50,(B34-50)*N$25,0),0)</f>
        <v>10763</v>
      </c>
      <c r="G34" s="53">
        <f>ROUND(+P$11+IF(D34&gt;20000,20000*P$15+(D34-20000)*P$19,D34*P$15)+IF(B34&gt;50,(B34-50)*P$25,0),0)</f>
        <v>10566</v>
      </c>
      <c r="H34" s="53">
        <f>ROUND(+S$11+IF(D34&gt;20000,20000*S$15+(D34-20000)*S$19,D34*S$15)+IF(B34&gt;50,(B34-50)*S$25,0),0)</f>
        <v>11417</v>
      </c>
      <c r="I34" s="53"/>
      <c r="J34" s="30">
        <f t="shared" si="25"/>
        <v>-1.83E-2</v>
      </c>
      <c r="K34" s="30">
        <f t="shared" si="26"/>
        <v>8.0500000000000002E-2</v>
      </c>
      <c r="L34" s="30"/>
      <c r="M34" s="322" t="s">
        <v>72</v>
      </c>
      <c r="N34" s="352">
        <v>6.7845000000000003E-2</v>
      </c>
      <c r="O34" s="254"/>
      <c r="P34" s="354">
        <v>8.8165999999999994E-2</v>
      </c>
      <c r="Q34" s="308">
        <f t="shared" si="2"/>
        <v>0.29952096690986796</v>
      </c>
      <c r="R34" s="254"/>
      <c r="S34" s="354">
        <v>9.2868999999999993E-2</v>
      </c>
      <c r="T34" s="308">
        <f t="shared" si="3"/>
        <v>5.3342558355828767E-2</v>
      </c>
    </row>
    <row r="35" spans="1:20">
      <c r="A35" s="142">
        <f t="shared" si="24"/>
        <v>26</v>
      </c>
      <c r="F35" s="53"/>
      <c r="G35" s="53"/>
      <c r="H35" s="53"/>
      <c r="I35" s="53"/>
      <c r="M35" s="322" t="str">
        <f>+M17</f>
        <v>Winter kWh - Over 20,000</v>
      </c>
      <c r="N35" s="352">
        <v>6.9417000000000006E-2</v>
      </c>
      <c r="O35" s="254"/>
      <c r="P35" s="354">
        <v>8.8959999999999997E-2</v>
      </c>
      <c r="Q35" s="308">
        <f t="shared" si="2"/>
        <v>0.28153046083812305</v>
      </c>
      <c r="R35" s="254"/>
      <c r="S35" s="354">
        <v>9.3658000000000005E-2</v>
      </c>
      <c r="T35" s="308">
        <f t="shared" si="3"/>
        <v>5.281025179856124E-2</v>
      </c>
    </row>
    <row r="36" spans="1:20">
      <c r="A36" s="142">
        <f t="shared" si="24"/>
        <v>27</v>
      </c>
      <c r="B36" s="3">
        <v>300</v>
      </c>
      <c r="C36" s="52">
        <v>200</v>
      </c>
      <c r="D36" s="52">
        <f>ROUND((B$36*C36),0)</f>
        <v>60000</v>
      </c>
      <c r="F36" s="53">
        <f>ROUND(+N$11+IF(D36&gt;20000,20000*N$15+(D36-20000)*N$19,D36*N$15)+IF(B36&gt;50,(B36-50)*N$25,0),0)</f>
        <v>7945</v>
      </c>
      <c r="G36" s="53">
        <f>ROUND(+P$11+IF(D36&gt;20000,20000*P$15+(D36-20000)*P$19,D36*P$15)+IF(B36&gt;50,(B36-50)*P$25,0),0)</f>
        <v>7687</v>
      </c>
      <c r="H36" s="53">
        <f>ROUND(+S$11+IF(D36&gt;20000,20000*S$15+(D36-20000)*S$19,D36*S$15)+IF(B36&gt;50,(B36-50)*S$25,0),0)</f>
        <v>8571</v>
      </c>
      <c r="I36" s="53"/>
      <c r="J36" s="30">
        <f t="shared" ref="J36:J38" si="27">ROUND((G36-F36)/F36,4)</f>
        <v>-3.2500000000000001E-2</v>
      </c>
      <c r="K36" s="30">
        <f t="shared" ref="K36:K38" si="28">ROUND((H36-G36)/G36,4)</f>
        <v>0.115</v>
      </c>
      <c r="L36" s="30"/>
      <c r="M36" s="322" t="str">
        <f>+M18</f>
        <v>Summer kWh - Over 20,000</v>
      </c>
      <c r="N36" s="352">
        <v>5.4267999999999997E-2</v>
      </c>
      <c r="O36" s="254"/>
      <c r="P36" s="354">
        <v>7.3811000000000002E-2</v>
      </c>
      <c r="Q36" s="308">
        <f t="shared" si="2"/>
        <v>0.36012014446819501</v>
      </c>
      <c r="R36" s="254"/>
      <c r="S36" s="354">
        <v>7.8508999999999995E-2</v>
      </c>
      <c r="T36" s="308">
        <f t="shared" si="3"/>
        <v>6.364904959965309E-2</v>
      </c>
    </row>
    <row r="37" spans="1:20">
      <c r="A37" s="142">
        <f t="shared" si="24"/>
        <v>28</v>
      </c>
      <c r="B37" s="3">
        <f>+B36</f>
        <v>300</v>
      </c>
      <c r="C37" s="52">
        <v>300</v>
      </c>
      <c r="D37" s="52">
        <f>ROUND((B$36*C37),0)</f>
        <v>90000</v>
      </c>
      <c r="F37" s="53">
        <f>ROUND(+N$11+IF(D37&gt;20000,20000*N$15+(D37-20000)*N$19,D37*N$15)+IF(B37&gt;50,(B37-50)*N$25,0),0)</f>
        <v>10708</v>
      </c>
      <c r="G37" s="53">
        <f>ROUND(+P$11+IF(D37&gt;20000,20000*P$15+(D37-20000)*P$19,D37*P$15)+IF(B37&gt;50,(B37-50)*P$25,0),0)</f>
        <v>10426</v>
      </c>
      <c r="H37" s="53">
        <f>ROUND(+S$11+IF(D37&gt;20000,20000*S$15+(D37-20000)*S$19,D37*S$15)+IF(B37&gt;50,(B37-50)*S$25,0),0)</f>
        <v>11459</v>
      </c>
      <c r="I37" s="53"/>
      <c r="J37" s="30">
        <f t="shared" si="27"/>
        <v>-2.63E-2</v>
      </c>
      <c r="K37" s="30">
        <f t="shared" si="28"/>
        <v>9.9099999999999994E-2</v>
      </c>
      <c r="L37" s="30"/>
      <c r="M37" s="322" t="s">
        <v>73</v>
      </c>
      <c r="N37" s="352">
        <v>5.6475999999999998E-2</v>
      </c>
      <c r="O37" s="254"/>
      <c r="P37" s="354">
        <v>7.6003000000000001E-2</v>
      </c>
      <c r="Q37" s="308">
        <f t="shared" si="2"/>
        <v>0.34575748990721727</v>
      </c>
      <c r="R37" s="254"/>
      <c r="S37" s="354">
        <v>8.0701999999999996E-2</v>
      </c>
      <c r="T37" s="308">
        <f t="shared" si="3"/>
        <v>6.1826506848413808E-2</v>
      </c>
    </row>
    <row r="38" spans="1:20">
      <c r="A38" s="142">
        <f t="shared" si="24"/>
        <v>29</v>
      </c>
      <c r="B38" s="3">
        <f>+B37</f>
        <v>300</v>
      </c>
      <c r="C38" s="52">
        <v>500</v>
      </c>
      <c r="D38" s="52">
        <f>ROUND((B$36*C38),0)</f>
        <v>150000</v>
      </c>
      <c r="F38" s="53">
        <f>ROUND(+N$11+IF(D38&gt;20000,20000*N$15+(D38-20000)*N$19,D38*N$15)+IF(B38&gt;50,(B38-50)*N$25,0),0)</f>
        <v>16235</v>
      </c>
      <c r="G38" s="53">
        <f>ROUND(+P$11+IF(D38&gt;20000,20000*P$15+(D38-20000)*P$19,D38*P$15)+IF(B38&gt;50,(B38-50)*P$25,0),0)</f>
        <v>15904</v>
      </c>
      <c r="H38" s="53">
        <f>ROUND(+S$11+IF(D38&gt;20000,20000*S$15+(D38-20000)*S$19,D38*S$15)+IF(B38&gt;50,(B38-50)*S$25,0),0)</f>
        <v>17234</v>
      </c>
      <c r="I38" s="53"/>
      <c r="J38" s="30">
        <f t="shared" si="27"/>
        <v>-2.0400000000000001E-2</v>
      </c>
      <c r="K38" s="30">
        <f t="shared" si="28"/>
        <v>8.3599999999999994E-2</v>
      </c>
      <c r="L38" s="30"/>
      <c r="M38" s="322" t="str">
        <f>+M21</f>
        <v>kW - First 50</v>
      </c>
      <c r="N38" s="318">
        <v>0</v>
      </c>
      <c r="O38" s="254"/>
      <c r="P38" s="317">
        <v>0</v>
      </c>
      <c r="Q38" s="308">
        <f>IFERROR((P38-N38)/N38,0)</f>
        <v>0</v>
      </c>
      <c r="R38" s="254"/>
      <c r="S38" s="317">
        <v>0</v>
      </c>
      <c r="T38" s="308">
        <f>IFERROR((S38-P38)/P38,0)</f>
        <v>0</v>
      </c>
    </row>
    <row r="39" spans="1:20">
      <c r="A39" s="142">
        <f t="shared" si="24"/>
        <v>30</v>
      </c>
      <c r="B39" s="58"/>
      <c r="C39" s="58"/>
      <c r="D39" s="58"/>
      <c r="E39" s="58"/>
      <c r="F39" s="58"/>
      <c r="G39" s="58"/>
      <c r="H39" s="58"/>
      <c r="I39" s="58"/>
      <c r="J39" s="58"/>
      <c r="K39" s="58"/>
      <c r="M39" s="322" t="str">
        <f>+M23</f>
        <v>Winter kW - Over 50</v>
      </c>
      <c r="N39" s="318">
        <v>9.2200000000000006</v>
      </c>
      <c r="O39" s="254"/>
      <c r="P39" s="317">
        <v>11.99</v>
      </c>
      <c r="Q39" s="308">
        <f t="shared" si="2"/>
        <v>0.30043383947939256</v>
      </c>
      <c r="R39" s="254"/>
      <c r="S39" s="317">
        <v>15.58</v>
      </c>
      <c r="T39" s="308">
        <f t="shared" si="3"/>
        <v>0.29941618015012511</v>
      </c>
    </row>
    <row r="40" spans="1:20">
      <c r="A40" s="142">
        <f t="shared" si="24"/>
        <v>31</v>
      </c>
      <c r="M40" s="322" t="str">
        <f>+M24</f>
        <v>Summer kW - Over 50</v>
      </c>
      <c r="N40" s="318">
        <v>4.54</v>
      </c>
      <c r="O40" s="254"/>
      <c r="P40" s="317">
        <v>5.9</v>
      </c>
      <c r="Q40" s="308">
        <f t="shared" si="2"/>
        <v>0.29955947136563882</v>
      </c>
      <c r="R40" s="254"/>
      <c r="S40" s="317">
        <v>7.67</v>
      </c>
      <c r="T40" s="308">
        <f t="shared" si="3"/>
        <v>0.29999999999999993</v>
      </c>
    </row>
    <row r="41" spans="1:20">
      <c r="A41" s="142">
        <f t="shared" si="24"/>
        <v>32</v>
      </c>
      <c r="M41" s="322" t="str">
        <f t="shared" ref="M41" si="29">+M25</f>
        <v>Average kW - Over 50</v>
      </c>
      <c r="N41" s="318">
        <v>8.66</v>
      </c>
      <c r="O41" s="254"/>
      <c r="P41" s="317">
        <v>7.73</v>
      </c>
      <c r="Q41" s="308">
        <f t="shared" si="2"/>
        <v>-0.10739030023094685</v>
      </c>
      <c r="R41" s="254"/>
      <c r="S41" s="317">
        <v>10.039999999999999</v>
      </c>
      <c r="T41" s="308">
        <f t="shared" si="3"/>
        <v>0.29883570504527796</v>
      </c>
    </row>
    <row r="42" spans="1:20">
      <c r="A42" s="142">
        <f t="shared" si="24"/>
        <v>33</v>
      </c>
      <c r="M42" s="51" t="str">
        <f>+M27</f>
        <v>kVarh</v>
      </c>
      <c r="N42" s="353">
        <v>2.9299999999999999E-3</v>
      </c>
      <c r="O42" s="254"/>
      <c r="P42" s="357">
        <v>3.81E-3</v>
      </c>
      <c r="Q42" s="308"/>
      <c r="R42" s="254"/>
      <c r="S42" s="357">
        <v>4.9500000000000004E-3</v>
      </c>
      <c r="T42" s="308"/>
    </row>
    <row r="43" spans="1:20">
      <c r="A43" s="142">
        <f t="shared" si="24"/>
        <v>34</v>
      </c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233"/>
      <c r="N43" s="345"/>
      <c r="P43" s="233"/>
      <c r="Q43" s="235"/>
      <c r="S43" s="233"/>
      <c r="T43" s="235"/>
    </row>
    <row r="44" spans="1:20">
      <c r="A44" s="142">
        <f t="shared" si="24"/>
        <v>35</v>
      </c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312" t="str">
        <f>'Exh CTM-8 (Schedule 24 Impacts)'!U23</f>
        <v xml:space="preserve">Schedule 95 Power Cost
</v>
      </c>
      <c r="N44" s="251">
        <f>'Sch 95'!$E$18</f>
        <v>7.9100000000000004E-3</v>
      </c>
      <c r="O44" s="258"/>
      <c r="P44" s="249">
        <f>'Sch 95'!$I$18</f>
        <v>0</v>
      </c>
      <c r="Q44" s="311"/>
      <c r="R44" s="258"/>
      <c r="S44" s="249">
        <f>'Sch 95'!$M$18</f>
        <v>0</v>
      </c>
      <c r="T44" s="308"/>
    </row>
    <row r="45" spans="1:20">
      <c r="A45" s="142">
        <f t="shared" si="24"/>
        <v>36</v>
      </c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307" t="str">
        <f>'Exh CTM-8 (Schedule 24 Impacts)'!U24</f>
        <v>Schedule 95 PCA Imbalance</v>
      </c>
      <c r="N45" s="240">
        <f>'Sch 95 Imbalance'!$E$18</f>
        <v>3.6029999999999999E-3</v>
      </c>
      <c r="O45" s="254"/>
      <c r="P45" s="238">
        <f>'Sch 95 Imbalance'!$I$18</f>
        <v>3.6029999999999999E-3</v>
      </c>
      <c r="Q45" s="308"/>
      <c r="R45" s="254"/>
      <c r="S45" s="238">
        <f>'Sch 95 Imbalance'!$M$18</f>
        <v>3.6029999999999999E-3</v>
      </c>
      <c r="T45" s="308"/>
    </row>
    <row r="46" spans="1:20">
      <c r="A46" s="142">
        <f t="shared" si="24"/>
        <v>37</v>
      </c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307" t="str">
        <f>'Exh CTM-8 (Schedule 24 Impacts)'!U25</f>
        <v>Schedule 95A Federal Incentive Credit</v>
      </c>
      <c r="N46" s="240">
        <f>'Sch 95a'!$E$18</f>
        <v>0</v>
      </c>
      <c r="O46" s="254"/>
      <c r="P46" s="238">
        <f>'Sch 95a'!$I$18</f>
        <v>0</v>
      </c>
      <c r="Q46" s="308"/>
      <c r="R46" s="254"/>
      <c r="S46" s="238">
        <f>'Sch 95a'!$M$18</f>
        <v>0</v>
      </c>
      <c r="T46" s="308"/>
    </row>
    <row r="47" spans="1:20">
      <c r="A47" s="142">
        <f t="shared" si="24"/>
        <v>38</v>
      </c>
      <c r="B47" s="7"/>
      <c r="M47" s="307" t="str">
        <f>'Exh CTM-8 (Schedule 24 Impacts)'!U26</f>
        <v>Schedule 120 Conservation</v>
      </c>
      <c r="N47" s="240">
        <f>'Sch 120'!$E$18</f>
        <v>4.5300000000000002E-3</v>
      </c>
      <c r="P47" s="238">
        <f>'Sch 120'!$I$18</f>
        <v>4.5300000000000002E-3</v>
      </c>
      <c r="Q47" s="235"/>
      <c r="S47" s="238">
        <f>'Sch 120'!$M$18</f>
        <v>4.5300000000000002E-3</v>
      </c>
      <c r="T47" s="235"/>
    </row>
    <row r="48" spans="1:20">
      <c r="A48" s="142">
        <f t="shared" si="24"/>
        <v>39</v>
      </c>
      <c r="M48" s="307" t="str">
        <f>'Exh CTM-8 (Schedule 24 Impacts)'!U27</f>
        <v>Schedule 129 Low Income</v>
      </c>
      <c r="N48" s="240">
        <f>'Sch 129'!$E$18</f>
        <v>1.1540000000000001E-3</v>
      </c>
      <c r="O48" s="254"/>
      <c r="P48" s="238">
        <f>'Sch 129'!$I$18</f>
        <v>1.1540000000000001E-3</v>
      </c>
      <c r="Q48" s="308"/>
      <c r="R48" s="254"/>
      <c r="S48" s="238">
        <f>'Sch 129'!$M$18</f>
        <v>1.1540000000000001E-3</v>
      </c>
      <c r="T48" s="308"/>
    </row>
    <row r="49" spans="1:20">
      <c r="A49" s="142">
        <f t="shared" si="24"/>
        <v>40</v>
      </c>
      <c r="M49" s="307" t="str">
        <f>'Exh CTM-8 (Schedule 24 Impacts)'!U28</f>
        <v>Schedule 129D Bill Discount</v>
      </c>
      <c r="N49" s="240">
        <f>'Sch 129D'!$E$18</f>
        <v>4.9100000000000001E-4</v>
      </c>
      <c r="O49" s="254"/>
      <c r="P49" s="238">
        <f>'Sch 129D'!$I$18</f>
        <v>4.9100000000000001E-4</v>
      </c>
      <c r="Q49" s="308"/>
      <c r="R49" s="254"/>
      <c r="S49" s="238">
        <f>'Sch 129D'!$M$18</f>
        <v>4.9100000000000001E-4</v>
      </c>
      <c r="T49" s="308"/>
    </row>
    <row r="50" spans="1:20">
      <c r="A50" s="142">
        <f t="shared" si="24"/>
        <v>41</v>
      </c>
      <c r="M50" s="312" t="str">
        <f>'Exh CTM-8 (Schedule 24 Impacts)'!U29</f>
        <v>Schedule 137 REC</v>
      </c>
      <c r="N50" s="251">
        <f>'Sch 137'!$E$18</f>
        <v>6.9999999999999999E-6</v>
      </c>
      <c r="O50" s="258"/>
      <c r="P50" s="249">
        <f>'Sch 137'!$I$18</f>
        <v>0</v>
      </c>
      <c r="Q50" s="311"/>
      <c r="R50" s="258"/>
      <c r="S50" s="249">
        <f>'Sch 137'!$M$18</f>
        <v>0</v>
      </c>
      <c r="T50" s="308"/>
    </row>
    <row r="51" spans="1:20">
      <c r="A51" s="142">
        <f t="shared" si="24"/>
        <v>42</v>
      </c>
      <c r="M51" s="307" t="str">
        <f>'Exh CTM-8 (Schedule 24 Impacts)'!U30</f>
        <v>Schedule 140 Property Tax</v>
      </c>
      <c r="N51" s="240">
        <f>'Sch 140'!$E$18</f>
        <v>1.98E-3</v>
      </c>
      <c r="O51" s="254"/>
      <c r="P51" s="238">
        <f>'Sch 140'!$I$18</f>
        <v>1.98E-3</v>
      </c>
      <c r="Q51" s="308"/>
      <c r="R51" s="254"/>
      <c r="S51" s="238">
        <f>'Sch 140'!$M$18</f>
        <v>1.98E-3</v>
      </c>
      <c r="T51" s="308"/>
    </row>
    <row r="52" spans="1:20">
      <c r="A52" s="142">
        <f t="shared" si="24"/>
        <v>43</v>
      </c>
      <c r="M52" s="307" t="str">
        <f>'Exh CTM-8 (Schedule 24 Impacts)'!U31</f>
        <v>Schedule 141 ERF</v>
      </c>
      <c r="N52" s="240">
        <f>'Sch 141'!$E$18</f>
        <v>0</v>
      </c>
      <c r="O52" s="254"/>
      <c r="P52" s="238">
        <f>'Sch 141'!$I$18</f>
        <v>0</v>
      </c>
      <c r="Q52" s="308"/>
      <c r="R52" s="254"/>
      <c r="S52" s="238">
        <f>'Sch 141'!$M$18</f>
        <v>0</v>
      </c>
      <c r="T52" s="308"/>
    </row>
    <row r="53" spans="1:20">
      <c r="A53" s="142">
        <f t="shared" si="24"/>
        <v>44</v>
      </c>
      <c r="M53" s="307" t="str">
        <f>'Exh CTM-8 (Schedule 24 Impacts)'!U32</f>
        <v>Schedule 141A Energy Charge Credit</v>
      </c>
      <c r="N53" s="240">
        <f>'Sch 141A'!$F$18</f>
        <v>1.6720000000000001E-3</v>
      </c>
      <c r="P53" s="238">
        <f>'Sch 141A'!$J$18</f>
        <v>1.6720000000000001E-3</v>
      </c>
      <c r="Q53" s="235"/>
      <c r="S53" s="238">
        <f>'Sch 141A'!$N$18</f>
        <v>1.6720000000000001E-3</v>
      </c>
      <c r="T53" s="235"/>
    </row>
    <row r="54" spans="1:20">
      <c r="A54" s="142">
        <f t="shared" si="24"/>
        <v>45</v>
      </c>
      <c r="M54" s="312" t="str">
        <f>'Exh CTM-8 (Schedule 24 Impacts)'!U33</f>
        <v>Schedule 141CEI Clean Energy Implementation Plan</v>
      </c>
      <c r="N54" s="251">
        <f>'Sch 141CEI'!$F$18</f>
        <v>8.3199999999999995E-4</v>
      </c>
      <c r="O54" s="258"/>
      <c r="P54" s="249">
        <f>'Sch 141CEI'!$L$18</f>
        <v>0</v>
      </c>
      <c r="Q54" s="311"/>
      <c r="R54" s="258"/>
      <c r="S54" s="249">
        <f>'Sch 141CEI'!$R$18</f>
        <v>0</v>
      </c>
      <c r="T54" s="308"/>
    </row>
    <row r="55" spans="1:20">
      <c r="A55" s="142">
        <f t="shared" si="24"/>
        <v>46</v>
      </c>
      <c r="M55" s="312" t="str">
        <f>'Exh CTM-8 (Schedule 24 Impacts)'!U34</f>
        <v>Schedule 141CGR Clean Generation Resources</v>
      </c>
      <c r="N55" s="251">
        <f>'Sch 141CGR'!$F$18</f>
        <v>0</v>
      </c>
      <c r="O55" s="258"/>
      <c r="P55" s="249">
        <f>'Sch 141CGR'!$L$18</f>
        <v>1.0093506537375541E-3</v>
      </c>
      <c r="Q55" s="311"/>
      <c r="R55" s="258"/>
      <c r="S55" s="249">
        <f>'Sch 141CGR'!$R$18</f>
        <v>1.2652290691821495E-3</v>
      </c>
      <c r="T55" s="308"/>
    </row>
    <row r="56" spans="1:20">
      <c r="A56" s="142">
        <f t="shared" si="24"/>
        <v>47</v>
      </c>
      <c r="M56" s="312" t="str">
        <f>'Exh CTM-8 (Schedule 24 Impacts)'!U35</f>
        <v>Schedule 141DCARB Decarbonization</v>
      </c>
      <c r="N56" s="251">
        <f>'Sch 141DCARB'!$E$18</f>
        <v>0</v>
      </c>
      <c r="O56" s="258"/>
      <c r="P56" s="249">
        <f>'Sch 141DCARB'!$I$18</f>
        <v>3.51317007453705E-4</v>
      </c>
      <c r="Q56" s="311"/>
      <c r="R56" s="258"/>
      <c r="S56" s="249">
        <f>'Sch 141DCARB'!$M$18</f>
        <v>3.470854715969747E-4</v>
      </c>
      <c r="T56" s="308"/>
    </row>
    <row r="57" spans="1:20">
      <c r="A57" s="142">
        <f t="shared" si="24"/>
        <v>48</v>
      </c>
      <c r="M57" s="307" t="str">
        <f>'Exh CTM-8 (Schedule 24 Impacts)'!U36</f>
        <v>Schedule 141COL Colstrip Adjustment</v>
      </c>
      <c r="N57" s="240">
        <f>'Sch 141COL'!$F$18</f>
        <v>5.0799999999999999E-4</v>
      </c>
      <c r="P57" s="238">
        <f>'Sch 141COL'!$L$18</f>
        <v>5.0799999999999999E-4</v>
      </c>
      <c r="Q57" s="235"/>
      <c r="S57" s="238">
        <f>'Sch 141COL'!$R$18</f>
        <v>5.0799999999999999E-4</v>
      </c>
      <c r="T57" s="235"/>
    </row>
    <row r="58" spans="1:20">
      <c r="A58" s="142">
        <f t="shared" si="24"/>
        <v>49</v>
      </c>
      <c r="M58" s="312" t="str">
        <f>'Exh CTM-8 (Schedule 24 Impacts)'!U37</f>
        <v>Schedule 141N Rates Not Subject to Refund</v>
      </c>
      <c r="N58" s="251">
        <f>'Sch 141N'!$G$18</f>
        <v>6.6400000000000001E-3</v>
      </c>
      <c r="O58" s="258"/>
      <c r="P58" s="249">
        <f>'Sch 141N'!$M$18</f>
        <v>0</v>
      </c>
      <c r="Q58" s="311"/>
      <c r="R58" s="258"/>
      <c r="S58" s="249">
        <f>'Sch 141N'!$S$18</f>
        <v>0</v>
      </c>
      <c r="T58" s="308"/>
    </row>
    <row r="59" spans="1:20">
      <c r="A59" s="142">
        <f t="shared" si="24"/>
        <v>50</v>
      </c>
      <c r="M59" s="312" t="str">
        <f>'Exh CTM-8 (Schedule 24 Impacts)'!U38</f>
        <v>Schedule 141R Rates Subject to Refund</v>
      </c>
      <c r="N59" s="251">
        <f>'Sch 141R'!$G$18</f>
        <v>6.3109999999999998E-3</v>
      </c>
      <c r="O59" s="258"/>
      <c r="P59" s="249">
        <f>'Sch 141R'!$M$18</f>
        <v>0</v>
      </c>
      <c r="Q59" s="311"/>
      <c r="R59" s="258"/>
      <c r="S59" s="249">
        <f>'Sch 141R'!$S$18</f>
        <v>0</v>
      </c>
      <c r="T59" s="308"/>
    </row>
    <row r="60" spans="1:20">
      <c r="A60" s="142">
        <f t="shared" si="24"/>
        <v>51</v>
      </c>
      <c r="M60" s="307" t="str">
        <f>'Exh CTM-8 (Schedule 24 Impacts)'!U39</f>
        <v>Schedule 141 TEP</v>
      </c>
      <c r="N60" s="240">
        <f>'Sch 141TEP'!$E$18</f>
        <v>3.6999999999999999E-4</v>
      </c>
      <c r="O60" s="254"/>
      <c r="P60" s="238">
        <f>'Sch 141TEP'!$I$18</f>
        <v>3.6999999999999999E-4</v>
      </c>
      <c r="Q60" s="308"/>
      <c r="R60" s="254"/>
      <c r="S60" s="238">
        <f>'Sch 141TEP'!$M$18</f>
        <v>3.6999999999999999E-4</v>
      </c>
      <c r="T60" s="308"/>
    </row>
    <row r="61" spans="1:20">
      <c r="A61" s="142">
        <f t="shared" si="24"/>
        <v>52</v>
      </c>
      <c r="M61" s="312" t="str">
        <f>'Exh CTM-8 (Schedule 24 Impacts)'!U40</f>
        <v>Schedule 141WFP Wildfire Prevention Cost Recovery</v>
      </c>
      <c r="N61" s="251">
        <f>'Sch 141WFP'!$F$18</f>
        <v>0</v>
      </c>
      <c r="P61" s="249">
        <f>'Sch 141WFP'!$L$18</f>
        <v>1.182777133891747E-5</v>
      </c>
      <c r="Q61" s="235"/>
      <c r="S61" s="249">
        <f>'Sch 141WFP'!$R$18</f>
        <v>1.4853998811867671E-5</v>
      </c>
      <c r="T61" s="235"/>
    </row>
    <row r="62" spans="1:20">
      <c r="A62" s="142">
        <f t="shared" si="24"/>
        <v>53</v>
      </c>
      <c r="M62" s="307" t="str">
        <f>'Exh CTM-8 (Schedule 24 Impacts)'!U41</f>
        <v>Schedule 141X (Protected) EDIT</v>
      </c>
      <c r="N62" s="240">
        <f>'Sch 141X'!$E$18</f>
        <v>0</v>
      </c>
      <c r="O62" s="149"/>
      <c r="P62" s="238">
        <f>'Sch 141X'!$I$18</f>
        <v>0</v>
      </c>
      <c r="Q62" s="306"/>
      <c r="R62" s="149"/>
      <c r="S62" s="238">
        <f>'Sch 141X'!$M$18</f>
        <v>0</v>
      </c>
      <c r="T62" s="306"/>
    </row>
    <row r="63" spans="1:20">
      <c r="A63" s="142">
        <f t="shared" si="24"/>
        <v>54</v>
      </c>
      <c r="M63" s="307" t="str">
        <f>'Exh CTM-8 (Schedule 24 Impacts)'!U42</f>
        <v>Schedule 141Z (Unprotected) EDIT</v>
      </c>
      <c r="N63" s="240">
        <f>'Sch 141Z'!$E$18</f>
        <v>0</v>
      </c>
      <c r="O63" s="149"/>
      <c r="P63" s="238">
        <f>'Sch 141Z'!$I$18</f>
        <v>0</v>
      </c>
      <c r="Q63" s="306"/>
      <c r="R63" s="149"/>
      <c r="S63" s="238">
        <f>'Sch 141Z'!$M$18</f>
        <v>0</v>
      </c>
      <c r="T63" s="306"/>
    </row>
    <row r="64" spans="1:20">
      <c r="A64" s="142">
        <f t="shared" si="24"/>
        <v>55</v>
      </c>
      <c r="M64" s="307" t="str">
        <f>'Exh CTM-8 (Schedule 24 Impacts)'!U43</f>
        <v>Schedule 142  Deocupling Deferral</v>
      </c>
      <c r="N64" s="240">
        <f>'Sch 142'!$F$18</f>
        <v>3.1609999999999997E-3</v>
      </c>
      <c r="O64" s="149"/>
      <c r="P64" s="238">
        <f>'Sch 142'!$L$18</f>
        <v>3.1609999999999997E-3</v>
      </c>
      <c r="Q64" s="306"/>
      <c r="R64" s="149"/>
      <c r="S64" s="238">
        <f>'Sch 142'!$R$18</f>
        <v>3.1609999999999997E-3</v>
      </c>
      <c r="T64" s="306"/>
    </row>
    <row r="65" spans="1:20">
      <c r="A65" s="142">
        <f t="shared" si="24"/>
        <v>56</v>
      </c>
      <c r="M65" s="307" t="str">
        <f>'Exh CTM-8 (Schedule 24 Impacts)'!U44</f>
        <v>Schedule 142 Deocupling Supplemental</v>
      </c>
      <c r="N65" s="240">
        <f>'Sch 142 Supplemental'!$F$18</f>
        <v>0</v>
      </c>
      <c r="O65" s="149"/>
      <c r="P65" s="238">
        <f>'Sch 142 Supplemental'!$L$18</f>
        <v>0</v>
      </c>
      <c r="Q65" s="306"/>
      <c r="R65" s="149"/>
      <c r="S65" s="238">
        <f>'Sch 142 Supplemental'!$R$18</f>
        <v>0</v>
      </c>
      <c r="T65" s="306"/>
    </row>
    <row r="66" spans="1:20">
      <c r="A66" s="142">
        <f t="shared" si="24"/>
        <v>57</v>
      </c>
      <c r="B66" s="9"/>
      <c r="M66" s="307" t="str">
        <f>'Exh CTM-8 (Schedule 24 Impacts)'!U45</f>
        <v>Schedule 194 BPA Res &amp; Farm Credit</v>
      </c>
      <c r="N66" s="240">
        <f>'Sch 194'!$E$18</f>
        <v>-7.5339999999999999E-3</v>
      </c>
      <c r="O66" s="239"/>
      <c r="P66" s="238">
        <f>'Sch 194'!$I$18</f>
        <v>-7.5339999999999999E-3</v>
      </c>
      <c r="Q66" s="237"/>
      <c r="R66" s="239"/>
      <c r="S66" s="238">
        <f>'Sch 194'!$M$18</f>
        <v>-7.5339999999999999E-3</v>
      </c>
      <c r="T66" s="306"/>
    </row>
    <row r="67" spans="1:20" ht="12" thickBot="1">
      <c r="A67" s="142">
        <f t="shared" si="24"/>
        <v>58</v>
      </c>
      <c r="M67" s="291" t="s">
        <v>404</v>
      </c>
      <c r="N67" s="289">
        <f>SUM(N44:N66)+N32</f>
        <v>0.12303699999999999</v>
      </c>
      <c r="P67" s="290">
        <f>SUM(P44:P66)+P32</f>
        <v>0.12225249543253018</v>
      </c>
      <c r="Q67" s="306"/>
      <c r="S67" s="290">
        <f>SUM(S44:S66)+S32</f>
        <v>0.12720516853959099</v>
      </c>
      <c r="T67" s="306"/>
    </row>
    <row r="68" spans="1:20" ht="12.75" thickTop="1" thickBot="1">
      <c r="A68" s="142">
        <f t="shared" si="24"/>
        <v>59</v>
      </c>
      <c r="M68" s="291" t="s">
        <v>405</v>
      </c>
      <c r="N68" s="289">
        <f>SUM(N44:N66)+N33</f>
        <v>9.4971E-2</v>
      </c>
      <c r="P68" s="290">
        <f>SUM(P44:P66)+P33</f>
        <v>9.4186495432530173E-2</v>
      </c>
      <c r="Q68" s="306"/>
      <c r="S68" s="290">
        <f>SUM(S44:S66)+S33</f>
        <v>9.9139168539590997E-2</v>
      </c>
      <c r="T68" s="306"/>
    </row>
    <row r="69" spans="1:20" ht="12.75" thickTop="1" thickBot="1">
      <c r="A69" s="142">
        <f t="shared" si="24"/>
        <v>60</v>
      </c>
      <c r="M69" s="291" t="s">
        <v>62</v>
      </c>
      <c r="N69" s="289">
        <f>SUM(N44:N66)+N35</f>
        <v>0.101052</v>
      </c>
      <c r="P69" s="290">
        <f>SUM(P44:P66)+P35</f>
        <v>0.10026749543253018</v>
      </c>
      <c r="Q69" s="306"/>
      <c r="S69" s="290">
        <f>SUM(S44:S66)+S35</f>
        <v>0.105220168539591</v>
      </c>
      <c r="T69" s="306"/>
    </row>
    <row r="70" spans="1:20" ht="12.75" thickTop="1" thickBot="1">
      <c r="A70" s="142">
        <f t="shared" si="24"/>
        <v>61</v>
      </c>
      <c r="M70" s="291" t="s">
        <v>406</v>
      </c>
      <c r="N70" s="289">
        <f>SUM(N44:N66)+N36</f>
        <v>8.5902999999999993E-2</v>
      </c>
      <c r="P70" s="290">
        <f>SUM(P44:P66)+P36</f>
        <v>8.5118495432530181E-2</v>
      </c>
      <c r="Q70" s="306"/>
      <c r="S70" s="290">
        <f>SUM(S44:S66)+S36</f>
        <v>9.007116853959099E-2</v>
      </c>
      <c r="T70" s="306"/>
    </row>
    <row r="71" spans="1:20" ht="12" thickTop="1">
      <c r="A71" s="142">
        <f t="shared" si="24"/>
        <v>62</v>
      </c>
      <c r="M71" s="291"/>
      <c r="N71" s="347"/>
      <c r="P71" s="270"/>
      <c r="Q71" s="271"/>
      <c r="S71" s="270"/>
      <c r="T71" s="271"/>
    </row>
    <row r="72" spans="1:20">
      <c r="A72" s="142">
        <f t="shared" si="24"/>
        <v>63</v>
      </c>
      <c r="M72" s="234" t="s">
        <v>357</v>
      </c>
      <c r="N72" s="348"/>
      <c r="P72" s="233"/>
      <c r="Q72" s="232">
        <f>'Exh CTM-8 (Rate Impacts_RY#1)'!$H$14</f>
        <v>0.20415249865271912</v>
      </c>
      <c r="S72" s="233"/>
      <c r="T72" s="232">
        <f>'Exh CTM-8 (Rate Impacts_RY#2)'!$I$14</f>
        <v>8.1049638754509101E-2</v>
      </c>
    </row>
    <row r="73" spans="1:20">
      <c r="A73" s="142">
        <f t="shared" si="24"/>
        <v>64</v>
      </c>
      <c r="M73" s="234" t="s">
        <v>356</v>
      </c>
      <c r="N73" s="348"/>
      <c r="P73" s="233"/>
      <c r="Q73" s="232">
        <f>'Exh CTM-8 (Rate Impacts_RY#1)'!$AI$14</f>
        <v>5.4839590770532812E-2</v>
      </c>
      <c r="S73" s="233"/>
      <c r="T73" s="232">
        <f>'Exh CTM-8 (Rate Impacts_RY#2)'!$V$14</f>
        <v>9.0246143368386475E-2</v>
      </c>
    </row>
    <row r="74" spans="1:20" ht="12" thickBot="1">
      <c r="A74" s="142">
        <f t="shared" si="24"/>
        <v>65</v>
      </c>
      <c r="M74" s="343" t="s">
        <v>393</v>
      </c>
      <c r="N74" s="230"/>
      <c r="P74" s="231"/>
      <c r="Q74" s="230"/>
      <c r="S74" s="231"/>
      <c r="T74" s="230"/>
    </row>
  </sheetData>
  <mergeCells count="9">
    <mergeCell ref="A1:S1"/>
    <mergeCell ref="A2:S2"/>
    <mergeCell ref="A3:S3"/>
    <mergeCell ref="A4:S4"/>
    <mergeCell ref="F7:H7"/>
    <mergeCell ref="J7:K7"/>
    <mergeCell ref="P6:Q6"/>
    <mergeCell ref="S6:T6"/>
    <mergeCell ref="F6:H6"/>
  </mergeCells>
  <pageMargins left="0.7" right="0.7" top="0.75" bottom="0.75" header="0.3" footer="0.3"/>
  <pageSetup scale="38" orientation="landscape" horizontalDpi="360" verticalDpi="360" r:id="rId1"/>
  <headerFooter>
    <oddFooter>&amp;R&amp;F
&amp;A
&amp;P of &amp;N</oddFooter>
  </headerFooter>
  <customProperties>
    <customPr name="_pios_id" r:id="rId2"/>
  </customProperties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3" tint="0.79998168889431442"/>
    <pageSetUpPr fitToPage="1"/>
  </sheetPr>
  <dimension ref="A1:T57"/>
  <sheetViews>
    <sheetView zoomScaleNormal="100" zoomScaleSheetLayoutView="100" workbookViewId="0">
      <pane ySplit="9" topLeftCell="A23" activePane="bottomLeft" state="frozen"/>
      <selection activeCell="U42" sqref="U42"/>
      <selection pane="bottomLeft" activeCell="U42" sqref="U42"/>
    </sheetView>
  </sheetViews>
  <sheetFormatPr defaultColWidth="9.42578125" defaultRowHeight="11.25"/>
  <cols>
    <col min="1" max="1" width="4.42578125" style="3" bestFit="1" customWidth="1"/>
    <col min="2" max="2" width="11.42578125" style="3" customWidth="1"/>
    <col min="3" max="3" width="11.42578125" style="3" bestFit="1" customWidth="1"/>
    <col min="4" max="4" width="7.140625" style="3" bestFit="1" customWidth="1"/>
    <col min="5" max="5" width="1" style="3" customWidth="1"/>
    <col min="6" max="6" width="11.7109375" style="3" bestFit="1" customWidth="1"/>
    <col min="7" max="7" width="10.42578125" style="3" bestFit="1" customWidth="1"/>
    <col min="8" max="8" width="13.28515625" style="3" bestFit="1" customWidth="1"/>
    <col min="9" max="9" width="1" style="3" customWidth="1"/>
    <col min="10" max="10" width="10" style="3" bestFit="1" customWidth="1"/>
    <col min="11" max="11" width="10" style="3" customWidth="1"/>
    <col min="12" max="12" width="0.7109375" style="3" customWidth="1"/>
    <col min="13" max="13" width="38.5703125" style="142" bestFit="1" customWidth="1"/>
    <col min="14" max="14" width="11.140625" style="142" bestFit="1" customWidth="1"/>
    <col min="15" max="15" width="1.140625" style="142" customWidth="1"/>
    <col min="16" max="17" width="11.140625" style="142" bestFit="1" customWidth="1"/>
    <col min="18" max="18" width="0.85546875" style="142" customWidth="1"/>
    <col min="19" max="19" width="11.140625" style="142" bestFit="1" customWidth="1"/>
    <col min="20" max="20" width="11.140625" style="142" customWidth="1"/>
    <col min="21" max="16384" width="9.42578125" style="3"/>
  </cols>
  <sheetData>
    <row r="1" spans="1:20">
      <c r="A1" s="497" t="str">
        <f>'Table of Contents'!A1</f>
        <v>Puget Sound Energy</v>
      </c>
      <c r="B1" s="497"/>
      <c r="C1" s="497"/>
      <c r="D1" s="497"/>
      <c r="E1" s="497"/>
      <c r="F1" s="497"/>
      <c r="G1" s="497"/>
      <c r="H1" s="497"/>
      <c r="I1" s="497"/>
      <c r="J1" s="497"/>
      <c r="K1" s="497"/>
      <c r="L1" s="497"/>
      <c r="M1" s="497"/>
      <c r="N1" s="497"/>
      <c r="O1" s="497"/>
      <c r="P1" s="497"/>
      <c r="Q1" s="497"/>
      <c r="R1" s="497"/>
      <c r="S1" s="48"/>
      <c r="T1" s="48"/>
    </row>
    <row r="2" spans="1:20">
      <c r="A2" s="497" t="str">
        <f>'Table of Contents'!A2</f>
        <v>2024 General Rate Case Docket No. UE-240004 and UG-240005</v>
      </c>
      <c r="B2" s="497"/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7"/>
      <c r="N2" s="497"/>
      <c r="O2" s="497"/>
      <c r="P2" s="497"/>
      <c r="Q2" s="497"/>
      <c r="R2" s="497"/>
      <c r="S2" s="48"/>
      <c r="T2" s="48"/>
    </row>
    <row r="3" spans="1:20" ht="12.75">
      <c r="A3" s="448" t="s">
        <v>35</v>
      </c>
      <c r="B3" s="503"/>
      <c r="C3" s="503"/>
      <c r="D3" s="503"/>
      <c r="E3" s="503"/>
      <c r="F3" s="503"/>
      <c r="G3" s="503"/>
      <c r="H3" s="503"/>
      <c r="I3" s="503"/>
      <c r="J3" s="503"/>
      <c r="K3" s="503"/>
      <c r="L3" s="503"/>
      <c r="M3" s="503"/>
      <c r="N3" s="503"/>
      <c r="O3" s="503"/>
      <c r="P3" s="503"/>
      <c r="Q3" s="503"/>
      <c r="R3" s="503"/>
      <c r="S3" s="48"/>
      <c r="T3" s="48"/>
    </row>
    <row r="4" spans="1:20" ht="12.75">
      <c r="A4" s="448" t="s">
        <v>420</v>
      </c>
      <c r="B4" s="503" t="s">
        <v>67</v>
      </c>
      <c r="C4" s="503"/>
      <c r="D4" s="503"/>
      <c r="E4" s="503"/>
      <c r="F4" s="503"/>
      <c r="G4" s="503"/>
      <c r="H4" s="503"/>
      <c r="I4" s="503"/>
      <c r="J4" s="503"/>
      <c r="K4" s="503"/>
      <c r="L4" s="503"/>
      <c r="M4" s="503"/>
      <c r="N4" s="503"/>
      <c r="O4" s="503"/>
      <c r="P4" s="503"/>
      <c r="Q4" s="503"/>
      <c r="R4" s="503"/>
      <c r="S4" s="48"/>
      <c r="T4" s="48"/>
    </row>
    <row r="5" spans="1:20" ht="12" thickBot="1">
      <c r="B5" s="23"/>
      <c r="M5" s="331"/>
      <c r="N5" s="331"/>
      <c r="O5" s="331"/>
      <c r="P5" s="331"/>
      <c r="Q5" s="331"/>
      <c r="R5" s="331"/>
      <c r="S5" s="331"/>
      <c r="T5" s="331"/>
    </row>
    <row r="6" spans="1:20" ht="13.5" thickBot="1">
      <c r="B6" s="2"/>
      <c r="F6" s="519"/>
      <c r="G6" s="520"/>
      <c r="H6" s="520"/>
      <c r="M6" s="136"/>
      <c r="N6" s="136"/>
      <c r="P6" s="475" t="s">
        <v>353</v>
      </c>
      <c r="Q6" s="517"/>
      <c r="S6" s="475" t="s">
        <v>354</v>
      </c>
      <c r="T6" s="517"/>
    </row>
    <row r="7" spans="1:20" ht="12.75">
      <c r="A7" s="136"/>
      <c r="B7" s="135"/>
      <c r="C7" s="135"/>
      <c r="D7" s="136"/>
      <c r="E7" s="136"/>
      <c r="F7" s="514" t="s">
        <v>401</v>
      </c>
      <c r="G7" s="515"/>
      <c r="H7" s="516"/>
      <c r="I7" s="136"/>
      <c r="J7" s="509" t="s">
        <v>44</v>
      </c>
      <c r="K7" s="516"/>
      <c r="L7" s="2"/>
      <c r="M7" s="300"/>
      <c r="N7" s="302"/>
      <c r="P7" s="351"/>
      <c r="Q7" s="302"/>
      <c r="S7" s="351"/>
      <c r="T7" s="302"/>
    </row>
    <row r="8" spans="1:20" ht="45">
      <c r="A8" s="138" t="s">
        <v>350</v>
      </c>
      <c r="B8" s="287" t="s">
        <v>400</v>
      </c>
      <c r="C8" s="287" t="s">
        <v>54</v>
      </c>
      <c r="D8" s="287" t="s">
        <v>34</v>
      </c>
      <c r="E8" s="136"/>
      <c r="F8" s="140" t="s">
        <v>421</v>
      </c>
      <c r="G8" s="140" t="s">
        <v>422</v>
      </c>
      <c r="H8" s="140" t="s">
        <v>423</v>
      </c>
      <c r="I8" s="358"/>
      <c r="J8" s="140" t="s">
        <v>387</v>
      </c>
      <c r="K8" s="140" t="s">
        <v>388</v>
      </c>
      <c r="L8" s="2"/>
      <c r="M8" s="326"/>
      <c r="N8" s="359" t="s">
        <v>347</v>
      </c>
      <c r="P8" s="350" t="s">
        <v>352</v>
      </c>
      <c r="Q8" s="349" t="s">
        <v>351</v>
      </c>
      <c r="S8" s="350" t="s">
        <v>352</v>
      </c>
      <c r="T8" s="349" t="s">
        <v>351</v>
      </c>
    </row>
    <row r="9" spans="1:20">
      <c r="B9" s="141" t="s">
        <v>18</v>
      </c>
      <c r="C9" s="141" t="s">
        <v>19</v>
      </c>
      <c r="D9" s="141" t="s">
        <v>20</v>
      </c>
      <c r="E9" s="141"/>
      <c r="F9" s="141" t="s">
        <v>21</v>
      </c>
      <c r="G9" s="141" t="s">
        <v>24</v>
      </c>
      <c r="H9" s="141" t="s">
        <v>25</v>
      </c>
      <c r="I9" s="141"/>
      <c r="J9" s="141" t="s">
        <v>26</v>
      </c>
      <c r="K9" s="141" t="s">
        <v>27</v>
      </c>
      <c r="L9" s="2"/>
      <c r="M9" s="326" t="s">
        <v>28</v>
      </c>
      <c r="N9" s="327" t="s">
        <v>29</v>
      </c>
      <c r="O9" s="141"/>
      <c r="P9" s="326" t="s">
        <v>30</v>
      </c>
      <c r="Q9" s="327" t="s">
        <v>74</v>
      </c>
      <c r="R9" s="141"/>
      <c r="S9" s="326" t="s">
        <v>83</v>
      </c>
      <c r="T9" s="327" t="s">
        <v>84</v>
      </c>
    </row>
    <row r="10" spans="1:20">
      <c r="A10" s="142">
        <v>1</v>
      </c>
      <c r="B10" s="3">
        <v>350</v>
      </c>
      <c r="C10" s="3">
        <v>300</v>
      </c>
      <c r="D10" s="52">
        <f>ROUND((B$10*C10),0)</f>
        <v>105000</v>
      </c>
      <c r="F10" s="53">
        <f>+N$10+$B10*N$16+$D10*N$12</f>
        <v>11754.353950000001</v>
      </c>
      <c r="G10" s="53">
        <f>+P$10+$B10*P$16+$D10*P$12</f>
        <v>13708.832813329836</v>
      </c>
      <c r="H10" s="53">
        <f>+S$10+$B10*S$16+$D10*S$12</f>
        <v>15255.660741757245</v>
      </c>
      <c r="J10" s="24">
        <f t="shared" ref="J10:K12" si="0">ROUND((+G10-F10)/F10,3)</f>
        <v>0.16600000000000001</v>
      </c>
      <c r="K10" s="24">
        <f t="shared" si="0"/>
        <v>0.113</v>
      </c>
      <c r="L10" s="24"/>
      <c r="M10" s="51" t="s">
        <v>39</v>
      </c>
      <c r="N10" s="274">
        <f>SUM(N21)</f>
        <v>358.11</v>
      </c>
      <c r="O10" s="254"/>
      <c r="P10" s="325">
        <f>SUM(P21)</f>
        <v>465.54</v>
      </c>
      <c r="Q10" s="308">
        <f>(P10-N10)/N10</f>
        <v>0.29999162268576696</v>
      </c>
      <c r="R10" s="254"/>
      <c r="S10" s="325">
        <f>SUM(S21)</f>
        <v>605.21</v>
      </c>
      <c r="T10" s="308">
        <f>(S10-P10)/P10</f>
        <v>0.30001718434506169</v>
      </c>
    </row>
    <row r="11" spans="1:20">
      <c r="A11" s="142">
        <f t="shared" ref="A11:A30" si="1">A10+1</f>
        <v>2</v>
      </c>
      <c r="B11" s="3">
        <f>+B10</f>
        <v>350</v>
      </c>
      <c r="C11" s="3">
        <v>500</v>
      </c>
      <c r="D11" s="52">
        <f>ROUND((B$10*C11),0)</f>
        <v>175000</v>
      </c>
      <c r="F11" s="53">
        <f>+N$10+$B11*N$16+$D11*N$12</f>
        <v>17033.893950000001</v>
      </c>
      <c r="G11" s="53">
        <f>+P$10+$B11*P$16+$D11*P$12</f>
        <v>19532.356511926504</v>
      </c>
      <c r="H11" s="53">
        <f>+S$10+$B11*S$16+$D11*S$12</f>
        <v>21116.623017132515</v>
      </c>
      <c r="J11" s="24">
        <f t="shared" si="0"/>
        <v>0.14699999999999999</v>
      </c>
      <c r="K11" s="24">
        <f t="shared" si="0"/>
        <v>8.1000000000000003E-2</v>
      </c>
      <c r="L11" s="24"/>
      <c r="M11" s="51"/>
      <c r="N11" s="274"/>
      <c r="O11" s="254"/>
      <c r="P11" s="325"/>
      <c r="Q11" s="308"/>
      <c r="R11" s="254"/>
      <c r="S11" s="325"/>
      <c r="T11" s="308"/>
    </row>
    <row r="12" spans="1:20">
      <c r="A12" s="142">
        <f t="shared" si="1"/>
        <v>3</v>
      </c>
      <c r="B12" s="3">
        <f>+B11</f>
        <v>350</v>
      </c>
      <c r="C12" s="3">
        <v>700</v>
      </c>
      <c r="D12" s="52">
        <f>ROUND((B$10*C12),0)</f>
        <v>245000</v>
      </c>
      <c r="F12" s="53">
        <f>+N$10+$B12*N$16+$D12*N$12</f>
        <v>22313.433949999999</v>
      </c>
      <c r="G12" s="53">
        <f>+P$10+$B12*P$16+$D12*P$12</f>
        <v>25355.880210523166</v>
      </c>
      <c r="H12" s="53">
        <f>+S$10+$B12*S$16+$D12*S$12</f>
        <v>26977.585292507785</v>
      </c>
      <c r="J12" s="24">
        <f t="shared" si="0"/>
        <v>0.13600000000000001</v>
      </c>
      <c r="K12" s="24">
        <f t="shared" si="0"/>
        <v>6.4000000000000001E-2</v>
      </c>
      <c r="L12" s="24"/>
      <c r="M12" s="54" t="s">
        <v>59</v>
      </c>
      <c r="N12" s="274">
        <f>SUM(N22,N28:N41,N43)</f>
        <v>7.5422000000000003E-2</v>
      </c>
      <c r="O12" s="254"/>
      <c r="P12" s="325">
        <f>SUM(P22,P28:P41,P43)</f>
        <v>8.3193195694238067E-2</v>
      </c>
      <c r="Q12" s="308">
        <f t="shared" ref="Q12:Q26" si="2">(P12-N12)/N12</f>
        <v>0.10303619228127157</v>
      </c>
      <c r="R12" s="254"/>
      <c r="S12" s="325">
        <f>SUM(S22,S28:S41,S43)</f>
        <v>8.3728032505360983E-2</v>
      </c>
      <c r="T12" s="308">
        <f t="shared" ref="T12:T26" si="3">(S12-P12)/P12</f>
        <v>6.4288528245580821E-3</v>
      </c>
    </row>
    <row r="13" spans="1:20">
      <c r="A13" s="142">
        <f t="shared" si="1"/>
        <v>4</v>
      </c>
      <c r="M13" s="54"/>
      <c r="N13" s="271"/>
      <c r="O13" s="254"/>
      <c r="P13" s="320"/>
      <c r="Q13" s="308"/>
      <c r="R13" s="254"/>
      <c r="S13" s="320"/>
      <c r="T13" s="308"/>
    </row>
    <row r="14" spans="1:20">
      <c r="A14" s="142">
        <f t="shared" si="1"/>
        <v>5</v>
      </c>
      <c r="B14" s="3">
        <f>+B12+50</f>
        <v>400</v>
      </c>
      <c r="C14" s="3">
        <v>300</v>
      </c>
      <c r="D14" s="52">
        <f>ROUND((B$14*C14),0)</f>
        <v>120000</v>
      </c>
      <c r="F14" s="53">
        <f>+N$10+$B14*N$16+$D14*N$12</f>
        <v>13382.388800000001</v>
      </c>
      <c r="G14" s="53">
        <f>+P$10+$B14*P$16+$D14*P$12</f>
        <v>15600.731786662673</v>
      </c>
      <c r="H14" s="53">
        <f>+S$10+$B14*S$16+$D14*S$12</f>
        <v>17348.582276293993</v>
      </c>
      <c r="J14" s="24">
        <f t="shared" ref="J14:K16" si="4">ROUND((+G14-F14)/F14,3)</f>
        <v>0.16600000000000001</v>
      </c>
      <c r="K14" s="24">
        <f t="shared" si="4"/>
        <v>0.112</v>
      </c>
      <c r="L14" s="24"/>
      <c r="M14" s="54" t="s">
        <v>58</v>
      </c>
      <c r="N14" s="271">
        <f>SUM(N23,N42,N44)</f>
        <v>11.944096999999999</v>
      </c>
      <c r="O14" s="254"/>
      <c r="P14" s="320">
        <f>SUM(P23,P42,P44)</f>
        <v>15.520020758385256</v>
      </c>
      <c r="Q14" s="308">
        <f t="shared" si="2"/>
        <v>0.29938837221309039</v>
      </c>
      <c r="R14" s="254"/>
      <c r="S14" s="320">
        <f>SUM(S23,S42,S44)</f>
        <v>20.180020939126692</v>
      </c>
      <c r="T14" s="308">
        <f t="shared" si="3"/>
        <v>0.30025734200282572</v>
      </c>
    </row>
    <row r="15" spans="1:20">
      <c r="A15" s="142">
        <f t="shared" si="1"/>
        <v>6</v>
      </c>
      <c r="B15" s="3">
        <f>+B14</f>
        <v>400</v>
      </c>
      <c r="C15" s="3">
        <v>500</v>
      </c>
      <c r="D15" s="52">
        <f>ROUND((B$14*C15),0)</f>
        <v>200000</v>
      </c>
      <c r="F15" s="53">
        <f>+N$10+$B15*N$16+$D15*N$12</f>
        <v>19416.148800000003</v>
      </c>
      <c r="G15" s="53">
        <f>+P$10+$B15*P$16+$D15*P$12</f>
        <v>22256.187442201717</v>
      </c>
      <c r="H15" s="53">
        <f>+S$10+$B15*S$16+$D15*S$12</f>
        <v>24046.824876722872</v>
      </c>
      <c r="J15" s="24">
        <f t="shared" si="4"/>
        <v>0.14599999999999999</v>
      </c>
      <c r="K15" s="24">
        <f t="shared" si="4"/>
        <v>0.08</v>
      </c>
      <c r="L15" s="24"/>
      <c r="M15" s="54" t="s">
        <v>57</v>
      </c>
      <c r="N15" s="271">
        <f>SUM(N24,N42,N44)</f>
        <v>7.9640969999999998</v>
      </c>
      <c r="O15" s="254"/>
      <c r="P15" s="320">
        <f>SUM(P24,P42,P44)</f>
        <v>10.350020758385256</v>
      </c>
      <c r="Q15" s="308">
        <f t="shared" si="2"/>
        <v>0.29958496969402254</v>
      </c>
      <c r="R15" s="254"/>
      <c r="S15" s="320">
        <f>SUM(S24,S42,S44)</f>
        <v>13.450020939126691</v>
      </c>
      <c r="T15" s="308">
        <f t="shared" si="3"/>
        <v>0.29951632495325331</v>
      </c>
    </row>
    <row r="16" spans="1:20">
      <c r="A16" s="142">
        <f t="shared" si="1"/>
        <v>7</v>
      </c>
      <c r="B16" s="3">
        <f>+B15</f>
        <v>400</v>
      </c>
      <c r="C16" s="3">
        <v>700</v>
      </c>
      <c r="D16" s="52">
        <f>ROUND((B$14*C16),0)</f>
        <v>280000</v>
      </c>
      <c r="F16" s="53">
        <f>+N$10+$B16*N$16+$D16*N$12</f>
        <v>25449.908799999997</v>
      </c>
      <c r="G16" s="53">
        <f>+P$10+$B16*P$16+$D16*P$12</f>
        <v>28911.643097740762</v>
      </c>
      <c r="H16" s="53">
        <f>+S$10+$B16*S$16+$D16*S$12</f>
        <v>30745.067477151752</v>
      </c>
      <c r="J16" s="24">
        <f t="shared" si="4"/>
        <v>0.13600000000000001</v>
      </c>
      <c r="K16" s="24">
        <f t="shared" si="4"/>
        <v>6.3E-2</v>
      </c>
      <c r="L16" s="24"/>
      <c r="M16" s="54" t="s">
        <v>56</v>
      </c>
      <c r="N16" s="271">
        <f>SUM(N25,N42,N44)</f>
        <v>9.9340969999999995</v>
      </c>
      <c r="O16" s="254"/>
      <c r="P16" s="320">
        <f>SUM(P25,P42,P44)</f>
        <v>12.880020758385257</v>
      </c>
      <c r="Q16" s="308">
        <f t="shared" si="2"/>
        <v>0.29654670760565932</v>
      </c>
      <c r="R16" s="254"/>
      <c r="S16" s="320">
        <f>SUM(S25,S42,S44)</f>
        <v>16.740020939126691</v>
      </c>
      <c r="T16" s="308">
        <f t="shared" si="3"/>
        <v>0.29968897202502293</v>
      </c>
    </row>
    <row r="17" spans="1:20">
      <c r="A17" s="142">
        <f t="shared" si="1"/>
        <v>8</v>
      </c>
      <c r="F17" s="53"/>
      <c r="G17" s="53"/>
      <c r="H17" s="53"/>
      <c r="J17" s="30"/>
      <c r="K17" s="30"/>
      <c r="L17" s="30"/>
      <c r="M17" s="51"/>
      <c r="N17" s="271"/>
      <c r="O17" s="254"/>
      <c r="P17" s="320"/>
      <c r="Q17" s="308"/>
      <c r="R17" s="254"/>
      <c r="S17" s="320"/>
      <c r="T17" s="308"/>
    </row>
    <row r="18" spans="1:20">
      <c r="A18" s="142">
        <f t="shared" si="1"/>
        <v>9</v>
      </c>
      <c r="B18" s="3">
        <f>+B16+100</f>
        <v>500</v>
      </c>
      <c r="C18" s="3">
        <v>300</v>
      </c>
      <c r="D18" s="52">
        <f>ROUND((B$18*C18),0)</f>
        <v>150000</v>
      </c>
      <c r="F18" s="53">
        <f>+N$10+$B18*N$16+$D18*N$12</f>
        <v>16638.458500000001</v>
      </c>
      <c r="G18" s="53">
        <f>+P$10+$B18*P$16+$D18*P$12</f>
        <v>19384.529733328338</v>
      </c>
      <c r="H18" s="53">
        <f>+S$10+$B18*S$16+$D18*S$12</f>
        <v>21534.42534536749</v>
      </c>
      <c r="J18" s="24">
        <f t="shared" ref="J18:K20" si="5">ROUND((+G18-F18)/F18,3)</f>
        <v>0.16500000000000001</v>
      </c>
      <c r="K18" s="24">
        <f t="shared" si="5"/>
        <v>0.111</v>
      </c>
      <c r="L18" s="24"/>
      <c r="M18" s="51" t="s">
        <v>46</v>
      </c>
      <c r="N18" s="271">
        <f>SUM(N26)</f>
        <v>1.1199999999999999E-3</v>
      </c>
      <c r="O18" s="254"/>
      <c r="P18" s="320">
        <f>SUM(P26)</f>
        <v>1.4599999999999999E-3</v>
      </c>
      <c r="Q18" s="308">
        <f t="shared" si="2"/>
        <v>0.3035714285714286</v>
      </c>
      <c r="R18" s="254"/>
      <c r="S18" s="320">
        <f>SUM(S26)</f>
        <v>1.89E-3</v>
      </c>
      <c r="T18" s="308">
        <f t="shared" si="3"/>
        <v>0.29452054794520555</v>
      </c>
    </row>
    <row r="19" spans="1:20">
      <c r="A19" s="142">
        <f t="shared" si="1"/>
        <v>10</v>
      </c>
      <c r="B19" s="3">
        <f>+B18</f>
        <v>500</v>
      </c>
      <c r="C19" s="3">
        <v>500</v>
      </c>
      <c r="D19" s="52">
        <f>ROUND((B$18*C19),0)</f>
        <v>250000</v>
      </c>
      <c r="F19" s="53">
        <f>+N$10+$B19*N$16+$D19*N$12</f>
        <v>24180.658499999998</v>
      </c>
      <c r="G19" s="53">
        <f>+P$10+$B19*P$16+$D19*P$12</f>
        <v>27703.849302752144</v>
      </c>
      <c r="H19" s="53">
        <f>+S$10+$B19*S$16+$D19*S$12</f>
        <v>29907.228595903591</v>
      </c>
      <c r="J19" s="24">
        <f t="shared" si="5"/>
        <v>0.14599999999999999</v>
      </c>
      <c r="K19" s="24">
        <f t="shared" si="5"/>
        <v>0.08</v>
      </c>
      <c r="L19" s="24"/>
      <c r="M19" s="226" t="s">
        <v>12</v>
      </c>
      <c r="N19" s="271"/>
      <c r="O19" s="254"/>
      <c r="P19" s="320"/>
      <c r="Q19" s="308"/>
      <c r="R19" s="254"/>
      <c r="S19" s="320"/>
      <c r="T19" s="308"/>
    </row>
    <row r="20" spans="1:20">
      <c r="A20" s="142">
        <f t="shared" si="1"/>
        <v>11</v>
      </c>
      <c r="B20" s="3">
        <f>+B19</f>
        <v>500</v>
      </c>
      <c r="C20" s="3">
        <v>700</v>
      </c>
      <c r="D20" s="52">
        <f>ROUND((B$18*C20),0)</f>
        <v>350000</v>
      </c>
      <c r="F20" s="53">
        <f>+N$10+$B20*N$16+$D20*N$12</f>
        <v>31722.858500000002</v>
      </c>
      <c r="G20" s="53">
        <f>+P$10+$B20*P$16+$D20*P$12</f>
        <v>36023.168872175956</v>
      </c>
      <c r="H20" s="53">
        <f>+S$10+$B20*S$16+$D20*S$12</f>
        <v>38280.031846439684</v>
      </c>
      <c r="J20" s="24">
        <f t="shared" si="5"/>
        <v>0.13600000000000001</v>
      </c>
      <c r="K20" s="24">
        <f t="shared" si="5"/>
        <v>6.3E-2</v>
      </c>
      <c r="L20" s="24"/>
      <c r="M20" s="51"/>
      <c r="N20" s="274"/>
      <c r="O20" s="254"/>
      <c r="P20" s="325"/>
      <c r="Q20" s="308"/>
      <c r="R20" s="254"/>
      <c r="S20" s="325"/>
      <c r="T20" s="308"/>
    </row>
    <row r="21" spans="1:20">
      <c r="A21" s="142">
        <f t="shared" si="1"/>
        <v>12</v>
      </c>
      <c r="F21" s="53"/>
      <c r="G21" s="53"/>
      <c r="H21" s="53"/>
      <c r="J21" s="30"/>
      <c r="K21" s="30"/>
      <c r="L21" s="30"/>
      <c r="M21" s="51" t="str">
        <f>+M10</f>
        <v>Basic Charge</v>
      </c>
      <c r="N21" s="318">
        <v>358.11</v>
      </c>
      <c r="O21" s="254"/>
      <c r="P21" s="317">
        <v>465.54</v>
      </c>
      <c r="Q21" s="308">
        <f t="shared" si="2"/>
        <v>0.29999162268576696</v>
      </c>
      <c r="R21" s="254"/>
      <c r="S21" s="317">
        <v>605.21</v>
      </c>
      <c r="T21" s="308">
        <f t="shared" si="3"/>
        <v>0.30001718434506169</v>
      </c>
    </row>
    <row r="22" spans="1:20">
      <c r="A22" s="142">
        <f t="shared" si="1"/>
        <v>13</v>
      </c>
      <c r="B22" s="3">
        <f>+B20+100</f>
        <v>600</v>
      </c>
      <c r="C22" s="3">
        <v>300</v>
      </c>
      <c r="D22" s="52">
        <f>ROUND((B$22*C22),0)</f>
        <v>180000</v>
      </c>
      <c r="F22" s="53">
        <f>+N$10+$B22*N$16+$D22*N$12</f>
        <v>19894.528200000001</v>
      </c>
      <c r="G22" s="53">
        <f>+P$10+$B22*P$16+$D22*P$12</f>
        <v>23168.327679994007</v>
      </c>
      <c r="H22" s="53">
        <f>+S$10+$B22*S$16+$D22*S$12</f>
        <v>25720.26841444099</v>
      </c>
      <c r="J22" s="24">
        <f t="shared" ref="J22:K24" si="6">ROUND((+G22-F22)/F22,3)</f>
        <v>0.16500000000000001</v>
      </c>
      <c r="K22" s="24">
        <f t="shared" si="6"/>
        <v>0.11</v>
      </c>
      <c r="L22" s="24"/>
      <c r="M22" s="51" t="str">
        <f>+M12</f>
        <v>kWh - All</v>
      </c>
      <c r="N22" s="352">
        <v>5.5718999999999998E-2</v>
      </c>
      <c r="O22" s="254"/>
      <c r="P22" s="354">
        <v>7.0125999999999994E-2</v>
      </c>
      <c r="Q22" s="308">
        <f t="shared" si="2"/>
        <v>0.25856530088479684</v>
      </c>
      <c r="R22" s="254"/>
      <c r="S22" s="354">
        <v>7.0437E-2</v>
      </c>
      <c r="T22" s="308">
        <f t="shared" si="3"/>
        <v>4.4348743689930376E-3</v>
      </c>
    </row>
    <row r="23" spans="1:20">
      <c r="A23" s="142">
        <f t="shared" si="1"/>
        <v>14</v>
      </c>
      <c r="B23" s="3">
        <f>+B22</f>
        <v>600</v>
      </c>
      <c r="C23" s="3">
        <v>500</v>
      </c>
      <c r="D23" s="52">
        <f>ROUND((B$22*C23),0)</f>
        <v>300000</v>
      </c>
      <c r="F23" s="53">
        <f>+N$10+$B23*N$16+$D23*N$12</f>
        <v>28945.1682</v>
      </c>
      <c r="G23" s="53">
        <f>+P$10+$B23*P$16+$D23*P$12</f>
        <v>33151.511163302574</v>
      </c>
      <c r="H23" s="53">
        <f>+S$10+$B23*S$16+$D23*S$12</f>
        <v>35767.632315084309</v>
      </c>
      <c r="J23" s="24">
        <f t="shared" si="6"/>
        <v>0.14499999999999999</v>
      </c>
      <c r="K23" s="24">
        <f t="shared" si="6"/>
        <v>7.9000000000000001E-2</v>
      </c>
      <c r="L23" s="24"/>
      <c r="M23" s="51" t="str">
        <f>+M14</f>
        <v>Winter kW</v>
      </c>
      <c r="N23" s="318">
        <v>11.94</v>
      </c>
      <c r="O23" s="254"/>
      <c r="P23" s="317">
        <v>15.52</v>
      </c>
      <c r="Q23" s="308">
        <f t="shared" si="2"/>
        <v>0.29983249581239535</v>
      </c>
      <c r="R23" s="254"/>
      <c r="S23" s="317">
        <v>20.18</v>
      </c>
      <c r="T23" s="308">
        <f t="shared" si="3"/>
        <v>0.30025773195876293</v>
      </c>
    </row>
    <row r="24" spans="1:20">
      <c r="A24" s="142">
        <f t="shared" si="1"/>
        <v>15</v>
      </c>
      <c r="B24" s="3">
        <f>+B23</f>
        <v>600</v>
      </c>
      <c r="C24" s="3">
        <v>700</v>
      </c>
      <c r="D24" s="52">
        <f>ROUND((B$22*C24),0)</f>
        <v>420000</v>
      </c>
      <c r="F24" s="53">
        <f>+N$10+$B24*N$16+$D24*N$12</f>
        <v>37995.808199999999</v>
      </c>
      <c r="G24" s="53">
        <f>+P$10+$B24*P$16+$D24*P$12</f>
        <v>43134.69464661114</v>
      </c>
      <c r="H24" s="53">
        <f>+S$10+$B24*S$16+$D24*S$12</f>
        <v>45814.996215727631</v>
      </c>
      <c r="J24" s="24">
        <f t="shared" si="6"/>
        <v>0.13500000000000001</v>
      </c>
      <c r="K24" s="24">
        <f t="shared" si="6"/>
        <v>6.2E-2</v>
      </c>
      <c r="L24" s="24"/>
      <c r="M24" s="51" t="str">
        <f t="shared" ref="M24:M25" si="7">+M15</f>
        <v>Summer kW</v>
      </c>
      <c r="N24" s="318">
        <v>7.96</v>
      </c>
      <c r="O24" s="254"/>
      <c r="P24" s="317">
        <v>10.35</v>
      </c>
      <c r="Q24" s="308">
        <f t="shared" si="2"/>
        <v>0.30025125628140698</v>
      </c>
      <c r="R24" s="254"/>
      <c r="S24" s="317">
        <v>13.45</v>
      </c>
      <c r="T24" s="308">
        <f t="shared" si="3"/>
        <v>0.29951690821256038</v>
      </c>
    </row>
    <row r="25" spans="1:20">
      <c r="A25" s="142">
        <f t="shared" si="1"/>
        <v>16</v>
      </c>
      <c r="F25" s="53"/>
      <c r="G25" s="53"/>
      <c r="H25" s="53"/>
      <c r="J25" s="30"/>
      <c r="K25" s="30"/>
      <c r="L25" s="30"/>
      <c r="M25" s="51" t="str">
        <f t="shared" si="7"/>
        <v>Average kW</v>
      </c>
      <c r="N25" s="318">
        <v>9.93</v>
      </c>
      <c r="O25" s="254"/>
      <c r="P25" s="317">
        <v>12.88</v>
      </c>
      <c r="Q25" s="308">
        <f t="shared" si="2"/>
        <v>0.29707955689828813</v>
      </c>
      <c r="R25" s="254"/>
      <c r="S25" s="317">
        <v>16.739999999999998</v>
      </c>
      <c r="T25" s="308">
        <f t="shared" si="3"/>
        <v>0.29968944099378864</v>
      </c>
    </row>
    <row r="26" spans="1:20">
      <c r="A26" s="142">
        <f t="shared" si="1"/>
        <v>17</v>
      </c>
      <c r="B26" s="3">
        <f>+B24+100</f>
        <v>700</v>
      </c>
      <c r="C26" s="3">
        <v>300</v>
      </c>
      <c r="D26" s="52">
        <f>ROUND((B$26*C26),0)</f>
        <v>210000</v>
      </c>
      <c r="F26" s="53">
        <f>+N$10+$B26*N$16+$D26*N$12</f>
        <v>23150.597900000001</v>
      </c>
      <c r="G26" s="53">
        <f>+P$10+$B26*P$16+$D26*P$12</f>
        <v>26952.125626659676</v>
      </c>
      <c r="H26" s="53">
        <f>+S$10+$B26*S$16+$D26*S$12</f>
        <v>29906.111483514491</v>
      </c>
      <c r="J26" s="24">
        <f t="shared" ref="J26:K28" si="8">ROUND((+G26-F26)/F26,3)</f>
        <v>0.16400000000000001</v>
      </c>
      <c r="K26" s="24">
        <f t="shared" si="8"/>
        <v>0.11</v>
      </c>
      <c r="L26" s="24"/>
      <c r="M26" s="51" t="str">
        <f>+M18</f>
        <v>kVarh</v>
      </c>
      <c r="N26" s="353">
        <v>1.1199999999999999E-3</v>
      </c>
      <c r="O26" s="254"/>
      <c r="P26" s="357">
        <v>1.4599999999999999E-3</v>
      </c>
      <c r="Q26" s="308">
        <f t="shared" si="2"/>
        <v>0.3035714285714286</v>
      </c>
      <c r="R26" s="254"/>
      <c r="S26" s="357">
        <v>1.89E-3</v>
      </c>
      <c r="T26" s="308">
        <f t="shared" si="3"/>
        <v>0.29452054794520555</v>
      </c>
    </row>
    <row r="27" spans="1:20">
      <c r="A27" s="142">
        <f t="shared" si="1"/>
        <v>18</v>
      </c>
      <c r="B27" s="3">
        <f>+B26</f>
        <v>700</v>
      </c>
      <c r="C27" s="3">
        <v>500</v>
      </c>
      <c r="D27" s="52">
        <f>ROUND((B$26*C27),0)</f>
        <v>350000</v>
      </c>
      <c r="F27" s="53">
        <f>+N$10+$B27*N$16+$D27*N$12</f>
        <v>33709.677900000002</v>
      </c>
      <c r="G27" s="53">
        <f>+P$10+$B27*P$16+$D27*P$12</f>
        <v>38599.173023853007</v>
      </c>
      <c r="H27" s="53">
        <f>+S$10+$B27*S$16+$D27*S$12</f>
        <v>41628.036034265024</v>
      </c>
      <c r="J27" s="24">
        <f t="shared" si="8"/>
        <v>0.14499999999999999</v>
      </c>
      <c r="K27" s="24">
        <f t="shared" si="8"/>
        <v>7.8E-2</v>
      </c>
      <c r="L27" s="24"/>
      <c r="M27" s="322"/>
      <c r="N27" s="274"/>
      <c r="O27" s="254"/>
      <c r="P27" s="325"/>
      <c r="Q27" s="308"/>
      <c r="R27" s="254"/>
      <c r="S27" s="325"/>
      <c r="T27" s="308"/>
    </row>
    <row r="28" spans="1:20">
      <c r="A28" s="142">
        <f t="shared" si="1"/>
        <v>19</v>
      </c>
      <c r="B28" s="3">
        <f>+B27</f>
        <v>700</v>
      </c>
      <c r="C28" s="3">
        <v>700</v>
      </c>
      <c r="D28" s="52">
        <f>ROUND((B$26*C28),0)</f>
        <v>490000</v>
      </c>
      <c r="F28" s="53">
        <f>+N$10+$B28*N$16+$D28*N$12</f>
        <v>44268.757899999997</v>
      </c>
      <c r="G28" s="53">
        <f>+P$10+$B28*P$16+$D28*P$12</f>
        <v>50246.220421046331</v>
      </c>
      <c r="H28" s="53">
        <f>+S$10+$B28*S$16+$D28*S$12</f>
        <v>53349.960585015564</v>
      </c>
      <c r="J28" s="24">
        <f t="shared" si="8"/>
        <v>0.13500000000000001</v>
      </c>
      <c r="K28" s="24">
        <f t="shared" si="8"/>
        <v>6.2E-2</v>
      </c>
      <c r="L28" s="24"/>
      <c r="M28" s="322"/>
      <c r="N28" s="274"/>
      <c r="O28" s="254"/>
      <c r="P28" s="325"/>
      <c r="Q28" s="308"/>
      <c r="R28" s="254"/>
      <c r="S28" s="325"/>
      <c r="T28" s="308"/>
    </row>
    <row r="29" spans="1:20">
      <c r="A29" s="142">
        <f t="shared" si="1"/>
        <v>20</v>
      </c>
      <c r="F29" s="53"/>
      <c r="G29" s="53"/>
      <c r="H29" s="53"/>
      <c r="J29" s="30"/>
      <c r="K29" s="30"/>
      <c r="L29" s="30"/>
      <c r="M29" s="233"/>
      <c r="N29" s="345"/>
      <c r="P29" s="233"/>
      <c r="Q29" s="235"/>
      <c r="S29" s="233"/>
      <c r="T29" s="235"/>
    </row>
    <row r="30" spans="1:20">
      <c r="A30" s="142">
        <f t="shared" si="1"/>
        <v>21</v>
      </c>
      <c r="B30" s="3">
        <f>+B28+100</f>
        <v>800</v>
      </c>
      <c r="C30" s="3">
        <v>300</v>
      </c>
      <c r="D30" s="52">
        <f>ROUND((B$30*C30),0)</f>
        <v>240000</v>
      </c>
      <c r="F30" s="53">
        <f>+N$10+$B30*N$16+$D30*N$12</f>
        <v>26406.667600000001</v>
      </c>
      <c r="G30" s="53">
        <f>+P$10+$B30*P$16+$D30*P$12</f>
        <v>30735.923573325344</v>
      </c>
      <c r="H30" s="53">
        <f>+S$10+$B30*S$16+$D30*S$12</f>
        <v>34091.954552587995</v>
      </c>
      <c r="J30" s="24">
        <f t="shared" ref="J30:K32" si="9">ROUND((+G30-F30)/F30,3)</f>
        <v>0.16400000000000001</v>
      </c>
      <c r="K30" s="24">
        <f t="shared" si="9"/>
        <v>0.109</v>
      </c>
      <c r="L30" s="24"/>
      <c r="M30" s="312" t="str">
        <f>'Exh CTM-8 (Schedule 24 Impacts)'!U23</f>
        <v xml:space="preserve">Schedule 95 Power Cost
</v>
      </c>
      <c r="N30" s="251">
        <f>'Sch 95'!$E$22</f>
        <v>6.8739999999999999E-3</v>
      </c>
      <c r="O30" s="258"/>
      <c r="P30" s="249">
        <f>'Sch 95'!$I$22</f>
        <v>0</v>
      </c>
      <c r="Q30" s="311"/>
      <c r="R30" s="258"/>
      <c r="S30" s="249">
        <f>'Sch 95'!$M$22</f>
        <v>0</v>
      </c>
      <c r="T30" s="308"/>
    </row>
    <row r="31" spans="1:20">
      <c r="A31" s="142">
        <f t="shared" ref="A31:A57" si="10">A30+1</f>
        <v>22</v>
      </c>
      <c r="B31" s="3">
        <f>+B30</f>
        <v>800</v>
      </c>
      <c r="C31" s="3">
        <v>500</v>
      </c>
      <c r="D31" s="52">
        <f>ROUND((B$30*C31),0)</f>
        <v>400000</v>
      </c>
      <c r="F31" s="53">
        <f>+N$10+$B31*N$16+$D31*N$12</f>
        <v>38474.187600000005</v>
      </c>
      <c r="G31" s="53">
        <f>+P$10+$B31*P$16+$D31*P$12</f>
        <v>44046.834884403434</v>
      </c>
      <c r="H31" s="53">
        <f>+S$10+$B31*S$16+$D31*S$12</f>
        <v>47488.439753445753</v>
      </c>
      <c r="J31" s="24">
        <f t="shared" si="9"/>
        <v>0.14499999999999999</v>
      </c>
      <c r="K31" s="24">
        <f t="shared" si="9"/>
        <v>7.8E-2</v>
      </c>
      <c r="L31" s="24"/>
      <c r="M31" s="307" t="str">
        <f>'Exh CTM-8 (Schedule 24 Impacts)'!U24</f>
        <v>Schedule 95 PCA Imbalance</v>
      </c>
      <c r="N31" s="240">
        <f>'Sch 95 Imbalance'!$E$22</f>
        <v>3.176E-3</v>
      </c>
      <c r="O31" s="254"/>
      <c r="P31" s="238">
        <f>'Sch 95 Imbalance'!$I$22</f>
        <v>3.176E-3</v>
      </c>
      <c r="Q31" s="308"/>
      <c r="R31" s="254"/>
      <c r="S31" s="238">
        <f>'Sch 95 Imbalance'!$M$22</f>
        <v>3.176E-3</v>
      </c>
      <c r="T31" s="308"/>
    </row>
    <row r="32" spans="1:20">
      <c r="A32" s="142">
        <f t="shared" si="10"/>
        <v>23</v>
      </c>
      <c r="B32" s="3">
        <f>+B31</f>
        <v>800</v>
      </c>
      <c r="C32" s="3">
        <v>700</v>
      </c>
      <c r="D32" s="52">
        <f>ROUND((B$30*C32),0)</f>
        <v>560000</v>
      </c>
      <c r="F32" s="53">
        <f>+N$10+$B32*N$16+$D32*N$12</f>
        <v>50541.707600000002</v>
      </c>
      <c r="G32" s="53">
        <f>+P$10+$B32*P$16+$D32*P$12</f>
        <v>57357.746195481523</v>
      </c>
      <c r="H32" s="53">
        <f>+S$10+$B32*S$16+$D32*S$12</f>
        <v>60884.924954303511</v>
      </c>
      <c r="J32" s="24">
        <f t="shared" si="9"/>
        <v>0.13500000000000001</v>
      </c>
      <c r="K32" s="24">
        <f t="shared" si="9"/>
        <v>6.0999999999999999E-2</v>
      </c>
      <c r="L32" s="24"/>
      <c r="M32" s="307" t="str">
        <f>'Exh CTM-8 (Schedule 24 Impacts)'!U25</f>
        <v>Schedule 95A Federal Incentive Credit</v>
      </c>
      <c r="N32" s="240">
        <f>'Sch 95a'!$E$22</f>
        <v>0</v>
      </c>
      <c r="O32" s="254"/>
      <c r="P32" s="238">
        <f>'Sch 95a'!$I$22</f>
        <v>0</v>
      </c>
      <c r="Q32" s="308"/>
      <c r="R32" s="254"/>
      <c r="S32" s="238">
        <f>'Sch 95a'!$M$22</f>
        <v>0</v>
      </c>
      <c r="T32" s="308"/>
    </row>
    <row r="33" spans="1:20">
      <c r="A33" s="142">
        <f t="shared" si="10"/>
        <v>24</v>
      </c>
      <c r="F33" s="53"/>
      <c r="G33" s="53"/>
      <c r="H33" s="53"/>
      <c r="J33" s="30"/>
      <c r="K33" s="30"/>
      <c r="L33" s="30"/>
      <c r="M33" s="307" t="str">
        <f>'Exh CTM-8 (Schedule 24 Impacts)'!U26</f>
        <v>Schedule 120 Conservation</v>
      </c>
      <c r="N33" s="240">
        <f>'Sch 120'!$E$22</f>
        <v>3.8379999999999998E-3</v>
      </c>
      <c r="P33" s="238">
        <f>'Sch 120'!$I$22</f>
        <v>3.8379999999999998E-3</v>
      </c>
      <c r="Q33" s="235"/>
      <c r="S33" s="238">
        <f>'Sch 120'!$M$22</f>
        <v>3.8379999999999998E-3</v>
      </c>
      <c r="T33" s="235"/>
    </row>
    <row r="34" spans="1:20">
      <c r="A34" s="142">
        <f t="shared" si="10"/>
        <v>25</v>
      </c>
      <c r="B34" s="3">
        <f>+B32+200</f>
        <v>1000</v>
      </c>
      <c r="C34" s="3">
        <v>300</v>
      </c>
      <c r="D34" s="52">
        <f>ROUND((B$34*C34),0)</f>
        <v>300000</v>
      </c>
      <c r="F34" s="53">
        <f>+N$10+$B34*N$16+$D34*N$12</f>
        <v>32918.807000000001</v>
      </c>
      <c r="G34" s="53">
        <f>+P$10+$B34*P$16+$D34*P$12</f>
        <v>38303.519466656682</v>
      </c>
      <c r="H34" s="53">
        <f>+S$10+$B34*S$16+$D34*S$12</f>
        <v>42463.640690734988</v>
      </c>
      <c r="J34" s="24">
        <f t="shared" ref="J34:K36" si="11">ROUND((+G34-F34)/F34,3)</f>
        <v>0.16400000000000001</v>
      </c>
      <c r="K34" s="24">
        <f t="shared" si="11"/>
        <v>0.109</v>
      </c>
      <c r="L34" s="24"/>
      <c r="M34" s="307" t="str">
        <f>'Exh CTM-8 (Schedule 24 Impacts)'!U27</f>
        <v>Schedule 129 Low Income</v>
      </c>
      <c r="N34" s="240">
        <f>'Sch 129'!$E$22</f>
        <v>1.101E-3</v>
      </c>
      <c r="O34" s="254"/>
      <c r="P34" s="238">
        <f>'Sch 129'!$I$22</f>
        <v>1.101E-3</v>
      </c>
      <c r="Q34" s="308"/>
      <c r="R34" s="254"/>
      <c r="S34" s="238">
        <f>'Sch 129'!$M$22</f>
        <v>1.101E-3</v>
      </c>
      <c r="T34" s="308"/>
    </row>
    <row r="35" spans="1:20">
      <c r="A35" s="142">
        <f t="shared" si="10"/>
        <v>26</v>
      </c>
      <c r="B35" s="3">
        <f>+B34</f>
        <v>1000</v>
      </c>
      <c r="C35" s="3">
        <v>500</v>
      </c>
      <c r="D35" s="52">
        <f>ROUND((B$34*C35),0)</f>
        <v>500000</v>
      </c>
      <c r="F35" s="53">
        <f>+N$10+$B35*N$16+$D35*N$12</f>
        <v>48003.207000000002</v>
      </c>
      <c r="G35" s="53">
        <f>+P$10+$B35*P$16+$D35*P$12</f>
        <v>54942.158605504286</v>
      </c>
      <c r="H35" s="53">
        <f>+S$10+$B35*S$16+$D35*S$12</f>
        <v>59209.247191807182</v>
      </c>
      <c r="J35" s="24">
        <f t="shared" si="11"/>
        <v>0.14499999999999999</v>
      </c>
      <c r="K35" s="24">
        <f t="shared" si="11"/>
        <v>7.8E-2</v>
      </c>
      <c r="L35" s="24"/>
      <c r="M35" s="307" t="str">
        <f>'Exh CTM-8 (Schedule 24 Impacts)'!U28</f>
        <v>Schedule 129D Bill Discount</v>
      </c>
      <c r="N35" s="240">
        <f>'Sch 129D'!$E$22</f>
        <v>4.6799999999999999E-4</v>
      </c>
      <c r="O35" s="254"/>
      <c r="P35" s="238">
        <f>'Sch 129D'!$I$22</f>
        <v>4.6799999999999999E-4</v>
      </c>
      <c r="Q35" s="308"/>
      <c r="R35" s="254"/>
      <c r="S35" s="238">
        <f>'Sch 129D'!$M$22</f>
        <v>4.6799999999999999E-4</v>
      </c>
      <c r="T35" s="308"/>
    </row>
    <row r="36" spans="1:20">
      <c r="A36" s="142">
        <f t="shared" si="10"/>
        <v>27</v>
      </c>
      <c r="B36" s="3">
        <f>+B35</f>
        <v>1000</v>
      </c>
      <c r="C36" s="3">
        <v>700</v>
      </c>
      <c r="D36" s="52">
        <f>ROUND((B$34*C36),0)</f>
        <v>700000</v>
      </c>
      <c r="F36" s="53">
        <f>+N$10+$B36*N$16+$D36*N$12</f>
        <v>63087.607000000004</v>
      </c>
      <c r="G36" s="53">
        <f>+P$10+$B36*P$16+$D36*P$12</f>
        <v>71580.797744351905</v>
      </c>
      <c r="H36" s="53">
        <f>+S$10+$B36*S$16+$D36*S$12</f>
        <v>75954.853692879376</v>
      </c>
      <c r="J36" s="24">
        <f t="shared" si="11"/>
        <v>0.13500000000000001</v>
      </c>
      <c r="K36" s="24">
        <f t="shared" si="11"/>
        <v>6.0999999999999999E-2</v>
      </c>
      <c r="L36" s="24"/>
      <c r="M36" s="312" t="str">
        <f>'Exh CTM-8 (Schedule 24 Impacts)'!U29</f>
        <v>Schedule 137 REC</v>
      </c>
      <c r="N36" s="251">
        <f>'Sch 137'!$E$22</f>
        <v>6.0000000000000002E-6</v>
      </c>
      <c r="O36" s="258"/>
      <c r="P36" s="249">
        <f>'Sch 137'!$I$22</f>
        <v>0</v>
      </c>
      <c r="Q36" s="311"/>
      <c r="R36" s="258"/>
      <c r="S36" s="249">
        <f>'Sch 137'!$M$22</f>
        <v>0</v>
      </c>
      <c r="T36" s="308"/>
    </row>
    <row r="37" spans="1:20">
      <c r="A37" s="142">
        <f t="shared" si="10"/>
        <v>28</v>
      </c>
      <c r="B37" s="58"/>
      <c r="C37" s="58"/>
      <c r="D37" s="58"/>
      <c r="E37" s="58"/>
      <c r="F37" s="58"/>
      <c r="G37" s="58"/>
      <c r="H37" s="58"/>
      <c r="I37" s="58"/>
      <c r="J37" s="58"/>
      <c r="M37" s="307" t="str">
        <f>'Exh CTM-8 (Schedule 24 Impacts)'!U30</f>
        <v>Schedule 140 Property Tax</v>
      </c>
      <c r="N37" s="240">
        <f>'Sch 140'!$E$22</f>
        <v>1.7260000000000001E-3</v>
      </c>
      <c r="O37" s="254"/>
      <c r="P37" s="238">
        <f>'Sch 140'!$I$22</f>
        <v>1.7260000000000001E-3</v>
      </c>
      <c r="Q37" s="308"/>
      <c r="R37" s="254"/>
      <c r="S37" s="238">
        <f>'Sch 140'!$M$22</f>
        <v>1.7260000000000001E-3</v>
      </c>
      <c r="T37" s="308"/>
    </row>
    <row r="38" spans="1:20">
      <c r="A38" s="142">
        <f t="shared" si="10"/>
        <v>29</v>
      </c>
      <c r="M38" s="307" t="str">
        <f>'Exh CTM-8 (Schedule 24 Impacts)'!U31</f>
        <v>Schedule 141 ERF</v>
      </c>
      <c r="N38" s="240">
        <f>'Sch 141'!$E$22</f>
        <v>0</v>
      </c>
      <c r="O38" s="254"/>
      <c r="P38" s="238">
        <f>'Sch 141'!$I$22</f>
        <v>0</v>
      </c>
      <c r="Q38" s="308"/>
      <c r="R38" s="254"/>
      <c r="S38" s="238">
        <f>'Sch 141'!$M$22</f>
        <v>0</v>
      </c>
      <c r="T38" s="308"/>
    </row>
    <row r="39" spans="1:20">
      <c r="A39" s="142">
        <f t="shared" si="10"/>
        <v>30</v>
      </c>
      <c r="M39" s="307" t="str">
        <f>'Exh CTM-8 (Schedule 24 Impacts)'!U32</f>
        <v>Schedule 141A Energy Charge Credit</v>
      </c>
      <c r="N39" s="240">
        <f>'Sch 141A'!$F$22</f>
        <v>1.518E-3</v>
      </c>
      <c r="P39" s="238">
        <f>'Sch 141A'!$J$22</f>
        <v>1.518E-3</v>
      </c>
      <c r="Q39" s="235"/>
      <c r="S39" s="238">
        <f>'Sch 141A'!$N$22</f>
        <v>1.518E-3</v>
      </c>
      <c r="T39" s="235"/>
    </row>
    <row r="40" spans="1:20">
      <c r="A40" s="142">
        <f t="shared" si="10"/>
        <v>31</v>
      </c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312" t="str">
        <f>'Exh CTM-8 (Schedule 24 Impacts)'!U33</f>
        <v>Schedule 141CEI Clean Energy Implementation Plan</v>
      </c>
      <c r="N40" s="251">
        <f>'Sch 141CEI'!$F$22</f>
        <v>5.9100000000000005E-4</v>
      </c>
      <c r="O40" s="258"/>
      <c r="P40" s="249">
        <f>'Sch 141CEI'!$L$22</f>
        <v>0</v>
      </c>
      <c r="Q40" s="311"/>
      <c r="R40" s="258"/>
      <c r="S40" s="249">
        <f>'Sch 141CEI'!$R$22</f>
        <v>0</v>
      </c>
      <c r="T40" s="308"/>
    </row>
    <row r="41" spans="1:20">
      <c r="A41" s="142">
        <f t="shared" si="10"/>
        <v>32</v>
      </c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312" t="str">
        <f>'Exh CTM-8 (Schedule 24 Impacts)'!U34</f>
        <v>Schedule 141CGR Clean Generation Resources</v>
      </c>
      <c r="N41" s="251">
        <f>'Sch 141CGR'!$F$22</f>
        <v>0</v>
      </c>
      <c r="O41" s="258"/>
      <c r="P41" s="249">
        <f>'Sch 141CGR'!$L$22</f>
        <v>8.3519569423806607E-4</v>
      </c>
      <c r="Q41" s="311"/>
      <c r="R41" s="258"/>
      <c r="S41" s="249">
        <f>'Sch 141CGR'!$R$22</f>
        <v>1.0590325053609745E-3</v>
      </c>
      <c r="T41" s="308"/>
    </row>
    <row r="42" spans="1:20">
      <c r="A42" s="142">
        <f t="shared" si="10"/>
        <v>33</v>
      </c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312" t="str">
        <f>'Exh CTM-8 (Schedule 24 Impacts)'!U35</f>
        <v>Schedule 141DCARB Decarbonization</v>
      </c>
      <c r="N42" s="251">
        <f>'Sch 141DCARB'!$E$22</f>
        <v>0</v>
      </c>
      <c r="O42" s="258"/>
      <c r="P42" s="249">
        <f>'Sch 141DCARB'!$I$22</f>
        <v>2.0758385255745017E-5</v>
      </c>
      <c r="Q42" s="311"/>
      <c r="R42" s="258"/>
      <c r="S42" s="249">
        <f>'Sch 141DCARB'!$M$22</f>
        <v>2.0939126691512533E-5</v>
      </c>
      <c r="T42" s="308"/>
    </row>
    <row r="43" spans="1:20">
      <c r="A43" s="142">
        <f t="shared" si="10"/>
        <v>34</v>
      </c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307" t="str">
        <f>'Exh CTM-8 (Schedule 24 Impacts)'!U36</f>
        <v>Schedule 141COL Colstrip Adjustment</v>
      </c>
      <c r="N43" s="240">
        <f>'Sch 141COL'!$F$22</f>
        <v>4.0499999999999998E-4</v>
      </c>
      <c r="P43" s="238">
        <f>'Sch 141COL'!$L$22</f>
        <v>4.0499999999999998E-4</v>
      </c>
      <c r="Q43" s="235"/>
      <c r="S43" s="238">
        <f>'Sch 141COL'!$R$22</f>
        <v>4.0499999999999998E-4</v>
      </c>
      <c r="T43" s="235"/>
    </row>
    <row r="44" spans="1:20">
      <c r="A44" s="142">
        <f t="shared" si="10"/>
        <v>35</v>
      </c>
      <c r="M44" s="312" t="str">
        <f>'Exh CTM-8 (Schedule 24 Impacts)'!U37</f>
        <v>Schedule 141N Rates Not Subject to Refund</v>
      </c>
      <c r="N44" s="251">
        <f>'Sch 141N'!$G$22</f>
        <v>4.0969999999999999E-3</v>
      </c>
      <c r="O44" s="258"/>
      <c r="P44" s="249">
        <f>'Sch 141N'!$M$22</f>
        <v>0</v>
      </c>
      <c r="Q44" s="311"/>
      <c r="R44" s="258"/>
      <c r="S44" s="249">
        <f>'Sch 141N'!$S$22</f>
        <v>0</v>
      </c>
      <c r="T44" s="308"/>
    </row>
    <row r="45" spans="1:20">
      <c r="A45" s="142">
        <f t="shared" si="10"/>
        <v>36</v>
      </c>
      <c r="M45" s="312" t="str">
        <f>'Exh CTM-8 (Schedule 24 Impacts)'!U38</f>
        <v>Schedule 141R Rates Subject to Refund</v>
      </c>
      <c r="N45" s="251">
        <f>'Sch 141R'!$G$22</f>
        <v>3.8939999999999999E-3</v>
      </c>
      <c r="O45" s="258"/>
      <c r="P45" s="249">
        <f>'Sch 141R'!$M$22</f>
        <v>0</v>
      </c>
      <c r="Q45" s="311"/>
      <c r="R45" s="258"/>
      <c r="S45" s="249">
        <f>'Sch 141R'!$S$22</f>
        <v>0</v>
      </c>
      <c r="T45" s="308"/>
    </row>
    <row r="46" spans="1:20">
      <c r="A46" s="142">
        <f t="shared" si="10"/>
        <v>37</v>
      </c>
      <c r="M46" s="307" t="str">
        <f>'Exh CTM-8 (Schedule 24 Impacts)'!U39</f>
        <v>Schedule 141 TEP</v>
      </c>
      <c r="N46" s="240">
        <f>'Sch 141TEP'!$E$22</f>
        <v>2.52E-4</v>
      </c>
      <c r="O46" s="254"/>
      <c r="P46" s="238">
        <f>'Sch 141TEP'!$I$22</f>
        <v>2.52E-4</v>
      </c>
      <c r="Q46" s="308"/>
      <c r="R46" s="254"/>
      <c r="S46" s="238">
        <f>'Sch 141TEP'!$M$22</f>
        <v>2.52E-4</v>
      </c>
      <c r="T46" s="308"/>
    </row>
    <row r="47" spans="1:20">
      <c r="A47" s="142">
        <f t="shared" si="10"/>
        <v>38</v>
      </c>
      <c r="M47" s="312" t="str">
        <f>'Exh CTM-8 (Schedule 24 Impacts)'!U40</f>
        <v>Schedule 141WFP Wildfire Prevention Cost Recovery</v>
      </c>
      <c r="N47" s="251">
        <f>'Sch 141WFP'!$F$22</f>
        <v>0</v>
      </c>
      <c r="P47" s="249">
        <f>'Sch 141WFP'!$L$22</f>
        <v>1.0666730428125801E-5</v>
      </c>
      <c r="Q47" s="235"/>
      <c r="S47" s="249">
        <f>'Sch 141WFP'!$R$22</f>
        <v>1.3433763485438018E-5</v>
      </c>
      <c r="T47" s="235"/>
    </row>
    <row r="48" spans="1:20">
      <c r="A48" s="142">
        <f t="shared" si="10"/>
        <v>39</v>
      </c>
      <c r="M48" s="307" t="str">
        <f>'Exh CTM-8 (Schedule 24 Impacts)'!U41</f>
        <v>Schedule 141X (Protected) EDIT</v>
      </c>
      <c r="N48" s="240">
        <f>'Sch 141X'!$E$22</f>
        <v>0</v>
      </c>
      <c r="O48" s="149"/>
      <c r="P48" s="238">
        <f>'Sch 141X'!$I$22</f>
        <v>0</v>
      </c>
      <c r="Q48" s="306"/>
      <c r="R48" s="149"/>
      <c r="S48" s="238">
        <f>'Sch 141X'!$M$22</f>
        <v>0</v>
      </c>
      <c r="T48" s="306"/>
    </row>
    <row r="49" spans="1:20">
      <c r="A49" s="142">
        <f t="shared" si="10"/>
        <v>40</v>
      </c>
      <c r="M49" s="307" t="str">
        <f>'Exh CTM-8 (Schedule 24 Impacts)'!U42</f>
        <v>Schedule 141Z (Unprotected) EDIT</v>
      </c>
      <c r="N49" s="240">
        <f>'Sch 141Z'!$E$22</f>
        <v>0</v>
      </c>
      <c r="O49" s="149"/>
      <c r="P49" s="238">
        <f>'Sch 141Z'!$I$22</f>
        <v>0</v>
      </c>
      <c r="Q49" s="306"/>
      <c r="R49" s="149"/>
      <c r="S49" s="238">
        <f>'Sch 141Z'!$M$22</f>
        <v>0</v>
      </c>
      <c r="T49" s="306"/>
    </row>
    <row r="50" spans="1:20">
      <c r="A50" s="142">
        <f t="shared" si="10"/>
        <v>41</v>
      </c>
      <c r="B50" s="9"/>
      <c r="M50" s="307" t="str">
        <f>'Exh CTM-8 (Schedule 24 Impacts)'!U43</f>
        <v>Schedule 142  Deocupling Deferral</v>
      </c>
      <c r="N50" s="240">
        <f>'Sch 142'!$F$22</f>
        <v>-9.68E-4</v>
      </c>
      <c r="O50" s="149"/>
      <c r="P50" s="238">
        <f>'Sch 142'!$L$22</f>
        <v>-9.68E-4</v>
      </c>
      <c r="Q50" s="306"/>
      <c r="R50" s="149"/>
      <c r="S50" s="238">
        <f>'Sch 142'!$R$22</f>
        <v>-9.68E-4</v>
      </c>
      <c r="T50" s="306"/>
    </row>
    <row r="51" spans="1:20">
      <c r="A51" s="142">
        <f t="shared" si="10"/>
        <v>42</v>
      </c>
      <c r="M51" s="307" t="str">
        <f>'Exh CTM-8 (Schedule 24 Impacts)'!U44</f>
        <v>Schedule 142 Deocupling Supplemental</v>
      </c>
      <c r="N51" s="240">
        <f>'Sch 142 Supplemental'!$F$22</f>
        <v>0</v>
      </c>
      <c r="O51" s="149"/>
      <c r="P51" s="238">
        <f>'Sch 142 Supplemental'!$L$22</f>
        <v>0</v>
      </c>
      <c r="Q51" s="306"/>
      <c r="R51" s="149"/>
      <c r="S51" s="238">
        <f>'Sch 142 Supplemental'!$R$22</f>
        <v>0</v>
      </c>
      <c r="T51" s="306"/>
    </row>
    <row r="52" spans="1:20">
      <c r="A52" s="142">
        <f t="shared" si="10"/>
        <v>43</v>
      </c>
      <c r="M52" s="307" t="str">
        <f>'Exh CTM-8 (Schedule 24 Impacts)'!U45</f>
        <v>Schedule 194 BPA Res &amp; Farm Credit</v>
      </c>
      <c r="N52" s="346" t="s">
        <v>425</v>
      </c>
      <c r="O52" s="239"/>
      <c r="P52" s="238"/>
      <c r="Q52" s="237"/>
      <c r="R52" s="239"/>
      <c r="S52" s="238"/>
      <c r="T52" s="306"/>
    </row>
    <row r="53" spans="1:20" ht="12" thickBot="1">
      <c r="A53" s="142">
        <f t="shared" si="10"/>
        <v>44</v>
      </c>
      <c r="M53" s="291" t="s">
        <v>392</v>
      </c>
      <c r="N53" s="289">
        <f>SUM(N30:N52)+N22</f>
        <v>8.2696999999999993E-2</v>
      </c>
      <c r="P53" s="290">
        <f>SUM(P30:P52)+P22</f>
        <v>8.2508620809921926E-2</v>
      </c>
      <c r="Q53" s="306"/>
      <c r="S53" s="290">
        <f>SUM(S30:S52)+S22</f>
        <v>8.3046405395537926E-2</v>
      </c>
      <c r="T53" s="306"/>
    </row>
    <row r="54" spans="1:20" ht="12" thickTop="1">
      <c r="A54" s="142">
        <f t="shared" si="10"/>
        <v>45</v>
      </c>
      <c r="M54" s="291"/>
      <c r="N54" s="347"/>
      <c r="P54" s="270"/>
      <c r="Q54" s="271"/>
      <c r="S54" s="270"/>
      <c r="T54" s="271"/>
    </row>
    <row r="55" spans="1:20">
      <c r="A55" s="142">
        <f t="shared" si="10"/>
        <v>46</v>
      </c>
      <c r="M55" s="234" t="s">
        <v>357</v>
      </c>
      <c r="N55" s="348"/>
      <c r="P55" s="233"/>
      <c r="Q55" s="232">
        <f>'Exh CTM-8 (Rate Impacts_RY#1)'!$H$15</f>
        <v>0.1931710049560415</v>
      </c>
      <c r="S55" s="233"/>
      <c r="T55" s="232">
        <f>'Exh CTM-8 (Rate Impacts_RY#2)'!$I$15</f>
        <v>8.2159313420359495E-2</v>
      </c>
    </row>
    <row r="56" spans="1:20">
      <c r="A56" s="142">
        <f t="shared" si="10"/>
        <v>47</v>
      </c>
      <c r="M56" s="234" t="s">
        <v>356</v>
      </c>
      <c r="N56" s="348"/>
      <c r="P56" s="233"/>
      <c r="Q56" s="232">
        <f>'Exh CTM-8 (Rate Impacts_RY#1)'!$AI$15</f>
        <v>5.8051540783999385E-2</v>
      </c>
      <c r="S56" s="233"/>
      <c r="T56" s="232">
        <f>'Exh CTM-8 (Rate Impacts_RY#2)'!$V$15</f>
        <v>9.0086732053882804E-2</v>
      </c>
    </row>
    <row r="57" spans="1:20" ht="12" thickBot="1">
      <c r="A57" s="142">
        <f t="shared" si="10"/>
        <v>48</v>
      </c>
      <c r="M57" s="343" t="s">
        <v>424</v>
      </c>
      <c r="N57" s="230"/>
      <c r="P57" s="231"/>
      <c r="Q57" s="230"/>
      <c r="S57" s="231"/>
      <c r="T57" s="230"/>
    </row>
  </sheetData>
  <mergeCells count="9">
    <mergeCell ref="S6:T6"/>
    <mergeCell ref="A1:R1"/>
    <mergeCell ref="A2:R2"/>
    <mergeCell ref="A3:R3"/>
    <mergeCell ref="A4:R4"/>
    <mergeCell ref="F7:H7"/>
    <mergeCell ref="J7:K7"/>
    <mergeCell ref="P6:Q6"/>
    <mergeCell ref="F6:H6"/>
  </mergeCells>
  <pageMargins left="0.7" right="0.7" top="0.75" bottom="0.75" header="0.3" footer="0.3"/>
  <pageSetup scale="38" orientation="landscape" horizontalDpi="360" verticalDpi="360" r:id="rId1"/>
  <headerFooter>
    <oddFooter>&amp;R&amp;F
&amp;A
&amp;P of &amp;N</oddFooter>
  </headerFooter>
  <customProperties>
    <customPr name="_pios_id" r:id="rId2"/>
  </customProperties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3" tint="0.79998168889431442"/>
    <pageSetUpPr fitToPage="1"/>
  </sheetPr>
  <dimension ref="A1:T45"/>
  <sheetViews>
    <sheetView zoomScaleNormal="100" zoomScaleSheetLayoutView="100" workbookViewId="0">
      <pane xSplit="2" ySplit="8" topLeftCell="C9" activePane="bottomRight" state="frozen"/>
      <selection activeCell="U42" sqref="U42"/>
      <selection pane="topRight" activeCell="U42" sqref="U42"/>
      <selection pane="bottomLeft" activeCell="U42" sqref="U42"/>
      <selection pane="bottomRight" activeCell="U42" sqref="U42"/>
    </sheetView>
  </sheetViews>
  <sheetFormatPr defaultColWidth="9.42578125" defaultRowHeight="11.25"/>
  <cols>
    <col min="1" max="1" width="4.42578125" style="3" bestFit="1" customWidth="1"/>
    <col min="2" max="2" width="11.7109375" style="3" customWidth="1"/>
    <col min="3" max="3" width="12.5703125" style="3" bestFit="1" customWidth="1"/>
    <col min="4" max="4" width="10.85546875" style="3" bestFit="1" customWidth="1"/>
    <col min="5" max="5" width="1.140625" style="3" customWidth="1"/>
    <col min="6" max="6" width="11.5703125" style="3" customWidth="1"/>
    <col min="7" max="7" width="14.140625" style="3" customWidth="1"/>
    <col min="8" max="8" width="12.7109375" style="3" customWidth="1"/>
    <col min="9" max="9" width="1.140625" style="3" customWidth="1"/>
    <col min="10" max="10" width="9.5703125" style="3" bestFit="1" customWidth="1"/>
    <col min="11" max="11" width="9.5703125" style="3" customWidth="1"/>
    <col min="12" max="12" width="1" style="3" customWidth="1"/>
    <col min="13" max="13" width="38.5703125" style="142" bestFit="1" customWidth="1"/>
    <col min="14" max="14" width="11.140625" style="142" bestFit="1" customWidth="1"/>
    <col min="15" max="15" width="1.140625" style="142" customWidth="1"/>
    <col min="16" max="17" width="11.140625" style="142" bestFit="1" customWidth="1"/>
    <col min="18" max="18" width="0.85546875" style="142" customWidth="1"/>
    <col min="19" max="19" width="11.140625" style="142" bestFit="1" customWidth="1"/>
    <col min="20" max="20" width="11.140625" style="142" customWidth="1"/>
    <col min="21" max="16384" width="9.42578125" style="3"/>
  </cols>
  <sheetData>
    <row r="1" spans="1:20" ht="11.25" customHeight="1">
      <c r="A1" s="497" t="str">
        <f>'Table of Contents'!A1</f>
        <v>Puget Sound Energy</v>
      </c>
      <c r="B1" s="497"/>
      <c r="C1" s="497"/>
      <c r="D1" s="497"/>
      <c r="E1" s="497"/>
      <c r="F1" s="497"/>
      <c r="G1" s="497"/>
      <c r="H1" s="497"/>
      <c r="I1" s="497"/>
      <c r="J1" s="497"/>
      <c r="K1" s="497"/>
      <c r="L1" s="497"/>
      <c r="M1" s="497"/>
      <c r="N1" s="497"/>
      <c r="O1" s="497"/>
      <c r="P1" s="497"/>
      <c r="Q1" s="497"/>
      <c r="R1" s="48"/>
      <c r="S1" s="48"/>
      <c r="T1" s="48"/>
    </row>
    <row r="2" spans="1:20" ht="11.25" customHeight="1">
      <c r="A2" s="497" t="str">
        <f>'Table of Contents'!A2</f>
        <v>2024 General Rate Case Docket No. UE-240004 and UG-240005</v>
      </c>
      <c r="B2" s="497"/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7"/>
      <c r="N2" s="497"/>
      <c r="O2" s="497"/>
      <c r="P2" s="497"/>
      <c r="Q2" s="497"/>
      <c r="R2" s="48"/>
      <c r="S2" s="48"/>
      <c r="T2" s="48"/>
    </row>
    <row r="3" spans="1:20" ht="12.75" customHeight="1">
      <c r="A3" s="448" t="s">
        <v>35</v>
      </c>
      <c r="B3" s="503"/>
      <c r="C3" s="503"/>
      <c r="D3" s="503"/>
      <c r="E3" s="503"/>
      <c r="F3" s="503"/>
      <c r="G3" s="503"/>
      <c r="H3" s="503"/>
      <c r="I3" s="503"/>
      <c r="J3" s="503"/>
      <c r="K3" s="503"/>
      <c r="L3" s="503"/>
      <c r="M3" s="503"/>
      <c r="N3" s="503"/>
      <c r="O3" s="503"/>
      <c r="P3" s="503"/>
      <c r="Q3" s="503"/>
      <c r="R3" s="48"/>
      <c r="S3" s="48"/>
      <c r="T3" s="48"/>
    </row>
    <row r="4" spans="1:20" ht="12.75">
      <c r="A4" s="448" t="s">
        <v>432</v>
      </c>
      <c r="B4" s="503" t="s">
        <v>70</v>
      </c>
      <c r="C4" s="503"/>
      <c r="D4" s="503"/>
      <c r="E4" s="503"/>
      <c r="F4" s="503"/>
      <c r="G4" s="503"/>
      <c r="H4" s="503"/>
      <c r="I4" s="503"/>
      <c r="J4" s="503"/>
      <c r="K4" s="503"/>
      <c r="L4" s="503"/>
      <c r="M4" s="503"/>
      <c r="N4" s="503"/>
      <c r="O4" s="503"/>
      <c r="P4" s="503"/>
      <c r="Q4" s="503"/>
      <c r="R4" s="48"/>
      <c r="S4" s="48"/>
      <c r="T4" s="48"/>
    </row>
    <row r="5" spans="1:20" ht="12" thickBot="1">
      <c r="B5" s="48"/>
      <c r="C5" s="48"/>
      <c r="D5" s="48"/>
      <c r="E5" s="48"/>
      <c r="F5" s="48"/>
      <c r="G5" s="48"/>
      <c r="H5" s="48"/>
      <c r="I5" s="48"/>
      <c r="J5" s="48"/>
      <c r="K5" s="48"/>
      <c r="L5" s="48"/>
      <c r="M5" s="331"/>
      <c r="N5" s="331"/>
      <c r="O5" s="331"/>
      <c r="P5" s="331"/>
      <c r="Q5" s="331"/>
      <c r="R5" s="331"/>
      <c r="S5" s="331"/>
      <c r="T5" s="331"/>
    </row>
    <row r="6" spans="1:20" ht="13.5" thickBot="1">
      <c r="A6" s="49"/>
      <c r="B6" s="48"/>
      <c r="C6" s="49"/>
      <c r="D6" s="49"/>
      <c r="E6" s="49"/>
      <c r="F6" s="49"/>
      <c r="G6" s="49"/>
      <c r="H6" s="49"/>
      <c r="I6" s="49"/>
      <c r="M6" s="136"/>
      <c r="N6" s="136"/>
      <c r="P6" s="475" t="s">
        <v>353</v>
      </c>
      <c r="Q6" s="517"/>
      <c r="S6" s="475" t="s">
        <v>354</v>
      </c>
      <c r="T6" s="517"/>
    </row>
    <row r="7" spans="1:20" ht="13.5" customHeight="1">
      <c r="A7" s="136"/>
      <c r="B7" s="135"/>
      <c r="C7" s="135"/>
      <c r="D7" s="136"/>
      <c r="E7" s="136"/>
      <c r="F7" s="514" t="s">
        <v>401</v>
      </c>
      <c r="G7" s="515"/>
      <c r="H7" s="516"/>
      <c r="I7" s="136"/>
      <c r="J7" s="509" t="s">
        <v>44</v>
      </c>
      <c r="K7" s="516"/>
      <c r="L7" s="49"/>
      <c r="M7" s="300"/>
      <c r="N7" s="302"/>
      <c r="P7" s="351"/>
      <c r="Q7" s="302"/>
      <c r="S7" s="351"/>
      <c r="T7" s="302"/>
    </row>
    <row r="8" spans="1:20" ht="33.75">
      <c r="A8" s="138" t="s">
        <v>350</v>
      </c>
      <c r="B8" s="287" t="s">
        <v>400</v>
      </c>
      <c r="C8" s="287" t="s">
        <v>54</v>
      </c>
      <c r="D8" s="287" t="s">
        <v>34</v>
      </c>
      <c r="E8" s="286"/>
      <c r="F8" s="140" t="s">
        <v>426</v>
      </c>
      <c r="G8" s="140" t="s">
        <v>428</v>
      </c>
      <c r="H8" s="140" t="s">
        <v>429</v>
      </c>
      <c r="I8" s="387"/>
      <c r="J8" s="140" t="s">
        <v>387</v>
      </c>
      <c r="K8" s="140" t="s">
        <v>388</v>
      </c>
      <c r="L8" s="49"/>
      <c r="M8" s="326"/>
      <c r="N8" s="359" t="s">
        <v>347</v>
      </c>
      <c r="P8" s="350" t="s">
        <v>352</v>
      </c>
      <c r="Q8" s="349" t="s">
        <v>351</v>
      </c>
      <c r="S8" s="350" t="s">
        <v>352</v>
      </c>
      <c r="T8" s="349" t="s">
        <v>351</v>
      </c>
    </row>
    <row r="9" spans="1:20">
      <c r="A9" s="388"/>
      <c r="B9" s="389" t="s">
        <v>18</v>
      </c>
      <c r="C9" s="389" t="s">
        <v>19</v>
      </c>
      <c r="D9" s="389" t="s">
        <v>20</v>
      </c>
      <c r="E9" s="389"/>
      <c r="F9" s="389" t="s">
        <v>21</v>
      </c>
      <c r="G9" s="389" t="s">
        <v>24</v>
      </c>
      <c r="H9" s="389" t="s">
        <v>25</v>
      </c>
      <c r="I9" s="389"/>
      <c r="J9" s="389" t="s">
        <v>26</v>
      </c>
      <c r="K9" s="389" t="s">
        <v>27</v>
      </c>
      <c r="M9" s="326" t="s">
        <v>28</v>
      </c>
      <c r="N9" s="327" t="s">
        <v>29</v>
      </c>
      <c r="O9" s="141"/>
      <c r="P9" s="326" t="s">
        <v>30</v>
      </c>
      <c r="Q9" s="327" t="s">
        <v>74</v>
      </c>
      <c r="R9" s="141"/>
      <c r="S9" s="326" t="s">
        <v>83</v>
      </c>
      <c r="T9" s="327" t="s">
        <v>84</v>
      </c>
    </row>
    <row r="10" spans="1:20">
      <c r="A10" s="142">
        <v>1</v>
      </c>
      <c r="B10" s="52">
        <v>1000</v>
      </c>
      <c r="C10" s="3">
        <v>300</v>
      </c>
      <c r="D10" s="52">
        <f>ROUND((B$10*C10),0)</f>
        <v>300000</v>
      </c>
      <c r="E10" s="52"/>
      <c r="F10" s="53">
        <f>ROUND(IF($B$10&gt;4400,$B$10*N$10,4400*$N$10)+$D10*N$11,0)</f>
        <v>33387</v>
      </c>
      <c r="G10" s="53">
        <f>ROUND(IF($B$10&gt;4400,$B$10*P$10,4400*$P$10)+$D10*P$11,0)</f>
        <v>38721</v>
      </c>
      <c r="H10" s="53">
        <f>ROUND(IF($B$10&gt;4400,$B$10*S$10,4400*$S$10)+$D10*S$11,0)</f>
        <v>44490</v>
      </c>
      <c r="J10" s="30">
        <f t="shared" ref="J10:K12" si="0">(G10-F10)/F10</f>
        <v>0.15976278192110702</v>
      </c>
      <c r="K10" s="30">
        <f t="shared" si="0"/>
        <v>0.14898892074068334</v>
      </c>
      <c r="L10" s="30"/>
      <c r="M10" s="51" t="s">
        <v>69</v>
      </c>
      <c r="N10" s="274">
        <f>SUM(N14)</f>
        <v>3.04</v>
      </c>
      <c r="O10" s="254"/>
      <c r="P10" s="325">
        <f>SUM(P14)</f>
        <v>3.95</v>
      </c>
      <c r="Q10" s="308">
        <f>(P10-N10)/N10</f>
        <v>0.29934210526315796</v>
      </c>
      <c r="R10" s="254"/>
      <c r="S10" s="325">
        <f>SUM(S14)</f>
        <v>5.14</v>
      </c>
      <c r="T10" s="308">
        <f>(S10-P10)/P10</f>
        <v>0.30126582278481001</v>
      </c>
    </row>
    <row r="11" spans="1:20">
      <c r="A11" s="142">
        <f t="shared" ref="A11:A30" si="1">A10+1</f>
        <v>2</v>
      </c>
      <c r="C11" s="3">
        <v>500</v>
      </c>
      <c r="D11" s="52">
        <f>ROUND((B$10*C11),0)</f>
        <v>500000</v>
      </c>
      <c r="E11" s="52"/>
      <c r="F11" s="53">
        <f>ROUND(IF($B$10&gt;4400,$B$10*N$10,4400*$N$10)+$D11*N$11,0)</f>
        <v>46728</v>
      </c>
      <c r="G11" s="53">
        <f>ROUND(IF($B$10&gt;4400,$B$10*P$10,4400*$P$10)+$D11*P$11,0)</f>
        <v>52948</v>
      </c>
      <c r="H11" s="53">
        <f>ROUND(IF($B$10&gt;4400,$B$10*S$10,4400*$S$10)+$D11*S$11,0)</f>
        <v>59073</v>
      </c>
      <c r="J11" s="30">
        <f t="shared" si="0"/>
        <v>0.13311076870398905</v>
      </c>
      <c r="K11" s="30">
        <f t="shared" si="0"/>
        <v>0.11567953463775781</v>
      </c>
      <c r="L11" s="30"/>
      <c r="M11" s="51" t="s">
        <v>68</v>
      </c>
      <c r="N11" s="274">
        <f>SUM(N15,N17:N31)</f>
        <v>6.6703999999999999E-2</v>
      </c>
      <c r="O11" s="254"/>
      <c r="P11" s="325">
        <f>SUM(P15,P17:P31)</f>
        <v>7.1135422889718719E-2</v>
      </c>
      <c r="Q11" s="308">
        <f>(P11-N11)/N11</f>
        <v>6.6434140227253538E-2</v>
      </c>
      <c r="R11" s="254"/>
      <c r="S11" s="325">
        <f>SUM(S15,S17:S31)</f>
        <v>7.2913374623221255E-2</v>
      </c>
      <c r="T11" s="308">
        <f>(S11-P11)/P11</f>
        <v>2.4993901227787677E-2</v>
      </c>
    </row>
    <row r="12" spans="1:20">
      <c r="A12" s="142">
        <f t="shared" si="1"/>
        <v>3</v>
      </c>
      <c r="C12" s="3">
        <v>700</v>
      </c>
      <c r="D12" s="52">
        <f>ROUND((B$10*C12),0)</f>
        <v>700000</v>
      </c>
      <c r="E12" s="52"/>
      <c r="F12" s="53">
        <f>ROUND(IF($B$10&gt;4400,$B$10*N$10,4400*$N$10)+$D12*N$11,0)</f>
        <v>60069</v>
      </c>
      <c r="G12" s="53">
        <f>ROUND(IF($B$10&gt;4400,$B$10*P$10,4400*$P$10)+$D12*P$11,0)</f>
        <v>67175</v>
      </c>
      <c r="H12" s="53">
        <f>ROUND(IF($B$10&gt;4400,$B$10*S$10,4400*$S$10)+$D12*S$11,0)</f>
        <v>73655</v>
      </c>
      <c r="J12" s="30">
        <f t="shared" si="0"/>
        <v>0.11829729144816795</v>
      </c>
      <c r="K12" s="30">
        <f t="shared" si="0"/>
        <v>9.646445850390771E-2</v>
      </c>
      <c r="L12" s="30"/>
      <c r="M12" s="54" t="s">
        <v>12</v>
      </c>
      <c r="N12" s="274" t="s">
        <v>12</v>
      </c>
      <c r="O12" s="254"/>
      <c r="P12" s="325" t="s">
        <v>12</v>
      </c>
      <c r="Q12" s="308"/>
      <c r="R12" s="254"/>
      <c r="S12" s="325" t="s">
        <v>12</v>
      </c>
      <c r="T12" s="308"/>
    </row>
    <row r="13" spans="1:20">
      <c r="A13" s="142">
        <f t="shared" si="1"/>
        <v>4</v>
      </c>
      <c r="F13" s="53"/>
      <c r="G13" s="53"/>
      <c r="H13" s="53"/>
      <c r="J13" s="30"/>
      <c r="K13" s="30"/>
      <c r="L13" s="30"/>
      <c r="M13" s="54"/>
      <c r="N13" s="271"/>
      <c r="O13" s="254"/>
      <c r="P13" s="320"/>
      <c r="Q13" s="308"/>
      <c r="R13" s="254"/>
      <c r="S13" s="320"/>
      <c r="T13" s="308"/>
    </row>
    <row r="14" spans="1:20">
      <c r="A14" s="142">
        <f t="shared" si="1"/>
        <v>5</v>
      </c>
      <c r="B14" s="52">
        <v>2000</v>
      </c>
      <c r="C14" s="3">
        <v>300</v>
      </c>
      <c r="D14" s="52">
        <f>ROUND((B$14*C14),0)</f>
        <v>600000</v>
      </c>
      <c r="E14" s="52"/>
      <c r="F14" s="53">
        <f t="shared" ref="F14:F16" si="2">ROUND(IF($B$10&gt;4400,$B$10*N$10,4400*$N$10)+$D14*N$11,0)</f>
        <v>53398</v>
      </c>
      <c r="G14" s="53">
        <f t="shared" ref="G14:G16" si="3">ROUND(IF($B$10&gt;4400,$B$10*P$10,4400*$P$10)+$D14*P$11,0)</f>
        <v>60061</v>
      </c>
      <c r="H14" s="53">
        <f t="shared" ref="H14:H16" si="4">ROUND(IF($B$10&gt;4400,$B$10*S$10,4400*$S$10)+$D14*S$11,0)</f>
        <v>66364</v>
      </c>
      <c r="J14" s="30">
        <f t="shared" ref="J14:J16" si="5">(G14-F14)/F14</f>
        <v>0.1247799543054047</v>
      </c>
      <c r="K14" s="30">
        <f t="shared" ref="K14:K16" si="6">(H14-G14)/G14</f>
        <v>0.10494330763723547</v>
      </c>
      <c r="L14" s="30"/>
      <c r="M14" s="54" t="s">
        <v>69</v>
      </c>
      <c r="N14" s="318">
        <v>3.04</v>
      </c>
      <c r="O14" s="254"/>
      <c r="P14" s="317">
        <v>3.95</v>
      </c>
      <c r="Q14" s="308">
        <f t="shared" ref="Q14:Q15" si="7">(P14-N14)/N14</f>
        <v>0.29934210526315796</v>
      </c>
      <c r="R14" s="254"/>
      <c r="S14" s="317">
        <v>5.14</v>
      </c>
      <c r="T14" s="308">
        <f t="shared" ref="T14:T15" si="8">(S14-P14)/P14</f>
        <v>0.30126582278481001</v>
      </c>
    </row>
    <row r="15" spans="1:20">
      <c r="A15" s="142">
        <f t="shared" si="1"/>
        <v>6</v>
      </c>
      <c r="C15" s="3">
        <v>500</v>
      </c>
      <c r="D15" s="52">
        <f>ROUND((B$14*C15),0)</f>
        <v>1000000</v>
      </c>
      <c r="E15" s="52"/>
      <c r="F15" s="53">
        <f t="shared" si="2"/>
        <v>80080</v>
      </c>
      <c r="G15" s="53">
        <f t="shared" si="3"/>
        <v>88515</v>
      </c>
      <c r="H15" s="53">
        <f t="shared" si="4"/>
        <v>95529</v>
      </c>
      <c r="J15" s="30">
        <f t="shared" si="5"/>
        <v>0.10533216783216784</v>
      </c>
      <c r="K15" s="30">
        <f t="shared" si="6"/>
        <v>7.9240806642941877E-2</v>
      </c>
      <c r="L15" s="30"/>
      <c r="M15" s="54" t="s">
        <v>68</v>
      </c>
      <c r="N15" s="352">
        <v>5.0422000000000002E-2</v>
      </c>
      <c r="O15" s="254"/>
      <c r="P15" s="354">
        <v>6.198E-2</v>
      </c>
      <c r="Q15" s="308">
        <f t="shared" si="7"/>
        <v>0.22922533814604734</v>
      </c>
      <c r="R15" s="254"/>
      <c r="S15" s="354">
        <v>6.3571000000000003E-2</v>
      </c>
      <c r="T15" s="308">
        <f t="shared" si="8"/>
        <v>2.5669570829299809E-2</v>
      </c>
    </row>
    <row r="16" spans="1:20">
      <c r="A16" s="142">
        <f t="shared" si="1"/>
        <v>7</v>
      </c>
      <c r="C16" s="3">
        <v>700</v>
      </c>
      <c r="D16" s="52">
        <f>ROUND((B$14*C16),0)</f>
        <v>1400000</v>
      </c>
      <c r="E16" s="52"/>
      <c r="F16" s="53">
        <f t="shared" si="2"/>
        <v>106762</v>
      </c>
      <c r="G16" s="53">
        <f t="shared" si="3"/>
        <v>116970</v>
      </c>
      <c r="H16" s="53">
        <f t="shared" si="4"/>
        <v>124695</v>
      </c>
      <c r="J16" s="30">
        <f t="shared" si="5"/>
        <v>9.5614544500852369E-2</v>
      </c>
      <c r="K16" s="30">
        <f t="shared" si="6"/>
        <v>6.6042575019235703E-2</v>
      </c>
      <c r="L16" s="30"/>
      <c r="M16" s="54"/>
      <c r="N16" s="271"/>
      <c r="O16" s="254"/>
      <c r="P16" s="320"/>
      <c r="Q16" s="308"/>
      <c r="R16" s="254"/>
      <c r="S16" s="320"/>
      <c r="T16" s="308"/>
    </row>
    <row r="17" spans="1:20">
      <c r="A17" s="142">
        <f t="shared" si="1"/>
        <v>8</v>
      </c>
      <c r="F17" s="53"/>
      <c r="G17" s="53"/>
      <c r="H17" s="53"/>
      <c r="J17" s="30"/>
      <c r="K17" s="30"/>
      <c r="L17" s="30"/>
      <c r="M17" s="233"/>
      <c r="N17" s="345"/>
      <c r="P17" s="233"/>
      <c r="Q17" s="235"/>
      <c r="S17" s="233"/>
      <c r="T17" s="235"/>
    </row>
    <row r="18" spans="1:20">
      <c r="A18" s="142">
        <f t="shared" si="1"/>
        <v>9</v>
      </c>
      <c r="B18" s="52">
        <v>4000</v>
      </c>
      <c r="C18" s="3">
        <v>300</v>
      </c>
      <c r="D18" s="52">
        <f>ROUND((B$18*C18),0)</f>
        <v>1200000</v>
      </c>
      <c r="E18" s="52"/>
      <c r="F18" s="53">
        <f t="shared" ref="F18:F20" si="9">ROUND(IF($B$10&gt;4400,$B$10*N$10,4400*$N$10)+$D18*N$11,0)</f>
        <v>93421</v>
      </c>
      <c r="G18" s="53">
        <f t="shared" ref="G18:G20" si="10">ROUND(IF($B$10&gt;4400,$B$10*P$10,4400*$P$10)+$D18*P$11,0)</f>
        <v>102743</v>
      </c>
      <c r="H18" s="53">
        <f t="shared" ref="H18:H20" si="11">ROUND(IF($B$10&gt;4400,$B$10*S$10,4400*$S$10)+$D18*S$11,0)</f>
        <v>110112</v>
      </c>
      <c r="J18" s="30">
        <f t="shared" ref="J18:J20" si="12">(G18-F18)/F18</f>
        <v>9.9784844949208418E-2</v>
      </c>
      <c r="K18" s="30">
        <f t="shared" ref="K18:K20" si="13">(H18-G18)/G18</f>
        <v>7.1722647771624348E-2</v>
      </c>
      <c r="L18" s="30"/>
      <c r="M18" s="312" t="str">
        <f>'Exh CTM-8 (Schedule 24 Impacts)'!U23</f>
        <v xml:space="preserve">Schedule 95 Power Cost
</v>
      </c>
      <c r="N18" s="251">
        <f>'Sch 95'!$E$27</f>
        <v>7.5490000000000002E-3</v>
      </c>
      <c r="O18" s="258"/>
      <c r="P18" s="249">
        <f>'Sch 95'!$I$27</f>
        <v>0</v>
      </c>
      <c r="Q18" s="311"/>
      <c r="R18" s="258"/>
      <c r="S18" s="249">
        <f>'Sch 95'!$M$27</f>
        <v>0</v>
      </c>
      <c r="T18" s="308"/>
    </row>
    <row r="19" spans="1:20">
      <c r="A19" s="142">
        <f t="shared" si="1"/>
        <v>10</v>
      </c>
      <c r="C19" s="3">
        <v>500</v>
      </c>
      <c r="D19" s="52">
        <f>ROUND((B$18*C19),0)</f>
        <v>2000000</v>
      </c>
      <c r="E19" s="52"/>
      <c r="F19" s="53">
        <f t="shared" si="9"/>
        <v>146784</v>
      </c>
      <c r="G19" s="53">
        <f t="shared" si="10"/>
        <v>159651</v>
      </c>
      <c r="H19" s="53">
        <f t="shared" si="11"/>
        <v>168443</v>
      </c>
      <c r="J19" s="30">
        <f t="shared" si="12"/>
        <v>8.7659417920209287E-2</v>
      </c>
      <c r="K19" s="30">
        <f t="shared" si="13"/>
        <v>5.5070121702964589E-2</v>
      </c>
      <c r="L19" s="30"/>
      <c r="M19" s="307" t="str">
        <f>'Exh CTM-8 (Schedule 24 Impacts)'!U24</f>
        <v>Schedule 95 PCA Imbalance</v>
      </c>
      <c r="N19" s="240">
        <f>'Sch 95 Imbalance'!$E$27</f>
        <v>3.6410000000000001E-3</v>
      </c>
      <c r="O19" s="254"/>
      <c r="P19" s="238">
        <f>'Sch 95 Imbalance'!$I$27</f>
        <v>3.6410000000000001E-3</v>
      </c>
      <c r="Q19" s="308"/>
      <c r="R19" s="254"/>
      <c r="S19" s="238">
        <f>'Sch 95 Imbalance'!$M$27</f>
        <v>3.6410000000000001E-3</v>
      </c>
      <c r="T19" s="308"/>
    </row>
    <row r="20" spans="1:20">
      <c r="A20" s="142">
        <f t="shared" si="1"/>
        <v>11</v>
      </c>
      <c r="C20" s="3">
        <v>700</v>
      </c>
      <c r="D20" s="52">
        <f>ROUND((B$18*C20),0)</f>
        <v>2800000</v>
      </c>
      <c r="E20" s="52"/>
      <c r="F20" s="53">
        <f t="shared" si="9"/>
        <v>200147</v>
      </c>
      <c r="G20" s="53">
        <f t="shared" si="10"/>
        <v>216559</v>
      </c>
      <c r="H20" s="53">
        <f t="shared" si="11"/>
        <v>226773</v>
      </c>
      <c r="J20" s="30">
        <f t="shared" si="12"/>
        <v>8.1999730198304241E-2</v>
      </c>
      <c r="K20" s="30">
        <f t="shared" si="13"/>
        <v>4.7164975826449143E-2</v>
      </c>
      <c r="L20" s="30"/>
      <c r="M20" s="307" t="str">
        <f>'Exh CTM-8 (Schedule 24 Impacts)'!U25</f>
        <v>Schedule 95A Federal Incentive Credit</v>
      </c>
      <c r="N20" s="240">
        <f>'Sch 95a'!$E$27</f>
        <v>0</v>
      </c>
      <c r="O20" s="254"/>
      <c r="P20" s="238">
        <f>'Sch 95a'!$I$27</f>
        <v>0</v>
      </c>
      <c r="Q20" s="308"/>
      <c r="R20" s="254"/>
      <c r="S20" s="238">
        <f>'Sch 95a'!$M$27</f>
        <v>0</v>
      </c>
      <c r="T20" s="308"/>
    </row>
    <row r="21" spans="1:20">
      <c r="A21" s="142">
        <f t="shared" si="1"/>
        <v>12</v>
      </c>
      <c r="F21" s="53"/>
      <c r="G21" s="53"/>
      <c r="H21" s="53"/>
      <c r="J21" s="30"/>
      <c r="K21" s="30"/>
      <c r="L21" s="30"/>
      <c r="M21" s="307" t="str">
        <f>'Exh CTM-8 (Schedule 24 Impacts)'!U26</f>
        <v>Schedule 120 Conservation</v>
      </c>
      <c r="N21" s="240">
        <f>'Sch 120'!$E$27</f>
        <v>9.7300000000000002E-4</v>
      </c>
      <c r="P21" s="238">
        <f>'Sch 120'!$I$27</f>
        <v>9.7300000000000002E-4</v>
      </c>
      <c r="Q21" s="235"/>
      <c r="S21" s="238">
        <f>'Sch 120'!$M$27</f>
        <v>9.7300000000000002E-4</v>
      </c>
      <c r="T21" s="235"/>
    </row>
    <row r="22" spans="1:20">
      <c r="A22" s="142">
        <f t="shared" si="1"/>
        <v>13</v>
      </c>
      <c r="B22" s="52">
        <v>6000</v>
      </c>
      <c r="C22" s="3">
        <v>300</v>
      </c>
      <c r="D22" s="52">
        <f>ROUND((B$22*C22),0)</f>
        <v>1800000</v>
      </c>
      <c r="E22" s="52"/>
      <c r="F22" s="53">
        <f t="shared" ref="F22:F24" si="14">ROUND(IF($B$10&gt;4400,$B$10*N$10,4400*$N$10)+$D22*N$11,0)</f>
        <v>133443</v>
      </c>
      <c r="G22" s="53">
        <f t="shared" ref="G22:G24" si="15">ROUND(IF($B$10&gt;4400,$B$10*P$10,4400*$P$10)+$D22*P$11,0)</f>
        <v>145424</v>
      </c>
      <c r="H22" s="53">
        <f t="shared" ref="H22:H24" si="16">ROUND(IF($B$10&gt;4400,$B$10*S$10,4400*$S$10)+$D22*S$11,0)</f>
        <v>153860</v>
      </c>
      <c r="J22" s="30">
        <f t="shared" ref="J22:J24" si="17">(G22-F22)/F22</f>
        <v>8.9783652945452361E-2</v>
      </c>
      <c r="K22" s="30">
        <f t="shared" ref="K22:K24" si="18">(H22-G22)/G22</f>
        <v>5.8009682033226977E-2</v>
      </c>
      <c r="L22" s="30"/>
      <c r="M22" s="307" t="str">
        <f>'Exh CTM-8 (Schedule 24 Impacts)'!U27</f>
        <v>Schedule 129 Low Income</v>
      </c>
      <c r="N22" s="240">
        <f>'Sch 129'!$E$27</f>
        <v>8.12E-4</v>
      </c>
      <c r="O22" s="254"/>
      <c r="P22" s="238">
        <f>'Sch 129'!$I$27</f>
        <v>8.12E-4</v>
      </c>
      <c r="Q22" s="308"/>
      <c r="R22" s="254"/>
      <c r="S22" s="238">
        <f>'Sch 129'!$M$27</f>
        <v>8.12E-4</v>
      </c>
      <c r="T22" s="308"/>
    </row>
    <row r="23" spans="1:20">
      <c r="A23" s="142">
        <f t="shared" si="1"/>
        <v>14</v>
      </c>
      <c r="C23" s="3">
        <v>500</v>
      </c>
      <c r="D23" s="52">
        <f>ROUND((B$22*C23),0)</f>
        <v>3000000</v>
      </c>
      <c r="E23" s="52"/>
      <c r="F23" s="53">
        <f t="shared" si="14"/>
        <v>213488</v>
      </c>
      <c r="G23" s="53">
        <f t="shared" si="15"/>
        <v>230786</v>
      </c>
      <c r="H23" s="53">
        <f t="shared" si="16"/>
        <v>241356</v>
      </c>
      <c r="J23" s="30">
        <f t="shared" si="17"/>
        <v>8.1025631417222507E-2</v>
      </c>
      <c r="K23" s="30">
        <f t="shared" si="18"/>
        <v>4.5800005199622164E-2</v>
      </c>
      <c r="L23" s="30"/>
      <c r="M23" s="307" t="str">
        <f>'Exh CTM-8 (Schedule 24 Impacts)'!U28</f>
        <v>Schedule 129D Bill Discount</v>
      </c>
      <c r="N23" s="240">
        <f>'Sch 129D'!$E$27</f>
        <v>3.4499999999999998E-4</v>
      </c>
      <c r="O23" s="254"/>
      <c r="P23" s="238">
        <f>'Sch 129D'!$I$27</f>
        <v>3.4499999999999998E-4</v>
      </c>
      <c r="Q23" s="308"/>
      <c r="R23" s="254"/>
      <c r="S23" s="238">
        <f>'Sch 129D'!$M$27</f>
        <v>3.4499999999999998E-4</v>
      </c>
      <c r="T23" s="308"/>
    </row>
    <row r="24" spans="1:20">
      <c r="A24" s="142">
        <f t="shared" si="1"/>
        <v>15</v>
      </c>
      <c r="C24" s="3">
        <v>700</v>
      </c>
      <c r="D24" s="52">
        <f>ROUND((B$22*C24),0)</f>
        <v>4200000</v>
      </c>
      <c r="E24" s="52"/>
      <c r="F24" s="53">
        <f t="shared" si="14"/>
        <v>293533</v>
      </c>
      <c r="G24" s="53">
        <f t="shared" si="15"/>
        <v>316149</v>
      </c>
      <c r="H24" s="53">
        <f t="shared" si="16"/>
        <v>328852</v>
      </c>
      <c r="J24" s="30">
        <f t="shared" si="17"/>
        <v>7.7047555130087583E-2</v>
      </c>
      <c r="K24" s="30">
        <f t="shared" si="18"/>
        <v>4.0180421257065495E-2</v>
      </c>
      <c r="L24" s="30"/>
      <c r="M24" s="312" t="str">
        <f>'Exh CTM-8 (Schedule 24 Impacts)'!U29</f>
        <v>Schedule 137 REC</v>
      </c>
      <c r="N24" s="251">
        <f>'Sch 137'!$E$27</f>
        <v>9.9999999999999995E-7</v>
      </c>
      <c r="O24" s="258"/>
      <c r="P24" s="249">
        <f>'Sch 137'!$I$27</f>
        <v>0</v>
      </c>
      <c r="Q24" s="311"/>
      <c r="R24" s="258"/>
      <c r="S24" s="249">
        <f>'Sch 137'!$M$27</f>
        <v>0</v>
      </c>
      <c r="T24" s="308"/>
    </row>
    <row r="25" spans="1:20">
      <c r="A25" s="142">
        <f t="shared" si="1"/>
        <v>16</v>
      </c>
      <c r="D25" s="52"/>
      <c r="E25" s="52"/>
      <c r="F25" s="53"/>
      <c r="G25" s="53"/>
      <c r="H25" s="53"/>
      <c r="J25" s="30"/>
      <c r="K25" s="30"/>
      <c r="L25" s="30"/>
      <c r="M25" s="307" t="str">
        <f>'Exh CTM-8 (Schedule 24 Impacts)'!U30</f>
        <v>Schedule 140 Property Tax</v>
      </c>
      <c r="N25" s="240">
        <f>'Sch 140'!$E$27</f>
        <v>9.5E-4</v>
      </c>
      <c r="O25" s="254"/>
      <c r="P25" s="238">
        <f>'Sch 140'!$I$27</f>
        <v>9.5E-4</v>
      </c>
      <c r="Q25" s="308"/>
      <c r="R25" s="254"/>
      <c r="S25" s="238">
        <f>'Sch 140'!$M$27</f>
        <v>9.5E-4</v>
      </c>
      <c r="T25" s="308"/>
    </row>
    <row r="26" spans="1:20">
      <c r="A26" s="142">
        <f t="shared" si="1"/>
        <v>17</v>
      </c>
      <c r="B26" s="52">
        <v>8000</v>
      </c>
      <c r="C26" s="3">
        <v>300</v>
      </c>
      <c r="D26" s="52">
        <f>ROUND((B$26*C26),0)</f>
        <v>2400000</v>
      </c>
      <c r="E26" s="52"/>
      <c r="F26" s="53">
        <f t="shared" ref="F26:F28" si="19">ROUND(IF($B$10&gt;4400,$B$10*N$10,4400*$N$10)+$D26*N$11,0)</f>
        <v>173466</v>
      </c>
      <c r="G26" s="53">
        <f t="shared" ref="G26:G28" si="20">ROUND(IF($B$10&gt;4400,$B$10*P$10,4400*$P$10)+$D26*P$11,0)</f>
        <v>188105</v>
      </c>
      <c r="H26" s="53">
        <f t="shared" ref="H26:H28" si="21">ROUND(IF($B$10&gt;4400,$B$10*S$10,4400*$S$10)+$D26*S$11,0)</f>
        <v>197608</v>
      </c>
      <c r="J26" s="30">
        <f t="shared" ref="J26:J28" si="22">(G26-F26)/F26</f>
        <v>8.4391177521819835E-2</v>
      </c>
      <c r="K26" s="30">
        <f t="shared" ref="K26:K28" si="23">(H26-G26)/G26</f>
        <v>5.0519656574785361E-2</v>
      </c>
      <c r="L26" s="30"/>
      <c r="M26" s="307" t="str">
        <f>'Exh CTM-8 (Schedule 24 Impacts)'!U31</f>
        <v>Schedule 141 ERF</v>
      </c>
      <c r="N26" s="240">
        <f>'Sch 141'!$E$27</f>
        <v>0</v>
      </c>
      <c r="O26" s="254"/>
      <c r="P26" s="238">
        <f>'Sch 141'!$I$27</f>
        <v>0</v>
      </c>
      <c r="Q26" s="308"/>
      <c r="R26" s="254"/>
      <c r="S26" s="238">
        <f>'Sch 141'!$M$27</f>
        <v>0</v>
      </c>
      <c r="T26" s="308"/>
    </row>
    <row r="27" spans="1:20">
      <c r="A27" s="142">
        <f t="shared" si="1"/>
        <v>18</v>
      </c>
      <c r="C27" s="3">
        <v>500</v>
      </c>
      <c r="D27" s="52">
        <f>ROUND((B$26*C27),0)</f>
        <v>4000000</v>
      </c>
      <c r="E27" s="52"/>
      <c r="F27" s="53">
        <f t="shared" si="19"/>
        <v>280192</v>
      </c>
      <c r="G27" s="53">
        <f t="shared" si="20"/>
        <v>301922</v>
      </c>
      <c r="H27" s="53">
        <f t="shared" si="21"/>
        <v>314269</v>
      </c>
      <c r="J27" s="30">
        <f t="shared" si="22"/>
        <v>7.7553962996802187E-2</v>
      </c>
      <c r="K27" s="30">
        <f t="shared" si="23"/>
        <v>4.0894668159325916E-2</v>
      </c>
      <c r="L27" s="30"/>
      <c r="M27" s="307" t="str">
        <f>'Exh CTM-8 (Schedule 24 Impacts)'!U32</f>
        <v>Schedule 141A Energy Charge Credit</v>
      </c>
      <c r="N27" s="240">
        <f>'Sch 141A'!$F$27</f>
        <v>1.5560000000000001E-3</v>
      </c>
      <c r="P27" s="238">
        <f>'Sch 141A'!$J$27</f>
        <v>1.5560000000000001E-3</v>
      </c>
      <c r="Q27" s="235"/>
      <c r="S27" s="238">
        <f>'Sch 141A'!$N$27</f>
        <v>1.5560000000000001E-3</v>
      </c>
      <c r="T27" s="235"/>
    </row>
    <row r="28" spans="1:20">
      <c r="A28" s="142">
        <f t="shared" si="1"/>
        <v>19</v>
      </c>
      <c r="C28" s="3">
        <v>700</v>
      </c>
      <c r="D28" s="52">
        <f>ROUND((B$26*C28),0)</f>
        <v>5600000</v>
      </c>
      <c r="E28" s="52"/>
      <c r="F28" s="53">
        <f t="shared" si="19"/>
        <v>386918</v>
      </c>
      <c r="G28" s="53">
        <f t="shared" si="20"/>
        <v>415738</v>
      </c>
      <c r="H28" s="53">
        <f t="shared" si="21"/>
        <v>430931</v>
      </c>
      <c r="J28" s="30">
        <f t="shared" si="22"/>
        <v>7.4486066815190821E-2</v>
      </c>
      <c r="K28" s="30">
        <f t="shared" si="23"/>
        <v>3.6544650717519209E-2</v>
      </c>
      <c r="L28" s="30"/>
      <c r="M28" s="312" t="str">
        <f>'Exh CTM-8 (Schedule 24 Impacts)'!U33</f>
        <v>Schedule 141CEI Clean Energy Implementation Plan</v>
      </c>
      <c r="N28" s="251">
        <f>'Sch 141CEI'!$F$27</f>
        <v>3.5599999999999998E-4</v>
      </c>
      <c r="O28" s="258"/>
      <c r="P28" s="249">
        <f>'Sch 141CEI'!$L$27</f>
        <v>0</v>
      </c>
      <c r="Q28" s="311"/>
      <c r="R28" s="258"/>
      <c r="S28" s="249">
        <f>'Sch 141CEI'!$R$27</f>
        <v>0</v>
      </c>
      <c r="T28" s="308"/>
    </row>
    <row r="29" spans="1:20">
      <c r="A29" s="142">
        <f t="shared" si="1"/>
        <v>20</v>
      </c>
      <c r="D29" s="52"/>
      <c r="E29" s="52"/>
      <c r="F29" s="53"/>
      <c r="G29" s="53"/>
      <c r="H29" s="53"/>
      <c r="J29" s="30"/>
      <c r="K29" s="30"/>
      <c r="L29" s="30"/>
      <c r="M29" s="312" t="str">
        <f>'Exh CTM-8 (Schedule 24 Impacts)'!U34</f>
        <v>Schedule 141CGR Clean Generation Resources</v>
      </c>
      <c r="N29" s="251">
        <f>'Sch 141CGR'!$F$27</f>
        <v>0</v>
      </c>
      <c r="O29" s="258"/>
      <c r="P29" s="249">
        <f>'Sch 141CGR'!$L$27</f>
        <v>7.2747420206110221E-4</v>
      </c>
      <c r="Q29" s="311"/>
      <c r="R29" s="258"/>
      <c r="S29" s="249">
        <f>'Sch 141CGR'!$R$27</f>
        <v>9.1441831227747066E-4</v>
      </c>
      <c r="T29" s="308"/>
    </row>
    <row r="30" spans="1:20">
      <c r="A30" s="142">
        <f t="shared" si="1"/>
        <v>21</v>
      </c>
      <c r="B30" s="52">
        <v>10000</v>
      </c>
      <c r="C30" s="3">
        <v>300</v>
      </c>
      <c r="D30" s="52">
        <f>ROUND((B$30*C30),0)</f>
        <v>3000000</v>
      </c>
      <c r="E30" s="52"/>
      <c r="F30" s="53">
        <f t="shared" ref="F30:F32" si="24">ROUND(IF($B$10&gt;4400,$B$10*N$10,4400*$N$10)+$D30*N$11,0)</f>
        <v>213488</v>
      </c>
      <c r="G30" s="53">
        <f t="shared" ref="G30:G32" si="25">ROUND(IF($B$10&gt;4400,$B$10*P$10,4400*$P$10)+$D30*P$11,0)</f>
        <v>230786</v>
      </c>
      <c r="H30" s="53">
        <f t="shared" ref="H30:H32" si="26">ROUND(IF($B$10&gt;4400,$B$10*S$10,4400*$S$10)+$D30*S$11,0)</f>
        <v>241356</v>
      </c>
      <c r="J30" s="30">
        <f t="shared" ref="J30:J32" si="27">(G30-F30)/F30</f>
        <v>8.1025631417222507E-2</v>
      </c>
      <c r="K30" s="30">
        <f t="shared" ref="K30:K32" si="28">(H30-G30)/G30</f>
        <v>4.5800005199622164E-2</v>
      </c>
      <c r="L30" s="30"/>
      <c r="M30" s="312" t="str">
        <f>'Exh CTM-8 (Schedule 24 Impacts)'!U35</f>
        <v>Schedule 141DCARB Decarbonization</v>
      </c>
      <c r="N30" s="251">
        <f>'Sch 141DCARB'!$E$27</f>
        <v>0</v>
      </c>
      <c r="O30" s="258"/>
      <c r="P30" s="249">
        <f>'Sch 141DCARB'!$I$27</f>
        <v>5.1948687657628185E-5</v>
      </c>
      <c r="Q30" s="311"/>
      <c r="R30" s="258"/>
      <c r="S30" s="249">
        <f>'Sch 141DCARB'!$M$27</f>
        <v>5.1956310943770761E-5</v>
      </c>
      <c r="T30" s="308"/>
    </row>
    <row r="31" spans="1:20">
      <c r="A31" s="142">
        <f t="shared" ref="A31:A45" si="29">A30+1</f>
        <v>22</v>
      </c>
      <c r="C31" s="3">
        <v>500</v>
      </c>
      <c r="D31" s="52">
        <f>ROUND((B$30*C31),0)</f>
        <v>5000000</v>
      </c>
      <c r="E31" s="52"/>
      <c r="F31" s="53">
        <f t="shared" si="24"/>
        <v>346896</v>
      </c>
      <c r="G31" s="53">
        <f t="shared" si="25"/>
        <v>373057</v>
      </c>
      <c r="H31" s="53">
        <f t="shared" si="26"/>
        <v>387183</v>
      </c>
      <c r="J31" s="30">
        <f t="shared" si="27"/>
        <v>7.5414533462478672E-2</v>
      </c>
      <c r="K31" s="30">
        <f t="shared" si="28"/>
        <v>3.7865527251867676E-2</v>
      </c>
      <c r="L31" s="30"/>
      <c r="M31" s="307" t="str">
        <f>'Exh CTM-8 (Schedule 24 Impacts)'!U36</f>
        <v>Schedule 141COL Colstrip Adjustment</v>
      </c>
      <c r="N31" s="240">
        <f>'Sch 141COL'!$F$27</f>
        <v>9.8999999999999994E-5</v>
      </c>
      <c r="P31" s="238">
        <f>'Sch 141COL'!$L$27</f>
        <v>9.8999999999999994E-5</v>
      </c>
      <c r="Q31" s="235"/>
      <c r="S31" s="238">
        <f>'Sch 141COL'!$R$27</f>
        <v>9.8999999999999994E-5</v>
      </c>
      <c r="T31" s="235"/>
    </row>
    <row r="32" spans="1:20">
      <c r="A32" s="142">
        <f t="shared" si="29"/>
        <v>23</v>
      </c>
      <c r="C32" s="3">
        <v>700</v>
      </c>
      <c r="D32" s="52">
        <f>ROUND((B$30*C32),0)</f>
        <v>7000000</v>
      </c>
      <c r="E32" s="52"/>
      <c r="F32" s="53">
        <f t="shared" si="24"/>
        <v>480304</v>
      </c>
      <c r="G32" s="53">
        <f t="shared" si="25"/>
        <v>515328</v>
      </c>
      <c r="H32" s="53">
        <f t="shared" si="26"/>
        <v>533010</v>
      </c>
      <c r="J32" s="30">
        <f t="shared" si="27"/>
        <v>7.2920483693660679E-2</v>
      </c>
      <c r="K32" s="30">
        <f t="shared" si="28"/>
        <v>3.431212742175857E-2</v>
      </c>
      <c r="L32" s="30"/>
      <c r="M32" s="312" t="str">
        <f>'Exh CTM-8 (Schedule 24 Impacts)'!U37</f>
        <v>Schedule 141N Rates Not Subject to Refund</v>
      </c>
      <c r="N32" s="251">
        <f>'Sch 141N'!$G$27</f>
        <v>2.5899999999999999E-3</v>
      </c>
      <c r="O32" s="258"/>
      <c r="P32" s="249">
        <f>'Sch 141N'!$M$27</f>
        <v>0</v>
      </c>
      <c r="Q32" s="311"/>
      <c r="R32" s="258"/>
      <c r="S32" s="249">
        <f>'Sch 141N'!$S$27</f>
        <v>0</v>
      </c>
      <c r="T32" s="308"/>
    </row>
    <row r="33" spans="1:20">
      <c r="A33" s="142">
        <f t="shared" si="29"/>
        <v>24</v>
      </c>
      <c r="B33" s="58"/>
      <c r="C33" s="58"/>
      <c r="D33" s="58"/>
      <c r="E33" s="58"/>
      <c r="F33" s="58"/>
      <c r="G33" s="58"/>
      <c r="H33" s="58"/>
      <c r="I33" s="58"/>
      <c r="J33" s="58"/>
      <c r="M33" s="312" t="str">
        <f>'Exh CTM-8 (Schedule 24 Impacts)'!U38</f>
        <v>Schedule 141R Rates Subject to Refund</v>
      </c>
      <c r="N33" s="251">
        <f>'Sch 141R'!$G$27</f>
        <v>2.4610000000000001E-3</v>
      </c>
      <c r="O33" s="258"/>
      <c r="P33" s="249">
        <f>'Sch 141R'!$M$27</f>
        <v>0</v>
      </c>
      <c r="Q33" s="311"/>
      <c r="R33" s="258"/>
      <c r="S33" s="249">
        <f>'Sch 141R'!$S$27</f>
        <v>0</v>
      </c>
      <c r="T33" s="308"/>
    </row>
    <row r="34" spans="1:20">
      <c r="A34" s="142">
        <f t="shared" si="29"/>
        <v>25</v>
      </c>
      <c r="M34" s="307" t="str">
        <f>'Exh CTM-8 (Schedule 24 Impacts)'!U39</f>
        <v>Schedule 141 TEP</v>
      </c>
      <c r="N34" s="240">
        <f>'Sch 141TEP'!$E$27</f>
        <v>3.1799999999999998E-4</v>
      </c>
      <c r="O34" s="254"/>
      <c r="P34" s="238">
        <f>'Sch 141TEP'!$I$27</f>
        <v>3.1799999999999998E-4</v>
      </c>
      <c r="Q34" s="308"/>
      <c r="R34" s="254"/>
      <c r="S34" s="238">
        <f>'Sch 141TEP'!$M$27</f>
        <v>3.1799999999999998E-4</v>
      </c>
      <c r="T34" s="308"/>
    </row>
    <row r="35" spans="1:20">
      <c r="A35" s="142">
        <f t="shared" si="29"/>
        <v>26</v>
      </c>
      <c r="M35" s="312" t="str">
        <f>'Exh CTM-8 (Schedule 24 Impacts)'!U40</f>
        <v>Schedule 141WFP Wildfire Prevention Cost Recovery</v>
      </c>
      <c r="N35" s="251">
        <f>'Sch 141WFP'!$F$27</f>
        <v>0</v>
      </c>
      <c r="P35" s="249">
        <f>'Sch 141WFP'!$L$27</f>
        <v>1.0769742182156803E-5</v>
      </c>
      <c r="Q35" s="235"/>
      <c r="S35" s="249">
        <f>'Sch 141WFP'!$R$27</f>
        <v>1.3448393705163386E-5</v>
      </c>
      <c r="T35" s="235"/>
    </row>
    <row r="36" spans="1:20">
      <c r="A36" s="142">
        <f t="shared" si="29"/>
        <v>27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307" t="str">
        <f>'Exh CTM-8 (Schedule 24 Impacts)'!U41</f>
        <v>Schedule 141X (Protected) EDIT</v>
      </c>
      <c r="N36" s="240">
        <f>'Sch 141X'!$E$27</f>
        <v>0</v>
      </c>
      <c r="O36" s="149"/>
      <c r="P36" s="238">
        <f>'Sch 141X'!$I$27</f>
        <v>0</v>
      </c>
      <c r="Q36" s="306"/>
      <c r="R36" s="149"/>
      <c r="S36" s="238">
        <f>'Sch 141X'!$M$27</f>
        <v>0</v>
      </c>
      <c r="T36" s="306"/>
    </row>
    <row r="37" spans="1:20">
      <c r="A37" s="142">
        <f t="shared" si="29"/>
        <v>28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307" t="str">
        <f>'Exh CTM-8 (Schedule 24 Impacts)'!U42</f>
        <v>Schedule 141Z (Unprotected) EDIT</v>
      </c>
      <c r="N37" s="240">
        <f>'Sch 141Z'!$E$27</f>
        <v>0</v>
      </c>
      <c r="O37" s="149"/>
      <c r="P37" s="238">
        <f>'Sch 141Z'!$I$27</f>
        <v>0</v>
      </c>
      <c r="Q37" s="306"/>
      <c r="R37" s="149"/>
      <c r="S37" s="238">
        <f>'Sch 141Z'!$M$27</f>
        <v>0</v>
      </c>
      <c r="T37" s="306"/>
    </row>
    <row r="38" spans="1:20">
      <c r="A38" s="142">
        <f t="shared" si="29"/>
        <v>29</v>
      </c>
      <c r="B38" s="7"/>
      <c r="C38" s="48"/>
      <c r="D38" s="7"/>
      <c r="E38" s="7"/>
      <c r="F38" s="7"/>
      <c r="G38" s="7"/>
      <c r="H38" s="7"/>
      <c r="I38" s="7"/>
      <c r="J38" s="7"/>
      <c r="K38" s="7"/>
      <c r="L38" s="7"/>
      <c r="M38" s="307" t="str">
        <f>'Exh CTM-8 (Schedule 24 Impacts)'!U43</f>
        <v>Schedule 142  Deocupling Deferral</v>
      </c>
      <c r="N38" s="240">
        <f>'Sch 142'!$F$27</f>
        <v>0</v>
      </c>
      <c r="O38" s="149"/>
      <c r="P38" s="238">
        <f>'Sch 142'!$L$27</f>
        <v>0</v>
      </c>
      <c r="Q38" s="306"/>
      <c r="R38" s="149"/>
      <c r="S38" s="238">
        <f>'Sch 142'!$R$27</f>
        <v>0</v>
      </c>
      <c r="T38" s="306"/>
    </row>
    <row r="39" spans="1:20">
      <c r="A39" s="142">
        <f t="shared" si="29"/>
        <v>30</v>
      </c>
      <c r="B39" s="7"/>
      <c r="M39" s="307" t="str">
        <f>'Exh CTM-8 (Schedule 24 Impacts)'!U44</f>
        <v>Schedule 142 Deocupling Supplemental</v>
      </c>
      <c r="N39" s="240">
        <f>'Sch 142 Supplemental'!$F$27</f>
        <v>0</v>
      </c>
      <c r="O39" s="149"/>
      <c r="P39" s="238">
        <f>'Sch 142 Supplemental'!$L$27</f>
        <v>0</v>
      </c>
      <c r="Q39" s="306"/>
      <c r="R39" s="149"/>
      <c r="S39" s="238">
        <f>'Sch 142 Supplemental'!$R$27</f>
        <v>0</v>
      </c>
      <c r="T39" s="306"/>
    </row>
    <row r="40" spans="1:20">
      <c r="A40" s="142">
        <f t="shared" si="29"/>
        <v>31</v>
      </c>
      <c r="B40" s="9"/>
      <c r="C40" s="101"/>
      <c r="M40" s="307" t="str">
        <f>'Exh CTM-8 (Schedule 24 Impacts)'!U45</f>
        <v>Schedule 194 BPA Res &amp; Farm Credit</v>
      </c>
      <c r="N40" s="346" t="s">
        <v>430</v>
      </c>
      <c r="O40" s="239"/>
      <c r="P40" s="238"/>
      <c r="Q40" s="237"/>
      <c r="R40" s="239"/>
      <c r="S40" s="238"/>
      <c r="T40" s="306"/>
    </row>
    <row r="41" spans="1:20" ht="12" thickBot="1">
      <c r="A41" s="142">
        <f t="shared" si="29"/>
        <v>32</v>
      </c>
      <c r="M41" s="291" t="s">
        <v>392</v>
      </c>
      <c r="N41" s="289">
        <f>SUM(N18:N40)+N15</f>
        <v>7.2072999999999998E-2</v>
      </c>
      <c r="P41" s="290">
        <f>SUM(P18:P40)+P15</f>
        <v>7.1464192631900889E-2</v>
      </c>
      <c r="Q41" s="306"/>
      <c r="S41" s="290">
        <f>SUM(S18:S40)+S15</f>
        <v>7.3244823016926405E-2</v>
      </c>
      <c r="T41" s="306"/>
    </row>
    <row r="42" spans="1:20" ht="12" thickTop="1">
      <c r="A42" s="142">
        <f t="shared" si="29"/>
        <v>33</v>
      </c>
      <c r="M42" s="291"/>
      <c r="N42" s="347"/>
      <c r="P42" s="270"/>
      <c r="Q42" s="271"/>
      <c r="S42" s="270"/>
      <c r="T42" s="271"/>
    </row>
    <row r="43" spans="1:20">
      <c r="A43" s="142">
        <f t="shared" si="29"/>
        <v>34</v>
      </c>
      <c r="M43" s="234" t="s">
        <v>357</v>
      </c>
      <c r="N43" s="348"/>
      <c r="P43" s="233"/>
      <c r="Q43" s="232">
        <f>'Exh CTM-8 (Rate Impacts_RY#1)'!$H$18</f>
        <v>0.18114119163903467</v>
      </c>
      <c r="S43" s="233"/>
      <c r="T43" s="232">
        <f>'Exh CTM-8 (Rate Impacts_RY#2)'!$I$18</f>
        <v>7.7884392749647716E-2</v>
      </c>
    </row>
    <row r="44" spans="1:20">
      <c r="A44" s="142">
        <f t="shared" si="29"/>
        <v>35</v>
      </c>
      <c r="M44" s="234" t="s">
        <v>356</v>
      </c>
      <c r="N44" s="348"/>
      <c r="P44" s="233"/>
      <c r="Q44" s="232">
        <f>'Exh CTM-8 (Rate Impacts_RY#1)'!$AI$18</f>
        <v>4.7763827836913554E-2</v>
      </c>
      <c r="S44" s="233"/>
      <c r="T44" s="232">
        <f>'Exh CTM-8 (Rate Impacts_RY#2)'!$V$18</f>
        <v>8.5681330602463482E-2</v>
      </c>
    </row>
    <row r="45" spans="1:20" ht="12" thickBot="1">
      <c r="A45" s="142">
        <f t="shared" si="29"/>
        <v>36</v>
      </c>
      <c r="M45" s="343" t="s">
        <v>393</v>
      </c>
      <c r="N45" s="230"/>
      <c r="P45" s="231"/>
      <c r="Q45" s="230"/>
      <c r="S45" s="231"/>
      <c r="T45" s="230"/>
    </row>
  </sheetData>
  <mergeCells count="8">
    <mergeCell ref="F7:H7"/>
    <mergeCell ref="J7:K7"/>
    <mergeCell ref="P6:Q6"/>
    <mergeCell ref="S6:T6"/>
    <mergeCell ref="A1:Q1"/>
    <mergeCell ref="A2:Q2"/>
    <mergeCell ref="A3:Q3"/>
    <mergeCell ref="A4:Q4"/>
  </mergeCells>
  <pageMargins left="0.7" right="0.7" top="0.75" bottom="0.75" header="0.3" footer="0.3"/>
  <pageSetup scale="39" orientation="landscape" horizontalDpi="360" verticalDpi="360" r:id="rId1"/>
  <headerFooter>
    <oddFooter>&amp;R&amp;F
&amp;A
&amp;P of &amp;N</oddFooter>
  </headerFooter>
  <customProperties>
    <customPr name="_pios_id" r:id="rId2"/>
  </customProperties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3" tint="0.79998168889431442"/>
    <pageSetUpPr fitToPage="1"/>
  </sheetPr>
  <dimension ref="A1:T45"/>
  <sheetViews>
    <sheetView zoomScaleNormal="100" zoomScaleSheetLayoutView="100" workbookViewId="0">
      <pane xSplit="2" ySplit="11" topLeftCell="C12" activePane="bottomRight" state="frozen"/>
      <selection activeCell="U42" sqref="U42"/>
      <selection pane="topRight" activeCell="U42" sqref="U42"/>
      <selection pane="bottomLeft" activeCell="U42" sqref="U42"/>
      <selection pane="bottomRight" activeCell="T9" sqref="T9"/>
    </sheetView>
  </sheetViews>
  <sheetFormatPr defaultColWidth="9.42578125" defaultRowHeight="11.25"/>
  <cols>
    <col min="1" max="1" width="4.42578125" style="3" bestFit="1" customWidth="1"/>
    <col min="2" max="2" width="11.7109375" style="3" customWidth="1"/>
    <col min="3" max="3" width="10.28515625" style="3" customWidth="1"/>
    <col min="4" max="4" width="10.85546875" style="3" bestFit="1" customWidth="1"/>
    <col min="5" max="5" width="1.140625" style="3" customWidth="1"/>
    <col min="6" max="6" width="11.5703125" style="3" customWidth="1"/>
    <col min="7" max="7" width="14.140625" style="3" customWidth="1"/>
    <col min="8" max="8" width="12.7109375" style="3" customWidth="1"/>
    <col min="9" max="9" width="1.140625" style="3" customWidth="1"/>
    <col min="10" max="10" width="9.5703125" style="3" bestFit="1" customWidth="1"/>
    <col min="11" max="11" width="9.5703125" style="3" customWidth="1"/>
    <col min="12" max="12" width="1" style="3" customWidth="1"/>
    <col min="13" max="13" width="38.5703125" style="142" bestFit="1" customWidth="1"/>
    <col min="14" max="14" width="11.140625" style="142" bestFit="1" customWidth="1"/>
    <col min="15" max="15" width="1.140625" style="142" customWidth="1"/>
    <col min="16" max="17" width="11.140625" style="142" bestFit="1" customWidth="1"/>
    <col min="18" max="18" width="0.85546875" style="142" customWidth="1"/>
    <col min="19" max="19" width="11.140625" style="142" bestFit="1" customWidth="1"/>
    <col min="20" max="20" width="11.140625" style="142" customWidth="1"/>
    <col min="21" max="16384" width="9.42578125" style="3"/>
  </cols>
  <sheetData>
    <row r="1" spans="1:20" ht="11.25" customHeight="1">
      <c r="A1" s="497" t="str">
        <f>'Table of Contents'!A1</f>
        <v>Puget Sound Energy</v>
      </c>
      <c r="B1" s="497"/>
      <c r="C1" s="497"/>
      <c r="D1" s="497"/>
      <c r="E1" s="497"/>
      <c r="F1" s="497"/>
      <c r="G1" s="497"/>
      <c r="H1" s="497"/>
      <c r="I1" s="497"/>
      <c r="J1" s="497"/>
      <c r="K1" s="497"/>
      <c r="L1" s="497"/>
      <c r="M1" s="497"/>
      <c r="N1" s="497"/>
      <c r="O1" s="497"/>
      <c r="P1" s="497"/>
      <c r="Q1" s="497"/>
      <c r="R1" s="48"/>
      <c r="S1" s="48"/>
      <c r="T1" s="48"/>
    </row>
    <row r="2" spans="1:20" ht="11.25" customHeight="1">
      <c r="A2" s="497" t="str">
        <f>'Table of Contents'!A2</f>
        <v>2024 General Rate Case Docket No. UE-240004 and UG-240005</v>
      </c>
      <c r="B2" s="497"/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7"/>
      <c r="N2" s="497"/>
      <c r="O2" s="497"/>
      <c r="P2" s="497"/>
      <c r="Q2" s="497"/>
      <c r="R2" s="48"/>
      <c r="S2" s="48"/>
      <c r="T2" s="48"/>
    </row>
    <row r="3" spans="1:20" ht="12.75" customHeight="1">
      <c r="A3" s="448" t="s">
        <v>35</v>
      </c>
      <c r="B3" s="503"/>
      <c r="C3" s="503"/>
      <c r="D3" s="503"/>
      <c r="E3" s="503"/>
      <c r="F3" s="503"/>
      <c r="G3" s="503"/>
      <c r="H3" s="503"/>
      <c r="I3" s="503"/>
      <c r="J3" s="503"/>
      <c r="K3" s="503"/>
      <c r="L3" s="503"/>
      <c r="M3" s="503"/>
      <c r="N3" s="503"/>
      <c r="O3" s="503"/>
      <c r="P3" s="503"/>
      <c r="Q3" s="503"/>
      <c r="R3" s="48"/>
      <c r="S3" s="48"/>
      <c r="T3" s="48"/>
    </row>
    <row r="4" spans="1:20" ht="12.75">
      <c r="A4" s="448" t="s">
        <v>431</v>
      </c>
      <c r="B4" s="503" t="s">
        <v>70</v>
      </c>
      <c r="C4" s="503"/>
      <c r="D4" s="503"/>
      <c r="E4" s="503"/>
      <c r="F4" s="503"/>
      <c r="G4" s="503"/>
      <c r="H4" s="503"/>
      <c r="I4" s="503"/>
      <c r="J4" s="503"/>
      <c r="K4" s="503"/>
      <c r="L4" s="503"/>
      <c r="M4" s="503"/>
      <c r="N4" s="503"/>
      <c r="O4" s="503"/>
      <c r="P4" s="503"/>
      <c r="Q4" s="503"/>
      <c r="R4" s="48"/>
      <c r="S4" s="48"/>
      <c r="T4" s="48"/>
    </row>
    <row r="5" spans="1:20" ht="12" thickBot="1">
      <c r="B5" s="48"/>
      <c r="C5" s="48"/>
      <c r="D5" s="48"/>
      <c r="E5" s="48"/>
      <c r="F5" s="48"/>
      <c r="G5" s="48"/>
      <c r="H5" s="48"/>
      <c r="I5" s="48"/>
      <c r="J5" s="48"/>
      <c r="K5" s="48"/>
      <c r="L5" s="48"/>
      <c r="M5" s="331"/>
      <c r="N5" s="331"/>
      <c r="O5" s="331"/>
      <c r="P5" s="331"/>
      <c r="Q5" s="331"/>
      <c r="R5" s="331"/>
      <c r="S5" s="331"/>
      <c r="T5" s="331"/>
    </row>
    <row r="6" spans="1:20" ht="13.5" thickBot="1">
      <c r="A6" s="49"/>
      <c r="B6" s="48"/>
      <c r="C6" s="49"/>
      <c r="D6" s="49"/>
      <c r="E6" s="49"/>
      <c r="F6" s="49"/>
      <c r="G6" s="49"/>
      <c r="H6" s="49"/>
      <c r="I6" s="49"/>
      <c r="M6" s="136"/>
      <c r="N6" s="136"/>
      <c r="P6" s="475" t="s">
        <v>353</v>
      </c>
      <c r="Q6" s="517"/>
      <c r="S6" s="475" t="s">
        <v>354</v>
      </c>
      <c r="T6" s="517"/>
    </row>
    <row r="7" spans="1:20" ht="13.5" customHeight="1">
      <c r="A7" s="136"/>
      <c r="B7" s="135"/>
      <c r="C7" s="135"/>
      <c r="D7" s="136"/>
      <c r="E7" s="136"/>
      <c r="F7" s="514" t="s">
        <v>401</v>
      </c>
      <c r="G7" s="515"/>
      <c r="H7" s="516"/>
      <c r="I7" s="136"/>
      <c r="J7" s="509" t="s">
        <v>44</v>
      </c>
      <c r="K7" s="516"/>
      <c r="L7" s="49"/>
      <c r="M7" s="300"/>
      <c r="N7" s="302"/>
      <c r="P7" s="351"/>
      <c r="Q7" s="302"/>
      <c r="S7" s="351"/>
      <c r="T7" s="302"/>
    </row>
    <row r="8" spans="1:20" ht="33.75">
      <c r="A8" s="138" t="s">
        <v>350</v>
      </c>
      <c r="B8" s="287" t="s">
        <v>400</v>
      </c>
      <c r="C8" s="287" t="s">
        <v>54</v>
      </c>
      <c r="D8" s="287" t="s">
        <v>34</v>
      </c>
      <c r="E8" s="136"/>
      <c r="F8" s="140" t="s">
        <v>433</v>
      </c>
      <c r="G8" s="140" t="s">
        <v>427</v>
      </c>
      <c r="H8" s="140" t="s">
        <v>434</v>
      </c>
      <c r="I8" s="358"/>
      <c r="J8" s="140" t="s">
        <v>387</v>
      </c>
      <c r="K8" s="140" t="s">
        <v>388</v>
      </c>
      <c r="L8" s="49"/>
      <c r="M8" s="334"/>
      <c r="N8" s="349" t="s">
        <v>347</v>
      </c>
      <c r="P8" s="350" t="s">
        <v>352</v>
      </c>
      <c r="Q8" s="349" t="s">
        <v>351</v>
      </c>
      <c r="S8" s="350" t="s">
        <v>352</v>
      </c>
      <c r="T8" s="349" t="s">
        <v>351</v>
      </c>
    </row>
    <row r="9" spans="1:20">
      <c r="A9" s="58"/>
      <c r="B9" s="390" t="s">
        <v>18</v>
      </c>
      <c r="C9" s="390" t="s">
        <v>19</v>
      </c>
      <c r="D9" s="390" t="s">
        <v>20</v>
      </c>
      <c r="E9" s="390"/>
      <c r="F9" s="390" t="s">
        <v>21</v>
      </c>
      <c r="G9" s="390" t="s">
        <v>24</v>
      </c>
      <c r="H9" s="390" t="s">
        <v>25</v>
      </c>
      <c r="I9" s="390"/>
      <c r="J9" s="390" t="s">
        <v>26</v>
      </c>
      <c r="K9" s="390" t="s">
        <v>27</v>
      </c>
      <c r="M9" s="326" t="s">
        <v>28</v>
      </c>
      <c r="N9" s="327" t="s">
        <v>29</v>
      </c>
      <c r="O9" s="141"/>
      <c r="P9" s="326" t="s">
        <v>30</v>
      </c>
      <c r="Q9" s="327" t="s">
        <v>74</v>
      </c>
      <c r="R9" s="141"/>
      <c r="S9" s="326" t="s">
        <v>83</v>
      </c>
      <c r="T9" s="327" t="s">
        <v>84</v>
      </c>
    </row>
    <row r="10" spans="1:20">
      <c r="A10" s="142">
        <v>1</v>
      </c>
      <c r="B10" s="52">
        <v>1000</v>
      </c>
      <c r="C10" s="3">
        <v>300</v>
      </c>
      <c r="D10" s="52">
        <f>ROUND((B$10*C10),0)</f>
        <v>300000</v>
      </c>
      <c r="E10" s="52"/>
      <c r="F10" s="53">
        <f>ROUND(IF($B$10&gt;4400,$B$10*N$10,4400*$N$10)+$D10*N$11,0)</f>
        <v>45448</v>
      </c>
      <c r="G10" s="53">
        <f>ROUND(IF($B$10&gt;4400,$B$10*P$10,4400*$P$10)+$D10*P$11,0)</f>
        <v>54428</v>
      </c>
      <c r="H10" s="53">
        <f>ROUND(IF($B$10&gt;4400,$B$10*S$10,4400*$S$10)+$D10*S$11,0)</f>
        <v>64666</v>
      </c>
      <c r="J10" s="30">
        <f t="shared" ref="J10:K12" si="0">(G10-F10)/F10</f>
        <v>0.19758845273719416</v>
      </c>
      <c r="K10" s="30">
        <f t="shared" si="0"/>
        <v>0.18810171235393547</v>
      </c>
      <c r="L10" s="30"/>
      <c r="M10" s="51" t="s">
        <v>69</v>
      </c>
      <c r="N10" s="274">
        <f>SUM(N14)</f>
        <v>5.65</v>
      </c>
      <c r="O10" s="254"/>
      <c r="P10" s="325">
        <f>SUM(P14)</f>
        <v>7.35</v>
      </c>
      <c r="Q10" s="308">
        <f>(P10-N10)/N10</f>
        <v>0.30088495575221225</v>
      </c>
      <c r="R10" s="254"/>
      <c r="S10" s="325">
        <f>SUM(S14)</f>
        <v>9.5500000000000007</v>
      </c>
      <c r="T10" s="308">
        <f>(S10-P10)/P10</f>
        <v>0.29931972789115663</v>
      </c>
    </row>
    <row r="11" spans="1:20">
      <c r="A11" s="142">
        <f t="shared" ref="A11:A30" si="1">A10+1</f>
        <v>2</v>
      </c>
      <c r="C11" s="3">
        <v>500</v>
      </c>
      <c r="D11" s="52">
        <f>ROUND((B$10*C11),0)</f>
        <v>500000</v>
      </c>
      <c r="E11" s="52"/>
      <c r="F11" s="53">
        <f>ROUND(IF($B$10&gt;4400,$B$10*N$10,4400*$N$10)+$D11*N$11,0)</f>
        <v>59174</v>
      </c>
      <c r="G11" s="53">
        <f>ROUND(IF($B$10&gt;4400,$B$10*P$10,4400*$P$10)+$D11*P$11,0)</f>
        <v>69154</v>
      </c>
      <c r="H11" s="53">
        <f>ROUND(IF($B$10&gt;4400,$B$10*S$10,4400*$S$10)+$D11*S$11,0)</f>
        <v>79763</v>
      </c>
      <c r="J11" s="30">
        <f t="shared" si="0"/>
        <v>0.16865515260080441</v>
      </c>
      <c r="K11" s="30">
        <f t="shared" si="0"/>
        <v>0.15341122711629118</v>
      </c>
      <c r="L11" s="30"/>
      <c r="M11" s="51" t="s">
        <v>68</v>
      </c>
      <c r="N11" s="274">
        <f>SUM(N15,N17:N31)</f>
        <v>6.8628000000000008E-2</v>
      </c>
      <c r="O11" s="254"/>
      <c r="P11" s="325">
        <f>SUM(P15,P17:P31)</f>
        <v>7.3627150050660173E-2</v>
      </c>
      <c r="Q11" s="308">
        <f>(P11-N11)/N11</f>
        <v>7.2844175127647084E-2</v>
      </c>
      <c r="R11" s="254"/>
      <c r="S11" s="325">
        <f>SUM(S15,S17:S31)</f>
        <v>7.5485091367295698E-2</v>
      </c>
      <c r="T11" s="308">
        <f>(S11-P11)/P11</f>
        <v>2.5234459236261938E-2</v>
      </c>
    </row>
    <row r="12" spans="1:20">
      <c r="A12" s="142">
        <f t="shared" si="1"/>
        <v>3</v>
      </c>
      <c r="C12" s="3">
        <v>700</v>
      </c>
      <c r="D12" s="52">
        <f>ROUND((B$10*C12),0)</f>
        <v>700000</v>
      </c>
      <c r="E12" s="52"/>
      <c r="F12" s="53">
        <f>ROUND(IF($B$10&gt;4400,$B$10*N$10,4400*$N$10)+$D12*N$11,0)</f>
        <v>72900</v>
      </c>
      <c r="G12" s="53">
        <f>ROUND(IF($B$10&gt;4400,$B$10*P$10,4400*$P$10)+$D12*P$11,0)</f>
        <v>83879</v>
      </c>
      <c r="H12" s="53">
        <f>ROUND(IF($B$10&gt;4400,$B$10*S$10,4400*$S$10)+$D12*S$11,0)</f>
        <v>94860</v>
      </c>
      <c r="J12" s="30">
        <f t="shared" si="0"/>
        <v>0.15060356652949244</v>
      </c>
      <c r="K12" s="30">
        <f t="shared" si="0"/>
        <v>0.13091477008548028</v>
      </c>
      <c r="L12" s="30"/>
      <c r="M12" s="54" t="s">
        <v>12</v>
      </c>
      <c r="N12" s="274" t="s">
        <v>12</v>
      </c>
      <c r="O12" s="254"/>
      <c r="P12" s="325" t="s">
        <v>12</v>
      </c>
      <c r="Q12" s="308"/>
      <c r="R12" s="254"/>
      <c r="S12" s="325" t="s">
        <v>12</v>
      </c>
      <c r="T12" s="308"/>
    </row>
    <row r="13" spans="1:20">
      <c r="A13" s="142">
        <f t="shared" si="1"/>
        <v>4</v>
      </c>
      <c r="F13" s="53"/>
      <c r="G13" s="53"/>
      <c r="H13" s="53"/>
      <c r="J13" s="30"/>
      <c r="K13" s="30"/>
      <c r="L13" s="30"/>
      <c r="M13" s="54"/>
      <c r="N13" s="271"/>
      <c r="O13" s="254"/>
      <c r="P13" s="320"/>
      <c r="Q13" s="308"/>
      <c r="R13" s="254"/>
      <c r="S13" s="320"/>
      <c r="T13" s="308"/>
    </row>
    <row r="14" spans="1:20">
      <c r="A14" s="142">
        <f t="shared" si="1"/>
        <v>5</v>
      </c>
      <c r="B14" s="52">
        <v>2000</v>
      </c>
      <c r="C14" s="3">
        <v>300</v>
      </c>
      <c r="D14" s="52">
        <f>ROUND((B$14*C14),0)</f>
        <v>600000</v>
      </c>
      <c r="E14" s="52"/>
      <c r="F14" s="53">
        <f t="shared" ref="F14:F16" si="2">ROUND(IF($B$10&gt;4400,$B$10*N$10,4400*$N$10)+$D14*N$11,0)</f>
        <v>66037</v>
      </c>
      <c r="G14" s="53">
        <f t="shared" ref="G14:G16" si="3">ROUND(IF($B$10&gt;4400,$B$10*P$10,4400*$P$10)+$D14*P$11,0)</f>
        <v>76516</v>
      </c>
      <c r="H14" s="53">
        <f t="shared" ref="H14:H16" si="4">ROUND(IF($B$10&gt;4400,$B$10*S$10,4400*$S$10)+$D14*S$11,0)</f>
        <v>87311</v>
      </c>
      <c r="J14" s="30">
        <f t="shared" ref="J14:K16" si="5">(G14-F14)/F14</f>
        <v>0.15868376819055985</v>
      </c>
      <c r="K14" s="30">
        <f t="shared" si="5"/>
        <v>0.1410816038475613</v>
      </c>
      <c r="L14" s="30"/>
      <c r="M14" s="54" t="s">
        <v>69</v>
      </c>
      <c r="N14" s="318">
        <v>5.65</v>
      </c>
      <c r="O14" s="254"/>
      <c r="P14" s="317">
        <v>7.35</v>
      </c>
      <c r="Q14" s="308">
        <f t="shared" ref="Q14:Q15" si="6">(P14-N14)/N14</f>
        <v>0.30088495575221225</v>
      </c>
      <c r="R14" s="254"/>
      <c r="S14" s="317">
        <v>9.5500000000000007</v>
      </c>
      <c r="T14" s="308">
        <f t="shared" ref="T14:T15" si="7">(S14-P14)/P14</f>
        <v>0.29931972789115663</v>
      </c>
    </row>
    <row r="15" spans="1:20">
      <c r="A15" s="142">
        <f t="shared" si="1"/>
        <v>6</v>
      </c>
      <c r="C15" s="3">
        <v>500</v>
      </c>
      <c r="D15" s="52">
        <f>ROUND((B$14*C15),0)</f>
        <v>1000000</v>
      </c>
      <c r="E15" s="52"/>
      <c r="F15" s="53">
        <f t="shared" si="2"/>
        <v>93488</v>
      </c>
      <c r="G15" s="53">
        <f t="shared" si="3"/>
        <v>105967</v>
      </c>
      <c r="H15" s="53">
        <f t="shared" si="4"/>
        <v>117505</v>
      </c>
      <c r="J15" s="30">
        <f t="shared" si="5"/>
        <v>0.13348237206914257</v>
      </c>
      <c r="K15" s="30">
        <f t="shared" si="5"/>
        <v>0.10888295412722829</v>
      </c>
      <c r="L15" s="30"/>
      <c r="M15" s="54" t="s">
        <v>68</v>
      </c>
      <c r="N15" s="352">
        <v>5.0422000000000002E-2</v>
      </c>
      <c r="O15" s="254"/>
      <c r="P15" s="354">
        <v>6.1994E-2</v>
      </c>
      <c r="Q15" s="308">
        <f t="shared" si="6"/>
        <v>0.22950299472452498</v>
      </c>
      <c r="R15" s="254"/>
      <c r="S15" s="354">
        <v>6.3664999999999999E-2</v>
      </c>
      <c r="T15" s="308">
        <f t="shared" si="7"/>
        <v>2.6954221376262199E-2</v>
      </c>
    </row>
    <row r="16" spans="1:20">
      <c r="A16" s="142">
        <f t="shared" si="1"/>
        <v>7</v>
      </c>
      <c r="C16" s="3">
        <v>700</v>
      </c>
      <c r="D16" s="52">
        <f>ROUND((B$14*C16),0)</f>
        <v>1400000</v>
      </c>
      <c r="E16" s="52"/>
      <c r="F16" s="53">
        <f t="shared" si="2"/>
        <v>120939</v>
      </c>
      <c r="G16" s="53">
        <f t="shared" si="3"/>
        <v>135418</v>
      </c>
      <c r="H16" s="53">
        <f t="shared" si="4"/>
        <v>147699</v>
      </c>
      <c r="J16" s="30">
        <f t="shared" si="5"/>
        <v>0.1197215124980362</v>
      </c>
      <c r="K16" s="30">
        <f t="shared" si="5"/>
        <v>9.0689568595016909E-2</v>
      </c>
      <c r="L16" s="30"/>
      <c r="M16" s="54"/>
      <c r="N16" s="271"/>
      <c r="O16" s="254"/>
      <c r="P16" s="320"/>
      <c r="Q16" s="308"/>
      <c r="R16" s="254"/>
      <c r="S16" s="320"/>
      <c r="T16" s="308"/>
    </row>
    <row r="17" spans="1:20">
      <c r="A17" s="142">
        <f t="shared" si="1"/>
        <v>8</v>
      </c>
      <c r="F17" s="53"/>
      <c r="G17" s="53"/>
      <c r="H17" s="53"/>
      <c r="J17" s="30"/>
      <c r="K17" s="30"/>
      <c r="L17" s="30"/>
      <c r="M17" s="233"/>
      <c r="N17" s="345"/>
      <c r="P17" s="233"/>
      <c r="Q17" s="235"/>
      <c r="S17" s="233"/>
      <c r="T17" s="235"/>
    </row>
    <row r="18" spans="1:20">
      <c r="A18" s="142">
        <f t="shared" si="1"/>
        <v>9</v>
      </c>
      <c r="B18" s="52">
        <v>4000</v>
      </c>
      <c r="C18" s="3">
        <v>300</v>
      </c>
      <c r="D18" s="52">
        <f>ROUND((B$18*C18),0)</f>
        <v>1200000</v>
      </c>
      <c r="E18" s="52"/>
      <c r="F18" s="53">
        <f t="shared" ref="F18:F20" si="8">ROUND(IF($B$10&gt;4400,$B$10*N$10,4400*$N$10)+$D18*N$11,0)</f>
        <v>107214</v>
      </c>
      <c r="G18" s="53">
        <f t="shared" ref="G18:G20" si="9">ROUND(IF($B$10&gt;4400,$B$10*P$10,4400*$P$10)+$D18*P$11,0)</f>
        <v>120693</v>
      </c>
      <c r="H18" s="53">
        <f t="shared" ref="H18:H20" si="10">ROUND(IF($B$10&gt;4400,$B$10*S$10,4400*$S$10)+$D18*S$11,0)</f>
        <v>132602</v>
      </c>
      <c r="J18" s="30">
        <f t="shared" ref="J18:K20" si="11">(G18-F18)/F18</f>
        <v>0.12572052157367508</v>
      </c>
      <c r="K18" s="30">
        <f t="shared" si="11"/>
        <v>9.8671836809094152E-2</v>
      </c>
      <c r="L18" s="30"/>
      <c r="M18" s="312" t="str">
        <f>'Exh CTM-8 (Schedule 24 Impacts)'!U23</f>
        <v xml:space="preserve">Schedule 95 Power Cost
</v>
      </c>
      <c r="N18" s="251">
        <f>'Sch 95'!$E$28</f>
        <v>6.966E-3</v>
      </c>
      <c r="O18" s="258"/>
      <c r="P18" s="249">
        <f>'Sch 95'!$I$28</f>
        <v>0</v>
      </c>
      <c r="Q18" s="311"/>
      <c r="R18" s="258"/>
      <c r="S18" s="249">
        <f>'Sch 95'!$M$28</f>
        <v>0</v>
      </c>
      <c r="T18" s="308"/>
    </row>
    <row r="19" spans="1:20">
      <c r="A19" s="142">
        <f t="shared" si="1"/>
        <v>10</v>
      </c>
      <c r="C19" s="3">
        <v>500</v>
      </c>
      <c r="D19" s="52">
        <f>ROUND((B$18*C19),0)</f>
        <v>2000000</v>
      </c>
      <c r="E19" s="52"/>
      <c r="F19" s="53">
        <f t="shared" si="8"/>
        <v>162116</v>
      </c>
      <c r="G19" s="53">
        <f t="shared" si="9"/>
        <v>179594</v>
      </c>
      <c r="H19" s="53">
        <f t="shared" si="10"/>
        <v>192990</v>
      </c>
      <c r="J19" s="30">
        <f t="shared" si="11"/>
        <v>0.10781169039453231</v>
      </c>
      <c r="K19" s="30">
        <f t="shared" si="11"/>
        <v>7.4590465160306027E-2</v>
      </c>
      <c r="L19" s="30"/>
      <c r="M19" s="307" t="str">
        <f>'Exh CTM-8 (Schedule 24 Impacts)'!U24</f>
        <v>Schedule 95 PCA Imbalance</v>
      </c>
      <c r="N19" s="240">
        <f>'Sch 95 Imbalance'!$E$28</f>
        <v>3.2330000000000002E-3</v>
      </c>
      <c r="O19" s="254"/>
      <c r="P19" s="238">
        <f>'Sch 95 Imbalance'!$I$28</f>
        <v>3.2330000000000002E-3</v>
      </c>
      <c r="Q19" s="308"/>
      <c r="R19" s="254"/>
      <c r="S19" s="238">
        <f>'Sch 95 Imbalance'!$M$28</f>
        <v>3.2330000000000002E-3</v>
      </c>
      <c r="T19" s="308"/>
    </row>
    <row r="20" spans="1:20">
      <c r="A20" s="142">
        <f t="shared" si="1"/>
        <v>11</v>
      </c>
      <c r="C20" s="3">
        <v>700</v>
      </c>
      <c r="D20" s="52">
        <f>ROUND((B$18*C20),0)</f>
        <v>2800000</v>
      </c>
      <c r="E20" s="52"/>
      <c r="F20" s="53">
        <f t="shared" si="8"/>
        <v>217018</v>
      </c>
      <c r="G20" s="53">
        <f t="shared" si="9"/>
        <v>238496</v>
      </c>
      <c r="H20" s="53">
        <f t="shared" si="10"/>
        <v>253378</v>
      </c>
      <c r="J20" s="30">
        <f t="shared" si="11"/>
        <v>9.8968749136016373E-2</v>
      </c>
      <c r="K20" s="30">
        <f t="shared" si="11"/>
        <v>6.2399369381457133E-2</v>
      </c>
      <c r="L20" s="30"/>
      <c r="M20" s="307" t="str">
        <f>'Exh CTM-8 (Schedule 24 Impacts)'!U25</f>
        <v>Schedule 95A Federal Incentive Credit</v>
      </c>
      <c r="N20" s="240">
        <f>'Sch 95a'!$E$28</f>
        <v>0</v>
      </c>
      <c r="O20" s="254"/>
      <c r="P20" s="238">
        <f>'Sch 95a'!$I$28</f>
        <v>0</v>
      </c>
      <c r="Q20" s="308"/>
      <c r="R20" s="254"/>
      <c r="S20" s="238">
        <f>'Sch 95a'!$M$28</f>
        <v>0</v>
      </c>
      <c r="T20" s="308"/>
    </row>
    <row r="21" spans="1:20">
      <c r="A21" s="142">
        <f t="shared" si="1"/>
        <v>12</v>
      </c>
      <c r="F21" s="53"/>
      <c r="G21" s="53"/>
      <c r="H21" s="53"/>
      <c r="J21" s="30"/>
      <c r="K21" s="30"/>
      <c r="L21" s="30"/>
      <c r="M21" s="307" t="str">
        <f>'Exh CTM-8 (Schedule 24 Impacts)'!U26</f>
        <v>Schedule 120 Conservation</v>
      </c>
      <c r="N21" s="240">
        <f>'Sch 120'!$E$28</f>
        <v>3.5690000000000001E-3</v>
      </c>
      <c r="P21" s="238">
        <f>'Sch 120'!$I$28</f>
        <v>3.5690000000000001E-3</v>
      </c>
      <c r="Q21" s="235"/>
      <c r="S21" s="238">
        <f>'Sch 120'!$M$28</f>
        <v>3.5690000000000001E-3</v>
      </c>
      <c r="T21" s="235"/>
    </row>
    <row r="22" spans="1:20">
      <c r="A22" s="142">
        <f t="shared" si="1"/>
        <v>13</v>
      </c>
      <c r="B22" s="52">
        <v>6000</v>
      </c>
      <c r="C22" s="3">
        <v>300</v>
      </c>
      <c r="D22" s="52">
        <f>ROUND((B$22*C22),0)</f>
        <v>1800000</v>
      </c>
      <c r="E22" s="52"/>
      <c r="F22" s="53">
        <f t="shared" ref="F22:F24" si="12">ROUND(IF($B$10&gt;4400,$B$10*N$10,4400*$N$10)+$D22*N$11,0)</f>
        <v>148390</v>
      </c>
      <c r="G22" s="53">
        <f t="shared" ref="G22:G24" si="13">ROUND(IF($B$10&gt;4400,$B$10*P$10,4400*$P$10)+$D22*P$11,0)</f>
        <v>164869</v>
      </c>
      <c r="H22" s="53">
        <f t="shared" ref="H22:H24" si="14">ROUND(IF($B$10&gt;4400,$B$10*S$10,4400*$S$10)+$D22*S$11,0)</f>
        <v>177893</v>
      </c>
      <c r="J22" s="30">
        <f t="shared" ref="J22:K24" si="15">(G22-F22)/F22</f>
        <v>0.11105195767908889</v>
      </c>
      <c r="K22" s="30">
        <f t="shared" si="15"/>
        <v>7.8996051410513801E-2</v>
      </c>
      <c r="L22" s="30"/>
      <c r="M22" s="307" t="str">
        <f>'Exh CTM-8 (Schedule 24 Impacts)'!U27</f>
        <v>Schedule 129 Low Income</v>
      </c>
      <c r="N22" s="240">
        <f>'Sch 129'!$E$28</f>
        <v>8.3699999999999996E-4</v>
      </c>
      <c r="O22" s="254"/>
      <c r="P22" s="238">
        <f>'Sch 129'!$I$28</f>
        <v>8.3699999999999996E-4</v>
      </c>
      <c r="Q22" s="308"/>
      <c r="R22" s="254"/>
      <c r="S22" s="238">
        <f>'Sch 129'!$M$28</f>
        <v>8.3699999999999996E-4</v>
      </c>
      <c r="T22" s="308"/>
    </row>
    <row r="23" spans="1:20">
      <c r="A23" s="142">
        <f t="shared" si="1"/>
        <v>14</v>
      </c>
      <c r="C23" s="3">
        <v>500</v>
      </c>
      <c r="D23" s="52">
        <f>ROUND((B$22*C23),0)</f>
        <v>3000000</v>
      </c>
      <c r="E23" s="52"/>
      <c r="F23" s="53">
        <f t="shared" si="12"/>
        <v>230744</v>
      </c>
      <c r="G23" s="53">
        <f t="shared" si="13"/>
        <v>253221</v>
      </c>
      <c r="H23" s="53">
        <f t="shared" si="14"/>
        <v>268475</v>
      </c>
      <c r="J23" s="30">
        <f t="shared" si="15"/>
        <v>9.7410983600873691E-2</v>
      </c>
      <c r="K23" s="30">
        <f t="shared" si="15"/>
        <v>6.023986952109027E-2</v>
      </c>
      <c r="L23" s="30"/>
      <c r="M23" s="307" t="str">
        <f>'Exh CTM-8 (Schedule 24 Impacts)'!U28</f>
        <v>Schedule 129D Bill Discount</v>
      </c>
      <c r="N23" s="240">
        <f>'Sch 129D'!$E$28</f>
        <v>3.5599999999999998E-4</v>
      </c>
      <c r="O23" s="254"/>
      <c r="P23" s="238">
        <f>'Sch 129D'!$I$28</f>
        <v>3.5599999999999998E-4</v>
      </c>
      <c r="Q23" s="308"/>
      <c r="R23" s="254"/>
      <c r="S23" s="238">
        <f>'Sch 129D'!$M$28</f>
        <v>3.5599999999999998E-4</v>
      </c>
      <c r="T23" s="308"/>
    </row>
    <row r="24" spans="1:20">
      <c r="A24" s="142">
        <f t="shared" si="1"/>
        <v>15</v>
      </c>
      <c r="C24" s="3">
        <v>700</v>
      </c>
      <c r="D24" s="52">
        <f>ROUND((B$22*C24),0)</f>
        <v>4200000</v>
      </c>
      <c r="E24" s="52"/>
      <c r="F24" s="53">
        <f t="shared" si="12"/>
        <v>313098</v>
      </c>
      <c r="G24" s="53">
        <f t="shared" si="13"/>
        <v>341574</v>
      </c>
      <c r="H24" s="53">
        <f t="shared" si="14"/>
        <v>359057</v>
      </c>
      <c r="J24" s="30">
        <f t="shared" si="15"/>
        <v>9.0949159688021003E-2</v>
      </c>
      <c r="K24" s="30">
        <f t="shared" si="15"/>
        <v>5.1183638098918537E-2</v>
      </c>
      <c r="L24" s="30"/>
      <c r="M24" s="312" t="str">
        <f>'Exh CTM-8 (Schedule 24 Impacts)'!U29</f>
        <v>Schedule 137 REC</v>
      </c>
      <c r="N24" s="251">
        <f>'Sch 137'!$E$28</f>
        <v>5.0000000000000004E-6</v>
      </c>
      <c r="O24" s="258"/>
      <c r="P24" s="249">
        <f>'Sch 137'!$I$28</f>
        <v>0</v>
      </c>
      <c r="Q24" s="311"/>
      <c r="R24" s="258"/>
      <c r="S24" s="249">
        <f>'Sch 137'!$M$28</f>
        <v>0</v>
      </c>
      <c r="T24" s="308"/>
    </row>
    <row r="25" spans="1:20">
      <c r="A25" s="142">
        <f t="shared" si="1"/>
        <v>16</v>
      </c>
      <c r="D25" s="52"/>
      <c r="E25" s="52"/>
      <c r="F25" s="53"/>
      <c r="G25" s="53"/>
      <c r="H25" s="53"/>
      <c r="J25" s="30"/>
      <c r="K25" s="30"/>
      <c r="L25" s="30"/>
      <c r="M25" s="307" t="str">
        <f>'Exh CTM-8 (Schedule 24 Impacts)'!U30</f>
        <v>Schedule 140 Property Tax</v>
      </c>
      <c r="N25" s="240">
        <f>'Sch 140'!$E$28</f>
        <v>9.5E-4</v>
      </c>
      <c r="O25" s="254"/>
      <c r="P25" s="238">
        <f>'Sch 140'!$I$28</f>
        <v>9.5E-4</v>
      </c>
      <c r="Q25" s="308"/>
      <c r="R25" s="254"/>
      <c r="S25" s="238">
        <f>'Sch 140'!$M$28</f>
        <v>9.5E-4</v>
      </c>
      <c r="T25" s="308"/>
    </row>
    <row r="26" spans="1:20">
      <c r="A26" s="142">
        <f t="shared" si="1"/>
        <v>17</v>
      </c>
      <c r="B26" s="52">
        <v>8000</v>
      </c>
      <c r="C26" s="3">
        <v>300</v>
      </c>
      <c r="D26" s="52">
        <f>ROUND((B$26*C26),0)</f>
        <v>2400000</v>
      </c>
      <c r="E26" s="52"/>
      <c r="F26" s="53">
        <f t="shared" ref="F26:F28" si="16">ROUND(IF($B$10&gt;4400,$B$10*N$10,4400*$N$10)+$D26*N$11,0)</f>
        <v>189567</v>
      </c>
      <c r="G26" s="53">
        <f t="shared" ref="G26:G28" si="17">ROUND(IF($B$10&gt;4400,$B$10*P$10,4400*$P$10)+$D26*P$11,0)</f>
        <v>209045</v>
      </c>
      <c r="H26" s="53">
        <f t="shared" ref="H26:H28" si="18">ROUND(IF($B$10&gt;4400,$B$10*S$10,4400*$S$10)+$D26*S$11,0)</f>
        <v>223184</v>
      </c>
      <c r="J26" s="30">
        <f t="shared" ref="J26:K28" si="19">(G26-F26)/F26</f>
        <v>0.1027499512045873</v>
      </c>
      <c r="K26" s="30">
        <f t="shared" si="19"/>
        <v>6.7636154894879091E-2</v>
      </c>
      <c r="L26" s="30"/>
      <c r="M26" s="307" t="str">
        <f>'Exh CTM-8 (Schedule 24 Impacts)'!U31</f>
        <v>Schedule 141 ERF</v>
      </c>
      <c r="N26" s="240">
        <f>'Sch 141'!$E$28</f>
        <v>0</v>
      </c>
      <c r="O26" s="254"/>
      <c r="P26" s="238">
        <f>'Sch 141'!$I$28</f>
        <v>0</v>
      </c>
      <c r="Q26" s="308"/>
      <c r="R26" s="254"/>
      <c r="S26" s="238">
        <f>'Sch 141'!$M$28</f>
        <v>0</v>
      </c>
      <c r="T26" s="308"/>
    </row>
    <row r="27" spans="1:20">
      <c r="A27" s="142">
        <f t="shared" si="1"/>
        <v>18</v>
      </c>
      <c r="C27" s="3">
        <v>500</v>
      </c>
      <c r="D27" s="52">
        <f>ROUND((B$26*C27),0)</f>
        <v>4000000</v>
      </c>
      <c r="E27" s="52"/>
      <c r="F27" s="53">
        <f t="shared" si="16"/>
        <v>299372</v>
      </c>
      <c r="G27" s="53">
        <f t="shared" si="17"/>
        <v>326849</v>
      </c>
      <c r="H27" s="53">
        <f t="shared" si="18"/>
        <v>343960</v>
      </c>
      <c r="J27" s="30">
        <f t="shared" si="19"/>
        <v>9.1782130593375463E-2</v>
      </c>
      <c r="K27" s="30">
        <f t="shared" si="19"/>
        <v>5.2351391621207347E-2</v>
      </c>
      <c r="L27" s="30"/>
      <c r="M27" s="307" t="str">
        <f>'Exh CTM-8 (Schedule 24 Impacts)'!U32</f>
        <v>Schedule 141A Energy Charge Credit</v>
      </c>
      <c r="N27" s="240">
        <f>'Sch 141A'!$F$28</f>
        <v>1.5560000000000001E-3</v>
      </c>
      <c r="P27" s="238">
        <f>'Sch 141A'!$J$28</f>
        <v>1.5560000000000001E-3</v>
      </c>
      <c r="Q27" s="235"/>
      <c r="S27" s="238">
        <f>'Sch 141A'!$N$28</f>
        <v>1.5560000000000001E-3</v>
      </c>
      <c r="T27" s="235"/>
    </row>
    <row r="28" spans="1:20">
      <c r="A28" s="142">
        <f t="shared" si="1"/>
        <v>19</v>
      </c>
      <c r="C28" s="3">
        <v>700</v>
      </c>
      <c r="D28" s="52">
        <f>ROUND((B$26*C28),0)</f>
        <v>5600000</v>
      </c>
      <c r="E28" s="52"/>
      <c r="F28" s="53">
        <f t="shared" si="16"/>
        <v>409177</v>
      </c>
      <c r="G28" s="53">
        <f t="shared" si="17"/>
        <v>444652</v>
      </c>
      <c r="H28" s="53">
        <f t="shared" si="18"/>
        <v>464737</v>
      </c>
      <c r="J28" s="30">
        <f t="shared" si="19"/>
        <v>8.6698421465527142E-2</v>
      </c>
      <c r="K28" s="30">
        <f t="shared" si="19"/>
        <v>4.5170155537364053E-2</v>
      </c>
      <c r="L28" s="30"/>
      <c r="M28" s="312" t="str">
        <f>'Exh CTM-8 (Schedule 24 Impacts)'!U33</f>
        <v>Schedule 141CEI Clean Energy Implementation Plan</v>
      </c>
      <c r="N28" s="251">
        <f>'Sch 141CEI'!$F$28</f>
        <v>3.5599999999999998E-4</v>
      </c>
      <c r="O28" s="258"/>
      <c r="P28" s="249">
        <f>'Sch 141CEI'!$L$28</f>
        <v>0</v>
      </c>
      <c r="Q28" s="311"/>
      <c r="R28" s="258"/>
      <c r="S28" s="249">
        <f>'Sch 141CEI'!$R$28</f>
        <v>0</v>
      </c>
      <c r="T28" s="308"/>
    </row>
    <row r="29" spans="1:20">
      <c r="A29" s="142">
        <f t="shared" si="1"/>
        <v>20</v>
      </c>
      <c r="D29" s="52"/>
      <c r="E29" s="52"/>
      <c r="F29" s="53"/>
      <c r="G29" s="53"/>
      <c r="H29" s="53"/>
      <c r="J29" s="30"/>
      <c r="K29" s="30"/>
      <c r="L29" s="30"/>
      <c r="M29" s="312" t="str">
        <f>'Exh CTM-8 (Schedule 24 Impacts)'!U34</f>
        <v>Schedule 141CGR Clean Generation Resources</v>
      </c>
      <c r="N29" s="251">
        <f>'Sch 141CGR'!$F$28</f>
        <v>0</v>
      </c>
      <c r="O29" s="258"/>
      <c r="P29" s="249">
        <f>'Sch 141CGR'!$L$28</f>
        <v>7.274742020611021E-4</v>
      </c>
      <c r="Q29" s="311"/>
      <c r="R29" s="258"/>
      <c r="S29" s="249">
        <f>'Sch 141CGR'!$R$28</f>
        <v>9.1441831227747077E-4</v>
      </c>
      <c r="T29" s="308"/>
    </row>
    <row r="30" spans="1:20">
      <c r="A30" s="142">
        <f t="shared" si="1"/>
        <v>21</v>
      </c>
      <c r="B30" s="52">
        <v>10000</v>
      </c>
      <c r="C30" s="3">
        <v>300</v>
      </c>
      <c r="D30" s="52">
        <f>ROUND((B$30*C30),0)</f>
        <v>3000000</v>
      </c>
      <c r="E30" s="52"/>
      <c r="F30" s="53">
        <f t="shared" ref="F30:F32" si="20">ROUND(IF($B$10&gt;4400,$B$10*N$10,4400*$N$10)+$D30*N$11,0)</f>
        <v>230744</v>
      </c>
      <c r="G30" s="53">
        <f t="shared" ref="G30:G32" si="21">ROUND(IF($B$10&gt;4400,$B$10*P$10,4400*$P$10)+$D30*P$11,0)</f>
        <v>253221</v>
      </c>
      <c r="H30" s="53">
        <f t="shared" ref="H30:H32" si="22">ROUND(IF($B$10&gt;4400,$B$10*S$10,4400*$S$10)+$D30*S$11,0)</f>
        <v>268475</v>
      </c>
      <c r="J30" s="30">
        <f t="shared" ref="J30:K32" si="23">(G30-F30)/F30</f>
        <v>9.7410983600873691E-2</v>
      </c>
      <c r="K30" s="30">
        <f t="shared" si="23"/>
        <v>6.023986952109027E-2</v>
      </c>
      <c r="L30" s="30"/>
      <c r="M30" s="312" t="str">
        <f>'Exh CTM-8 (Schedule 24 Impacts)'!U35</f>
        <v>Schedule 141DCARB Decarbonization</v>
      </c>
      <c r="N30" s="251">
        <f>'Sch 141DCARB'!$E$28</f>
        <v>0</v>
      </c>
      <c r="O30" s="258"/>
      <c r="P30" s="249">
        <f>'Sch 141DCARB'!$I$28</f>
        <v>2.6675848599058547E-5</v>
      </c>
      <c r="Q30" s="311"/>
      <c r="R30" s="258"/>
      <c r="S30" s="249">
        <f>'Sch 141DCARB'!$M$28</f>
        <v>2.6673055018215156E-5</v>
      </c>
      <c r="T30" s="308"/>
    </row>
    <row r="31" spans="1:20">
      <c r="A31" s="142">
        <f t="shared" ref="A31:A45" si="24">A30+1</f>
        <v>22</v>
      </c>
      <c r="C31" s="3">
        <v>500</v>
      </c>
      <c r="D31" s="52">
        <f>ROUND((B$30*C31),0)</f>
        <v>5000000</v>
      </c>
      <c r="E31" s="52"/>
      <c r="F31" s="53">
        <f t="shared" si="20"/>
        <v>368000</v>
      </c>
      <c r="G31" s="53">
        <f t="shared" si="21"/>
        <v>400476</v>
      </c>
      <c r="H31" s="53">
        <f t="shared" si="22"/>
        <v>419445</v>
      </c>
      <c r="J31" s="30">
        <f t="shared" si="23"/>
        <v>8.8249999999999995E-2</v>
      </c>
      <c r="K31" s="30">
        <f t="shared" si="23"/>
        <v>4.7366134300182786E-2</v>
      </c>
      <c r="L31" s="30"/>
      <c r="M31" s="307" t="str">
        <f>'Exh CTM-8 (Schedule 24 Impacts)'!U36</f>
        <v>Schedule 141COL Colstrip Adjustment</v>
      </c>
      <c r="N31" s="240">
        <f>'Sch 141COL'!$F$28</f>
        <v>3.7800000000000003E-4</v>
      </c>
      <c r="P31" s="238">
        <f>'Sch 141COL'!$L$28</f>
        <v>3.7800000000000003E-4</v>
      </c>
      <c r="Q31" s="235"/>
      <c r="S31" s="238">
        <f>'Sch 141COL'!$R$28</f>
        <v>3.7800000000000003E-4</v>
      </c>
      <c r="T31" s="235"/>
    </row>
    <row r="32" spans="1:20">
      <c r="A32" s="142">
        <f t="shared" si="24"/>
        <v>23</v>
      </c>
      <c r="C32" s="3">
        <v>700</v>
      </c>
      <c r="D32" s="52">
        <f>ROUND((B$30*C32),0)</f>
        <v>7000000</v>
      </c>
      <c r="E32" s="52"/>
      <c r="F32" s="53">
        <f t="shared" si="20"/>
        <v>505256</v>
      </c>
      <c r="G32" s="53">
        <f t="shared" si="21"/>
        <v>547730</v>
      </c>
      <c r="H32" s="53">
        <f t="shared" si="22"/>
        <v>570416</v>
      </c>
      <c r="J32" s="30">
        <f t="shared" si="23"/>
        <v>8.4064315911142079E-2</v>
      </c>
      <c r="K32" s="30">
        <f t="shared" si="23"/>
        <v>4.1418217004728607E-2</v>
      </c>
      <c r="L32" s="30"/>
      <c r="M32" s="312" t="str">
        <f>'Exh CTM-8 (Schedule 24 Impacts)'!U37</f>
        <v>Schedule 141N Rates Not Subject to Refund</v>
      </c>
      <c r="N32" s="251">
        <f>'Sch 141N'!$G$28</f>
        <v>2.5400000000000002E-3</v>
      </c>
      <c r="O32" s="258"/>
      <c r="P32" s="249">
        <f>'Sch 141N'!$M$28</f>
        <v>0</v>
      </c>
      <c r="Q32" s="311"/>
      <c r="R32" s="258"/>
      <c r="S32" s="249">
        <f>'Sch 141N'!$S$28</f>
        <v>0</v>
      </c>
      <c r="T32" s="308"/>
    </row>
    <row r="33" spans="1:20">
      <c r="A33" s="142">
        <f t="shared" si="24"/>
        <v>24</v>
      </c>
      <c r="B33" s="58"/>
      <c r="C33" s="58"/>
      <c r="D33" s="58"/>
      <c r="E33" s="58"/>
      <c r="F33" s="58"/>
      <c r="G33" s="58"/>
      <c r="H33" s="58"/>
      <c r="I33" s="58"/>
      <c r="J33" s="58"/>
      <c r="M33" s="312" t="str">
        <f>'Exh CTM-8 (Schedule 24 Impacts)'!U38</f>
        <v>Schedule 141R Rates Subject to Refund</v>
      </c>
      <c r="N33" s="251">
        <f>'Sch 141R'!$G$28</f>
        <v>2.4139999999999999E-3</v>
      </c>
      <c r="O33" s="258"/>
      <c r="P33" s="249">
        <f>'Sch 141R'!$M$28</f>
        <v>0</v>
      </c>
      <c r="Q33" s="311"/>
      <c r="R33" s="258"/>
      <c r="S33" s="249">
        <f>'Sch 141R'!$S$28</f>
        <v>0</v>
      </c>
      <c r="T33" s="308"/>
    </row>
    <row r="34" spans="1:20">
      <c r="A34" s="142">
        <f t="shared" si="24"/>
        <v>25</v>
      </c>
      <c r="M34" s="307" t="str">
        <f>'Exh CTM-8 (Schedule 24 Impacts)'!U39</f>
        <v>Schedule 141 TEP</v>
      </c>
      <c r="N34" s="240">
        <f>'Sch 141TEP'!$E$28</f>
        <v>2.2000000000000001E-4</v>
      </c>
      <c r="O34" s="254"/>
      <c r="P34" s="238">
        <f>'Sch 141TEP'!$I$28</f>
        <v>2.2000000000000001E-4</v>
      </c>
      <c r="Q34" s="308"/>
      <c r="R34" s="254"/>
      <c r="S34" s="238">
        <f>'Sch 141TEP'!$M$28</f>
        <v>2.2000000000000001E-4</v>
      </c>
      <c r="T34" s="308"/>
    </row>
    <row r="35" spans="1:20">
      <c r="A35" s="142">
        <f t="shared" si="24"/>
        <v>26</v>
      </c>
      <c r="M35" s="312" t="str">
        <f>'Exh CTM-8 (Schedule 24 Impacts)'!U40</f>
        <v>Schedule 141WFP Wildfire Prevention Cost Recovery</v>
      </c>
      <c r="N35" s="251">
        <f>'Sch 141WFP'!$F$28</f>
        <v>0</v>
      </c>
      <c r="P35" s="249">
        <f>'Sch 141WFP'!$L$28</f>
        <v>1.0769742182156803E-5</v>
      </c>
      <c r="Q35" s="235"/>
      <c r="S35" s="249">
        <f>'Sch 141WFP'!$R$28</f>
        <v>1.3445012338031303E-5</v>
      </c>
      <c r="T35" s="235"/>
    </row>
    <row r="36" spans="1:20">
      <c r="A36" s="142">
        <f t="shared" si="24"/>
        <v>27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307" t="str">
        <f>'Exh CTM-8 (Schedule 24 Impacts)'!U41</f>
        <v>Schedule 141X (Protected) EDIT</v>
      </c>
      <c r="N36" s="240">
        <f>'Sch 141X'!$E$28</f>
        <v>0</v>
      </c>
      <c r="O36" s="149"/>
      <c r="P36" s="238">
        <f>'Sch 141X'!$I$28</f>
        <v>0</v>
      </c>
      <c r="Q36" s="306"/>
      <c r="R36" s="149"/>
      <c r="S36" s="238">
        <f>'Sch 141X'!$M$28</f>
        <v>0</v>
      </c>
      <c r="T36" s="306"/>
    </row>
    <row r="37" spans="1:20">
      <c r="A37" s="142">
        <f t="shared" si="24"/>
        <v>28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307" t="str">
        <f>'Exh CTM-8 (Schedule 24 Impacts)'!U42</f>
        <v>Schedule 141Z (Unprotected) EDIT</v>
      </c>
      <c r="N37" s="240">
        <f>'Sch 141Z'!$E$28</f>
        <v>0</v>
      </c>
      <c r="O37" s="149"/>
      <c r="P37" s="238">
        <f>'Sch 141Z'!$I$28</f>
        <v>0</v>
      </c>
      <c r="Q37" s="306"/>
      <c r="R37" s="149"/>
      <c r="S37" s="238">
        <f>'Sch 141Z'!$M$28</f>
        <v>0</v>
      </c>
      <c r="T37" s="306"/>
    </row>
    <row r="38" spans="1:20">
      <c r="A38" s="142">
        <f t="shared" si="24"/>
        <v>29</v>
      </c>
      <c r="B38" s="7"/>
      <c r="C38" s="48"/>
      <c r="D38" s="7"/>
      <c r="E38" s="7"/>
      <c r="F38" s="7"/>
      <c r="G38" s="7"/>
      <c r="H38" s="7"/>
      <c r="I38" s="7"/>
      <c r="J38" s="7"/>
      <c r="K38" s="7"/>
      <c r="L38" s="7"/>
      <c r="M38" s="307" t="str">
        <f>'Exh CTM-8 (Schedule 24 Impacts)'!U43</f>
        <v>Schedule 142  Deocupling Deferral</v>
      </c>
      <c r="N38" s="240">
        <f>'Sch 142'!$F$28</f>
        <v>0</v>
      </c>
      <c r="O38" s="149"/>
      <c r="P38" s="238">
        <f>'Sch 142'!$L$28</f>
        <v>0</v>
      </c>
      <c r="Q38" s="306"/>
      <c r="R38" s="149"/>
      <c r="S38" s="238">
        <f>'Sch 142'!$R$28</f>
        <v>0</v>
      </c>
      <c r="T38" s="306"/>
    </row>
    <row r="39" spans="1:20">
      <c r="A39" s="142">
        <f t="shared" si="24"/>
        <v>30</v>
      </c>
      <c r="B39" s="7"/>
      <c r="M39" s="307" t="str">
        <f>'Exh CTM-8 (Schedule 24 Impacts)'!U44</f>
        <v>Schedule 142 Deocupling Supplemental</v>
      </c>
      <c r="N39" s="240">
        <f>'Sch 142 Supplemental'!$F$28</f>
        <v>0</v>
      </c>
      <c r="O39" s="149"/>
      <c r="P39" s="238">
        <f>'Sch 142 Supplemental'!$L$28</f>
        <v>0</v>
      </c>
      <c r="Q39" s="306"/>
      <c r="R39" s="149"/>
      <c r="S39" s="238">
        <f>'Sch 142 Supplemental'!$R$28</f>
        <v>0</v>
      </c>
      <c r="T39" s="306"/>
    </row>
    <row r="40" spans="1:20">
      <c r="A40" s="142">
        <f t="shared" si="24"/>
        <v>31</v>
      </c>
      <c r="B40" s="9"/>
      <c r="C40" s="101"/>
      <c r="M40" s="307" t="str">
        <f>'Exh CTM-8 (Schedule 24 Impacts)'!U45</f>
        <v>Schedule 194 BPA Res &amp; Farm Credit</v>
      </c>
      <c r="N40" s="346" t="s">
        <v>435</v>
      </c>
      <c r="O40" s="239"/>
      <c r="P40" s="238"/>
      <c r="Q40" s="237"/>
      <c r="R40" s="239"/>
      <c r="S40" s="238"/>
      <c r="T40" s="306"/>
    </row>
    <row r="41" spans="1:20" ht="12" thickBot="1">
      <c r="A41" s="142">
        <f t="shared" si="24"/>
        <v>32</v>
      </c>
      <c r="M41" s="291" t="s">
        <v>392</v>
      </c>
      <c r="N41" s="289">
        <f>SUM(N18:N40)+N15</f>
        <v>7.3802000000000006E-2</v>
      </c>
      <c r="P41" s="290">
        <f>SUM(P18:P40)+P15</f>
        <v>7.3857919792842314E-2</v>
      </c>
      <c r="Q41" s="306"/>
      <c r="S41" s="290">
        <f>SUM(S18:S40)+S15</f>
        <v>7.5718536379633716E-2</v>
      </c>
      <c r="T41" s="306"/>
    </row>
    <row r="42" spans="1:20" ht="12" thickTop="1">
      <c r="A42" s="142">
        <f t="shared" si="24"/>
        <v>33</v>
      </c>
      <c r="M42" s="291"/>
      <c r="N42" s="347"/>
      <c r="P42" s="270"/>
      <c r="Q42" s="271"/>
      <c r="S42" s="270"/>
      <c r="T42" s="271"/>
    </row>
    <row r="43" spans="1:20">
      <c r="A43" s="142">
        <f t="shared" si="24"/>
        <v>34</v>
      </c>
      <c r="M43" s="234" t="s">
        <v>357</v>
      </c>
      <c r="N43" s="348"/>
      <c r="P43" s="233"/>
      <c r="Q43" s="232">
        <f>'Exh CTM-8 (Rate Impacts_RY#1)'!$H$19</f>
        <v>0.17694820269619704</v>
      </c>
      <c r="S43" s="233"/>
      <c r="T43" s="232">
        <f>'Exh CTM-8 (Rate Impacts_RY#2)'!$I$19</f>
        <v>7.5614901742644042E-2</v>
      </c>
    </row>
    <row r="44" spans="1:20">
      <c r="A44" s="142">
        <f t="shared" si="24"/>
        <v>35</v>
      </c>
      <c r="M44" s="234" t="s">
        <v>356</v>
      </c>
      <c r="N44" s="348"/>
      <c r="P44" s="233"/>
      <c r="Q44" s="232">
        <f>'Exh CTM-8 (Rate Impacts_RY#1)'!$AI$19</f>
        <v>5.4390472271986699E-2</v>
      </c>
      <c r="S44" s="233"/>
      <c r="T44" s="232">
        <f>'Exh CTM-8 (Rate Impacts_RY#2)'!$V$19</f>
        <v>8.3222848681698394E-2</v>
      </c>
    </row>
    <row r="45" spans="1:20" ht="12" thickBot="1">
      <c r="A45" s="142">
        <f t="shared" si="24"/>
        <v>36</v>
      </c>
      <c r="M45" s="343" t="s">
        <v>393</v>
      </c>
      <c r="N45" s="230"/>
      <c r="P45" s="231"/>
      <c r="Q45" s="230"/>
      <c r="S45" s="231"/>
      <c r="T45" s="230"/>
    </row>
  </sheetData>
  <mergeCells count="8">
    <mergeCell ref="S6:T6"/>
    <mergeCell ref="F7:H7"/>
    <mergeCell ref="J7:K7"/>
    <mergeCell ref="A1:Q1"/>
    <mergeCell ref="A2:Q2"/>
    <mergeCell ref="A3:Q3"/>
    <mergeCell ref="A4:Q4"/>
    <mergeCell ref="P6:Q6"/>
  </mergeCells>
  <pageMargins left="0.7" right="0.7" top="0.75" bottom="0.75" header="0.3" footer="0.3"/>
  <pageSetup scale="38" orientation="landscape" horizontalDpi="360" verticalDpi="360" r:id="rId1"/>
  <headerFooter>
    <oddFooter>&amp;R&amp;F
&amp;A
&amp;P of &amp;N</oddFooter>
  </headerFooter>
  <customProperties>
    <customPr name="_pios_id" r:id="rId2"/>
  </customProperties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C000"/>
  </sheetPr>
  <dimension ref="C43"/>
  <sheetViews>
    <sheetView zoomScaleNormal="100" zoomScaleSheetLayoutView="100" workbookViewId="0">
      <selection activeCell="K42" sqref="K42"/>
    </sheetView>
  </sheetViews>
  <sheetFormatPr defaultRowHeight="11.25"/>
  <cols>
    <col min="1" max="16384" width="9.140625" style="3"/>
  </cols>
  <sheetData>
    <row r="43" spans="3:3">
      <c r="C43" s="101"/>
    </row>
  </sheetData>
  <pageMargins left="0.7" right="0.7" top="0.75" bottom="0.75" header="0.3" footer="0.3"/>
  <pageSetup orientation="portrait" horizontalDpi="360" verticalDpi="360" r:id="rId1"/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D49"/>
  <sheetViews>
    <sheetView zoomScaleNormal="100" zoomScaleSheetLayoutView="100" workbookViewId="0">
      <pane ySplit="6" topLeftCell="A7" activePane="bottomLeft" state="frozen"/>
      <selection activeCell="U42" sqref="U42"/>
      <selection pane="bottomLeft" activeCell="A4" sqref="A4:D4"/>
    </sheetView>
  </sheetViews>
  <sheetFormatPr defaultRowHeight="11.25"/>
  <cols>
    <col min="1" max="1" width="9.140625" style="142"/>
    <col min="2" max="2" width="20.42578125" style="142" bestFit="1" customWidth="1"/>
    <col min="3" max="3" width="28.28515625" style="142" bestFit="1" customWidth="1"/>
    <col min="4" max="4" width="12.140625" style="142" bestFit="1" customWidth="1"/>
    <col min="5" max="16384" width="9.140625" style="142"/>
  </cols>
  <sheetData>
    <row r="1" spans="1:4" ht="12.75">
      <c r="A1" s="448" t="s">
        <v>0</v>
      </c>
      <c r="B1" s="449"/>
      <c r="C1" s="449"/>
      <c r="D1" s="449"/>
    </row>
    <row r="2" spans="1:4">
      <c r="A2" s="447" t="s">
        <v>172</v>
      </c>
      <c r="B2" s="447"/>
      <c r="C2" s="447"/>
      <c r="D2" s="447"/>
    </row>
    <row r="3" spans="1:4" ht="12.75" customHeight="1">
      <c r="A3" s="450" t="s">
        <v>513</v>
      </c>
      <c r="B3" s="451"/>
      <c r="C3" s="451"/>
      <c r="D3" s="451"/>
    </row>
    <row r="4" spans="1:4" ht="12.75">
      <c r="A4" s="450" t="s">
        <v>512</v>
      </c>
      <c r="B4" s="451"/>
      <c r="C4" s="451"/>
      <c r="D4" s="451"/>
    </row>
    <row r="5" spans="1:4">
      <c r="A5" s="395"/>
      <c r="B5" s="396"/>
      <c r="C5" s="396"/>
      <c r="D5" s="395"/>
    </row>
    <row r="6" spans="1:4">
      <c r="A6" s="395"/>
      <c r="B6" s="397" t="s">
        <v>152</v>
      </c>
      <c r="C6" s="397" t="s">
        <v>150</v>
      </c>
      <c r="D6" s="397" t="s">
        <v>151</v>
      </c>
    </row>
    <row r="7" spans="1:4">
      <c r="A7" s="391"/>
      <c r="C7" s="391"/>
    </row>
    <row r="8" spans="1:4">
      <c r="A8" s="391"/>
      <c r="B8" s="236" t="s">
        <v>476</v>
      </c>
      <c r="C8" s="391" t="s">
        <v>501</v>
      </c>
      <c r="D8" s="391" t="s">
        <v>152</v>
      </c>
    </row>
    <row r="9" spans="1:4">
      <c r="A9" s="391"/>
      <c r="B9" s="236" t="s">
        <v>476</v>
      </c>
      <c r="C9" s="391" t="s">
        <v>500</v>
      </c>
      <c r="D9" s="391" t="s">
        <v>152</v>
      </c>
    </row>
    <row r="10" spans="1:4">
      <c r="A10" s="391"/>
      <c r="B10" s="236" t="s">
        <v>476</v>
      </c>
      <c r="C10" s="391" t="s">
        <v>499</v>
      </c>
      <c r="D10" s="391" t="s">
        <v>152</v>
      </c>
    </row>
    <row r="11" spans="1:4">
      <c r="A11" s="392"/>
      <c r="B11" s="236" t="s">
        <v>476</v>
      </c>
      <c r="C11" s="391" t="s">
        <v>498</v>
      </c>
      <c r="D11" s="391" t="s">
        <v>152</v>
      </c>
    </row>
    <row r="12" spans="1:4">
      <c r="A12" s="392"/>
      <c r="B12" s="236" t="s">
        <v>476</v>
      </c>
      <c r="C12" s="391" t="s">
        <v>497</v>
      </c>
      <c r="D12" s="391" t="s">
        <v>152</v>
      </c>
    </row>
    <row r="13" spans="1:4">
      <c r="A13" s="392"/>
      <c r="B13" s="236" t="s">
        <v>476</v>
      </c>
      <c r="C13" s="391" t="s">
        <v>496</v>
      </c>
      <c r="D13" s="391" t="s">
        <v>152</v>
      </c>
    </row>
    <row r="14" spans="1:4">
      <c r="A14" s="392"/>
      <c r="B14" s="236" t="s">
        <v>476</v>
      </c>
      <c r="C14" s="391" t="s">
        <v>495</v>
      </c>
      <c r="D14" s="391" t="s">
        <v>152</v>
      </c>
    </row>
    <row r="15" spans="1:4">
      <c r="A15" s="392"/>
      <c r="B15" s="236" t="s">
        <v>476</v>
      </c>
      <c r="C15" s="391" t="s">
        <v>494</v>
      </c>
      <c r="D15" s="391" t="s">
        <v>152</v>
      </c>
    </row>
    <row r="16" spans="1:4">
      <c r="A16" s="392"/>
      <c r="B16" s="236" t="s">
        <v>476</v>
      </c>
      <c r="C16" s="391" t="s">
        <v>493</v>
      </c>
      <c r="D16" s="391" t="s">
        <v>152</v>
      </c>
    </row>
    <row r="17" spans="1:4">
      <c r="A17" s="392"/>
      <c r="B17" s="236" t="s">
        <v>476</v>
      </c>
      <c r="C17" s="391" t="s">
        <v>492</v>
      </c>
      <c r="D17" s="391" t="s">
        <v>152</v>
      </c>
    </row>
    <row r="18" spans="1:4">
      <c r="A18" s="392"/>
      <c r="B18" s="236" t="s">
        <v>476</v>
      </c>
      <c r="C18" s="391" t="s">
        <v>491</v>
      </c>
      <c r="D18" s="391" t="s">
        <v>152</v>
      </c>
    </row>
    <row r="19" spans="1:4">
      <c r="A19" s="392"/>
      <c r="B19" s="236" t="s">
        <v>476</v>
      </c>
      <c r="C19" s="391" t="s">
        <v>490</v>
      </c>
      <c r="D19" s="391" t="s">
        <v>152</v>
      </c>
    </row>
    <row r="20" spans="1:4">
      <c r="A20" s="392"/>
      <c r="B20" s="236" t="s">
        <v>476</v>
      </c>
      <c r="C20" s="391" t="s">
        <v>489</v>
      </c>
      <c r="D20" s="391" t="s">
        <v>152</v>
      </c>
    </row>
    <row r="21" spans="1:4">
      <c r="A21" s="392"/>
      <c r="B21" s="394"/>
      <c r="C21" s="391"/>
      <c r="D21" s="391"/>
    </row>
    <row r="22" spans="1:4">
      <c r="A22" s="392"/>
      <c r="B22" s="392"/>
      <c r="C22" s="391" t="s">
        <v>472</v>
      </c>
      <c r="D22" s="391" t="s">
        <v>153</v>
      </c>
    </row>
    <row r="23" spans="1:4">
      <c r="A23" s="392"/>
      <c r="B23" s="392"/>
      <c r="C23" s="142" t="s">
        <v>154</v>
      </c>
      <c r="D23" s="391" t="s">
        <v>153</v>
      </c>
    </row>
    <row r="24" spans="1:4">
      <c r="A24" s="392"/>
      <c r="B24" s="392"/>
      <c r="C24" s="142" t="s">
        <v>155</v>
      </c>
      <c r="D24" s="391" t="s">
        <v>153</v>
      </c>
    </row>
    <row r="25" spans="1:4">
      <c r="A25" s="392"/>
      <c r="B25" s="392"/>
      <c r="C25" s="142" t="s">
        <v>488</v>
      </c>
      <c r="D25" s="391" t="s">
        <v>153</v>
      </c>
    </row>
    <row r="26" spans="1:4">
      <c r="A26" s="392"/>
      <c r="B26" s="392"/>
      <c r="C26" s="142" t="s">
        <v>156</v>
      </c>
      <c r="D26" s="391" t="s">
        <v>153</v>
      </c>
    </row>
    <row r="27" spans="1:4">
      <c r="A27" s="392"/>
      <c r="B27" s="392"/>
      <c r="C27" s="142" t="s">
        <v>157</v>
      </c>
      <c r="D27" s="391" t="s">
        <v>153</v>
      </c>
    </row>
    <row r="28" spans="1:4">
      <c r="A28" s="392"/>
      <c r="B28" s="392"/>
      <c r="C28" s="142" t="s">
        <v>158</v>
      </c>
      <c r="D28" s="391" t="s">
        <v>153</v>
      </c>
    </row>
    <row r="29" spans="1:4">
      <c r="A29" s="392"/>
      <c r="B29" s="392"/>
      <c r="C29" s="142" t="s">
        <v>159</v>
      </c>
      <c r="D29" s="391" t="s">
        <v>153</v>
      </c>
    </row>
    <row r="30" spans="1:4">
      <c r="A30" s="392"/>
      <c r="B30" s="392"/>
      <c r="C30" s="236" t="s">
        <v>487</v>
      </c>
      <c r="D30" s="391" t="s">
        <v>153</v>
      </c>
    </row>
    <row r="31" spans="1:4">
      <c r="A31" s="392"/>
      <c r="B31" s="392"/>
      <c r="C31" s="393" t="s">
        <v>486</v>
      </c>
      <c r="D31" s="391" t="s">
        <v>153</v>
      </c>
    </row>
    <row r="32" spans="1:4">
      <c r="A32" s="392"/>
      <c r="B32" s="392"/>
      <c r="C32" s="142" t="s">
        <v>485</v>
      </c>
      <c r="D32" s="391" t="s">
        <v>153</v>
      </c>
    </row>
    <row r="33" spans="1:4">
      <c r="A33" s="392"/>
      <c r="B33" s="392"/>
      <c r="C33" s="142" t="s">
        <v>484</v>
      </c>
      <c r="D33" s="391" t="s">
        <v>153</v>
      </c>
    </row>
    <row r="34" spans="1:4">
      <c r="A34" s="392"/>
      <c r="B34" s="392"/>
      <c r="C34" s="142" t="s">
        <v>160</v>
      </c>
      <c r="D34" s="391" t="s">
        <v>153</v>
      </c>
    </row>
    <row r="35" spans="1:4">
      <c r="A35" s="392"/>
      <c r="B35" s="392"/>
      <c r="C35" s="142" t="s">
        <v>161</v>
      </c>
      <c r="D35" s="391" t="s">
        <v>153</v>
      </c>
    </row>
    <row r="36" spans="1:4">
      <c r="A36" s="392"/>
      <c r="B36" s="392"/>
      <c r="C36" s="142" t="s">
        <v>483</v>
      </c>
      <c r="D36" s="391" t="s">
        <v>153</v>
      </c>
    </row>
    <row r="37" spans="1:4">
      <c r="A37" s="392"/>
      <c r="B37" s="392"/>
      <c r="C37" s="142" t="s">
        <v>482</v>
      </c>
      <c r="D37" s="391" t="s">
        <v>153</v>
      </c>
    </row>
    <row r="38" spans="1:4">
      <c r="A38" s="392"/>
      <c r="B38" s="392"/>
      <c r="C38" s="142" t="s">
        <v>171</v>
      </c>
      <c r="D38" s="391" t="s">
        <v>153</v>
      </c>
    </row>
    <row r="39" spans="1:4">
      <c r="A39" s="392"/>
      <c r="B39" s="392"/>
      <c r="C39" s="142" t="s">
        <v>162</v>
      </c>
      <c r="D39" s="391" t="s">
        <v>153</v>
      </c>
    </row>
    <row r="40" spans="1:4">
      <c r="A40" s="392"/>
      <c r="B40" s="392"/>
      <c r="C40" s="142" t="s">
        <v>163</v>
      </c>
      <c r="D40" s="391" t="s">
        <v>153</v>
      </c>
    </row>
    <row r="41" spans="1:4">
      <c r="A41" s="392"/>
      <c r="B41" s="392"/>
      <c r="C41" s="142" t="s">
        <v>481</v>
      </c>
      <c r="D41" s="391" t="s">
        <v>153</v>
      </c>
    </row>
    <row r="42" spans="1:4">
      <c r="A42" s="392"/>
      <c r="B42" s="392"/>
      <c r="C42" s="142" t="s">
        <v>164</v>
      </c>
      <c r="D42" s="391" t="s">
        <v>153</v>
      </c>
    </row>
    <row r="43" spans="1:4">
      <c r="A43" s="392"/>
      <c r="B43" s="392"/>
      <c r="C43" s="142" t="s">
        <v>165</v>
      </c>
      <c r="D43" s="391" t="s">
        <v>153</v>
      </c>
    </row>
    <row r="44" spans="1:4">
      <c r="A44" s="392"/>
      <c r="B44" s="392"/>
      <c r="C44" s="142" t="s">
        <v>166</v>
      </c>
      <c r="D44" s="391" t="s">
        <v>153</v>
      </c>
    </row>
    <row r="45" spans="1:4">
      <c r="A45" s="392"/>
      <c r="B45" s="392"/>
      <c r="C45" s="142" t="s">
        <v>480</v>
      </c>
      <c r="D45" s="391" t="s">
        <v>153</v>
      </c>
    </row>
    <row r="46" spans="1:4">
      <c r="A46" s="392"/>
      <c r="B46" s="392"/>
      <c r="C46" s="393" t="s">
        <v>167</v>
      </c>
      <c r="D46" s="391" t="s">
        <v>153</v>
      </c>
    </row>
    <row r="47" spans="1:4">
      <c r="A47" s="392"/>
      <c r="B47" s="392"/>
      <c r="C47" s="142" t="s">
        <v>479</v>
      </c>
      <c r="D47" s="391" t="s">
        <v>153</v>
      </c>
    </row>
    <row r="48" spans="1:4">
      <c r="A48" s="392"/>
      <c r="B48" s="392"/>
      <c r="C48" s="142" t="s">
        <v>478</v>
      </c>
      <c r="D48" s="391" t="s">
        <v>153</v>
      </c>
    </row>
    <row r="49" spans="1:4">
      <c r="A49" s="392"/>
      <c r="B49" s="392"/>
      <c r="C49" s="142" t="s">
        <v>477</v>
      </c>
      <c r="D49" s="391" t="s">
        <v>153</v>
      </c>
    </row>
  </sheetData>
  <mergeCells count="4">
    <mergeCell ref="A2:D2"/>
    <mergeCell ref="A1:D1"/>
    <mergeCell ref="A3:D3"/>
    <mergeCell ref="A4:D4"/>
  </mergeCells>
  <pageMargins left="0.7" right="0.7" top="0.75" bottom="0.75" header="0.3" footer="0.3"/>
  <pageSetup scale="86" orientation="landscape" horizontalDpi="360" verticalDpi="360" r:id="rId1"/>
  <headerFooter>
    <oddFooter>&amp;R&amp;F
&amp;A
&amp;P of &amp;N</oddFooter>
  </headerFooter>
  <customProperties>
    <customPr name="_pios_id" r:id="rId2"/>
  </customPropertie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3" tint="0.79998168889431442"/>
    <pageSetUpPr fitToPage="1"/>
  </sheetPr>
  <dimension ref="A1:S32"/>
  <sheetViews>
    <sheetView workbookViewId="0">
      <pane xSplit="1" ySplit="6" topLeftCell="B7" activePane="bottomRight" state="frozen"/>
      <selection activeCell="U42" sqref="U42"/>
      <selection pane="topRight" activeCell="U42" sqref="U42"/>
      <selection pane="bottomLeft" activeCell="U42" sqref="U42"/>
      <selection pane="bottomRight" activeCell="P20" sqref="P20"/>
    </sheetView>
  </sheetViews>
  <sheetFormatPr defaultRowHeight="11.25"/>
  <cols>
    <col min="1" max="1" width="10.7109375" style="367" bestFit="1" customWidth="1"/>
    <col min="2" max="2" width="9.140625" style="367" bestFit="1" customWidth="1"/>
    <col min="3" max="4" width="9.85546875" style="367" bestFit="1" customWidth="1"/>
    <col min="5" max="5" width="12.7109375" style="367" bestFit="1" customWidth="1"/>
    <col min="6" max="7" width="11.42578125" style="367" customWidth="1"/>
    <col min="8" max="19" width="11.5703125" style="367" bestFit="1" customWidth="1"/>
    <col min="20" max="16384" width="9.140625" style="367"/>
  </cols>
  <sheetData>
    <row r="1" spans="1:19" s="379" customFormat="1">
      <c r="A1" s="521" t="s">
        <v>0</v>
      </c>
      <c r="B1" s="521"/>
      <c r="C1" s="521"/>
      <c r="D1" s="521"/>
      <c r="E1" s="521"/>
      <c r="F1" s="521"/>
      <c r="G1" s="521"/>
      <c r="H1" s="521"/>
      <c r="I1" s="521"/>
      <c r="J1" s="521"/>
      <c r="K1" s="521"/>
      <c r="L1" s="521"/>
      <c r="M1" s="521"/>
      <c r="N1" s="521"/>
      <c r="O1" s="521"/>
      <c r="P1" s="521"/>
      <c r="Q1" s="521"/>
      <c r="R1" s="521"/>
      <c r="S1" s="521"/>
    </row>
    <row r="2" spans="1:19" s="379" customFormat="1">
      <c r="A2" s="522" t="s">
        <v>471</v>
      </c>
      <c r="B2" s="521"/>
      <c r="C2" s="521"/>
      <c r="D2" s="521"/>
      <c r="E2" s="521"/>
      <c r="F2" s="521"/>
      <c r="G2" s="521"/>
      <c r="H2" s="521"/>
      <c r="I2" s="521"/>
      <c r="J2" s="521"/>
      <c r="K2" s="521"/>
      <c r="L2" s="521"/>
      <c r="M2" s="521"/>
      <c r="N2" s="521"/>
      <c r="O2" s="521"/>
      <c r="P2" s="521"/>
      <c r="Q2" s="521"/>
      <c r="R2" s="521"/>
      <c r="S2" s="521"/>
    </row>
    <row r="3" spans="1:19" s="379" customFormat="1">
      <c r="A3" s="523" t="s">
        <v>470</v>
      </c>
      <c r="B3" s="524"/>
      <c r="C3" s="524"/>
      <c r="D3" s="524"/>
      <c r="E3" s="524"/>
      <c r="F3" s="524"/>
      <c r="G3" s="524"/>
      <c r="H3" s="524"/>
      <c r="I3" s="524"/>
      <c r="J3" s="524"/>
      <c r="K3" s="524"/>
      <c r="L3" s="524"/>
      <c r="M3" s="524"/>
      <c r="N3" s="524"/>
      <c r="O3" s="524"/>
      <c r="P3" s="524"/>
      <c r="Q3" s="524"/>
      <c r="R3" s="524"/>
      <c r="S3" s="524"/>
    </row>
    <row r="4" spans="1:19" s="379" customFormat="1">
      <c r="A4" s="521" t="s">
        <v>469</v>
      </c>
      <c r="B4" s="521"/>
      <c r="C4" s="521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  <c r="P4" s="521"/>
      <c r="Q4" s="521"/>
      <c r="R4" s="521"/>
      <c r="S4" s="521"/>
    </row>
    <row r="5" spans="1:19" s="379" customFormat="1" ht="12.75">
      <c r="A5" s="497" t="str">
        <f>'Table of Contents'!A2</f>
        <v>2024 General Rate Case Docket No. UE-240004 and UG-240005</v>
      </c>
      <c r="B5" s="497"/>
      <c r="C5" s="497"/>
      <c r="D5" s="525"/>
      <c r="E5" s="525"/>
      <c r="F5" s="458"/>
      <c r="G5" s="458"/>
      <c r="H5" s="458"/>
      <c r="I5" s="458"/>
      <c r="J5" s="458"/>
      <c r="K5" s="458"/>
      <c r="L5" s="458"/>
      <c r="M5" s="458"/>
      <c r="N5" s="458"/>
      <c r="O5" s="458"/>
      <c r="P5" s="458"/>
      <c r="Q5" s="458"/>
      <c r="R5" s="458"/>
      <c r="S5" s="458"/>
    </row>
    <row r="6" spans="1:19" s="375" customFormat="1" ht="33.75">
      <c r="A6" s="378" t="s">
        <v>468</v>
      </c>
      <c r="B6" s="378" t="s">
        <v>467</v>
      </c>
      <c r="C6" s="377" t="s">
        <v>466</v>
      </c>
      <c r="D6" s="377" t="s">
        <v>465</v>
      </c>
      <c r="E6" s="378" t="s">
        <v>464</v>
      </c>
      <c r="F6" s="377" t="s">
        <v>463</v>
      </c>
      <c r="G6" s="377" t="s">
        <v>462</v>
      </c>
      <c r="H6" s="376">
        <v>44743</v>
      </c>
      <c r="I6" s="376">
        <v>44774</v>
      </c>
      <c r="J6" s="376">
        <v>44805</v>
      </c>
      <c r="K6" s="376">
        <v>44835</v>
      </c>
      <c r="L6" s="376">
        <v>44866</v>
      </c>
      <c r="M6" s="376">
        <v>44896</v>
      </c>
      <c r="N6" s="376">
        <v>44927</v>
      </c>
      <c r="O6" s="376">
        <v>44958</v>
      </c>
      <c r="P6" s="376">
        <v>44986</v>
      </c>
      <c r="Q6" s="376">
        <v>45017</v>
      </c>
      <c r="R6" s="376">
        <v>45047</v>
      </c>
      <c r="S6" s="376">
        <v>45078</v>
      </c>
    </row>
    <row r="7" spans="1:19" s="375" customFormat="1">
      <c r="A7" s="374" t="s">
        <v>461</v>
      </c>
      <c r="B7" s="373">
        <f t="shared" ref="B7:B30" si="0">E7/$E$31</f>
        <v>8.7413060204101483E-3</v>
      </c>
      <c r="C7" s="373">
        <f t="shared" ref="C7:C30" si="1">F7/$F$31</f>
        <v>6.2677909054665408E-3</v>
      </c>
      <c r="D7" s="373">
        <f t="shared" ref="D7:D30" si="2">G7/$G$31</f>
        <v>1.1215790026819559E-2</v>
      </c>
      <c r="E7" s="372">
        <f t="shared" ref="E7:E30" si="3">SUM(H7:S7)</f>
        <v>112807</v>
      </c>
      <c r="F7" s="372">
        <f t="shared" ref="F7:F30" si="4">SUM(K7:P7)</f>
        <v>40451</v>
      </c>
      <c r="G7" s="372">
        <f t="shared" ref="G7:G30" si="5">SUM(H7:J7,Q7:S7)</f>
        <v>72356</v>
      </c>
      <c r="H7" s="371">
        <v>12027</v>
      </c>
      <c r="I7" s="371">
        <v>12395</v>
      </c>
      <c r="J7" s="371">
        <v>11902</v>
      </c>
      <c r="K7" s="371">
        <v>10229</v>
      </c>
      <c r="L7" s="371">
        <v>7815</v>
      </c>
      <c r="M7" s="371">
        <v>6173</v>
      </c>
      <c r="N7" s="371">
        <v>5622</v>
      </c>
      <c r="O7" s="371">
        <v>5448</v>
      </c>
      <c r="P7" s="371">
        <v>5164</v>
      </c>
      <c r="Q7" s="371">
        <v>7082</v>
      </c>
      <c r="R7" s="371">
        <v>12319</v>
      </c>
      <c r="S7" s="371">
        <v>16631</v>
      </c>
    </row>
    <row r="8" spans="1:19">
      <c r="A8" s="374" t="s">
        <v>460</v>
      </c>
      <c r="B8" s="373">
        <f t="shared" si="0"/>
        <v>7.4180257017194273E-3</v>
      </c>
      <c r="C8" s="373">
        <f t="shared" si="1"/>
        <v>5.7136977983011216E-3</v>
      </c>
      <c r="D8" s="373">
        <f t="shared" si="2"/>
        <v>9.1230212011231288E-3</v>
      </c>
      <c r="E8" s="372">
        <f t="shared" si="3"/>
        <v>95730</v>
      </c>
      <c r="F8" s="372">
        <f t="shared" si="4"/>
        <v>36875</v>
      </c>
      <c r="G8" s="372">
        <f t="shared" si="5"/>
        <v>58855</v>
      </c>
      <c r="H8" s="371">
        <v>9554</v>
      </c>
      <c r="I8" s="371">
        <v>9614</v>
      </c>
      <c r="J8" s="371">
        <v>9904</v>
      </c>
      <c r="K8" s="371">
        <v>7274</v>
      </c>
      <c r="L8" s="371">
        <v>6341</v>
      </c>
      <c r="M8" s="371">
        <v>5215</v>
      </c>
      <c r="N8" s="371">
        <v>5319</v>
      </c>
      <c r="O8" s="371">
        <v>6132</v>
      </c>
      <c r="P8" s="371">
        <v>6594</v>
      </c>
      <c r="Q8" s="371">
        <v>8772</v>
      </c>
      <c r="R8" s="371">
        <v>10522</v>
      </c>
      <c r="S8" s="371">
        <v>10489</v>
      </c>
    </row>
    <row r="9" spans="1:19">
      <c r="A9" s="374" t="s">
        <v>459</v>
      </c>
      <c r="B9" s="373">
        <f t="shared" si="0"/>
        <v>1.1465588163890247E-2</v>
      </c>
      <c r="C9" s="373">
        <f t="shared" si="1"/>
        <v>7.6771955203369683E-3</v>
      </c>
      <c r="D9" s="373">
        <f t="shared" si="2"/>
        <v>1.5255464744727465E-2</v>
      </c>
      <c r="E9" s="372">
        <f t="shared" si="3"/>
        <v>147964</v>
      </c>
      <c r="F9" s="372">
        <f t="shared" si="4"/>
        <v>49547</v>
      </c>
      <c r="G9" s="372">
        <f t="shared" si="5"/>
        <v>98417</v>
      </c>
      <c r="H9" s="371">
        <v>16352</v>
      </c>
      <c r="I9" s="371">
        <v>16673</v>
      </c>
      <c r="J9" s="371">
        <v>18395</v>
      </c>
      <c r="K9" s="371">
        <v>12016</v>
      </c>
      <c r="L9" s="371">
        <v>8020</v>
      </c>
      <c r="M9" s="371">
        <v>6418</v>
      </c>
      <c r="N9" s="371">
        <v>6805</v>
      </c>
      <c r="O9" s="371">
        <v>7922</v>
      </c>
      <c r="P9" s="371">
        <v>8366</v>
      </c>
      <c r="Q9" s="371">
        <v>11720</v>
      </c>
      <c r="R9" s="371">
        <v>16232</v>
      </c>
      <c r="S9" s="371">
        <v>19045</v>
      </c>
    </row>
    <row r="10" spans="1:19">
      <c r="A10" s="374" t="s">
        <v>458</v>
      </c>
      <c r="B10" s="373">
        <f t="shared" si="0"/>
        <v>1.59062525208153E-2</v>
      </c>
      <c r="C10" s="373">
        <f t="shared" si="1"/>
        <v>1.0364918964657816E-2</v>
      </c>
      <c r="D10" s="373">
        <f t="shared" si="2"/>
        <v>2.1449756652264316E-2</v>
      </c>
      <c r="E10" s="372">
        <f t="shared" si="3"/>
        <v>205271</v>
      </c>
      <c r="F10" s="372">
        <f t="shared" si="4"/>
        <v>66893</v>
      </c>
      <c r="G10" s="372">
        <f t="shared" si="5"/>
        <v>138378</v>
      </c>
      <c r="H10" s="371">
        <v>23495</v>
      </c>
      <c r="I10" s="371">
        <v>23626</v>
      </c>
      <c r="J10" s="371">
        <v>26560</v>
      </c>
      <c r="K10" s="371">
        <v>17015</v>
      </c>
      <c r="L10" s="371">
        <v>10144</v>
      </c>
      <c r="M10" s="371">
        <v>8372</v>
      </c>
      <c r="N10" s="371">
        <v>9258</v>
      </c>
      <c r="O10" s="371">
        <v>11160</v>
      </c>
      <c r="P10" s="371">
        <v>10944</v>
      </c>
      <c r="Q10" s="371">
        <v>15779</v>
      </c>
      <c r="R10" s="371">
        <v>22129</v>
      </c>
      <c r="S10" s="371">
        <v>26789</v>
      </c>
    </row>
    <row r="11" spans="1:19">
      <c r="A11" s="374" t="s">
        <v>457</v>
      </c>
      <c r="B11" s="373">
        <f t="shared" si="0"/>
        <v>2.1705919643401642E-2</v>
      </c>
      <c r="C11" s="373">
        <f t="shared" si="1"/>
        <v>1.3999682976930296E-2</v>
      </c>
      <c r="D11" s="373">
        <f t="shared" si="2"/>
        <v>2.941517489136234E-2</v>
      </c>
      <c r="E11" s="372">
        <f t="shared" si="3"/>
        <v>280116</v>
      </c>
      <c r="F11" s="372">
        <f t="shared" si="4"/>
        <v>90351</v>
      </c>
      <c r="G11" s="372">
        <f t="shared" si="5"/>
        <v>189765</v>
      </c>
      <c r="H11" s="371">
        <v>31594</v>
      </c>
      <c r="I11" s="371">
        <v>32096</v>
      </c>
      <c r="J11" s="371">
        <v>36896</v>
      </c>
      <c r="K11" s="371">
        <v>23700</v>
      </c>
      <c r="L11" s="371">
        <v>13449</v>
      </c>
      <c r="M11" s="371">
        <v>10578</v>
      </c>
      <c r="N11" s="371">
        <v>12170</v>
      </c>
      <c r="O11" s="371">
        <v>15389</v>
      </c>
      <c r="P11" s="371">
        <v>15065</v>
      </c>
      <c r="Q11" s="371">
        <v>21705</v>
      </c>
      <c r="R11" s="371">
        <v>30367</v>
      </c>
      <c r="S11" s="371">
        <v>37107</v>
      </c>
    </row>
    <row r="12" spans="1:19">
      <c r="A12" s="374" t="s">
        <v>456</v>
      </c>
      <c r="B12" s="373">
        <f t="shared" si="0"/>
        <v>6.3706683530347918E-2</v>
      </c>
      <c r="C12" s="373">
        <f t="shared" si="1"/>
        <v>4.3985014074677684E-2</v>
      </c>
      <c r="D12" s="373">
        <f t="shared" si="2"/>
        <v>8.3436078088287222E-2</v>
      </c>
      <c r="E12" s="372">
        <f t="shared" si="3"/>
        <v>822138</v>
      </c>
      <c r="F12" s="372">
        <f t="shared" si="4"/>
        <v>283870</v>
      </c>
      <c r="G12" s="372">
        <f t="shared" si="5"/>
        <v>538268</v>
      </c>
      <c r="H12" s="371">
        <v>88594</v>
      </c>
      <c r="I12" s="371">
        <v>87449</v>
      </c>
      <c r="J12" s="371">
        <v>105128</v>
      </c>
      <c r="K12" s="371">
        <v>72291</v>
      </c>
      <c r="L12" s="371">
        <v>42252</v>
      </c>
      <c r="M12" s="371">
        <v>32181</v>
      </c>
      <c r="N12" s="371">
        <v>38212</v>
      </c>
      <c r="O12" s="371">
        <v>50959</v>
      </c>
      <c r="P12" s="371">
        <v>47975</v>
      </c>
      <c r="Q12" s="371">
        <v>66343</v>
      </c>
      <c r="R12" s="371">
        <v>87119</v>
      </c>
      <c r="S12" s="371">
        <v>103635</v>
      </c>
    </row>
    <row r="13" spans="1:19">
      <c r="A13" s="374" t="s">
        <v>455</v>
      </c>
      <c r="B13" s="373">
        <f t="shared" si="0"/>
        <v>8.5613764718946092E-2</v>
      </c>
      <c r="C13" s="373">
        <f t="shared" si="1"/>
        <v>6.6852510982308225E-2</v>
      </c>
      <c r="D13" s="373">
        <f t="shared" si="2"/>
        <v>0.10438236735696055</v>
      </c>
      <c r="E13" s="372">
        <f t="shared" si="3"/>
        <v>1104850</v>
      </c>
      <c r="F13" s="372">
        <f t="shared" si="4"/>
        <v>431452</v>
      </c>
      <c r="G13" s="372">
        <f t="shared" si="5"/>
        <v>673398</v>
      </c>
      <c r="H13" s="371">
        <v>107478</v>
      </c>
      <c r="I13" s="371">
        <v>103884</v>
      </c>
      <c r="J13" s="371">
        <v>129057</v>
      </c>
      <c r="K13" s="371">
        <v>102792</v>
      </c>
      <c r="L13" s="371">
        <v>66633</v>
      </c>
      <c r="M13" s="371">
        <v>50998</v>
      </c>
      <c r="N13" s="371">
        <v>60076</v>
      </c>
      <c r="O13" s="371">
        <v>78001</v>
      </c>
      <c r="P13" s="371">
        <v>72952</v>
      </c>
      <c r="Q13" s="371">
        <v>94052</v>
      </c>
      <c r="R13" s="371">
        <v>112471</v>
      </c>
      <c r="S13" s="371">
        <v>126456</v>
      </c>
    </row>
    <row r="14" spans="1:19">
      <c r="A14" s="374" t="s">
        <v>454</v>
      </c>
      <c r="B14" s="373">
        <f t="shared" si="0"/>
        <v>9.501814444592277E-2</v>
      </c>
      <c r="C14" s="373">
        <f t="shared" si="1"/>
        <v>8.1092827794649006E-2</v>
      </c>
      <c r="D14" s="373">
        <f t="shared" si="2"/>
        <v>0.10894891573152664</v>
      </c>
      <c r="E14" s="372">
        <f t="shared" si="3"/>
        <v>1226214</v>
      </c>
      <c r="F14" s="372">
        <f t="shared" si="4"/>
        <v>523356</v>
      </c>
      <c r="G14" s="372">
        <f t="shared" si="5"/>
        <v>702858</v>
      </c>
      <c r="H14" s="371">
        <v>112029</v>
      </c>
      <c r="I14" s="371">
        <v>106589</v>
      </c>
      <c r="J14" s="371">
        <v>130809</v>
      </c>
      <c r="K14" s="371">
        <v>116883</v>
      </c>
      <c r="L14" s="371">
        <v>83499</v>
      </c>
      <c r="M14" s="371">
        <v>66946</v>
      </c>
      <c r="N14" s="371">
        <v>77044</v>
      </c>
      <c r="O14" s="371">
        <v>91265</v>
      </c>
      <c r="P14" s="371">
        <v>87719</v>
      </c>
      <c r="Q14" s="371">
        <v>105062</v>
      </c>
      <c r="R14" s="371">
        <v>120852</v>
      </c>
      <c r="S14" s="371">
        <v>127517</v>
      </c>
    </row>
    <row r="15" spans="1:19">
      <c r="A15" s="374" t="s">
        <v>453</v>
      </c>
      <c r="B15" s="373">
        <f t="shared" si="0"/>
        <v>9.3135393265784072E-2</v>
      </c>
      <c r="C15" s="373">
        <f t="shared" si="1"/>
        <v>8.3256363045026732E-2</v>
      </c>
      <c r="D15" s="373">
        <f t="shared" si="2"/>
        <v>0.10301829316496525</v>
      </c>
      <c r="E15" s="372">
        <f t="shared" si="3"/>
        <v>1201917</v>
      </c>
      <c r="F15" s="372">
        <f t="shared" si="4"/>
        <v>537319</v>
      </c>
      <c r="G15" s="372">
        <f t="shared" si="5"/>
        <v>664598</v>
      </c>
      <c r="H15" s="371">
        <v>106923</v>
      </c>
      <c r="I15" s="371">
        <v>102175</v>
      </c>
      <c r="J15" s="371">
        <v>119704</v>
      </c>
      <c r="K15" s="371">
        <v>113622</v>
      </c>
      <c r="L15" s="371">
        <v>88347</v>
      </c>
      <c r="M15" s="371">
        <v>74983</v>
      </c>
      <c r="N15" s="371">
        <v>82042</v>
      </c>
      <c r="O15" s="371">
        <v>89306</v>
      </c>
      <c r="P15" s="371">
        <v>89019</v>
      </c>
      <c r="Q15" s="371">
        <v>101890</v>
      </c>
      <c r="R15" s="371">
        <v>116276</v>
      </c>
      <c r="S15" s="371">
        <v>117630</v>
      </c>
    </row>
    <row r="16" spans="1:19">
      <c r="A16" s="374" t="s">
        <v>452</v>
      </c>
      <c r="B16" s="373">
        <f t="shared" si="0"/>
        <v>8.4971535563865649E-2</v>
      </c>
      <c r="C16" s="373">
        <f t="shared" si="1"/>
        <v>7.8287034174808007E-2</v>
      </c>
      <c r="D16" s="373">
        <f t="shared" si="2"/>
        <v>9.1658655314262538E-2</v>
      </c>
      <c r="E16" s="372">
        <f t="shared" si="3"/>
        <v>1096562</v>
      </c>
      <c r="F16" s="372">
        <f t="shared" si="4"/>
        <v>505248</v>
      </c>
      <c r="G16" s="372">
        <f t="shared" si="5"/>
        <v>591314</v>
      </c>
      <c r="H16" s="371">
        <v>97237</v>
      </c>
      <c r="I16" s="371">
        <v>93387</v>
      </c>
      <c r="J16" s="371">
        <v>102124</v>
      </c>
      <c r="K16" s="371">
        <v>103717</v>
      </c>
      <c r="L16" s="371">
        <v>83534</v>
      </c>
      <c r="M16" s="371">
        <v>74728</v>
      </c>
      <c r="N16" s="371">
        <v>79682</v>
      </c>
      <c r="O16" s="371">
        <v>81368</v>
      </c>
      <c r="P16" s="371">
        <v>82219</v>
      </c>
      <c r="Q16" s="371">
        <v>93092</v>
      </c>
      <c r="R16" s="371">
        <v>103913</v>
      </c>
      <c r="S16" s="371">
        <v>101561</v>
      </c>
    </row>
    <row r="17" spans="1:19">
      <c r="A17" s="374" t="s">
        <v>451</v>
      </c>
      <c r="B17" s="373">
        <f t="shared" si="0"/>
        <v>7.4813187487596911E-2</v>
      </c>
      <c r="C17" s="373">
        <f t="shared" si="1"/>
        <v>7.0958935905713685E-2</v>
      </c>
      <c r="D17" s="373">
        <f t="shared" si="2"/>
        <v>7.8668948804125463E-2</v>
      </c>
      <c r="E17" s="372">
        <f t="shared" si="3"/>
        <v>965468</v>
      </c>
      <c r="F17" s="372">
        <f t="shared" si="4"/>
        <v>457954</v>
      </c>
      <c r="G17" s="372">
        <f t="shared" si="5"/>
        <v>507514</v>
      </c>
      <c r="H17" s="371">
        <v>84821</v>
      </c>
      <c r="I17" s="371">
        <v>82812</v>
      </c>
      <c r="J17" s="371">
        <v>83664</v>
      </c>
      <c r="K17" s="371">
        <v>89098</v>
      </c>
      <c r="L17" s="371">
        <v>77274</v>
      </c>
      <c r="M17" s="371">
        <v>71045</v>
      </c>
      <c r="N17" s="371">
        <v>73497</v>
      </c>
      <c r="O17" s="371">
        <v>72598</v>
      </c>
      <c r="P17" s="371">
        <v>74442</v>
      </c>
      <c r="Q17" s="371">
        <v>81988</v>
      </c>
      <c r="R17" s="371">
        <v>89518</v>
      </c>
      <c r="S17" s="371">
        <v>84711</v>
      </c>
    </row>
    <row r="18" spans="1:19">
      <c r="A18" s="374" t="s">
        <v>450</v>
      </c>
      <c r="B18" s="373">
        <f t="shared" si="0"/>
        <v>6.4425936790176191E-2</v>
      </c>
      <c r="C18" s="373">
        <f t="shared" si="1"/>
        <v>6.3129116864527185E-2</v>
      </c>
      <c r="D18" s="373">
        <f t="shared" si="2"/>
        <v>6.5723264688366395E-2</v>
      </c>
      <c r="E18" s="372">
        <f t="shared" si="3"/>
        <v>831420</v>
      </c>
      <c r="F18" s="372">
        <f t="shared" si="4"/>
        <v>407422</v>
      </c>
      <c r="G18" s="372">
        <f t="shared" si="5"/>
        <v>423998</v>
      </c>
      <c r="H18" s="371">
        <v>72290</v>
      </c>
      <c r="I18" s="371">
        <v>71490</v>
      </c>
      <c r="J18" s="371">
        <v>67107</v>
      </c>
      <c r="K18" s="371">
        <v>75101</v>
      </c>
      <c r="L18" s="371">
        <v>68985</v>
      </c>
      <c r="M18" s="371">
        <v>65511</v>
      </c>
      <c r="N18" s="371">
        <v>66807</v>
      </c>
      <c r="O18" s="371">
        <v>64798</v>
      </c>
      <c r="P18" s="371">
        <v>66220</v>
      </c>
      <c r="Q18" s="371">
        <v>71816</v>
      </c>
      <c r="R18" s="371">
        <v>73254</v>
      </c>
      <c r="S18" s="371">
        <v>68041</v>
      </c>
    </row>
    <row r="19" spans="1:19">
      <c r="A19" s="374" t="s">
        <v>449</v>
      </c>
      <c r="B19" s="373">
        <f t="shared" si="0"/>
        <v>5.5155535611598902E-2</v>
      </c>
      <c r="C19" s="373">
        <f t="shared" si="1"/>
        <v>5.609851825028677E-2</v>
      </c>
      <c r="D19" s="373">
        <f t="shared" si="2"/>
        <v>5.4212183600666042E-2</v>
      </c>
      <c r="E19" s="372">
        <f t="shared" si="3"/>
        <v>711785</v>
      </c>
      <c r="F19" s="372">
        <f t="shared" si="4"/>
        <v>362048</v>
      </c>
      <c r="G19" s="372">
        <f t="shared" si="5"/>
        <v>349737</v>
      </c>
      <c r="H19" s="371">
        <v>60359</v>
      </c>
      <c r="I19" s="371">
        <v>61329</v>
      </c>
      <c r="J19" s="371">
        <v>52432</v>
      </c>
      <c r="K19" s="371">
        <v>62149</v>
      </c>
      <c r="L19" s="371">
        <v>61742</v>
      </c>
      <c r="M19" s="371">
        <v>60289</v>
      </c>
      <c r="N19" s="371">
        <v>60318</v>
      </c>
      <c r="O19" s="371">
        <v>57974</v>
      </c>
      <c r="P19" s="371">
        <v>59576</v>
      </c>
      <c r="Q19" s="371">
        <v>61620</v>
      </c>
      <c r="R19" s="371">
        <v>60090</v>
      </c>
      <c r="S19" s="371">
        <v>53907</v>
      </c>
    </row>
    <row r="20" spans="1:19">
      <c r="A20" s="374" t="s">
        <v>448</v>
      </c>
      <c r="B20" s="373">
        <f t="shared" si="0"/>
        <v>4.6807796420176878E-2</v>
      </c>
      <c r="C20" s="373">
        <f t="shared" si="1"/>
        <v>4.9647889015274595E-2</v>
      </c>
      <c r="D20" s="373">
        <f t="shared" si="2"/>
        <v>4.3966591342903143E-2</v>
      </c>
      <c r="E20" s="372">
        <f t="shared" si="3"/>
        <v>604057</v>
      </c>
      <c r="F20" s="372">
        <f t="shared" si="4"/>
        <v>320417</v>
      </c>
      <c r="G20" s="372">
        <f t="shared" si="5"/>
        <v>283640</v>
      </c>
      <c r="H20" s="371">
        <v>49605</v>
      </c>
      <c r="I20" s="371">
        <v>50910</v>
      </c>
      <c r="J20" s="371">
        <v>40292</v>
      </c>
      <c r="K20" s="371">
        <v>50936</v>
      </c>
      <c r="L20" s="371">
        <v>54675</v>
      </c>
      <c r="M20" s="371">
        <v>54688</v>
      </c>
      <c r="N20" s="371">
        <v>54255</v>
      </c>
      <c r="O20" s="371">
        <v>52318</v>
      </c>
      <c r="P20" s="371">
        <v>53545</v>
      </c>
      <c r="Q20" s="371">
        <v>53056</v>
      </c>
      <c r="R20" s="371">
        <v>47847</v>
      </c>
      <c r="S20" s="371">
        <v>41930</v>
      </c>
    </row>
    <row r="21" spans="1:19">
      <c r="A21" s="374" t="s">
        <v>447</v>
      </c>
      <c r="B21" s="373">
        <f t="shared" si="0"/>
        <v>3.9513443224672262E-2</v>
      </c>
      <c r="C21" s="373">
        <f t="shared" si="1"/>
        <v>4.373849222526488E-2</v>
      </c>
      <c r="D21" s="373">
        <f t="shared" si="2"/>
        <v>3.528673924574758E-2</v>
      </c>
      <c r="E21" s="372">
        <f t="shared" si="3"/>
        <v>509923</v>
      </c>
      <c r="F21" s="372">
        <f t="shared" si="4"/>
        <v>282279</v>
      </c>
      <c r="G21" s="372">
        <f t="shared" si="5"/>
        <v>227644</v>
      </c>
      <c r="H21" s="371">
        <v>39512</v>
      </c>
      <c r="I21" s="371">
        <v>41587</v>
      </c>
      <c r="J21" s="371">
        <v>31280</v>
      </c>
      <c r="K21" s="371">
        <v>41414</v>
      </c>
      <c r="L21" s="371">
        <v>48167</v>
      </c>
      <c r="M21" s="371">
        <v>49847</v>
      </c>
      <c r="N21" s="371">
        <v>49187</v>
      </c>
      <c r="O21" s="371">
        <v>46236</v>
      </c>
      <c r="P21" s="371">
        <v>47428</v>
      </c>
      <c r="Q21" s="371">
        <v>45230</v>
      </c>
      <c r="R21" s="371">
        <v>37667</v>
      </c>
      <c r="S21" s="371">
        <v>32368</v>
      </c>
    </row>
    <row r="22" spans="1:19">
      <c r="A22" s="374" t="s">
        <v>446</v>
      </c>
      <c r="B22" s="373">
        <f t="shared" si="0"/>
        <v>3.3297969918910042E-2</v>
      </c>
      <c r="C22" s="373">
        <f t="shared" si="1"/>
        <v>3.8428898124806994E-2</v>
      </c>
      <c r="D22" s="373">
        <f t="shared" si="2"/>
        <v>2.8165031896084828E-2</v>
      </c>
      <c r="E22" s="372">
        <f t="shared" si="3"/>
        <v>429712</v>
      </c>
      <c r="F22" s="372">
        <f t="shared" si="4"/>
        <v>248012</v>
      </c>
      <c r="G22" s="372">
        <f t="shared" si="5"/>
        <v>181700</v>
      </c>
      <c r="H22" s="371">
        <v>31772</v>
      </c>
      <c r="I22" s="371">
        <v>33984</v>
      </c>
      <c r="J22" s="371">
        <v>23715</v>
      </c>
      <c r="K22" s="371">
        <v>33571</v>
      </c>
      <c r="L22" s="371">
        <v>42820</v>
      </c>
      <c r="M22" s="371">
        <v>44653</v>
      </c>
      <c r="N22" s="371">
        <v>43831</v>
      </c>
      <c r="O22" s="371">
        <v>40921</v>
      </c>
      <c r="P22" s="371">
        <v>42216</v>
      </c>
      <c r="Q22" s="371">
        <v>38224</v>
      </c>
      <c r="R22" s="371">
        <v>29332</v>
      </c>
      <c r="S22" s="371">
        <v>24673</v>
      </c>
    </row>
    <row r="23" spans="1:19">
      <c r="A23" s="374" t="s">
        <v>445</v>
      </c>
      <c r="B23" s="373">
        <f t="shared" si="0"/>
        <v>2.8227087207946717E-2</v>
      </c>
      <c r="C23" s="373">
        <f t="shared" si="1"/>
        <v>3.3834077934683023E-2</v>
      </c>
      <c r="D23" s="373">
        <f t="shared" si="2"/>
        <v>2.2617900187591203E-2</v>
      </c>
      <c r="E23" s="372">
        <f t="shared" si="3"/>
        <v>364272</v>
      </c>
      <c r="F23" s="372">
        <f t="shared" si="4"/>
        <v>218358</v>
      </c>
      <c r="G23" s="372">
        <f t="shared" si="5"/>
        <v>145914</v>
      </c>
      <c r="H23" s="371">
        <v>25486</v>
      </c>
      <c r="I23" s="371">
        <v>27347</v>
      </c>
      <c r="J23" s="371">
        <v>18078</v>
      </c>
      <c r="K23" s="371">
        <v>27179</v>
      </c>
      <c r="L23" s="371">
        <v>37600</v>
      </c>
      <c r="M23" s="371">
        <v>40305</v>
      </c>
      <c r="N23" s="371">
        <v>39366</v>
      </c>
      <c r="O23" s="371">
        <v>36715</v>
      </c>
      <c r="P23" s="371">
        <v>37193</v>
      </c>
      <c r="Q23" s="371">
        <v>32878</v>
      </c>
      <c r="R23" s="371">
        <v>22950</v>
      </c>
      <c r="S23" s="371">
        <v>19175</v>
      </c>
    </row>
    <row r="24" spans="1:19">
      <c r="A24" s="374" t="s">
        <v>444</v>
      </c>
      <c r="B24" s="373">
        <f t="shared" si="0"/>
        <v>4.371908332636578E-2</v>
      </c>
      <c r="C24" s="373">
        <f t="shared" si="1"/>
        <v>5.5376926639529117E-2</v>
      </c>
      <c r="D24" s="373">
        <f t="shared" si="2"/>
        <v>3.205667356247506E-2</v>
      </c>
      <c r="E24" s="372">
        <f t="shared" si="3"/>
        <v>564197</v>
      </c>
      <c r="F24" s="372">
        <f t="shared" si="4"/>
        <v>357391</v>
      </c>
      <c r="G24" s="372">
        <f t="shared" si="5"/>
        <v>206806</v>
      </c>
      <c r="H24" s="371">
        <v>35612</v>
      </c>
      <c r="I24" s="371">
        <v>39453</v>
      </c>
      <c r="J24" s="371">
        <v>24370</v>
      </c>
      <c r="K24" s="371">
        <v>38938</v>
      </c>
      <c r="L24" s="371">
        <v>61974</v>
      </c>
      <c r="M24" s="371">
        <v>68551</v>
      </c>
      <c r="N24" s="371">
        <v>65777</v>
      </c>
      <c r="O24" s="371">
        <v>60146</v>
      </c>
      <c r="P24" s="371">
        <v>62005</v>
      </c>
      <c r="Q24" s="371">
        <v>49850</v>
      </c>
      <c r="R24" s="371">
        <v>31795</v>
      </c>
      <c r="S24" s="371">
        <v>25726</v>
      </c>
    </row>
    <row r="25" spans="1:19">
      <c r="A25" s="374" t="s">
        <v>443</v>
      </c>
      <c r="B25" s="373">
        <f t="shared" si="0"/>
        <v>5.4584596372381639E-2</v>
      </c>
      <c r="C25" s="373">
        <f t="shared" si="1"/>
        <v>7.5787572230824399E-2</v>
      </c>
      <c r="D25" s="373">
        <f t="shared" si="2"/>
        <v>3.3373315174612346E-2</v>
      </c>
      <c r="E25" s="372">
        <f t="shared" si="3"/>
        <v>704417</v>
      </c>
      <c r="F25" s="372">
        <f t="shared" si="4"/>
        <v>489117</v>
      </c>
      <c r="G25" s="372">
        <f t="shared" si="5"/>
        <v>215300</v>
      </c>
      <c r="H25" s="371">
        <v>36135</v>
      </c>
      <c r="I25" s="371">
        <v>40979</v>
      </c>
      <c r="J25" s="371">
        <v>22877</v>
      </c>
      <c r="K25" s="371">
        <v>41054</v>
      </c>
      <c r="L25" s="371">
        <v>85193</v>
      </c>
      <c r="M25" s="371">
        <v>99823</v>
      </c>
      <c r="N25" s="371">
        <v>93623</v>
      </c>
      <c r="O25" s="371">
        <v>83607</v>
      </c>
      <c r="P25" s="371">
        <v>85817</v>
      </c>
      <c r="Q25" s="371">
        <v>59794</v>
      </c>
      <c r="R25" s="371">
        <v>31063</v>
      </c>
      <c r="S25" s="371">
        <v>24452</v>
      </c>
    </row>
    <row r="26" spans="1:19">
      <c r="A26" s="374" t="s">
        <v>442</v>
      </c>
      <c r="B26" s="373">
        <f t="shared" si="0"/>
        <v>3.4969098533589676E-2</v>
      </c>
      <c r="C26" s="373">
        <f t="shared" si="1"/>
        <v>5.3860453138458664E-2</v>
      </c>
      <c r="D26" s="373">
        <f t="shared" si="2"/>
        <v>1.607034406601375E-2</v>
      </c>
      <c r="E26" s="372">
        <f t="shared" si="3"/>
        <v>451278</v>
      </c>
      <c r="F26" s="372">
        <f t="shared" si="4"/>
        <v>347604</v>
      </c>
      <c r="G26" s="372">
        <f t="shared" si="5"/>
        <v>103674</v>
      </c>
      <c r="H26" s="371">
        <v>16602</v>
      </c>
      <c r="I26" s="371">
        <v>19204</v>
      </c>
      <c r="J26" s="371">
        <v>10003</v>
      </c>
      <c r="K26" s="371">
        <v>19990</v>
      </c>
      <c r="L26" s="371">
        <v>60337</v>
      </c>
      <c r="M26" s="371">
        <v>77557</v>
      </c>
      <c r="N26" s="371">
        <v>69562</v>
      </c>
      <c r="O26" s="371">
        <v>59956</v>
      </c>
      <c r="P26" s="371">
        <v>60202</v>
      </c>
      <c r="Q26" s="371">
        <v>32977</v>
      </c>
      <c r="R26" s="371">
        <v>14079</v>
      </c>
      <c r="S26" s="371">
        <v>10809</v>
      </c>
    </row>
    <row r="27" spans="1:19">
      <c r="A27" s="374" t="s">
        <v>441</v>
      </c>
      <c r="B27" s="373">
        <f t="shared" si="0"/>
        <v>1.7092144773391441E-2</v>
      </c>
      <c r="C27" s="373">
        <f t="shared" si="1"/>
        <v>2.8184063656249064E-2</v>
      </c>
      <c r="D27" s="373">
        <f t="shared" si="2"/>
        <v>5.9958811159738978E-3</v>
      </c>
      <c r="E27" s="372">
        <f t="shared" si="3"/>
        <v>220575</v>
      </c>
      <c r="F27" s="372">
        <f t="shared" si="4"/>
        <v>181894</v>
      </c>
      <c r="G27" s="372">
        <f t="shared" si="5"/>
        <v>38681</v>
      </c>
      <c r="H27" s="371">
        <v>5933</v>
      </c>
      <c r="I27" s="371">
        <v>6938</v>
      </c>
      <c r="J27" s="371">
        <v>3527</v>
      </c>
      <c r="K27" s="371">
        <v>7400</v>
      </c>
      <c r="L27" s="371">
        <v>31080</v>
      </c>
      <c r="M27" s="371">
        <v>44849</v>
      </c>
      <c r="N27" s="371">
        <v>37759</v>
      </c>
      <c r="O27" s="371">
        <v>30632</v>
      </c>
      <c r="P27" s="371">
        <v>30174</v>
      </c>
      <c r="Q27" s="371">
        <v>13577</v>
      </c>
      <c r="R27" s="371">
        <v>4966</v>
      </c>
      <c r="S27" s="371">
        <v>3740</v>
      </c>
    </row>
    <row r="28" spans="1:19">
      <c r="A28" s="374" t="s">
        <v>440</v>
      </c>
      <c r="B28" s="373">
        <f t="shared" si="0"/>
        <v>1.3259459416316913E-2</v>
      </c>
      <c r="C28" s="373">
        <f t="shared" si="1"/>
        <v>2.2680629936925423E-2</v>
      </c>
      <c r="D28" s="373">
        <f t="shared" si="2"/>
        <v>3.8345985638158857E-3</v>
      </c>
      <c r="E28" s="372">
        <f t="shared" si="3"/>
        <v>171114</v>
      </c>
      <c r="F28" s="372">
        <f t="shared" si="4"/>
        <v>146376</v>
      </c>
      <c r="G28" s="372">
        <f t="shared" si="5"/>
        <v>24738</v>
      </c>
      <c r="H28" s="371">
        <v>3839</v>
      </c>
      <c r="I28" s="371">
        <v>4332</v>
      </c>
      <c r="J28" s="371">
        <v>2343</v>
      </c>
      <c r="K28" s="371">
        <v>4503</v>
      </c>
      <c r="L28" s="371">
        <v>23812</v>
      </c>
      <c r="M28" s="371">
        <v>40235</v>
      </c>
      <c r="N28" s="371">
        <v>31015</v>
      </c>
      <c r="O28" s="371">
        <v>23841</v>
      </c>
      <c r="P28" s="371">
        <v>22970</v>
      </c>
      <c r="Q28" s="371">
        <v>8569</v>
      </c>
      <c r="R28" s="371">
        <v>3105</v>
      </c>
      <c r="S28" s="371">
        <v>2550</v>
      </c>
    </row>
    <row r="29" spans="1:19">
      <c r="A29" s="374" t="s">
        <v>439</v>
      </c>
      <c r="B29" s="373">
        <f t="shared" si="0"/>
        <v>3.85174766066403E-3</v>
      </c>
      <c r="C29" s="373">
        <f t="shared" si="1"/>
        <v>6.6694154395193269E-3</v>
      </c>
      <c r="D29" s="373">
        <f t="shared" si="2"/>
        <v>1.0329761835746246E-3</v>
      </c>
      <c r="E29" s="372">
        <f t="shared" si="3"/>
        <v>49707</v>
      </c>
      <c r="F29" s="372">
        <f t="shared" si="4"/>
        <v>43043</v>
      </c>
      <c r="G29" s="372">
        <f t="shared" si="5"/>
        <v>6664</v>
      </c>
      <c r="H29" s="371">
        <v>1065</v>
      </c>
      <c r="I29" s="371">
        <v>1215</v>
      </c>
      <c r="J29" s="371">
        <v>702</v>
      </c>
      <c r="K29" s="371">
        <v>1157</v>
      </c>
      <c r="L29" s="371">
        <v>6621</v>
      </c>
      <c r="M29" s="371">
        <v>13016</v>
      </c>
      <c r="N29" s="371">
        <v>9304</v>
      </c>
      <c r="O29" s="371">
        <v>6606</v>
      </c>
      <c r="P29" s="371">
        <v>6339</v>
      </c>
      <c r="Q29" s="371">
        <v>2060</v>
      </c>
      <c r="R29" s="371">
        <v>881</v>
      </c>
      <c r="S29" s="371">
        <v>741</v>
      </c>
    </row>
    <row r="30" spans="1:19">
      <c r="A30" s="374" t="s">
        <v>33</v>
      </c>
      <c r="B30" s="373">
        <f t="shared" si="0"/>
        <v>2.6002996811093581E-3</v>
      </c>
      <c r="C30" s="373">
        <f t="shared" si="1"/>
        <v>4.1079744007744912E-3</v>
      </c>
      <c r="D30" s="373">
        <f t="shared" si="2"/>
        <v>1.092034395750785E-3</v>
      </c>
      <c r="E30" s="372">
        <f t="shared" si="3"/>
        <v>33557</v>
      </c>
      <c r="F30" s="372">
        <f t="shared" si="4"/>
        <v>26512</v>
      </c>
      <c r="G30" s="372">
        <f t="shared" si="5"/>
        <v>7045</v>
      </c>
      <c r="H30" s="371">
        <v>1309</v>
      </c>
      <c r="I30" s="371">
        <v>1339</v>
      </c>
      <c r="J30" s="371">
        <v>957</v>
      </c>
      <c r="K30" s="371">
        <v>1164</v>
      </c>
      <c r="L30" s="371">
        <v>3999</v>
      </c>
      <c r="M30" s="371">
        <v>8160</v>
      </c>
      <c r="N30" s="371">
        <v>5551</v>
      </c>
      <c r="O30" s="371">
        <v>3892</v>
      </c>
      <c r="P30" s="371">
        <v>3746</v>
      </c>
      <c r="Q30" s="371">
        <v>1579</v>
      </c>
      <c r="R30" s="371">
        <v>972</v>
      </c>
      <c r="S30" s="371">
        <v>889</v>
      </c>
    </row>
    <row r="31" spans="1:19" ht="12" thickBot="1">
      <c r="A31" s="370" t="s">
        <v>438</v>
      </c>
      <c r="B31" s="369">
        <f t="shared" ref="B31:S31" si="6">SUM(B7:B30)</f>
        <v>0.99999999999999978</v>
      </c>
      <c r="C31" s="369">
        <f t="shared" si="6"/>
        <v>1</v>
      </c>
      <c r="D31" s="369">
        <f t="shared" si="6"/>
        <v>1.0000000000000002</v>
      </c>
      <c r="E31" s="368">
        <f t="shared" si="6"/>
        <v>12905051</v>
      </c>
      <c r="F31" s="368">
        <f t="shared" si="6"/>
        <v>6453789</v>
      </c>
      <c r="G31" s="368">
        <f t="shared" si="6"/>
        <v>6451262</v>
      </c>
      <c r="H31" s="368">
        <f t="shared" si="6"/>
        <v>1069623</v>
      </c>
      <c r="I31" s="368">
        <f t="shared" si="6"/>
        <v>1070807</v>
      </c>
      <c r="J31" s="368">
        <f t="shared" si="6"/>
        <v>1071826</v>
      </c>
      <c r="K31" s="368">
        <f t="shared" si="6"/>
        <v>1073193</v>
      </c>
      <c r="L31" s="368">
        <f t="shared" si="6"/>
        <v>1074313</v>
      </c>
      <c r="M31" s="368">
        <f t="shared" si="6"/>
        <v>1075121</v>
      </c>
      <c r="N31" s="368">
        <f t="shared" si="6"/>
        <v>1076082</v>
      </c>
      <c r="O31" s="368">
        <f t="shared" si="6"/>
        <v>1077190</v>
      </c>
      <c r="P31" s="368">
        <f t="shared" si="6"/>
        <v>1077890</v>
      </c>
      <c r="Q31" s="368">
        <f t="shared" si="6"/>
        <v>1078715</v>
      </c>
      <c r="R31" s="368">
        <f t="shared" si="6"/>
        <v>1079719</v>
      </c>
      <c r="S31" s="368">
        <f t="shared" si="6"/>
        <v>1080572</v>
      </c>
    </row>
    <row r="32" spans="1:19" ht="12" thickTop="1"/>
  </sheetData>
  <mergeCells count="5">
    <mergeCell ref="A1:S1"/>
    <mergeCell ref="A2:S2"/>
    <mergeCell ref="A3:S3"/>
    <mergeCell ref="A4:S4"/>
    <mergeCell ref="A5:S5"/>
  </mergeCells>
  <pageMargins left="0.7" right="0.7" top="0.75" bottom="0.75" header="0.3" footer="0.3"/>
  <pageSetup scale="57" orientation="landscape" horizontalDpi="360" verticalDpi="360" r:id="rId1"/>
  <headerFooter>
    <oddFooter>&amp;R&amp;F
&amp;A
&amp;P of &amp;N</oddFooter>
  </headerFooter>
  <customProperties>
    <customPr name="_pios_id" r:id="rId2"/>
  </customPropertie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3" tint="0.79998168889431442"/>
  </sheetPr>
  <dimension ref="A1:BA47"/>
  <sheetViews>
    <sheetView zoomScaleNormal="100" zoomScaleSheetLayoutView="100" workbookViewId="0">
      <pane xSplit="5" ySplit="8" topLeftCell="AJ9" activePane="bottomRight" state="frozen"/>
      <selection activeCell="U42" sqref="U42"/>
      <selection pane="topRight" activeCell="U42" sqref="U42"/>
      <selection pane="bottomLeft" activeCell="U42" sqref="U42"/>
      <selection pane="bottomRight" activeCell="AL9" sqref="AL9"/>
    </sheetView>
  </sheetViews>
  <sheetFormatPr defaultColWidth="6.28515625" defaultRowHeight="11.25"/>
  <cols>
    <col min="1" max="1" width="4.7109375" style="142" customWidth="1"/>
    <col min="2" max="2" width="20.28515625" style="142" bestFit="1" customWidth="1"/>
    <col min="3" max="3" width="14.85546875" style="142" bestFit="1" customWidth="1"/>
    <col min="4" max="4" width="12.85546875" style="142" bestFit="1" customWidth="1"/>
    <col min="5" max="5" width="15.28515625" style="142" bestFit="1" customWidth="1"/>
    <col min="6" max="6" width="11.5703125" style="142" bestFit="1" customWidth="1"/>
    <col min="7" max="7" width="11.42578125" style="142" customWidth="1"/>
    <col min="8" max="8" width="15.28515625" style="142" customWidth="1"/>
    <col min="9" max="10" width="11.5703125" style="142" bestFit="1" customWidth="1"/>
    <col min="11" max="11" width="13.42578125" style="142" customWidth="1"/>
    <col min="12" max="12" width="11.7109375" style="142" customWidth="1"/>
    <col min="13" max="13" width="12.85546875" style="142" customWidth="1"/>
    <col min="14" max="14" width="11.5703125" style="142" customWidth="1"/>
    <col min="15" max="15" width="12.5703125" style="142" customWidth="1"/>
    <col min="16" max="16" width="10.5703125" style="142" customWidth="1"/>
    <col min="17" max="17" width="13.140625" style="142" customWidth="1"/>
    <col min="18" max="18" width="15.7109375" style="142" customWidth="1"/>
    <col min="19" max="19" width="14.5703125" style="142" customWidth="1"/>
    <col min="20" max="20" width="14.140625" style="142" customWidth="1"/>
    <col min="21" max="21" width="13.5703125" style="142" customWidth="1"/>
    <col min="22" max="22" width="11.28515625" style="142" bestFit="1" customWidth="1"/>
    <col min="23" max="23" width="11.28515625" style="142" customWidth="1"/>
    <col min="24" max="24" width="14.28515625" style="142" customWidth="1"/>
    <col min="25" max="25" width="11.28515625" style="142" customWidth="1"/>
    <col min="26" max="26" width="11.85546875" style="142" bestFit="1" customWidth="1"/>
    <col min="27" max="27" width="11.42578125" style="142" customWidth="1"/>
    <col min="28" max="28" width="14.42578125" style="142" customWidth="1"/>
    <col min="29" max="29" width="12.85546875" style="142" bestFit="1" customWidth="1"/>
    <col min="30" max="30" width="0.5703125" style="142" customWidth="1"/>
    <col min="31" max="31" width="14.28515625" style="142" customWidth="1"/>
    <col min="32" max="32" width="12.140625" style="142" bestFit="1" customWidth="1"/>
    <col min="33" max="33" width="11.28515625" style="142" bestFit="1" customWidth="1"/>
    <col min="34" max="34" width="11.28515625" style="142" customWidth="1"/>
    <col min="35" max="35" width="12.140625" style="142" bestFit="1" customWidth="1"/>
    <col min="36" max="36" width="11.85546875" style="142" bestFit="1" customWidth="1"/>
    <col min="37" max="37" width="0.5703125" style="142" customWidth="1"/>
    <col min="38" max="38" width="13.85546875" style="142" bestFit="1" customWidth="1"/>
    <col min="39" max="39" width="12.140625" style="142" bestFit="1" customWidth="1"/>
    <col min="40" max="40" width="9.140625" style="142" bestFit="1" customWidth="1"/>
    <col min="41" max="41" width="12.42578125" style="142" bestFit="1" customWidth="1"/>
    <col min="42" max="43" width="12.140625" style="142" bestFit="1" customWidth="1"/>
    <col min="44" max="44" width="15.5703125" style="142" customWidth="1"/>
    <col min="45" max="45" width="15" style="142" customWidth="1"/>
    <col min="46" max="46" width="14.7109375" style="142" customWidth="1"/>
    <col min="47" max="47" width="0.5703125" style="142" customWidth="1"/>
    <col min="48" max="48" width="13.5703125" style="142" bestFit="1" customWidth="1"/>
    <col min="49" max="49" width="12.85546875" style="142" bestFit="1" customWidth="1"/>
    <col min="50" max="50" width="10.5703125" style="142" bestFit="1" customWidth="1"/>
    <col min="51" max="16384" width="6.28515625" style="142"/>
  </cols>
  <sheetData>
    <row r="1" spans="1:53" s="136" customFormat="1" ht="12.75">
      <c r="A1" s="497" t="str">
        <f>'Table of Contents'!A1</f>
        <v>Puget Sound Energy</v>
      </c>
      <c r="B1" s="497"/>
      <c r="C1" s="497"/>
      <c r="D1" s="525"/>
      <c r="E1" s="525"/>
    </row>
    <row r="2" spans="1:53" s="136" customFormat="1" ht="12.75">
      <c r="A2" s="497" t="str">
        <f>'Table of Contents'!A2</f>
        <v>2024 General Rate Case Docket No. UE-240004 and UG-240005</v>
      </c>
      <c r="B2" s="497"/>
      <c r="C2" s="497"/>
      <c r="D2" s="525"/>
      <c r="E2" s="525"/>
    </row>
    <row r="3" spans="1:53" s="136" customFormat="1" ht="12.75">
      <c r="A3" s="448" t="s">
        <v>184</v>
      </c>
      <c r="B3" s="448"/>
      <c r="C3" s="448"/>
      <c r="D3" s="449"/>
      <c r="E3" s="449"/>
    </row>
    <row r="4" spans="1:53" s="136" customFormat="1">
      <c r="A4" s="480"/>
      <c r="B4" s="480"/>
      <c r="C4" s="480"/>
    </row>
    <row r="5" spans="1:53" s="136" customFormat="1" ht="12" thickBot="1">
      <c r="A5" s="483"/>
      <c r="B5" s="483"/>
      <c r="C5" s="480"/>
      <c r="D5" s="135"/>
      <c r="E5" s="135"/>
      <c r="F5" s="135"/>
      <c r="G5" s="135"/>
      <c r="H5" s="135"/>
      <c r="I5" s="135"/>
      <c r="J5" s="135"/>
      <c r="K5" s="135"/>
      <c r="L5" s="135"/>
      <c r="M5" s="135"/>
      <c r="N5" s="135"/>
      <c r="O5" s="135"/>
      <c r="P5" s="135"/>
      <c r="Q5" s="135"/>
      <c r="R5" s="135"/>
      <c r="S5" s="135"/>
      <c r="T5" s="135"/>
      <c r="U5" s="135"/>
      <c r="V5" s="135"/>
      <c r="W5" s="135"/>
      <c r="X5" s="135"/>
      <c r="Y5" s="135"/>
      <c r="Z5" s="135"/>
      <c r="AA5" s="135"/>
      <c r="AB5" s="135"/>
    </row>
    <row r="6" spans="1:53" s="136" customFormat="1" ht="13.5" customHeight="1" thickBot="1">
      <c r="A6" s="137"/>
      <c r="B6" s="137"/>
      <c r="C6" s="135"/>
      <c r="D6" s="199"/>
      <c r="E6" s="135"/>
      <c r="F6" s="200" t="s">
        <v>279</v>
      </c>
      <c r="G6" s="200" t="s">
        <v>278</v>
      </c>
      <c r="H6" s="200" t="s">
        <v>279</v>
      </c>
      <c r="I6" s="200" t="s">
        <v>280</v>
      </c>
      <c r="J6" s="200" t="s">
        <v>281</v>
      </c>
      <c r="K6" s="200" t="s">
        <v>281</v>
      </c>
      <c r="L6" s="200" t="s">
        <v>279</v>
      </c>
      <c r="M6" s="200" t="s">
        <v>279</v>
      </c>
      <c r="N6" s="200" t="s">
        <v>278</v>
      </c>
      <c r="O6" s="200" t="s">
        <v>280</v>
      </c>
      <c r="P6" s="200" t="s">
        <v>287</v>
      </c>
      <c r="Q6" s="200" t="s">
        <v>279</v>
      </c>
      <c r="R6" s="200" t="s">
        <v>282</v>
      </c>
      <c r="S6" s="200" t="s">
        <v>279</v>
      </c>
      <c r="T6" s="200" t="s">
        <v>283</v>
      </c>
      <c r="U6" s="200" t="s">
        <v>283</v>
      </c>
      <c r="V6" s="200" t="s">
        <v>284</v>
      </c>
      <c r="W6" s="200" t="s">
        <v>288</v>
      </c>
      <c r="X6" s="200" t="s">
        <v>281</v>
      </c>
      <c r="Y6" s="200" t="s">
        <v>280</v>
      </c>
      <c r="Z6" s="200" t="s">
        <v>285</v>
      </c>
      <c r="AA6" s="200" t="s">
        <v>286</v>
      </c>
      <c r="AB6" s="135"/>
      <c r="AC6" s="198"/>
      <c r="AD6" s="198"/>
      <c r="AE6" s="526" t="s">
        <v>1</v>
      </c>
      <c r="AF6" s="527"/>
      <c r="AG6" s="527"/>
      <c r="AH6" s="527"/>
      <c r="AI6" s="527"/>
      <c r="AJ6" s="517"/>
      <c r="AK6" s="198"/>
      <c r="AL6" s="528" t="s">
        <v>289</v>
      </c>
      <c r="AM6" s="529"/>
      <c r="AN6" s="529"/>
      <c r="AO6" s="529"/>
      <c r="AP6" s="529"/>
      <c r="AQ6" s="529"/>
      <c r="AR6" s="529"/>
      <c r="AS6" s="529"/>
      <c r="AT6" s="530"/>
      <c r="AU6" s="198"/>
    </row>
    <row r="7" spans="1:53" s="136" customFormat="1" ht="56.25">
      <c r="A7" s="138" t="s">
        <v>2</v>
      </c>
      <c r="B7" s="138" t="s">
        <v>107</v>
      </c>
      <c r="C7" s="138" t="s">
        <v>82</v>
      </c>
      <c r="D7" s="140" t="s">
        <v>186</v>
      </c>
      <c r="E7" s="140" t="s">
        <v>185</v>
      </c>
      <c r="F7" s="197" t="s">
        <v>218</v>
      </c>
      <c r="G7" s="197" t="s">
        <v>219</v>
      </c>
      <c r="H7" s="197" t="s">
        <v>217</v>
      </c>
      <c r="I7" s="197" t="s">
        <v>220</v>
      </c>
      <c r="J7" s="197" t="s">
        <v>195</v>
      </c>
      <c r="K7" s="197" t="s">
        <v>196</v>
      </c>
      <c r="L7" s="197" t="s">
        <v>221</v>
      </c>
      <c r="M7" s="197" t="s">
        <v>222</v>
      </c>
      <c r="N7" s="197" t="s">
        <v>223</v>
      </c>
      <c r="O7" s="197" t="s">
        <v>225</v>
      </c>
      <c r="P7" s="197" t="s">
        <v>227</v>
      </c>
      <c r="Q7" s="197" t="s">
        <v>230</v>
      </c>
      <c r="R7" s="197" t="s">
        <v>229</v>
      </c>
      <c r="S7" s="197" t="s">
        <v>231</v>
      </c>
      <c r="T7" s="197" t="s">
        <v>232</v>
      </c>
      <c r="U7" s="197" t="s">
        <v>233</v>
      </c>
      <c r="V7" s="197" t="s">
        <v>234</v>
      </c>
      <c r="W7" s="197" t="s">
        <v>264</v>
      </c>
      <c r="X7" s="197" t="s">
        <v>235</v>
      </c>
      <c r="Y7" s="197" t="s">
        <v>236</v>
      </c>
      <c r="Z7" s="197" t="s">
        <v>237</v>
      </c>
      <c r="AA7" s="197" t="s">
        <v>238</v>
      </c>
      <c r="AB7" s="195" t="s">
        <v>31</v>
      </c>
      <c r="AC7" s="195" t="s">
        <v>79</v>
      </c>
      <c r="AD7" s="196"/>
      <c r="AE7" s="206" t="str">
        <f>E7</f>
        <v>MYRP 2025 Proforma
Revenue (1)</v>
      </c>
      <c r="AF7" s="195" t="str">
        <f>+F7</f>
        <v xml:space="preserve">Schedule 95 Power Cost
</v>
      </c>
      <c r="AG7" s="195" t="str">
        <f>+L7</f>
        <v>Schedule 137 REC</v>
      </c>
      <c r="AH7" s="195" t="str">
        <f>+R7</f>
        <v>Schedule 141CEI Clean Energy Implementation Plan</v>
      </c>
      <c r="AI7" s="195" t="str">
        <f>+T7</f>
        <v>Schedule 141N Rates Not Subject to Refund</v>
      </c>
      <c r="AJ7" s="195" t="str">
        <f>+U7</f>
        <v>Schedule 141R Rates Subject to Refund</v>
      </c>
      <c r="AK7" s="196"/>
      <c r="AL7" s="205" t="s">
        <v>473</v>
      </c>
      <c r="AM7" s="195" t="str">
        <f>AF7</f>
        <v xml:space="preserve">Schedule 95 Power Cost
</v>
      </c>
      <c r="AN7" s="195" t="str">
        <f t="shared" ref="AN7:AQ7" si="0">AG7</f>
        <v>Schedule 137 REC</v>
      </c>
      <c r="AO7" s="195" t="str">
        <f t="shared" si="0"/>
        <v>Schedule 141CEI Clean Energy Implementation Plan</v>
      </c>
      <c r="AP7" s="195" t="str">
        <f t="shared" si="0"/>
        <v>Schedule 141N Rates Not Subject to Refund</v>
      </c>
      <c r="AQ7" s="195" t="str">
        <f t="shared" si="0"/>
        <v>Schedule 141R Rates Subject to Refund</v>
      </c>
      <c r="AR7" s="204" t="s">
        <v>309</v>
      </c>
      <c r="AS7" s="204" t="s">
        <v>310</v>
      </c>
      <c r="AT7" s="204" t="s">
        <v>311</v>
      </c>
      <c r="AU7" s="196"/>
      <c r="AV7" s="195" t="s">
        <v>78</v>
      </c>
      <c r="AW7" s="195" t="s">
        <v>80</v>
      </c>
      <c r="AX7" s="195" t="s">
        <v>81</v>
      </c>
    </row>
    <row r="8" spans="1:53" s="191" customFormat="1" ht="22.5">
      <c r="A8" s="194"/>
      <c r="B8" s="192" t="s">
        <v>18</v>
      </c>
      <c r="C8" s="193" t="s">
        <v>19</v>
      </c>
      <c r="D8" s="193" t="s">
        <v>20</v>
      </c>
      <c r="E8" s="193" t="s">
        <v>21</v>
      </c>
      <c r="F8" s="193" t="s">
        <v>24</v>
      </c>
      <c r="G8" s="193" t="s">
        <v>25</v>
      </c>
      <c r="H8" s="193" t="s">
        <v>26</v>
      </c>
      <c r="I8" s="193" t="s">
        <v>27</v>
      </c>
      <c r="J8" s="193" t="s">
        <v>28</v>
      </c>
      <c r="K8" s="193" t="s">
        <v>29</v>
      </c>
      <c r="L8" s="193" t="s">
        <v>30</v>
      </c>
      <c r="M8" s="193" t="s">
        <v>74</v>
      </c>
      <c r="N8" s="193" t="s">
        <v>83</v>
      </c>
      <c r="O8" s="193" t="s">
        <v>84</v>
      </c>
      <c r="P8" s="193" t="s">
        <v>75</v>
      </c>
      <c r="Q8" s="193" t="s">
        <v>85</v>
      </c>
      <c r="R8" s="193" t="s">
        <v>93</v>
      </c>
      <c r="S8" s="193" t="s">
        <v>94</v>
      </c>
      <c r="T8" s="193" t="s">
        <v>86</v>
      </c>
      <c r="U8" s="194" t="s">
        <v>91</v>
      </c>
      <c r="V8" s="194" t="s">
        <v>92</v>
      </c>
      <c r="W8" s="194" t="s">
        <v>146</v>
      </c>
      <c r="X8" s="194" t="s">
        <v>147</v>
      </c>
      <c r="Y8" s="193" t="s">
        <v>95</v>
      </c>
      <c r="Z8" s="193" t="s">
        <v>96</v>
      </c>
      <c r="AA8" s="193" t="s">
        <v>265</v>
      </c>
      <c r="AB8" s="193" t="s">
        <v>266</v>
      </c>
      <c r="AC8" s="193" t="s">
        <v>267</v>
      </c>
      <c r="AD8" s="193"/>
      <c r="AE8" s="193" t="s">
        <v>368</v>
      </c>
      <c r="AF8" s="193" t="s">
        <v>369</v>
      </c>
      <c r="AG8" s="193" t="s">
        <v>370</v>
      </c>
      <c r="AH8" s="193" t="s">
        <v>371</v>
      </c>
      <c r="AI8" s="193" t="s">
        <v>372</v>
      </c>
      <c r="AJ8" s="193" t="s">
        <v>373</v>
      </c>
      <c r="AK8" s="193"/>
      <c r="AL8" s="193" t="s">
        <v>293</v>
      </c>
      <c r="AM8" s="193" t="s">
        <v>294</v>
      </c>
      <c r="AN8" s="193" t="s">
        <v>295</v>
      </c>
      <c r="AO8" s="193" t="s">
        <v>296</v>
      </c>
      <c r="AP8" s="193" t="s">
        <v>297</v>
      </c>
      <c r="AQ8" s="193" t="s">
        <v>298</v>
      </c>
      <c r="AR8" s="193" t="s">
        <v>299</v>
      </c>
      <c r="AS8" s="193" t="s">
        <v>300</v>
      </c>
      <c r="AT8" s="193" t="s">
        <v>301</v>
      </c>
      <c r="AU8" s="193"/>
      <c r="AV8" s="193" t="s">
        <v>304</v>
      </c>
      <c r="AW8" s="193" t="s">
        <v>303</v>
      </c>
      <c r="AX8" s="193" t="s">
        <v>302</v>
      </c>
    </row>
    <row r="9" spans="1:53">
      <c r="A9" s="141">
        <v>1</v>
      </c>
      <c r="B9" s="178" t="s">
        <v>4</v>
      </c>
      <c r="C9" s="189" t="s">
        <v>551</v>
      </c>
      <c r="D9" s="188">
        <v>11278205851.395365</v>
      </c>
      <c r="E9" s="182">
        <v>1204729170.6118267</v>
      </c>
      <c r="F9" s="182">
        <f>+'Sch 95'!F8</f>
        <v>88680532.609521762</v>
      </c>
      <c r="G9" s="182">
        <f>+'Sch 95 Imbalance'!F8</f>
        <v>39259434.568707265</v>
      </c>
      <c r="H9" s="182">
        <f>+'Sch 95a'!F8</f>
        <v>0</v>
      </c>
      <c r="I9" s="182">
        <f>+'Sch 120'!F8</f>
        <v>56887270.314438216</v>
      </c>
      <c r="J9" s="182">
        <f>+'Sch 129'!F8</f>
        <v>16105277.955792582</v>
      </c>
      <c r="K9" s="182">
        <f>+'Sch 129D'!F8</f>
        <v>6845870.9517969862</v>
      </c>
      <c r="L9" s="182">
        <f>+'Sch 137'!F8</f>
        <v>78947.440959767555</v>
      </c>
      <c r="M9" s="182">
        <f>'Sch 139'!S7</f>
        <v>0</v>
      </c>
      <c r="N9" s="182">
        <f>+'Sch 139 Supplemental'!F8</f>
        <v>0</v>
      </c>
      <c r="O9" s="182">
        <f>+'Sch 140'!F8</f>
        <v>29458673.683844693</v>
      </c>
      <c r="P9" s="182">
        <f>+'Sch 141'!F8</f>
        <v>0</v>
      </c>
      <c r="Q9" s="182">
        <f>+'Sch 141A'!G8</f>
        <v>19646634.593130726</v>
      </c>
      <c r="R9" s="182">
        <f>+'Sch 141CEI'!H8</f>
        <v>14097757.314244207</v>
      </c>
      <c r="S9" s="182">
        <f>+'Sch 141COL'!H8</f>
        <v>30744389.150903765</v>
      </c>
      <c r="T9" s="182">
        <f>+'Sch 141N'!I8</f>
        <v>96180539.500699684</v>
      </c>
      <c r="U9" s="182">
        <f>+'Sch 141R'!I8</f>
        <v>91409858.425559431</v>
      </c>
      <c r="V9" s="182">
        <f>+'Sch 141TEP'!F8</f>
        <v>3597747.6665951214</v>
      </c>
      <c r="W9" s="182">
        <f>+'Sch 141X'!F8</f>
        <v>0</v>
      </c>
      <c r="X9" s="182">
        <f>+'Sch 141Z'!F8</f>
        <v>0</v>
      </c>
      <c r="Y9" s="182">
        <f>+'Sch 142'!H8</f>
        <v>-39203043.539450288</v>
      </c>
      <c r="Z9" s="182">
        <f>+'Sch 142 Supplemental'!H8</f>
        <v>0</v>
      </c>
      <c r="AA9" s="182">
        <f>+'Sch 194'!F8</f>
        <v>-84970002.884412691</v>
      </c>
      <c r="AB9" s="144">
        <f t="shared" ref="AB9:AB22" si="1">SUM(F9:AA9)</f>
        <v>368819887.7523312</v>
      </c>
      <c r="AC9" s="144">
        <f t="shared" ref="AC9:AC22" si="2">E9+AB9</f>
        <v>1573549058.3641579</v>
      </c>
      <c r="AD9" s="144"/>
      <c r="AE9" s="144">
        <f>-E9</f>
        <v>-1204729170.6118267</v>
      </c>
      <c r="AF9" s="144">
        <f>-F9</f>
        <v>-88680532.609521762</v>
      </c>
      <c r="AG9" s="144">
        <f t="shared" ref="AG9:AG22" si="3">-L9</f>
        <v>-78947.440959767555</v>
      </c>
      <c r="AH9" s="144">
        <f t="shared" ref="AH9:AH22" si="4">-R9</f>
        <v>-14097757.314244207</v>
      </c>
      <c r="AI9" s="144">
        <f t="shared" ref="AI9:AI22" si="5">-T9</f>
        <v>-96180539.500699684</v>
      </c>
      <c r="AJ9" s="144">
        <f t="shared" ref="AJ9:AJ22" si="6">-U9</f>
        <v>-91409858.425559431</v>
      </c>
      <c r="AK9" s="144"/>
      <c r="AL9" s="182">
        <v>1540271161.1779709</v>
      </c>
      <c r="AM9" s="182">
        <f>+'Sch 95'!J8</f>
        <v>0</v>
      </c>
      <c r="AN9" s="182">
        <f>+'Sch 137'!J8</f>
        <v>0</v>
      </c>
      <c r="AO9" s="182">
        <f>+'Sch 141CEI'!N8</f>
        <v>0</v>
      </c>
      <c r="AP9" s="182">
        <f>+'Sch 141N'!O8</f>
        <v>0</v>
      </c>
      <c r="AQ9" s="182">
        <f>+'Sch 141R'!O8</f>
        <v>0</v>
      </c>
      <c r="AR9" s="182">
        <f>+'Sch 141CGR'!N8</f>
        <v>41217769.741866097</v>
      </c>
      <c r="AS9" s="182">
        <f>+'Sch 141DCARB'!J8</f>
        <v>6646098.5128571149</v>
      </c>
      <c r="AT9" s="182">
        <f>+'Sch 141WFP'!N8</f>
        <v>15926650.538183255</v>
      </c>
      <c r="AU9" s="144"/>
      <c r="AV9" s="144">
        <f t="shared" ref="AV9:AV22" si="7">SUM(AE9:AT9)</f>
        <v>108884874.06806558</v>
      </c>
      <c r="AW9" s="144">
        <f t="shared" ref="AW9:AW22" si="8">SUM(AC9,AV9)</f>
        <v>1682433932.4322236</v>
      </c>
      <c r="AX9" s="187">
        <f t="shared" ref="AX9:AX22" si="9">AV9/AC9</f>
        <v>6.9196999921477473E-2</v>
      </c>
      <c r="AY9" s="187"/>
      <c r="BA9" s="130"/>
    </row>
    <row r="10" spans="1:53">
      <c r="A10" s="141">
        <f t="shared" ref="A10:A24" si="10">+A9+1</f>
        <v>2</v>
      </c>
      <c r="B10" s="178" t="s">
        <v>97</v>
      </c>
      <c r="C10" s="189" t="s">
        <v>552</v>
      </c>
      <c r="D10" s="188">
        <v>2762635966.1696987</v>
      </c>
      <c r="E10" s="182">
        <v>276203426.20525771</v>
      </c>
      <c r="F10" s="182">
        <f>+'Sch 95'!F13</f>
        <v>20733582.926103588</v>
      </c>
      <c r="G10" s="182">
        <f>+'Sch 95 Imbalance'!F13</f>
        <v>8895687.8110664301</v>
      </c>
      <c r="H10" s="182">
        <f>+'Sch 95a'!F13</f>
        <v>0</v>
      </c>
      <c r="I10" s="182">
        <f>+'Sch 120'!F13</f>
        <v>11813031.391341632</v>
      </c>
      <c r="J10" s="182">
        <f>+'Sch 129'!F13</f>
        <v>3632866.2955131535</v>
      </c>
      <c r="K10" s="182">
        <f>+'Sch 129D'!F13</f>
        <v>1544313.5050888616</v>
      </c>
      <c r="L10" s="182">
        <f>+'Sch 137'!F13</f>
        <v>19338.451763187892</v>
      </c>
      <c r="M10" s="182">
        <f>'Sch 139'!S12</f>
        <v>-170310.80978907831</v>
      </c>
      <c r="N10" s="182">
        <f>+'Sch 139 Supplemental'!F13</f>
        <v>-304380.86726511997</v>
      </c>
      <c r="O10" s="182">
        <f>+'Sch 140'!F13</f>
        <v>5782197.0771931801</v>
      </c>
      <c r="P10" s="182">
        <f>+'Sch 141'!F13</f>
        <v>0</v>
      </c>
      <c r="Q10" s="182">
        <f>+'Sch 141A'!G13</f>
        <v>4445652.2235794086</v>
      </c>
      <c r="R10" s="182">
        <f>+'Sch 141CEI'!H13</f>
        <v>2737772.2424741713</v>
      </c>
      <c r="S10" s="182">
        <f>+'Sch 141COL'!H13</f>
        <v>6619275.7749425983</v>
      </c>
      <c r="T10" s="182">
        <f>+'Sch 141N'!I13</f>
        <v>18319039.091671273</v>
      </c>
      <c r="U10" s="182">
        <f>+'Sch 141R'!I13</f>
        <v>17410131.858801443</v>
      </c>
      <c r="V10" s="182">
        <f>+'Sch 141TEP'!F13</f>
        <v>765250.16262900655</v>
      </c>
      <c r="W10" s="182">
        <f>+'Sch 141X'!F13</f>
        <v>0</v>
      </c>
      <c r="X10" s="182">
        <f>+'Sch 141Z'!F13</f>
        <v>0</v>
      </c>
      <c r="Y10" s="182">
        <f>+'Sch 142'!H13</f>
        <v>-6119238.6650658827</v>
      </c>
      <c r="Z10" s="182">
        <f>+'Sch 142 Supplemental'!H13</f>
        <v>0</v>
      </c>
      <c r="AA10" s="182">
        <f>+'Sch 194'!F12</f>
        <v>-1925412.8134409073</v>
      </c>
      <c r="AB10" s="144">
        <f t="shared" si="1"/>
        <v>94198795.656606942</v>
      </c>
      <c r="AC10" s="144">
        <f t="shared" si="2"/>
        <v>370402221.86186469</v>
      </c>
      <c r="AD10" s="144"/>
      <c r="AE10" s="144">
        <f t="shared" ref="AE10:AE22" si="11">-E10</f>
        <v>-276203426.20525771</v>
      </c>
      <c r="AF10" s="144">
        <f t="shared" ref="AF10:AF22" si="12">-F10</f>
        <v>-20733582.926103588</v>
      </c>
      <c r="AG10" s="144">
        <f t="shared" si="3"/>
        <v>-19338.451763187892</v>
      </c>
      <c r="AH10" s="144">
        <f t="shared" si="4"/>
        <v>-2737772.2424741713</v>
      </c>
      <c r="AI10" s="144">
        <f t="shared" si="5"/>
        <v>-18319039.091671273</v>
      </c>
      <c r="AJ10" s="144">
        <f t="shared" si="6"/>
        <v>-17410131.858801443</v>
      </c>
      <c r="AK10" s="144"/>
      <c r="AL10" s="182">
        <v>351194289.15151125</v>
      </c>
      <c r="AM10" s="182">
        <f>+'Sch 95'!J13</f>
        <v>0</v>
      </c>
      <c r="AN10" s="182">
        <f>+'Sch 137'!J13</f>
        <v>0</v>
      </c>
      <c r="AO10" s="182">
        <f>+'Sch 141CEI'!N13</f>
        <v>0</v>
      </c>
      <c r="AP10" s="182">
        <f>+'Sch 141N'!O13</f>
        <v>0</v>
      </c>
      <c r="AQ10" s="182">
        <f>+'Sch 141R'!O13</f>
        <v>0</v>
      </c>
      <c r="AR10" s="182">
        <f>+'Sch 141CGR'!N13</f>
        <v>9032211.7806892972</v>
      </c>
      <c r="AS10" s="182">
        <f>+'Sch 141DCARB'!J13</f>
        <v>793623.28485625726</v>
      </c>
      <c r="AT10" s="182">
        <f>+'Sch 141WFP'!N13</f>
        <v>3407205.0016037403</v>
      </c>
      <c r="AU10" s="144"/>
      <c r="AV10" s="144">
        <f t="shared" si="7"/>
        <v>29004038.442589119</v>
      </c>
      <c r="AW10" s="144">
        <f t="shared" si="8"/>
        <v>399406260.30445379</v>
      </c>
      <c r="AX10" s="187">
        <f t="shared" si="9"/>
        <v>7.8304169712582583E-2</v>
      </c>
      <c r="AY10" s="187"/>
      <c r="BA10" s="130"/>
    </row>
    <row r="11" spans="1:53">
      <c r="A11" s="141">
        <f t="shared" si="10"/>
        <v>3</v>
      </c>
      <c r="B11" s="149" t="s">
        <v>99</v>
      </c>
      <c r="C11" s="189" t="s">
        <v>553</v>
      </c>
      <c r="D11" s="188">
        <v>2960202274.8054705</v>
      </c>
      <c r="E11" s="182">
        <v>269454987.66446799</v>
      </c>
      <c r="F11" s="182">
        <f>+'Sch 95'!F15</f>
        <v>22272561.915636361</v>
      </c>
      <c r="G11" s="182">
        <f>+'Sch 95 Imbalance'!F15</f>
        <v>9724264.4727359712</v>
      </c>
      <c r="H11" s="182">
        <f>+'Sch 95a'!F15</f>
        <v>0</v>
      </c>
      <c r="I11" s="182">
        <f>+'Sch 120'!F15</f>
        <v>12870959.490854187</v>
      </c>
      <c r="J11" s="182">
        <f>+'Sch 129'!F15</f>
        <v>3617367.1798122851</v>
      </c>
      <c r="K11" s="182">
        <f>+'Sch 129D'!F15</f>
        <v>1539305.1828988446</v>
      </c>
      <c r="L11" s="182">
        <f>+'Sch 137'!F15</f>
        <v>20721.415923638295</v>
      </c>
      <c r="M11" s="182">
        <f>'Sch 139'!S14</f>
        <v>-250853.44905173592</v>
      </c>
      <c r="N11" s="182">
        <f>+'Sch 139 Supplemental'!F15</f>
        <v>-461127.34409385605</v>
      </c>
      <c r="O11" s="182">
        <f>+'Sch 140'!F15</f>
        <v>5861200.5041148318</v>
      </c>
      <c r="P11" s="182">
        <f>+'Sch 141'!F15</f>
        <v>0</v>
      </c>
      <c r="Q11" s="182">
        <f>+'Sch 141A'!G15</f>
        <v>4710904.7012083707</v>
      </c>
      <c r="R11" s="182">
        <f>+'Sch 141CEI'!H15</f>
        <v>3062687.1071075583</v>
      </c>
      <c r="S11" s="182">
        <f>+'Sch 141COL'!H15</f>
        <v>7113434.7210937114</v>
      </c>
      <c r="T11" s="182">
        <f>+'Sch 141N'!I15</f>
        <v>20286372.087374233</v>
      </c>
      <c r="U11" s="182">
        <f>+'Sch 141R'!I15</f>
        <v>19289416.615187101</v>
      </c>
      <c r="V11" s="182">
        <f>+'Sch 141TEP'!F15</f>
        <v>849578.05286916997</v>
      </c>
      <c r="W11" s="182">
        <f>+'Sch 141X'!F15</f>
        <v>0</v>
      </c>
      <c r="X11" s="182">
        <f>+'Sch 141Z'!F15</f>
        <v>0</v>
      </c>
      <c r="Y11" s="182">
        <f>+'Sch 142'!H15</f>
        <v>9357199.3906600922</v>
      </c>
      <c r="Z11" s="182">
        <f>+'Sch 142 Supplemental'!H15</f>
        <v>0</v>
      </c>
      <c r="AA11" s="182">
        <f>+'Sch 194'!F14+'Sch 194'!F9</f>
        <v>-1012009.800592276</v>
      </c>
      <c r="AB11" s="144">
        <f t="shared" si="1"/>
        <v>118851982.24373849</v>
      </c>
      <c r="AC11" s="144">
        <f t="shared" si="2"/>
        <v>388306969.90820646</v>
      </c>
      <c r="AD11" s="144"/>
      <c r="AE11" s="144">
        <f t="shared" si="11"/>
        <v>-269454987.66446799</v>
      </c>
      <c r="AF11" s="144">
        <f t="shared" si="12"/>
        <v>-22272561.915636361</v>
      </c>
      <c r="AG11" s="144">
        <f t="shared" si="3"/>
        <v>-20721.415923638295</v>
      </c>
      <c r="AH11" s="144">
        <f t="shared" si="4"/>
        <v>-3062687.1071075583</v>
      </c>
      <c r="AI11" s="144">
        <f t="shared" si="5"/>
        <v>-20286372.087374233</v>
      </c>
      <c r="AJ11" s="144">
        <f t="shared" si="6"/>
        <v>-19289416.615187101</v>
      </c>
      <c r="AK11" s="144"/>
      <c r="AL11" s="182">
        <v>342614151.03203213</v>
      </c>
      <c r="AM11" s="182">
        <f>+'Sch 95'!J15</f>
        <v>0</v>
      </c>
      <c r="AN11" s="182">
        <f>+'Sch 137'!J15</f>
        <v>0</v>
      </c>
      <c r="AO11" s="182">
        <f>+'Sch 141CEI'!N15</f>
        <v>0</v>
      </c>
      <c r="AP11" s="182">
        <f>+'Sch 141N'!O15</f>
        <v>0</v>
      </c>
      <c r="AQ11" s="182">
        <f>+'Sch 141R'!O15</f>
        <v>0</v>
      </c>
      <c r="AR11" s="182">
        <f>+'Sch 141CGR'!N15</f>
        <v>9940431.4307320621</v>
      </c>
      <c r="AS11" s="182">
        <f>+'Sch 141DCARB'!J15</f>
        <v>71866.927337495828</v>
      </c>
      <c r="AT11" s="182">
        <f>+'Sch 141WFP'!N15</f>
        <v>3557632.8134628101</v>
      </c>
      <c r="AU11" s="144"/>
      <c r="AV11" s="144">
        <f t="shared" si="7"/>
        <v>21797335.397867598</v>
      </c>
      <c r="AW11" s="144">
        <f t="shared" si="8"/>
        <v>410104305.30607408</v>
      </c>
      <c r="AX11" s="187">
        <f t="shared" si="9"/>
        <v>5.6134288300362885E-2</v>
      </c>
      <c r="AY11" s="187"/>
      <c r="BA11" s="130"/>
    </row>
    <row r="12" spans="1:53">
      <c r="A12" s="141">
        <f t="shared" si="10"/>
        <v>4</v>
      </c>
      <c r="B12" s="149" t="s">
        <v>98</v>
      </c>
      <c r="C12" s="189" t="s">
        <v>554</v>
      </c>
      <c r="D12" s="188">
        <v>2013891730.8000479</v>
      </c>
      <c r="E12" s="182">
        <v>166247587.39595214</v>
      </c>
      <c r="F12" s="182">
        <f>+'Sch 95'!F17</f>
        <v>14123422.708100736</v>
      </c>
      <c r="G12" s="182">
        <f>+'Sch 95 Imbalance'!F17</f>
        <v>6496814.7235609544</v>
      </c>
      <c r="H12" s="182">
        <f>+'Sch 95a'!F17</f>
        <v>0</v>
      </c>
      <c r="I12" s="182">
        <f>+'Sch 120'!F17</f>
        <v>8017302.9803149905</v>
      </c>
      <c r="J12" s="182">
        <f>+'Sch 129'!F17</f>
        <v>2261600.4136884538</v>
      </c>
      <c r="K12" s="182">
        <f>+'Sch 129D'!F17</f>
        <v>962640.24732242292</v>
      </c>
      <c r="L12" s="182">
        <f>+'Sch 137'!F17</f>
        <v>12083.350384800287</v>
      </c>
      <c r="M12" s="182">
        <f>'Sch 139'!S16</f>
        <v>-376680.32877339236</v>
      </c>
      <c r="N12" s="182">
        <f>+'Sch 139 Supplemental'!F17</f>
        <v>0</v>
      </c>
      <c r="O12" s="182">
        <f>+'Sch 140'!F17</f>
        <v>3453824.3183220821</v>
      </c>
      <c r="P12" s="182">
        <f>+'Sch 141'!F17</f>
        <v>0</v>
      </c>
      <c r="Q12" s="182">
        <f>+'Sch 141A'!G17</f>
        <v>2765351.612399145</v>
      </c>
      <c r="R12" s="182">
        <f>+'Sch 141CEI'!H17</f>
        <v>1756232.8834768827</v>
      </c>
      <c r="S12" s="182">
        <f>+'Sch 141COL'!H17</f>
        <v>4203912.5784196258</v>
      </c>
      <c r="T12" s="182">
        <f>+'Sch 141N'!I17</f>
        <v>12214883.635912497</v>
      </c>
      <c r="U12" s="182">
        <f>+'Sch 141R'!I17</f>
        <v>11643638.173843963</v>
      </c>
      <c r="V12" s="182">
        <f>+'Sch 141TEP'!F17</f>
        <v>489375.69058441161</v>
      </c>
      <c r="W12" s="182">
        <f>+'Sch 141X'!F17</f>
        <v>0</v>
      </c>
      <c r="X12" s="182">
        <f>+'Sch 141Z'!F17</f>
        <v>0</v>
      </c>
      <c r="Y12" s="182">
        <f>+'Sch 142'!H17</f>
        <v>3690046.1219218923</v>
      </c>
      <c r="Z12" s="182">
        <f>+'Sch 142 Supplemental'!H17</f>
        <v>0</v>
      </c>
      <c r="AA12" s="182">
        <f>+'Sch 194'!F16</f>
        <v>-125617.53685833098</v>
      </c>
      <c r="AB12" s="144">
        <f t="shared" si="1"/>
        <v>71588831.572621137</v>
      </c>
      <c r="AC12" s="144">
        <f t="shared" si="2"/>
        <v>237836418.96857327</v>
      </c>
      <c r="AD12" s="144"/>
      <c r="AE12" s="144">
        <f t="shared" si="11"/>
        <v>-166247587.39595214</v>
      </c>
      <c r="AF12" s="144">
        <f t="shared" si="12"/>
        <v>-14123422.708100736</v>
      </c>
      <c r="AG12" s="144">
        <f t="shared" si="3"/>
        <v>-12083.350384800287</v>
      </c>
      <c r="AH12" s="144">
        <f t="shared" si="4"/>
        <v>-1756232.8834768827</v>
      </c>
      <c r="AI12" s="144">
        <f t="shared" si="5"/>
        <v>-12214883.635912497</v>
      </c>
      <c r="AJ12" s="144">
        <f t="shared" si="6"/>
        <v>-11643638.173843963</v>
      </c>
      <c r="AK12" s="144"/>
      <c r="AL12" s="182">
        <v>211393611.06507736</v>
      </c>
      <c r="AM12" s="182">
        <f>+'Sch 95'!J17</f>
        <v>0</v>
      </c>
      <c r="AN12" s="182">
        <f>+'Sch 137'!J17</f>
        <v>0</v>
      </c>
      <c r="AO12" s="182">
        <f>+'Sch 141CEI'!N17</f>
        <v>0</v>
      </c>
      <c r="AP12" s="182">
        <f>+'Sch 141N'!O17</f>
        <v>0</v>
      </c>
      <c r="AQ12" s="182">
        <f>+'Sch 141R'!O17</f>
        <v>0</v>
      </c>
      <c r="AR12" s="182">
        <f>+'Sch 141CGR'!N17</f>
        <v>5666300.1742695607</v>
      </c>
      <c r="AS12" s="182">
        <f>+'Sch 141DCARB'!J17</f>
        <v>35979.886079421325</v>
      </c>
      <c r="AT12" s="182">
        <f>+'Sch 141WFP'!N17</f>
        <v>1909573.9474490094</v>
      </c>
      <c r="AU12" s="144"/>
      <c r="AV12" s="144">
        <f t="shared" si="7"/>
        <v>13007616.925204342</v>
      </c>
      <c r="AW12" s="144">
        <f t="shared" si="8"/>
        <v>250844035.89377761</v>
      </c>
      <c r="AX12" s="187">
        <f t="shared" si="9"/>
        <v>5.4691442890094623E-2</v>
      </c>
      <c r="AY12" s="187"/>
      <c r="BA12" s="130"/>
    </row>
    <row r="13" spans="1:53">
      <c r="A13" s="141">
        <f t="shared" si="10"/>
        <v>5</v>
      </c>
      <c r="B13" s="178" t="s">
        <v>100</v>
      </c>
      <c r="C13" s="189" t="s">
        <v>555</v>
      </c>
      <c r="D13" s="188">
        <v>14930059.630887466</v>
      </c>
      <c r="E13" s="182">
        <v>1218190.4620676418</v>
      </c>
      <c r="F13" s="182">
        <f>+'Sch 95'!F18</f>
        <v>118096.77168031986</v>
      </c>
      <c r="G13" s="182">
        <f>+'Sch 95 Imbalance'!F18</f>
        <v>53793.004850087535</v>
      </c>
      <c r="H13" s="182">
        <f>+'Sch 95a'!F18</f>
        <v>0</v>
      </c>
      <c r="I13" s="182">
        <f>+'Sch 120'!F18</f>
        <v>67633.170127920224</v>
      </c>
      <c r="J13" s="182">
        <f>+'Sch 129'!F18</f>
        <v>17229.288814044136</v>
      </c>
      <c r="K13" s="182">
        <f>+'Sch 129D'!F18</f>
        <v>7330.6592787657455</v>
      </c>
      <c r="L13" s="182">
        <f>+'Sch 137'!F18</f>
        <v>104.51041741621226</v>
      </c>
      <c r="M13" s="182">
        <f>'Sch 139'!S17</f>
        <v>0</v>
      </c>
      <c r="N13" s="182">
        <f>+'Sch 139 Supplemental'!F18</f>
        <v>0</v>
      </c>
      <c r="O13" s="182">
        <f>+'Sch 140'!F18</f>
        <v>29561.51806915718</v>
      </c>
      <c r="P13" s="182">
        <f>+'Sch 141'!F18</f>
        <v>0</v>
      </c>
      <c r="Q13" s="182">
        <f>+'Sch 141A'!G18</f>
        <v>24963.059702843842</v>
      </c>
      <c r="R13" s="182">
        <f>+'Sch 141CEI'!H18</f>
        <v>12866.949999402332</v>
      </c>
      <c r="S13" s="182">
        <f>+'Sch 141COL'!H18</f>
        <v>37854.016574760215</v>
      </c>
      <c r="T13" s="182">
        <f>+'Sch 141N'!I18</f>
        <v>102696.71904112447</v>
      </c>
      <c r="U13" s="182">
        <f>+'Sch 141R'!I18</f>
        <v>97593.954971203639</v>
      </c>
      <c r="V13" s="182">
        <f>+'Sch 141TEP'!F18</f>
        <v>5524.1220634283618</v>
      </c>
      <c r="W13" s="182">
        <f>+'Sch 141X'!F18</f>
        <v>0</v>
      </c>
      <c r="X13" s="182">
        <f>+'Sch 141Z'!F18</f>
        <v>0</v>
      </c>
      <c r="Y13" s="182">
        <f>+'Sch 142'!H18</f>
        <v>47193.918493235273</v>
      </c>
      <c r="Z13" s="182">
        <f>+'Sch 142 Supplemental'!H18</f>
        <v>0</v>
      </c>
      <c r="AA13" s="182">
        <f>+'Sch 194'!F18</f>
        <v>-112483.06925910617</v>
      </c>
      <c r="AB13" s="144">
        <f t="shared" si="1"/>
        <v>509958.59482460283</v>
      </c>
      <c r="AC13" s="144">
        <f t="shared" si="2"/>
        <v>1728149.0568922446</v>
      </c>
      <c r="AD13" s="144"/>
      <c r="AE13" s="144">
        <f t="shared" si="11"/>
        <v>-1218190.4620676418</v>
      </c>
      <c r="AF13" s="144">
        <f t="shared" si="12"/>
        <v>-118096.77168031986</v>
      </c>
      <c r="AG13" s="144">
        <f t="shared" si="3"/>
        <v>-104.51041741621226</v>
      </c>
      <c r="AH13" s="144">
        <f t="shared" si="4"/>
        <v>-12866.949999402332</v>
      </c>
      <c r="AI13" s="144">
        <f t="shared" si="5"/>
        <v>-102696.71904112447</v>
      </c>
      <c r="AJ13" s="144">
        <f t="shared" si="6"/>
        <v>-97593.954971203639</v>
      </c>
      <c r="AK13" s="144"/>
      <c r="AL13" s="182">
        <v>1570996.4100765337</v>
      </c>
      <c r="AM13" s="182">
        <f>+'Sch 95'!J18</f>
        <v>0</v>
      </c>
      <c r="AN13" s="182">
        <f>+'Sch 137'!J18</f>
        <v>0</v>
      </c>
      <c r="AO13" s="182">
        <f>+'Sch 141CEI'!N18</f>
        <v>0</v>
      </c>
      <c r="AP13" s="182">
        <f>+'Sch 141N'!O18</f>
        <v>0</v>
      </c>
      <c r="AQ13" s="182">
        <f>+'Sch 141R'!O18</f>
        <v>0</v>
      </c>
      <c r="AR13" s="182">
        <f>+'Sch 141CGR'!N18</f>
        <v>50135.504347361042</v>
      </c>
      <c r="AS13" s="182">
        <f>+'Sch 141DCARB'!J18</f>
        <v>5245.1838706287517</v>
      </c>
      <c r="AT13" s="182">
        <f>+'Sch 141WFP'!N18</f>
        <v>17943.256953037846</v>
      </c>
      <c r="AU13" s="144"/>
      <c r="AV13" s="144">
        <f t="shared" si="7"/>
        <v>94770.987070453091</v>
      </c>
      <c r="AW13" s="144">
        <f t="shared" si="8"/>
        <v>1822920.0439626977</v>
      </c>
      <c r="AX13" s="187">
        <f t="shared" si="9"/>
        <v>5.4839590770532909E-2</v>
      </c>
      <c r="AY13" s="187"/>
      <c r="BA13" s="130"/>
    </row>
    <row r="14" spans="1:53">
      <c r="A14" s="141">
        <f t="shared" si="10"/>
        <v>6</v>
      </c>
      <c r="B14" s="149" t="s">
        <v>101</v>
      </c>
      <c r="C14" s="189" t="s">
        <v>556</v>
      </c>
      <c r="D14" s="188">
        <v>1423586019.4788036</v>
      </c>
      <c r="E14" s="182">
        <v>115242157.06590378</v>
      </c>
      <c r="F14" s="182">
        <f>+'Sch 95'!F22</f>
        <v>9785730.297897296</v>
      </c>
      <c r="G14" s="182">
        <f>+'Sch 95 Imbalance'!F22</f>
        <v>4521309.1978646806</v>
      </c>
      <c r="H14" s="182">
        <f>+'Sch 95a'!F22</f>
        <v>0</v>
      </c>
      <c r="I14" s="182">
        <f>+'Sch 120'!F22</f>
        <v>5463723.1427596482</v>
      </c>
      <c r="J14" s="182">
        <f>+'Sch 129'!F22</f>
        <v>1567368.2074461628</v>
      </c>
      <c r="K14" s="182">
        <f>+'Sch 129D'!F22</f>
        <v>666238.25711608015</v>
      </c>
      <c r="L14" s="182">
        <f>+'Sch 137'!F22</f>
        <v>8541.5161168728227</v>
      </c>
      <c r="M14" s="182">
        <f>'Sch 139'!S21</f>
        <v>-205033.01364356</v>
      </c>
      <c r="N14" s="182">
        <f>+'Sch 139 Supplemental'!F22</f>
        <v>-407124.12728128</v>
      </c>
      <c r="O14" s="182">
        <f>+'Sch 140'!F22</f>
        <v>2457109.469620415</v>
      </c>
      <c r="P14" s="182">
        <f>+'Sch 141'!F22</f>
        <v>0</v>
      </c>
      <c r="Q14" s="182">
        <f>+'Sch 141A'!G22</f>
        <v>1969786.2430351041</v>
      </c>
      <c r="R14" s="182">
        <f>+'Sch 141CEI'!H22</f>
        <v>1213578.5752972579</v>
      </c>
      <c r="S14" s="182">
        <f>+'Sch 141COL'!H22</f>
        <v>2877667.6260161321</v>
      </c>
      <c r="T14" s="182">
        <f>+'Sch 141N'!I22</f>
        <v>8302746.86347064</v>
      </c>
      <c r="U14" s="182">
        <f>+'Sch 141R'!I22</f>
        <v>7912239.1093931831</v>
      </c>
      <c r="V14" s="182">
        <f>+'Sch 141TEP'!F22</f>
        <v>358743.67690865853</v>
      </c>
      <c r="W14" s="182">
        <f>+'Sch 141X'!F22</f>
        <v>0</v>
      </c>
      <c r="X14" s="182">
        <f>+'Sch 141Z'!F22</f>
        <v>0</v>
      </c>
      <c r="Y14" s="182">
        <f>+'Sch 142'!H22</f>
        <v>483164.92207094305</v>
      </c>
      <c r="Z14" s="182">
        <f>+'Sch 142 Supplemental'!H22</f>
        <v>0</v>
      </c>
      <c r="AA14" s="182">
        <f>+'Sch 194'!F21</f>
        <v>-175824.71109490652</v>
      </c>
      <c r="AB14" s="144">
        <f t="shared" si="1"/>
        <v>46799965.252993315</v>
      </c>
      <c r="AC14" s="144">
        <f t="shared" si="2"/>
        <v>162042122.3188971</v>
      </c>
      <c r="AD14" s="144"/>
      <c r="AE14" s="144">
        <f t="shared" si="11"/>
        <v>-115242157.06590378</v>
      </c>
      <c r="AF14" s="144">
        <f t="shared" si="12"/>
        <v>-9785730.297897296</v>
      </c>
      <c r="AG14" s="144">
        <f t="shared" si="3"/>
        <v>-8541.5161168728227</v>
      </c>
      <c r="AH14" s="144">
        <f t="shared" si="4"/>
        <v>-1213578.5752972579</v>
      </c>
      <c r="AI14" s="144">
        <f t="shared" si="5"/>
        <v>-8302746.86347064</v>
      </c>
      <c r="AJ14" s="144">
        <f t="shared" si="6"/>
        <v>-7912239.1093931831</v>
      </c>
      <c r="AK14" s="144"/>
      <c r="AL14" s="182">
        <v>146543996.67945495</v>
      </c>
      <c r="AM14" s="182">
        <f>+'Sch 95'!J22</f>
        <v>0</v>
      </c>
      <c r="AN14" s="182">
        <f>+'Sch 137'!J22</f>
        <v>0</v>
      </c>
      <c r="AO14" s="182">
        <f>+'Sch 141CEI'!N22</f>
        <v>0</v>
      </c>
      <c r="AP14" s="182">
        <f>+'Sch 141N'!O22</f>
        <v>0</v>
      </c>
      <c r="AQ14" s="182">
        <f>+'Sch 141R'!O22</f>
        <v>0</v>
      </c>
      <c r="AR14" s="182">
        <f>+'Sch 141CGR'!N22</f>
        <v>3955612.4781701048</v>
      </c>
      <c r="AS14" s="182">
        <f>+'Sch 141DCARB'!J22</f>
        <v>29551.347037033534</v>
      </c>
      <c r="AT14" s="182">
        <f>+'Sch 141WFP'!N22</f>
        <v>1342627.7959382271</v>
      </c>
      <c r="AU14" s="144"/>
      <c r="AV14" s="144">
        <f t="shared" si="7"/>
        <v>9406794.8725213073</v>
      </c>
      <c r="AW14" s="144">
        <f t="shared" si="8"/>
        <v>171448917.19141841</v>
      </c>
      <c r="AX14" s="187">
        <f t="shared" si="9"/>
        <v>5.8051540783999607E-2</v>
      </c>
      <c r="AY14" s="187"/>
      <c r="BA14" s="130"/>
    </row>
    <row r="15" spans="1:53">
      <c r="A15" s="141">
        <f t="shared" si="10"/>
        <v>7</v>
      </c>
      <c r="B15" s="149" t="s">
        <v>102</v>
      </c>
      <c r="C15" s="189" t="s">
        <v>557</v>
      </c>
      <c r="D15" s="188">
        <v>4407260.1568774413</v>
      </c>
      <c r="E15" s="182">
        <v>273041.40619508282</v>
      </c>
      <c r="F15" s="182">
        <f>+'Sch 95'!F23</f>
        <v>32419.805713990456</v>
      </c>
      <c r="G15" s="182">
        <f>+'Sch 95 Imbalance'!F23</f>
        <v>14112.047022321567</v>
      </c>
      <c r="H15" s="182">
        <f>+'Sch 95a'!F23</f>
        <v>0</v>
      </c>
      <c r="I15" s="182">
        <f>+'Sch 120'!F23</f>
        <v>11564.650651646407</v>
      </c>
      <c r="J15" s="182">
        <f>+'Sch 129'!F23</f>
        <v>4019.4212630722268</v>
      </c>
      <c r="K15" s="182">
        <f>+'Sch 129D'!F23</f>
        <v>1710.0169408684471</v>
      </c>
      <c r="L15" s="182">
        <f>+'Sch 137'!F23</f>
        <v>17.629040627509763</v>
      </c>
      <c r="M15" s="182">
        <f>'Sch 139'!S22</f>
        <v>0</v>
      </c>
      <c r="N15" s="182">
        <f>+'Sch 139 Supplemental'!F23</f>
        <v>0</v>
      </c>
      <c r="O15" s="182">
        <f>+'Sch 140'!F23</f>
        <v>7606.9310307704645</v>
      </c>
      <c r="P15" s="182">
        <f>+'Sch 141'!F23</f>
        <v>0</v>
      </c>
      <c r="Q15" s="182">
        <f>+'Sch 141A'!G23</f>
        <v>7183.8340557102292</v>
      </c>
      <c r="R15" s="182">
        <f>+'Sch 141CEI'!H23</f>
        <v>5486.0665669761656</v>
      </c>
      <c r="S15" s="182">
        <f>+'Sch 141COL'!H23</f>
        <v>6862.2244272362459</v>
      </c>
      <c r="T15" s="182">
        <f>+'Sch 141N'!I23</f>
        <v>36520.622679537046</v>
      </c>
      <c r="U15" s="182">
        <f>+'Sch 141R'!I23</f>
        <v>34670.488944294222</v>
      </c>
      <c r="V15" s="182">
        <f>+'Sch 141TEP'!F23</f>
        <v>2609.098012871445</v>
      </c>
      <c r="W15" s="182">
        <f>+'Sch 141X'!F23</f>
        <v>0</v>
      </c>
      <c r="X15" s="182">
        <f>+'Sch 141Z'!F23</f>
        <v>0</v>
      </c>
      <c r="Y15" s="182">
        <f>+'Sch 142'!H23</f>
        <v>13931.349355889592</v>
      </c>
      <c r="Z15" s="182">
        <f>+'Sch 142 Supplemental'!H23</f>
        <v>0</v>
      </c>
      <c r="AA15" s="182">
        <f>+'Sch 194'!F23</f>
        <v>-33204.298021914641</v>
      </c>
      <c r="AB15" s="144">
        <f t="shared" si="1"/>
        <v>145509.8876838974</v>
      </c>
      <c r="AC15" s="144">
        <f t="shared" si="2"/>
        <v>418551.29387898021</v>
      </c>
      <c r="AD15" s="144"/>
      <c r="AE15" s="144">
        <f t="shared" si="11"/>
        <v>-273041.40619508282</v>
      </c>
      <c r="AF15" s="144">
        <f t="shared" si="12"/>
        <v>-32419.805713990456</v>
      </c>
      <c r="AG15" s="144">
        <f t="shared" si="3"/>
        <v>-17.629040627509763</v>
      </c>
      <c r="AH15" s="144">
        <f t="shared" si="4"/>
        <v>-5486.0665669761656</v>
      </c>
      <c r="AI15" s="144">
        <f t="shared" si="5"/>
        <v>-36520.622679537046</v>
      </c>
      <c r="AJ15" s="144">
        <f t="shared" si="6"/>
        <v>-34670.488944294222</v>
      </c>
      <c r="AK15" s="144"/>
      <c r="AL15" s="182">
        <v>406364.84663697297</v>
      </c>
      <c r="AM15" s="182">
        <f>+'Sch 95'!J23</f>
        <v>0</v>
      </c>
      <c r="AN15" s="182">
        <f>+'Sch 137'!J23</f>
        <v>0</v>
      </c>
      <c r="AO15" s="182">
        <f>+'Sch 141CEI'!N23</f>
        <v>0</v>
      </c>
      <c r="AP15" s="182">
        <f>+'Sch 141N'!O23</f>
        <v>0</v>
      </c>
      <c r="AQ15" s="182">
        <f>+'Sch 141R'!O23</f>
        <v>0</v>
      </c>
      <c r="AR15" s="182">
        <f>+'Sch 141CGR'!N23</f>
        <v>11282.560874718421</v>
      </c>
      <c r="AS15" s="182">
        <f>+'Sch 141DCARB'!J23</f>
        <v>9.4609196251320569</v>
      </c>
      <c r="AT15" s="182">
        <f>+'Sch 141WFP'!N23</f>
        <v>20169.467476741898</v>
      </c>
      <c r="AU15" s="144"/>
      <c r="AV15" s="144">
        <f t="shared" si="7"/>
        <v>55670.316767550226</v>
      </c>
      <c r="AW15" s="144">
        <f t="shared" si="8"/>
        <v>474221.61064653046</v>
      </c>
      <c r="AX15" s="187">
        <f t="shared" si="9"/>
        <v>0.13300715487370282</v>
      </c>
      <c r="AY15" s="187"/>
      <c r="BA15" s="130"/>
    </row>
    <row r="16" spans="1:53">
      <c r="A16" s="141">
        <f t="shared" si="10"/>
        <v>8</v>
      </c>
      <c r="B16" s="178" t="s">
        <v>103</v>
      </c>
      <c r="C16" s="189">
        <v>43</v>
      </c>
      <c r="D16" s="188">
        <v>122267424.6450724</v>
      </c>
      <c r="E16" s="182">
        <v>10672382.731891481</v>
      </c>
      <c r="F16" s="182">
        <f>+'Sch 95'!F24</f>
        <v>826894.59287462465</v>
      </c>
      <c r="G16" s="182">
        <f>+'Sch 95 Imbalance'!F24</f>
        <v>353964.19434748462</v>
      </c>
      <c r="H16" s="182">
        <f>+'Sch 95a'!F24</f>
        <v>0</v>
      </c>
      <c r="I16" s="182">
        <f>+'Sch 120'!F24</f>
        <v>99647.951085734006</v>
      </c>
      <c r="J16" s="182">
        <f>+'Sch 129'!F24</f>
        <v>137795.3875749966</v>
      </c>
      <c r="K16" s="182">
        <f>+'Sch 129D'!F24</f>
        <v>58566.096404989679</v>
      </c>
      <c r="L16" s="182">
        <f>+'Sch 137'!F24</f>
        <v>122.2674246450724</v>
      </c>
      <c r="M16" s="182">
        <f>'Sch 139'!S23</f>
        <v>-12485.049600000028</v>
      </c>
      <c r="N16" s="182">
        <f>+'Sch 139 Supplemental'!F24</f>
        <v>-26652.364799999999</v>
      </c>
      <c r="O16" s="182">
        <f>+'Sch 140'!F24</f>
        <v>186946.8922823157</v>
      </c>
      <c r="P16" s="182">
        <f>+'Sch 141'!F24</f>
        <v>0</v>
      </c>
      <c r="Q16" s="182">
        <f>+'Sch 141A'!G24</f>
        <v>170233.3897950931</v>
      </c>
      <c r="R16" s="182">
        <f>+'Sch 141CEI'!H24</f>
        <v>96453.1452531135</v>
      </c>
      <c r="S16" s="182">
        <f>+'Sch 141COL'!H24</f>
        <v>51305.670957413327</v>
      </c>
      <c r="T16" s="182">
        <f>+'Sch 141N'!I24</f>
        <v>632852.54603477963</v>
      </c>
      <c r="U16" s="182">
        <f>+'Sch 141R'!I24</f>
        <v>599015.26400976302</v>
      </c>
      <c r="V16" s="182">
        <f>+'Sch 141TEP'!F24</f>
        <v>52574.992597381133</v>
      </c>
      <c r="W16" s="182">
        <f>+'Sch 141X'!F24</f>
        <v>0</v>
      </c>
      <c r="X16" s="182">
        <f>+'Sch 141Z'!F24</f>
        <v>0</v>
      </c>
      <c r="Y16" s="182">
        <f>+'Sch 142'!H24</f>
        <v>386487.32930307381</v>
      </c>
      <c r="Z16" s="182">
        <f>+'Sch 142 Supplemental'!H24</f>
        <v>0</v>
      </c>
      <c r="AA16" s="182">
        <f>+'Sch 194'!F24</f>
        <v>0</v>
      </c>
      <c r="AB16" s="144">
        <f t="shared" si="1"/>
        <v>3613722.3055454073</v>
      </c>
      <c r="AC16" s="144">
        <f t="shared" si="2"/>
        <v>14286105.037436888</v>
      </c>
      <c r="AD16" s="144"/>
      <c r="AE16" s="144">
        <f t="shared" si="11"/>
        <v>-10672382.731891481</v>
      </c>
      <c r="AF16" s="144">
        <f t="shared" si="12"/>
        <v>-826894.59287462465</v>
      </c>
      <c r="AG16" s="144">
        <f t="shared" si="3"/>
        <v>-122.2674246450724</v>
      </c>
      <c r="AH16" s="144">
        <f t="shared" si="4"/>
        <v>-96453.1452531135</v>
      </c>
      <c r="AI16" s="144">
        <f t="shared" si="5"/>
        <v>-632852.54603477963</v>
      </c>
      <c r="AJ16" s="144">
        <f t="shared" si="6"/>
        <v>-599015.26400976302</v>
      </c>
      <c r="AK16" s="144"/>
      <c r="AL16" s="182">
        <v>13591299.32798796</v>
      </c>
      <c r="AM16" s="182">
        <f>+'Sch 95'!J24</f>
        <v>0</v>
      </c>
      <c r="AN16" s="182">
        <f>+'Sch 137'!J24</f>
        <v>0</v>
      </c>
      <c r="AO16" s="182">
        <f>+'Sch 141CEI'!N24</f>
        <v>0</v>
      </c>
      <c r="AP16" s="182">
        <f>+'Sch 141N'!O24</f>
        <v>0</v>
      </c>
      <c r="AQ16" s="182">
        <f>+'Sch 141R'!O24</f>
        <v>0</v>
      </c>
      <c r="AR16" s="182">
        <f>+'Sch 141CGR'!N24</f>
        <v>120636.1656109991</v>
      </c>
      <c r="AS16" s="182">
        <f>+'Sch 141DCARB'!J24</f>
        <v>3445.1348488352037</v>
      </c>
      <c r="AT16" s="182">
        <f>+'Sch 141WFP'!N24</f>
        <v>152162.98974444694</v>
      </c>
      <c r="AU16" s="144"/>
      <c r="AV16" s="144">
        <f t="shared" si="7"/>
        <v>1039823.0707038345</v>
      </c>
      <c r="AW16" s="144">
        <f t="shared" si="8"/>
        <v>15325928.108140722</v>
      </c>
      <c r="AX16" s="187">
        <f t="shared" si="9"/>
        <v>7.2785624071709354E-2</v>
      </c>
      <c r="AY16" s="187"/>
      <c r="BA16" s="130"/>
    </row>
    <row r="17" spans="1:53">
      <c r="A17" s="141">
        <f t="shared" si="10"/>
        <v>9</v>
      </c>
      <c r="B17" s="178" t="s">
        <v>104</v>
      </c>
      <c r="C17" s="190">
        <v>46</v>
      </c>
      <c r="D17" s="188">
        <v>96933187.043131709</v>
      </c>
      <c r="E17" s="182">
        <v>6270503.0006521046</v>
      </c>
      <c r="F17" s="182">
        <f>+'Sch 95'!F27</f>
        <v>731748.62898860127</v>
      </c>
      <c r="G17" s="182">
        <f>+'Sch 95 Imbalance'!F27</f>
        <v>352933.73402404255</v>
      </c>
      <c r="H17" s="182">
        <f>+'Sch 95a'!F27</f>
        <v>0</v>
      </c>
      <c r="I17" s="182">
        <f>+'Sch 120'!F27</f>
        <v>94315.990992967156</v>
      </c>
      <c r="J17" s="182">
        <f>+'Sch 129'!F27</f>
        <v>78709.747879022951</v>
      </c>
      <c r="K17" s="182">
        <f>+'Sch 129D'!F27</f>
        <v>33441.94952988044</v>
      </c>
      <c r="L17" s="182">
        <f>+'Sch 137'!F27</f>
        <v>96.93318704313171</v>
      </c>
      <c r="M17" s="182">
        <f>'Sch 139'!S26</f>
        <v>-23702.798756640055</v>
      </c>
      <c r="N17" s="182">
        <f>+'Sch 139 Supplemental'!F27</f>
        <v>-38418.97972992</v>
      </c>
      <c r="O17" s="182">
        <f>+'Sch 140'!F27</f>
        <v>92086.527690975126</v>
      </c>
      <c r="P17" s="182">
        <f>+'Sch 141'!F27</f>
        <v>0</v>
      </c>
      <c r="Q17" s="182">
        <f>+'Sch 141A'!G27</f>
        <v>132331.77280775295</v>
      </c>
      <c r="R17" s="182">
        <f>+'Sch 141CEI'!H27</f>
        <v>43606.489873955659</v>
      </c>
      <c r="S17" s="182">
        <f>+'Sch 141COL'!H27</f>
        <v>45989.486663673131</v>
      </c>
      <c r="T17" s="182">
        <f>+'Sch 141N'!I27</f>
        <v>323843.15673451731</v>
      </c>
      <c r="U17" s="182">
        <f>+'Sch 141R'!I27</f>
        <v>306789.63796265295</v>
      </c>
      <c r="V17" s="182">
        <f>+'Sch 141TEP'!F27</f>
        <v>30824.753479715881</v>
      </c>
      <c r="W17" s="182">
        <f>+'Sch 141X'!F27</f>
        <v>0</v>
      </c>
      <c r="X17" s="182">
        <f>+'Sch 141Z'!F27</f>
        <v>0</v>
      </c>
      <c r="Y17" s="182">
        <f>+'Sch 142'!H27</f>
        <v>0</v>
      </c>
      <c r="Z17" s="182">
        <f>+'Sch 142 Supplemental'!H27</f>
        <v>0</v>
      </c>
      <c r="AA17" s="182">
        <f>+'Sch 194'!F27</f>
        <v>0</v>
      </c>
      <c r="AB17" s="144">
        <f t="shared" si="1"/>
        <v>2204597.0313282404</v>
      </c>
      <c r="AC17" s="144">
        <f t="shared" si="2"/>
        <v>8475100.031980345</v>
      </c>
      <c r="AD17" s="144"/>
      <c r="AE17" s="144">
        <f t="shared" si="11"/>
        <v>-6270503.0006521046</v>
      </c>
      <c r="AF17" s="144">
        <f t="shared" si="12"/>
        <v>-731748.62898860127</v>
      </c>
      <c r="AG17" s="144">
        <f t="shared" si="3"/>
        <v>-96.93318704313171</v>
      </c>
      <c r="AH17" s="144">
        <f t="shared" si="4"/>
        <v>-43606.489873955659</v>
      </c>
      <c r="AI17" s="144">
        <f t="shared" si="5"/>
        <v>-323843.15673451731</v>
      </c>
      <c r="AJ17" s="144">
        <f t="shared" si="6"/>
        <v>-306789.63796265295</v>
      </c>
      <c r="AK17" s="144"/>
      <c r="AL17" s="182">
        <v>7805692.7197050452</v>
      </c>
      <c r="AM17" s="182">
        <f>+'Sch 95'!J27</f>
        <v>0</v>
      </c>
      <c r="AN17" s="182">
        <f>+'Sch 137'!J27</f>
        <v>0</v>
      </c>
      <c r="AO17" s="182">
        <f>+'Sch 141CEI'!N27</f>
        <v>0</v>
      </c>
      <c r="AP17" s="182">
        <f>+'Sch 141N'!O27</f>
        <v>0</v>
      </c>
      <c r="AQ17" s="182">
        <f>+'Sch 141R'!O27</f>
        <v>0</v>
      </c>
      <c r="AR17" s="182">
        <f>+'Sch 141CGR'!N27</f>
        <v>234602.08421261591</v>
      </c>
      <c r="AS17" s="182">
        <f>+'Sch 141DCARB'!J27</f>
        <v>5035.5518573621002</v>
      </c>
      <c r="AT17" s="182">
        <f>+'Sch 141WFP'!N27</f>
        <v>36060.710451981446</v>
      </c>
      <c r="AU17" s="144"/>
      <c r="AV17" s="144">
        <f t="shared" si="7"/>
        <v>404803.21882812848</v>
      </c>
      <c r="AW17" s="144">
        <f t="shared" si="8"/>
        <v>8879903.2508084737</v>
      </c>
      <c r="AX17" s="187">
        <f t="shared" si="9"/>
        <v>4.7763827836913401E-2</v>
      </c>
      <c r="AY17" s="187"/>
      <c r="BA17" s="130"/>
    </row>
    <row r="18" spans="1:53">
      <c r="A18" s="141">
        <f t="shared" si="10"/>
        <v>10</v>
      </c>
      <c r="B18" s="149" t="s">
        <v>105</v>
      </c>
      <c r="C18" s="190">
        <v>49</v>
      </c>
      <c r="D18" s="188">
        <v>534843226.30681556</v>
      </c>
      <c r="E18" s="182">
        <v>34454358.002142519</v>
      </c>
      <c r="F18" s="182">
        <f>+'Sch 95'!F28</f>
        <v>3725717.9144532774</v>
      </c>
      <c r="G18" s="182">
        <f>+'Sch 95 Imbalance'!F28</f>
        <v>1729148.1506499348</v>
      </c>
      <c r="H18" s="182">
        <f>+'Sch 95a'!F28</f>
        <v>0</v>
      </c>
      <c r="I18" s="182">
        <f>+'Sch 120'!F28</f>
        <v>1908855.4746890247</v>
      </c>
      <c r="J18" s="182">
        <f>+'Sch 129'!F28</f>
        <v>447663.78041880461</v>
      </c>
      <c r="K18" s="182">
        <f>+'Sch 129D'!F28</f>
        <v>190404.18856522633</v>
      </c>
      <c r="L18" s="182">
        <f>+'Sch 137'!F28</f>
        <v>2674.2161315340782</v>
      </c>
      <c r="M18" s="182">
        <f>'Sch 139'!S27</f>
        <v>-222040.13567078579</v>
      </c>
      <c r="N18" s="182">
        <f>+'Sch 139 Supplemental'!F28</f>
        <v>-442563.2485048321</v>
      </c>
      <c r="O18" s="182">
        <f>+'Sch 140'!F28</f>
        <v>508101.06499147479</v>
      </c>
      <c r="P18" s="182">
        <f>+'Sch 141'!F28</f>
        <v>0</v>
      </c>
      <c r="Q18" s="182">
        <f>+'Sch 141A'!G28</f>
        <v>619150.33777154901</v>
      </c>
      <c r="R18" s="182">
        <f>+'Sch 141CEI'!H28</f>
        <v>243405.90782398928</v>
      </c>
      <c r="S18" s="182">
        <f>+'Sch 141COL'!H28</f>
        <v>1010446.9582401112</v>
      </c>
      <c r="T18" s="182">
        <f>+'Sch 141N'!I28</f>
        <v>1729513.8296306524</v>
      </c>
      <c r="U18" s="182">
        <f>+'Sch 141R'!I28</f>
        <v>1648873.1533013028</v>
      </c>
      <c r="V18" s="182">
        <f>+'Sch 141TEP'!F28</f>
        <v>117665.50978749942</v>
      </c>
      <c r="W18" s="182">
        <f>+'Sch 141X'!F28</f>
        <v>0</v>
      </c>
      <c r="X18" s="182">
        <f>+'Sch 141Z'!F28</f>
        <v>0</v>
      </c>
      <c r="Y18" s="182">
        <f>+'Sch 142'!H28</f>
        <v>0</v>
      </c>
      <c r="Z18" s="182">
        <f>+'Sch 142 Supplemental'!H28</f>
        <v>0</v>
      </c>
      <c r="AA18" s="182">
        <f>+'Sch 194'!F28</f>
        <v>0</v>
      </c>
      <c r="AB18" s="144">
        <f t="shared" si="1"/>
        <v>13217017.102278763</v>
      </c>
      <c r="AC18" s="144">
        <f t="shared" si="2"/>
        <v>47671375.10442128</v>
      </c>
      <c r="AD18" s="144"/>
      <c r="AE18" s="144">
        <f t="shared" si="11"/>
        <v>-34454358.002142519</v>
      </c>
      <c r="AF18" s="144">
        <f t="shared" si="12"/>
        <v>-3725717.9144532774</v>
      </c>
      <c r="AG18" s="144">
        <f t="shared" si="3"/>
        <v>-2674.2161315340782</v>
      </c>
      <c r="AH18" s="144">
        <f t="shared" si="4"/>
        <v>-243405.90782398928</v>
      </c>
      <c r="AI18" s="144">
        <f t="shared" si="5"/>
        <v>-1729513.8296306524</v>
      </c>
      <c r="AJ18" s="144">
        <f t="shared" si="6"/>
        <v>-1648873.1533013028</v>
      </c>
      <c r="AK18" s="144"/>
      <c r="AL18" s="182">
        <v>42889722.146926105</v>
      </c>
      <c r="AM18" s="182">
        <f>+'Sch 95'!J28</f>
        <v>0</v>
      </c>
      <c r="AN18" s="182">
        <f>+'Sch 137'!J28</f>
        <v>0</v>
      </c>
      <c r="AO18" s="182">
        <f>+'Sch 141CEI'!N28</f>
        <v>0</v>
      </c>
      <c r="AP18" s="182">
        <f>+'Sch 141N'!O28</f>
        <v>0</v>
      </c>
      <c r="AQ18" s="182">
        <f>+'Sch 141R'!O28</f>
        <v>0</v>
      </c>
      <c r="AR18" s="182">
        <f>+'Sch 141CGR'!N28</f>
        <v>1294451.7708135068</v>
      </c>
      <c r="AS18" s="182">
        <f>+'Sch 141DCARB'!J28</f>
        <v>14267.396929192619</v>
      </c>
      <c r="AT18" s="182">
        <f>+'Sch 141WFP'!N28</f>
        <v>198970.31459897972</v>
      </c>
      <c r="AU18" s="144"/>
      <c r="AV18" s="144">
        <f t="shared" si="7"/>
        <v>2592868.6057845159</v>
      </c>
      <c r="AW18" s="144">
        <f t="shared" si="8"/>
        <v>50264243.710205793</v>
      </c>
      <c r="AX18" s="187">
        <f t="shared" si="9"/>
        <v>5.4390472271986977E-2</v>
      </c>
      <c r="AY18" s="187"/>
      <c r="BA18" s="130"/>
    </row>
    <row r="19" spans="1:53">
      <c r="A19" s="141">
        <f t="shared" si="10"/>
        <v>11</v>
      </c>
      <c r="B19" s="178" t="s">
        <v>106</v>
      </c>
      <c r="C19" s="189" t="s">
        <v>178</v>
      </c>
      <c r="D19" s="188">
        <v>67255417.982360825</v>
      </c>
      <c r="E19" s="182">
        <v>16783224.913086899</v>
      </c>
      <c r="F19" s="182">
        <f>+'Sch 95'!F31</f>
        <v>544970.65191106987</v>
      </c>
      <c r="G19" s="182">
        <f>+'Sch 95 Imbalance'!F31</f>
        <v>264179.2818347133</v>
      </c>
      <c r="H19" s="182">
        <f>+'Sch 95a'!F31</f>
        <v>0</v>
      </c>
      <c r="I19" s="182">
        <f>+'Sch 120'!F31</f>
        <v>156234.33597302419</v>
      </c>
      <c r="J19" s="182">
        <f>+'Sch 129'!F31</f>
        <v>233645.32207072151</v>
      </c>
      <c r="K19" s="182">
        <f>+'Sch 129D'!F31</f>
        <v>99336.252359946942</v>
      </c>
      <c r="L19" s="182">
        <f>+'Sch 137'!F31</f>
        <v>201.76625394708248</v>
      </c>
      <c r="M19" s="182">
        <f>'Sch 139'!S30</f>
        <v>0</v>
      </c>
      <c r="N19" s="182">
        <f>+'Sch 139 Supplemental'!F31</f>
        <v>0</v>
      </c>
      <c r="O19" s="182">
        <f>+'Sch 140'!F31</f>
        <v>577522.27421453246</v>
      </c>
      <c r="P19" s="182">
        <f>+'Sch 141'!F31</f>
        <v>0</v>
      </c>
      <c r="Q19" s="182">
        <f>+'Sch 141A'!G31</f>
        <v>120790.73069632005</v>
      </c>
      <c r="R19" s="182">
        <f>+'Sch 141CEI'!H31</f>
        <v>281867.45676407422</v>
      </c>
      <c r="S19" s="182">
        <f>+'Sch 141COL'!H31</f>
        <v>79966.691981027019</v>
      </c>
      <c r="T19" s="182">
        <f>+'Sch 141N'!I31</f>
        <v>2078797.7144167908</v>
      </c>
      <c r="U19" s="182">
        <f>+'Sch 141R'!I31</f>
        <v>1975695.1586498315</v>
      </c>
      <c r="V19" s="182">
        <f>+'Sch 141TEP'!F31</f>
        <v>0</v>
      </c>
      <c r="W19" s="182">
        <f>+'Sch 141X'!F31</f>
        <v>0</v>
      </c>
      <c r="X19" s="182">
        <f>+'Sch 141Z'!F31</f>
        <v>0</v>
      </c>
      <c r="Y19" s="182">
        <f>+'Sch 142'!H31</f>
        <v>0</v>
      </c>
      <c r="Z19" s="182">
        <f>+'Sch 142 Supplemental'!H31</f>
        <v>0</v>
      </c>
      <c r="AA19" s="182">
        <f>+'Sch 194'!F31</f>
        <v>-12981.7100491824</v>
      </c>
      <c r="AB19" s="144">
        <f t="shared" si="1"/>
        <v>6400225.9270768166</v>
      </c>
      <c r="AC19" s="144">
        <f t="shared" si="2"/>
        <v>23183450.840163715</v>
      </c>
      <c r="AD19" s="144"/>
      <c r="AE19" s="144">
        <f t="shared" si="11"/>
        <v>-16783224.913086899</v>
      </c>
      <c r="AF19" s="144">
        <f t="shared" si="12"/>
        <v>-544970.65191106987</v>
      </c>
      <c r="AG19" s="144">
        <f t="shared" si="3"/>
        <v>-201.76625394708248</v>
      </c>
      <c r="AH19" s="144">
        <f t="shared" si="4"/>
        <v>-281867.45676407422</v>
      </c>
      <c r="AI19" s="144">
        <f t="shared" si="5"/>
        <v>-2078797.7144167908</v>
      </c>
      <c r="AJ19" s="144">
        <f t="shared" si="6"/>
        <v>-1975695.1586498315</v>
      </c>
      <c r="AK19" s="144"/>
      <c r="AL19" s="182">
        <v>21338623.293992013</v>
      </c>
      <c r="AM19" s="182">
        <f>+'Sch 95'!J31</f>
        <v>0</v>
      </c>
      <c r="AN19" s="182">
        <f>+'Sch 137'!J31</f>
        <v>0</v>
      </c>
      <c r="AO19" s="182">
        <f>+'Sch 141CEI'!N31</f>
        <v>0</v>
      </c>
      <c r="AP19" s="182">
        <f>+'Sch 141N'!O31</f>
        <v>0</v>
      </c>
      <c r="AQ19" s="182">
        <f>+'Sch 141R'!O31</f>
        <v>0</v>
      </c>
      <c r="AR19" s="182">
        <f>+'Sch 141CGR'!N31</f>
        <v>112458</v>
      </c>
      <c r="AS19" s="182">
        <f>+'Sch 141DCARB'!J31</f>
        <v>53935.519227045588</v>
      </c>
      <c r="AT19" s="182">
        <f>+'Sch 141WFP'!N31</f>
        <v>156218.02689690789</v>
      </c>
      <c r="AU19" s="144"/>
      <c r="AV19" s="144">
        <f t="shared" si="7"/>
        <v>-3522.8209666479961</v>
      </c>
      <c r="AW19" s="144">
        <f t="shared" si="8"/>
        <v>23179928.019197065</v>
      </c>
      <c r="AX19" s="187">
        <f t="shared" si="9"/>
        <v>-1.5195412412654952E-4</v>
      </c>
      <c r="AY19" s="187"/>
      <c r="BA19" s="130"/>
    </row>
    <row r="20" spans="1:53">
      <c r="A20" s="141">
        <f t="shared" si="10"/>
        <v>12</v>
      </c>
      <c r="B20" s="178" t="s">
        <v>23</v>
      </c>
      <c r="C20" s="189" t="s">
        <v>558</v>
      </c>
      <c r="D20" s="188">
        <v>1967511960.3194919</v>
      </c>
      <c r="E20" s="182">
        <v>13584723</v>
      </c>
      <c r="F20" s="182">
        <f>+'Sch 95'!F33</f>
        <v>0</v>
      </c>
      <c r="G20" s="182">
        <f>+'Sch 95 Imbalance'!F33</f>
        <v>0</v>
      </c>
      <c r="H20" s="182">
        <f>+'Sch 95a'!F33</f>
        <v>0</v>
      </c>
      <c r="I20" s="182">
        <f>+'Sch 120'!F33</f>
        <v>2658108.6583916335</v>
      </c>
      <c r="J20" s="182">
        <f>+'Sch 129'!F33</f>
        <v>108213.15781757205</v>
      </c>
      <c r="K20" s="182">
        <f>+'Sch 129D'!F33</f>
        <v>45252.775087348316</v>
      </c>
      <c r="L20" s="182">
        <f>+'Sch 137'!F33</f>
        <v>0</v>
      </c>
      <c r="M20" s="182">
        <f>'Sch 139'!S32</f>
        <v>0</v>
      </c>
      <c r="N20" s="182">
        <f>+'Sch 139 Supplemental'!F33</f>
        <v>0</v>
      </c>
      <c r="O20" s="182">
        <f>+'Sch 140'!F33</f>
        <v>33447.703325431365</v>
      </c>
      <c r="P20" s="182">
        <f>+'Sch 141'!F33</f>
        <v>0</v>
      </c>
      <c r="Q20" s="182">
        <f>+'Sch 141A'!G33</f>
        <v>0</v>
      </c>
      <c r="R20" s="182">
        <f>+'Sch 141CEI'!H33</f>
        <v>0</v>
      </c>
      <c r="S20" s="182">
        <f>+'Sch 141COL'!H33</f>
        <v>0</v>
      </c>
      <c r="T20" s="182">
        <f>+'Sch 141N'!I33</f>
        <v>147120</v>
      </c>
      <c r="U20" s="182">
        <f>+'Sch 141R'!I33</f>
        <v>27600</v>
      </c>
      <c r="V20" s="182">
        <f>+'Sch 141TEP'!F33</f>
        <v>0</v>
      </c>
      <c r="W20" s="182">
        <f>+'Sch 141X'!F33</f>
        <v>0</v>
      </c>
      <c r="X20" s="182">
        <f>+'Sch 141Z'!F33</f>
        <v>0</v>
      </c>
      <c r="Y20" s="182">
        <f>+'Sch 142'!H33</f>
        <v>0</v>
      </c>
      <c r="Z20" s="182">
        <f>+'Sch 142 Supplemental'!H33</f>
        <v>0</v>
      </c>
      <c r="AA20" s="182">
        <f>+'Sch 194'!F34</f>
        <v>0</v>
      </c>
      <c r="AB20" s="144">
        <f t="shared" si="1"/>
        <v>3019742.2946219849</v>
      </c>
      <c r="AC20" s="144">
        <f t="shared" si="2"/>
        <v>16604465.294621985</v>
      </c>
      <c r="AD20" s="144"/>
      <c r="AE20" s="144">
        <f t="shared" si="11"/>
        <v>-13584723</v>
      </c>
      <c r="AF20" s="144">
        <f t="shared" si="12"/>
        <v>0</v>
      </c>
      <c r="AG20" s="144">
        <f t="shared" si="3"/>
        <v>0</v>
      </c>
      <c r="AH20" s="144">
        <f t="shared" si="4"/>
        <v>0</v>
      </c>
      <c r="AI20" s="144">
        <f t="shared" si="5"/>
        <v>-147120</v>
      </c>
      <c r="AJ20" s="144">
        <f t="shared" si="6"/>
        <v>-27600</v>
      </c>
      <c r="AK20" s="144"/>
      <c r="AL20" s="182">
        <v>14113311.581309503</v>
      </c>
      <c r="AM20" s="182">
        <f>+'Sch 95'!J33</f>
        <v>0</v>
      </c>
      <c r="AN20" s="182">
        <f>+'Sch 137'!J33</f>
        <v>0</v>
      </c>
      <c r="AO20" s="182">
        <f>+'Sch 141CEI'!N33</f>
        <v>0</v>
      </c>
      <c r="AP20" s="182">
        <f>+'Sch 141N'!O33</f>
        <v>0</v>
      </c>
      <c r="AQ20" s="182">
        <f>+'Sch 141R'!O33</f>
        <v>0</v>
      </c>
      <c r="AR20" s="182">
        <f>+'Sch 141CGR'!N33</f>
        <v>0</v>
      </c>
      <c r="AS20" s="182">
        <f>+'Sch 141DCARB'!J33</f>
        <v>11289.288936160296</v>
      </c>
      <c r="AT20" s="182">
        <f>+'Sch 141WFP'!N33</f>
        <v>410614.28454946139</v>
      </c>
      <c r="AU20" s="144"/>
      <c r="AV20" s="144">
        <f t="shared" si="7"/>
        <v>775772.15479512466</v>
      </c>
      <c r="AW20" s="144">
        <f t="shared" si="8"/>
        <v>17380237.449417111</v>
      </c>
      <c r="AX20" s="187">
        <f t="shared" si="9"/>
        <v>4.6720694766749837E-2</v>
      </c>
      <c r="AY20" s="187"/>
      <c r="BA20" s="130"/>
    </row>
    <row r="21" spans="1:53">
      <c r="A21" s="141">
        <f t="shared" si="10"/>
        <v>13</v>
      </c>
      <c r="B21" s="178" t="s">
        <v>76</v>
      </c>
      <c r="C21" s="189" t="s">
        <v>76</v>
      </c>
      <c r="D21" s="188">
        <v>304773055.46200001</v>
      </c>
      <c r="E21" s="182">
        <v>3169169.8069353327</v>
      </c>
      <c r="F21" s="182">
        <f>+'Sch 95'!F34</f>
        <v>0</v>
      </c>
      <c r="G21" s="182">
        <f>+'Sch 95 Imbalance'!F34</f>
        <v>0</v>
      </c>
      <c r="H21" s="182">
        <f>+'Sch 95a'!F34</f>
        <v>0</v>
      </c>
      <c r="I21" s="182">
        <f>+'Sch 120'!F34</f>
        <v>1289494.7976597222</v>
      </c>
      <c r="J21" s="182">
        <f>+'Sch 129'!F34</f>
        <v>187130.656053668</v>
      </c>
      <c r="K21" s="182">
        <f>+'Sch 129D'!F34</f>
        <v>19810.248605029999</v>
      </c>
      <c r="L21" s="182">
        <f>+'Sch 137'!F34</f>
        <v>0</v>
      </c>
      <c r="M21" s="182">
        <f>'Sch 139'!S33</f>
        <v>0</v>
      </c>
      <c r="N21" s="182">
        <f>+'Sch 139 Supplemental'!F34</f>
        <v>0</v>
      </c>
      <c r="O21" s="182">
        <f>+'Sch 140'!F34</f>
        <v>156958.12356293004</v>
      </c>
      <c r="P21" s="182">
        <f>+'Sch 141'!F34</f>
        <v>0</v>
      </c>
      <c r="Q21" s="182">
        <f>+'Sch 141A'!G34</f>
        <v>0</v>
      </c>
      <c r="R21" s="182">
        <f>+'Sch 141CEI'!H34</f>
        <v>0</v>
      </c>
      <c r="S21" s="182">
        <f>+'Sch 141COL'!H34</f>
        <v>0</v>
      </c>
      <c r="T21" s="182">
        <f>+'Sch 141N'!I34</f>
        <v>472703.00902156206</v>
      </c>
      <c r="U21" s="182">
        <f>+'Sch 141R'!I34</f>
        <v>449235.48375098803</v>
      </c>
      <c r="V21" s="182">
        <f>+'Sch 141TEP'!F34</f>
        <v>0</v>
      </c>
      <c r="W21" s="182">
        <f>+'Sch 141X'!F34</f>
        <v>0</v>
      </c>
      <c r="X21" s="182">
        <f>+'Sch 141Z'!F34</f>
        <v>0</v>
      </c>
      <c r="Y21" s="182">
        <f>+'Sch 142'!H34</f>
        <v>367556.30488717201</v>
      </c>
      <c r="Z21" s="182">
        <f>+'Sch 142 Supplemental'!H34</f>
        <v>0</v>
      </c>
      <c r="AA21" s="182">
        <f>+'Sch 194'!F35</f>
        <v>0</v>
      </c>
      <c r="AB21" s="144">
        <f t="shared" si="1"/>
        <v>2942888.623541072</v>
      </c>
      <c r="AC21" s="144">
        <f t="shared" si="2"/>
        <v>6112058.4304764047</v>
      </c>
      <c r="AD21" s="144"/>
      <c r="AE21" s="144">
        <f t="shared" si="11"/>
        <v>-3169169.8069353327</v>
      </c>
      <c r="AF21" s="144">
        <f t="shared" si="12"/>
        <v>0</v>
      </c>
      <c r="AG21" s="144">
        <f t="shared" si="3"/>
        <v>0</v>
      </c>
      <c r="AH21" s="144">
        <f t="shared" si="4"/>
        <v>0</v>
      </c>
      <c r="AI21" s="144">
        <f t="shared" si="5"/>
        <v>-472703.00902156206</v>
      </c>
      <c r="AJ21" s="144">
        <f t="shared" si="6"/>
        <v>-449235.48375098803</v>
      </c>
      <c r="AK21" s="144"/>
      <c r="AL21" s="182">
        <v>8125898.7603416722</v>
      </c>
      <c r="AM21" s="182">
        <f>+'Sch 95'!J34</f>
        <v>0</v>
      </c>
      <c r="AN21" s="182">
        <f>+'Sch 137'!J34</f>
        <v>0</v>
      </c>
      <c r="AO21" s="182">
        <f>+'Sch 141CEI'!N34</f>
        <v>0</v>
      </c>
      <c r="AP21" s="182">
        <f>+'Sch 141N'!O34</f>
        <v>0</v>
      </c>
      <c r="AQ21" s="182">
        <f>+'Sch 141R'!O34</f>
        <v>0</v>
      </c>
      <c r="AR21" s="182">
        <f>+'Sch 141CGR'!N34</f>
        <v>0</v>
      </c>
      <c r="AS21" s="182">
        <f>+'Sch 141DCARB'!J34</f>
        <v>3054.1969589255868</v>
      </c>
      <c r="AT21" s="182">
        <f>+'Sch 141WFP'!N34</f>
        <v>403047.29938686301</v>
      </c>
      <c r="AU21" s="144"/>
      <c r="AV21" s="144">
        <f t="shared" si="7"/>
        <v>4440891.9569795774</v>
      </c>
      <c r="AW21" s="144">
        <f t="shared" si="8"/>
        <v>10552950.387455981</v>
      </c>
      <c r="AX21" s="187">
        <f t="shared" si="9"/>
        <v>0.72657877988143382</v>
      </c>
      <c r="AY21" s="187"/>
      <c r="BA21" s="130"/>
    </row>
    <row r="22" spans="1:53">
      <c r="A22" s="141">
        <f t="shared" si="10"/>
        <v>14</v>
      </c>
      <c r="B22" s="178" t="s">
        <v>16</v>
      </c>
      <c r="C22" s="189">
        <v>5</v>
      </c>
      <c r="D22" s="188">
        <v>6714960.2368700616</v>
      </c>
      <c r="E22" s="182">
        <v>306713.92664298858</v>
      </c>
      <c r="F22" s="182">
        <f>+'Sch 95'!F39</f>
        <v>53679.392133539266</v>
      </c>
      <c r="G22" s="182">
        <f>+'Sch 95 Imbalance'!F39</f>
        <v>21776.61604816961</v>
      </c>
      <c r="H22" s="182">
        <f>+'Sch 95a'!F39</f>
        <v>0</v>
      </c>
      <c r="I22" s="182">
        <f>+'Sch 120'!F39</f>
        <v>0</v>
      </c>
      <c r="J22" s="182">
        <f>+'Sch 129'!F39</f>
        <v>0</v>
      </c>
      <c r="K22" s="182">
        <f>+'Sch 129D'!F39</f>
        <v>0</v>
      </c>
      <c r="L22" s="182">
        <f>+'Sch 137'!F39</f>
        <v>40.289761421220369</v>
      </c>
      <c r="M22" s="182">
        <f>'Sch 139'!S38</f>
        <v>0</v>
      </c>
      <c r="N22" s="182">
        <f>+'Sch 139 Supplemental'!F39</f>
        <v>0</v>
      </c>
      <c r="O22" s="182">
        <f>+'Sch 140'!F39</f>
        <v>0</v>
      </c>
      <c r="P22" s="182">
        <f>+'Sch 141'!F39</f>
        <v>0</v>
      </c>
      <c r="Q22" s="182">
        <f>+'Sch 141A'!G39</f>
        <v>11898.909539733748</v>
      </c>
      <c r="R22" s="182">
        <f>+'Sch 141CEI'!H39</f>
        <v>6267.8607601201938</v>
      </c>
      <c r="S22" s="182">
        <f>+'Sch 141COL'!H39</f>
        <v>14813.202282535356</v>
      </c>
      <c r="T22" s="182">
        <f>+'Sch 141N'!I39</f>
        <v>37063.964072646762</v>
      </c>
      <c r="U22" s="182">
        <f>+'Sch 141R'!I39</f>
        <v>35251.99174535997</v>
      </c>
      <c r="V22" s="182">
        <f>+'Sch 141TEP'!F39</f>
        <v>0</v>
      </c>
      <c r="W22" s="182">
        <f>+'Sch 141X'!F39</f>
        <v>0</v>
      </c>
      <c r="X22" s="182">
        <f>+'Sch 141Z'!F39</f>
        <v>0</v>
      </c>
      <c r="Y22" s="182">
        <f>+'Sch 142'!H39</f>
        <v>0</v>
      </c>
      <c r="Z22" s="182">
        <f>+'Sch 142 Supplemental'!H39</f>
        <v>0</v>
      </c>
      <c r="AA22" s="182">
        <f>+'Sch 194'!F40</f>
        <v>0</v>
      </c>
      <c r="AB22" s="144">
        <f t="shared" si="1"/>
        <v>180792.22634352616</v>
      </c>
      <c r="AC22" s="144">
        <f t="shared" si="2"/>
        <v>487506.15298651473</v>
      </c>
      <c r="AD22" s="144"/>
      <c r="AE22" s="144">
        <f t="shared" si="11"/>
        <v>-306713.92664298858</v>
      </c>
      <c r="AF22" s="144">
        <f t="shared" si="12"/>
        <v>-53679.392133539266</v>
      </c>
      <c r="AG22" s="144">
        <f t="shared" si="3"/>
        <v>-40.289761421220369</v>
      </c>
      <c r="AH22" s="144">
        <f t="shared" si="4"/>
        <v>-6267.8607601201938</v>
      </c>
      <c r="AI22" s="144">
        <f t="shared" si="5"/>
        <v>-37063.964072646762</v>
      </c>
      <c r="AJ22" s="144">
        <f t="shared" si="6"/>
        <v>-35251.99174535997</v>
      </c>
      <c r="AK22" s="144"/>
      <c r="AL22" s="182">
        <v>1127276</v>
      </c>
      <c r="AM22" s="182">
        <f>+'Sch 95'!J39</f>
        <v>0</v>
      </c>
      <c r="AN22" s="182">
        <f>+'Sch 137'!J39</f>
        <v>0</v>
      </c>
      <c r="AO22" s="182">
        <f>+'Sch 141CEI'!N39</f>
        <v>0</v>
      </c>
      <c r="AP22" s="182">
        <f>+'Sch 141N'!O39</f>
        <v>0</v>
      </c>
      <c r="AQ22" s="182">
        <f>+'Sch 141R'!O39</f>
        <v>0</v>
      </c>
      <c r="AR22" s="182">
        <f>+'Sch 141CGR'!N39</f>
        <v>20268.832271719843</v>
      </c>
      <c r="AS22" s="182">
        <f>+'Sch 141DCARB'!J39</f>
        <v>49.906501150441784</v>
      </c>
      <c r="AT22" s="182">
        <f>+'Sch 141WFP'!N39</f>
        <v>7724.3646160020717</v>
      </c>
      <c r="AU22" s="144"/>
      <c r="AV22" s="144">
        <f t="shared" si="7"/>
        <v>716301.67827279645</v>
      </c>
      <c r="AW22" s="144">
        <f t="shared" si="8"/>
        <v>1203807.8312593112</v>
      </c>
      <c r="AX22" s="187">
        <f t="shared" si="9"/>
        <v>1.4693182309282784</v>
      </c>
      <c r="AY22" s="187"/>
      <c r="BA22" s="130"/>
    </row>
    <row r="23" spans="1:53">
      <c r="A23" s="141">
        <f t="shared" si="10"/>
        <v>15</v>
      </c>
      <c r="B23" s="141"/>
      <c r="C23" s="141"/>
      <c r="D23" s="143"/>
      <c r="E23" s="144"/>
      <c r="F23" s="144"/>
      <c r="G23" s="144"/>
      <c r="H23" s="144"/>
      <c r="I23" s="144"/>
      <c r="J23" s="144"/>
      <c r="K23" s="144"/>
      <c r="L23" s="144"/>
      <c r="M23" s="144"/>
      <c r="N23" s="144"/>
      <c r="O23" s="144"/>
      <c r="P23" s="144"/>
      <c r="Q23" s="144"/>
      <c r="R23" s="144"/>
      <c r="S23" s="144"/>
      <c r="T23" s="144"/>
      <c r="U23" s="144"/>
      <c r="V23" s="144"/>
      <c r="W23" s="144"/>
      <c r="X23" s="144"/>
      <c r="Y23" s="144"/>
      <c r="Z23" s="144"/>
      <c r="AA23" s="144"/>
      <c r="AB23" s="144"/>
      <c r="AC23" s="144"/>
      <c r="AD23" s="144"/>
      <c r="AE23" s="144"/>
      <c r="AF23" s="144"/>
      <c r="AG23" s="144"/>
      <c r="AH23" s="144"/>
      <c r="AI23" s="144"/>
      <c r="AJ23" s="144"/>
      <c r="AK23" s="144"/>
      <c r="AL23" s="144"/>
      <c r="AM23" s="144"/>
      <c r="AN23" s="144"/>
      <c r="AO23" s="144"/>
      <c r="AP23" s="144"/>
      <c r="AQ23" s="144"/>
      <c r="AR23" s="144"/>
      <c r="AS23" s="144"/>
      <c r="AT23" s="144"/>
      <c r="AU23" s="144"/>
      <c r="AV23" s="144"/>
      <c r="AW23" s="144"/>
      <c r="AX23" s="187"/>
      <c r="AY23" s="144"/>
      <c r="BA23" s="130"/>
    </row>
    <row r="24" spans="1:53" ht="12" thickBot="1">
      <c r="A24" s="141">
        <f t="shared" si="10"/>
        <v>16</v>
      </c>
      <c r="B24" s="141"/>
      <c r="C24" s="141" t="s">
        <v>11</v>
      </c>
      <c r="D24" s="151">
        <f t="shared" ref="D24:AC24" si="13">SUM(D9:D23)</f>
        <v>23558158394.432896</v>
      </c>
      <c r="E24" s="152">
        <f t="shared" si="13"/>
        <v>2118609636.1930223</v>
      </c>
      <c r="F24" s="152">
        <f t="shared" si="13"/>
        <v>161629358.21501514</v>
      </c>
      <c r="G24" s="152">
        <f t="shared" si="13"/>
        <v>71687417.802712053</v>
      </c>
      <c r="H24" s="152">
        <f t="shared" si="13"/>
        <v>0</v>
      </c>
      <c r="I24" s="152">
        <f t="shared" si="13"/>
        <v>101338142.34928034</v>
      </c>
      <c r="J24" s="152">
        <f t="shared" si="13"/>
        <v>28398886.814144548</v>
      </c>
      <c r="K24" s="152">
        <f t="shared" si="13"/>
        <v>12014220.330995252</v>
      </c>
      <c r="L24" s="152">
        <f t="shared" si="13"/>
        <v>142889.78736490113</v>
      </c>
      <c r="M24" s="152">
        <f t="shared" si="13"/>
        <v>-1261105.5852851924</v>
      </c>
      <c r="N24" s="152">
        <f t="shared" si="13"/>
        <v>-1680266.9316750083</v>
      </c>
      <c r="O24" s="152">
        <f t="shared" si="13"/>
        <v>48605236.088262789</v>
      </c>
      <c r="P24" s="152">
        <f t="shared" si="13"/>
        <v>0</v>
      </c>
      <c r="Q24" s="152">
        <f t="shared" si="13"/>
        <v>34624881.407721765</v>
      </c>
      <c r="R24" s="152">
        <f t="shared" si="13"/>
        <v>23557981.999641716</v>
      </c>
      <c r="S24" s="152">
        <f t="shared" si="13"/>
        <v>52805918.102502599</v>
      </c>
      <c r="T24" s="152">
        <f t="shared" si="13"/>
        <v>160864692.74075997</v>
      </c>
      <c r="U24" s="152">
        <f t="shared" si="13"/>
        <v>152840009.31612048</v>
      </c>
      <c r="V24" s="152">
        <f t="shared" si="13"/>
        <v>6269893.7255272642</v>
      </c>
      <c r="W24" s="152">
        <f t="shared" si="13"/>
        <v>0</v>
      </c>
      <c r="X24" s="152">
        <f t="shared" si="13"/>
        <v>0</v>
      </c>
      <c r="Y24" s="152">
        <f t="shared" si="13"/>
        <v>-30976702.867823873</v>
      </c>
      <c r="Z24" s="152">
        <f t="shared" si="13"/>
        <v>0</v>
      </c>
      <c r="AA24" s="152">
        <f t="shared" si="13"/>
        <v>-88367536.823729306</v>
      </c>
      <c r="AB24" s="152">
        <f t="shared" si="13"/>
        <v>732493916.47153533</v>
      </c>
      <c r="AC24" s="152">
        <f t="shared" si="13"/>
        <v>2851103552.6645579</v>
      </c>
      <c r="AD24" s="144"/>
      <c r="AE24" s="152">
        <f t="shared" ref="AE24:AJ24" si="14">SUM(AE9:AE23)</f>
        <v>-2118609636.1930223</v>
      </c>
      <c r="AF24" s="152">
        <f t="shared" si="14"/>
        <v>-161629358.21501514</v>
      </c>
      <c r="AG24" s="152">
        <f t="shared" si="14"/>
        <v>-142889.78736490113</v>
      </c>
      <c r="AH24" s="152">
        <f t="shared" si="14"/>
        <v>-23557981.999641716</v>
      </c>
      <c r="AI24" s="152">
        <f t="shared" si="14"/>
        <v>-160864692.74075997</v>
      </c>
      <c r="AJ24" s="152">
        <f t="shared" si="14"/>
        <v>-152840009.31612048</v>
      </c>
      <c r="AK24" s="144"/>
      <c r="AL24" s="152">
        <f t="shared" ref="AL24:AT24" si="15">SUM(AL9:AL23)</f>
        <v>2702986394.1930218</v>
      </c>
      <c r="AM24" s="152">
        <f t="shared" si="15"/>
        <v>0</v>
      </c>
      <c r="AN24" s="152">
        <f t="shared" si="15"/>
        <v>0</v>
      </c>
      <c r="AO24" s="152">
        <f t="shared" si="15"/>
        <v>0</v>
      </c>
      <c r="AP24" s="152">
        <f t="shared" si="15"/>
        <v>0</v>
      </c>
      <c r="AQ24" s="152">
        <f t="shared" si="15"/>
        <v>0</v>
      </c>
      <c r="AR24" s="152">
        <f t="shared" si="15"/>
        <v>71656160.523858055</v>
      </c>
      <c r="AS24" s="152">
        <f t="shared" si="15"/>
        <v>7673451.5982162477</v>
      </c>
      <c r="AT24" s="152">
        <f t="shared" si="15"/>
        <v>27546600.811311465</v>
      </c>
      <c r="AU24" s="144"/>
      <c r="AV24" s="152">
        <f>SUM(AV9:AV23)</f>
        <v>192218038.8744832</v>
      </c>
      <c r="AW24" s="152">
        <f>SUM(AW9:AW23)</f>
        <v>3043321591.5390415</v>
      </c>
      <c r="AX24" s="186">
        <f>AV24/AC24</f>
        <v>6.7418820580838548E-2</v>
      </c>
      <c r="AY24" s="144"/>
      <c r="BA24" s="130"/>
    </row>
    <row r="25" spans="1:53" ht="12" thickTop="1">
      <c r="E25" s="144"/>
      <c r="F25" s="144"/>
      <c r="G25" s="144"/>
      <c r="H25" s="144"/>
      <c r="I25" s="144"/>
      <c r="J25" s="144"/>
      <c r="K25" s="144"/>
      <c r="L25" s="144"/>
      <c r="M25" s="144"/>
      <c r="N25" s="144"/>
      <c r="O25" s="144"/>
      <c r="P25" s="144"/>
      <c r="Q25" s="144"/>
      <c r="R25" s="144"/>
      <c r="S25" s="144"/>
      <c r="T25" s="144"/>
      <c r="U25" s="144"/>
      <c r="V25" s="144"/>
      <c r="W25" s="144"/>
      <c r="X25" s="144"/>
      <c r="Y25" s="144"/>
      <c r="Z25" s="144"/>
      <c r="AA25" s="144"/>
      <c r="AB25" s="144"/>
      <c r="AC25" s="144"/>
      <c r="AD25" s="144"/>
      <c r="AE25" s="144"/>
      <c r="AF25" s="144"/>
      <c r="AG25" s="144"/>
      <c r="AH25" s="144"/>
      <c r="AI25" s="144"/>
      <c r="AJ25" s="144"/>
      <c r="AK25" s="144"/>
      <c r="AL25" s="207" t="s">
        <v>340</v>
      </c>
      <c r="AM25" s="144"/>
      <c r="AN25" s="144"/>
      <c r="AO25" s="144"/>
      <c r="AP25" s="144"/>
      <c r="AQ25" s="144"/>
      <c r="AR25" s="144"/>
      <c r="AS25" s="144"/>
      <c r="AT25" s="144"/>
      <c r="AU25" s="144"/>
      <c r="AV25" s="144"/>
      <c r="AW25" s="144"/>
      <c r="BA25" s="130"/>
    </row>
    <row r="26" spans="1:53">
      <c r="C26" s="185" t="s">
        <v>187</v>
      </c>
      <c r="D26" s="184">
        <v>23558158394.432896</v>
      </c>
      <c r="E26" s="183">
        <v>2118609636.1930223</v>
      </c>
      <c r="F26" s="182">
        <f>+'Sch 95'!F41</f>
        <v>161629358.21501517</v>
      </c>
      <c r="G26" s="182">
        <f>+'Sch 95 Imbalance'!F41</f>
        <v>71687417.802712053</v>
      </c>
      <c r="H26" s="182">
        <f>+'Sch 95a'!F41</f>
        <v>0</v>
      </c>
      <c r="I26" s="182">
        <f>+'Sch 120'!F41</f>
        <v>101338142.34928034</v>
      </c>
      <c r="J26" s="182">
        <f>+'Sch 129'!F41</f>
        <v>28398886.814144537</v>
      </c>
      <c r="K26" s="182">
        <f>+'Sch 129D'!F41</f>
        <v>12014220.330995252</v>
      </c>
      <c r="L26" s="182">
        <f>+'Sch 137'!F41</f>
        <v>142889.7873649011</v>
      </c>
      <c r="M26" s="182">
        <f>'Sch 139'!S40</f>
        <v>-1261105.5852851924</v>
      </c>
      <c r="N26" s="182">
        <f>+'Sch 139 Supplemental'!F41</f>
        <v>-1680266.931675008</v>
      </c>
      <c r="O26" s="182">
        <f>+'Sch 140'!F41</f>
        <v>48605236.088262789</v>
      </c>
      <c r="P26" s="182">
        <f>+'Sch 141'!F41</f>
        <v>0</v>
      </c>
      <c r="Q26" s="182">
        <f>+'Sch 141A'!G41</f>
        <v>34624881.407721765</v>
      </c>
      <c r="R26" s="182">
        <f>+'Sch 141CEI'!H41</f>
        <v>23557981.999641709</v>
      </c>
      <c r="S26" s="182">
        <f>+'Sch 141COL'!H41</f>
        <v>52805918.102502584</v>
      </c>
      <c r="T26" s="182">
        <f>+'Sch 141N'!I41</f>
        <v>160864692.74075994</v>
      </c>
      <c r="U26" s="182">
        <f>+'Sch 141R'!I41</f>
        <v>152840009.31612054</v>
      </c>
      <c r="V26" s="182">
        <f>+'Sch 141TEP'!F41</f>
        <v>6269893.7255272642</v>
      </c>
      <c r="W26" s="182">
        <f>+'Sch 141X'!F41</f>
        <v>0</v>
      </c>
      <c r="X26" s="182">
        <f>+'Sch 141Z'!F41</f>
        <v>0</v>
      </c>
      <c r="Y26" s="182">
        <f>+'Sch 142'!H41</f>
        <v>-30976702.867823873</v>
      </c>
      <c r="Z26" s="182">
        <f>+'Sch 142 Supplemental'!H41</f>
        <v>0</v>
      </c>
      <c r="AA26" s="182">
        <f>+'Sch 194'!F42</f>
        <v>-88367536.823729321</v>
      </c>
      <c r="AB26" s="144">
        <f>SUM(F24:AA24)</f>
        <v>732493916.47153556</v>
      </c>
      <c r="AC26" s="144">
        <f>E26+AB26</f>
        <v>2851103552.6645579</v>
      </c>
      <c r="AD26" s="144"/>
      <c r="AE26" s="144">
        <f>E26</f>
        <v>2118609636.1930223</v>
      </c>
      <c r="AF26" s="182">
        <f>+'Sch 95'!F41</f>
        <v>161629358.21501517</v>
      </c>
      <c r="AG26" s="182">
        <f>+'Sch 137'!F41</f>
        <v>142889.7873649011</v>
      </c>
      <c r="AH26" s="182">
        <f>+'Sch 141CEI'!H41</f>
        <v>23557981.999641709</v>
      </c>
      <c r="AI26" s="182">
        <f>+'Sch 141N'!I41</f>
        <v>160864692.74075994</v>
      </c>
      <c r="AJ26" s="182">
        <f>+'Sch 141R'!I41</f>
        <v>152840009.31612054</v>
      </c>
      <c r="AK26" s="144"/>
      <c r="AL26" s="183">
        <v>2702986394.1930223</v>
      </c>
      <c r="AM26" s="182">
        <f>+'Sch 95'!J41</f>
        <v>0</v>
      </c>
      <c r="AN26" s="182">
        <f>+'Sch 137'!J41</f>
        <v>0</v>
      </c>
      <c r="AO26" s="182">
        <f>+'Sch 141CEI'!N41</f>
        <v>0</v>
      </c>
      <c r="AP26" s="182">
        <f>+'Sch 141N'!O41</f>
        <v>0</v>
      </c>
      <c r="AQ26" s="182">
        <f>+'Sch 141R'!O41</f>
        <v>0</v>
      </c>
      <c r="AR26" s="182">
        <f>+'Sch 141CGR'!N41</f>
        <v>71656160.523858055</v>
      </c>
      <c r="AS26" s="182">
        <f>+'Sch 141DCARB'!J41</f>
        <v>7673451.5982162496</v>
      </c>
      <c r="AT26" s="182">
        <f>+'Sch 141WFP'!N41</f>
        <v>27546600.811311465</v>
      </c>
      <c r="AU26" s="144"/>
      <c r="AV26" s="144"/>
      <c r="AW26" s="144"/>
      <c r="BA26" s="130"/>
    </row>
    <row r="27" spans="1:53" s="179" customFormat="1">
      <c r="C27" s="179" t="s">
        <v>168</v>
      </c>
      <c r="D27" s="155">
        <f t="shared" ref="D27:AC27" si="16">+D26-D24</f>
        <v>0</v>
      </c>
      <c r="E27" s="155">
        <f t="shared" si="16"/>
        <v>0</v>
      </c>
      <c r="F27" s="181">
        <f t="shared" si="16"/>
        <v>0</v>
      </c>
      <c r="G27" s="181">
        <f t="shared" si="16"/>
        <v>0</v>
      </c>
      <c r="H27" s="181">
        <f t="shared" si="16"/>
        <v>0</v>
      </c>
      <c r="I27" s="181">
        <f t="shared" si="16"/>
        <v>0</v>
      </c>
      <c r="J27" s="181">
        <f t="shared" si="16"/>
        <v>0</v>
      </c>
      <c r="K27" s="181">
        <f t="shared" si="16"/>
        <v>0</v>
      </c>
      <c r="L27" s="181">
        <f t="shared" si="16"/>
        <v>0</v>
      </c>
      <c r="M27" s="181">
        <f t="shared" si="16"/>
        <v>0</v>
      </c>
      <c r="N27" s="181">
        <f t="shared" si="16"/>
        <v>0</v>
      </c>
      <c r="O27" s="181">
        <f t="shared" si="16"/>
        <v>0</v>
      </c>
      <c r="P27" s="181">
        <f t="shared" si="16"/>
        <v>0</v>
      </c>
      <c r="Q27" s="181">
        <f t="shared" si="16"/>
        <v>0</v>
      </c>
      <c r="R27" s="181">
        <f t="shared" si="16"/>
        <v>0</v>
      </c>
      <c r="S27" s="181">
        <f t="shared" si="16"/>
        <v>0</v>
      </c>
      <c r="T27" s="181">
        <f t="shared" si="16"/>
        <v>0</v>
      </c>
      <c r="U27" s="181">
        <f t="shared" si="16"/>
        <v>0</v>
      </c>
      <c r="V27" s="181">
        <f t="shared" si="16"/>
        <v>0</v>
      </c>
      <c r="W27" s="181">
        <f t="shared" si="16"/>
        <v>0</v>
      </c>
      <c r="X27" s="181">
        <f t="shared" si="16"/>
        <v>0</v>
      </c>
      <c r="Y27" s="181">
        <f t="shared" si="16"/>
        <v>0</v>
      </c>
      <c r="Z27" s="181">
        <f t="shared" si="16"/>
        <v>0</v>
      </c>
      <c r="AA27" s="181">
        <f t="shared" si="16"/>
        <v>0</v>
      </c>
      <c r="AB27" s="181">
        <f t="shared" si="16"/>
        <v>0</v>
      </c>
      <c r="AC27" s="181">
        <f t="shared" si="16"/>
        <v>0</v>
      </c>
      <c r="AD27" s="177"/>
      <c r="AE27" s="181">
        <f>+AE26+AE24</f>
        <v>0</v>
      </c>
      <c r="AF27" s="181">
        <f>+AF26+AF24</f>
        <v>0</v>
      </c>
      <c r="AG27" s="181">
        <f t="shared" ref="AG27:AJ27" si="17">+AG26+AG24</f>
        <v>0</v>
      </c>
      <c r="AH27" s="181">
        <f t="shared" si="17"/>
        <v>0</v>
      </c>
      <c r="AI27" s="181">
        <f t="shared" si="17"/>
        <v>0</v>
      </c>
      <c r="AJ27" s="181">
        <f t="shared" si="17"/>
        <v>0</v>
      </c>
      <c r="AK27" s="177"/>
      <c r="AL27" s="181">
        <f t="shared" ref="AL27:AT27" si="18">+AL26-AL24</f>
        <v>0</v>
      </c>
      <c r="AM27" s="181">
        <f t="shared" si="18"/>
        <v>0</v>
      </c>
      <c r="AN27" s="181">
        <f t="shared" si="18"/>
        <v>0</v>
      </c>
      <c r="AO27" s="181">
        <f t="shared" si="18"/>
        <v>0</v>
      </c>
      <c r="AP27" s="181">
        <f t="shared" si="18"/>
        <v>0</v>
      </c>
      <c r="AQ27" s="181">
        <f t="shared" si="18"/>
        <v>0</v>
      </c>
      <c r="AR27" s="181">
        <f t="shared" si="18"/>
        <v>0</v>
      </c>
      <c r="AS27" s="181">
        <f t="shared" si="18"/>
        <v>0</v>
      </c>
      <c r="AT27" s="181">
        <f t="shared" si="18"/>
        <v>0</v>
      </c>
      <c r="AU27" s="177"/>
      <c r="BA27" s="180"/>
    </row>
    <row r="28" spans="1:53">
      <c r="B28" s="178"/>
      <c r="AB28" s="144"/>
      <c r="AC28" s="144"/>
      <c r="AO28" s="144"/>
      <c r="AP28" s="144"/>
      <c r="AQ28" s="144"/>
      <c r="AR28" s="144"/>
      <c r="AS28" s="144"/>
      <c r="AT28" s="144"/>
      <c r="BA28" s="130"/>
    </row>
    <row r="29" spans="1:53" ht="12" thickBot="1">
      <c r="B29" s="178" t="s">
        <v>319</v>
      </c>
      <c r="AC29" s="144"/>
      <c r="AL29" s="201">
        <f t="shared" ref="AL29:AQ29" si="19">+AL24+AE24</f>
        <v>584376757.99999952</v>
      </c>
      <c r="AM29" s="201">
        <f t="shared" si="19"/>
        <v>-161629358.21501514</v>
      </c>
      <c r="AN29" s="201">
        <f t="shared" si="19"/>
        <v>-142889.78736490113</v>
      </c>
      <c r="AO29" s="201">
        <f t="shared" si="19"/>
        <v>-23557981.999641716</v>
      </c>
      <c r="AP29" s="201">
        <f t="shared" si="19"/>
        <v>-160864692.74075997</v>
      </c>
      <c r="AQ29" s="201">
        <f t="shared" si="19"/>
        <v>-152840009.31612048</v>
      </c>
      <c r="AR29" s="201">
        <f>+AR24</f>
        <v>71656160.523858055</v>
      </c>
      <c r="AS29" s="201">
        <f t="shared" ref="AS29" si="20">+AS24</f>
        <v>7673451.5982162477</v>
      </c>
      <c r="AT29" s="201">
        <f t="shared" ref="AT29" si="21">+AT24</f>
        <v>27546600.811311465</v>
      </c>
      <c r="AV29" s="201">
        <f>SUM(AL29:AT29)</f>
        <v>192218038.87448302</v>
      </c>
    </row>
    <row r="30" spans="1:53" ht="12" thickTop="1">
      <c r="AJ30" s="207"/>
      <c r="AL30" s="207" t="s">
        <v>340</v>
      </c>
      <c r="AM30" s="12"/>
      <c r="AN30" s="144"/>
      <c r="AO30" s="144"/>
      <c r="AP30" s="144"/>
      <c r="AQ30" s="144"/>
      <c r="AR30" s="144"/>
      <c r="AS30" s="144"/>
      <c r="AT30" s="144"/>
      <c r="AV30" s="181">
        <f>AV24-AV29</f>
        <v>0</v>
      </c>
      <c r="AW30" s="179" t="s">
        <v>168</v>
      </c>
    </row>
    <row r="31" spans="1:53">
      <c r="AJ31" s="207"/>
      <c r="AL31" s="217">
        <v>584376758</v>
      </c>
      <c r="AM31" s="12"/>
      <c r="AP31" s="177"/>
      <c r="AQ31" s="177"/>
      <c r="AR31" s="177"/>
      <c r="AS31" s="177"/>
    </row>
    <row r="32" spans="1:53">
      <c r="B32" s="176"/>
      <c r="D32" s="143"/>
      <c r="E32" s="143"/>
      <c r="F32" s="143"/>
      <c r="G32" s="143"/>
      <c r="H32" s="143"/>
      <c r="I32" s="143"/>
      <c r="J32" s="143"/>
      <c r="K32" s="143"/>
      <c r="L32" s="143"/>
      <c r="M32" s="143"/>
      <c r="N32" s="143"/>
      <c r="O32" s="143"/>
      <c r="P32" s="143"/>
      <c r="Q32" s="143"/>
      <c r="R32" s="143"/>
      <c r="S32" s="143"/>
      <c r="T32" s="143"/>
      <c r="U32" s="143"/>
      <c r="V32" s="143"/>
      <c r="W32" s="143"/>
      <c r="X32" s="143"/>
      <c r="Y32" s="143"/>
      <c r="Z32" s="143"/>
      <c r="AA32" s="143"/>
      <c r="AB32" s="143"/>
      <c r="AC32" s="143"/>
      <c r="AD32" s="143"/>
      <c r="AE32" s="143"/>
      <c r="AF32" s="143"/>
      <c r="AG32" s="143"/>
      <c r="AH32" s="143"/>
      <c r="AI32" s="143"/>
      <c r="AJ32" s="207"/>
      <c r="AL32" s="181">
        <f>+AL31-AL29</f>
        <v>0</v>
      </c>
      <c r="AM32" s="179" t="s">
        <v>168</v>
      </c>
      <c r="AN32" s="153"/>
      <c r="AO32" s="153"/>
      <c r="AP32" s="153"/>
      <c r="AQ32" s="153"/>
      <c r="AR32" s="153"/>
      <c r="AS32" s="153"/>
      <c r="AT32" s="153"/>
      <c r="AU32" s="143"/>
      <c r="AV32" s="153"/>
      <c r="AW32" s="153"/>
      <c r="AX32" s="153"/>
    </row>
    <row r="33" spans="2:50">
      <c r="D33" s="143"/>
      <c r="E33" s="143"/>
      <c r="F33" s="143"/>
      <c r="G33" s="143"/>
      <c r="H33" s="143"/>
      <c r="I33" s="143"/>
      <c r="J33" s="143"/>
      <c r="K33" s="143"/>
      <c r="L33" s="143"/>
      <c r="M33" s="143"/>
      <c r="N33" s="143"/>
      <c r="O33" s="143"/>
      <c r="P33" s="143"/>
      <c r="Q33" s="143"/>
      <c r="R33" s="143"/>
      <c r="S33" s="143"/>
      <c r="T33" s="143"/>
      <c r="U33" s="143"/>
      <c r="V33" s="143"/>
      <c r="W33" s="143"/>
      <c r="X33" s="143"/>
      <c r="Y33" s="143"/>
      <c r="Z33" s="143"/>
      <c r="AA33" s="143"/>
      <c r="AB33" s="143"/>
      <c r="AC33" s="143"/>
      <c r="AD33" s="143"/>
      <c r="AE33" s="143"/>
      <c r="AF33" s="143"/>
      <c r="AG33" s="143"/>
      <c r="AH33" s="143"/>
      <c r="AI33" s="143"/>
      <c r="AJ33" s="143"/>
      <c r="AK33" s="143"/>
      <c r="AL33" s="143"/>
      <c r="AM33" s="143"/>
      <c r="AN33" s="143"/>
      <c r="AO33" s="143"/>
      <c r="AP33" s="143"/>
      <c r="AQ33" s="143"/>
      <c r="AR33" s="143"/>
      <c r="AS33" s="143"/>
      <c r="AT33" s="143"/>
      <c r="AU33" s="143"/>
      <c r="AV33" s="143"/>
      <c r="AW33" s="143"/>
      <c r="AX33" s="143"/>
    </row>
    <row r="34" spans="2:50">
      <c r="B34" s="175"/>
      <c r="D34" s="143"/>
      <c r="E34" s="143"/>
      <c r="F34" s="143"/>
      <c r="G34" s="143"/>
      <c r="H34" s="143"/>
      <c r="I34" s="143"/>
      <c r="J34" s="143"/>
      <c r="K34" s="143"/>
      <c r="L34" s="143"/>
      <c r="M34" s="143"/>
      <c r="N34" s="143"/>
      <c r="O34" s="143"/>
      <c r="P34" s="143"/>
      <c r="Q34" s="143"/>
      <c r="R34" s="143"/>
      <c r="S34" s="143"/>
      <c r="T34" s="143"/>
      <c r="U34" s="143"/>
      <c r="V34" s="143"/>
      <c r="W34" s="143"/>
      <c r="X34" s="143"/>
      <c r="Y34" s="143"/>
      <c r="Z34" s="143"/>
      <c r="AA34" s="143"/>
      <c r="AB34" s="143"/>
      <c r="AC34" s="143"/>
      <c r="AD34" s="143"/>
      <c r="AE34" s="143"/>
      <c r="AF34" s="143"/>
      <c r="AG34" s="143"/>
      <c r="AH34" s="143"/>
      <c r="AI34" s="143"/>
      <c r="AJ34" s="143"/>
      <c r="AK34" s="143"/>
      <c r="AL34" s="143"/>
      <c r="AM34" s="143"/>
      <c r="AN34" s="143"/>
      <c r="AO34" s="143"/>
      <c r="AP34" s="143"/>
      <c r="AQ34" s="143"/>
      <c r="AR34" s="143"/>
      <c r="AS34" s="143"/>
      <c r="AT34" s="143"/>
      <c r="AU34" s="143"/>
      <c r="AV34" s="143"/>
      <c r="AW34" s="143"/>
      <c r="AX34" s="143"/>
    </row>
    <row r="35" spans="2:50">
      <c r="D35" s="143"/>
      <c r="E35" s="143"/>
      <c r="F35" s="143"/>
      <c r="G35" s="143"/>
      <c r="H35" s="143"/>
      <c r="I35" s="143"/>
      <c r="J35" s="143"/>
      <c r="K35" s="143"/>
      <c r="L35" s="143"/>
      <c r="M35" s="143"/>
      <c r="N35" s="143"/>
      <c r="O35" s="143"/>
      <c r="P35" s="143"/>
      <c r="Q35" s="143"/>
      <c r="R35" s="143"/>
      <c r="S35" s="143"/>
      <c r="T35" s="143"/>
      <c r="U35" s="143"/>
      <c r="V35" s="143"/>
      <c r="W35" s="143"/>
      <c r="X35" s="143"/>
      <c r="Y35" s="143"/>
      <c r="Z35" s="143"/>
      <c r="AA35" s="143"/>
      <c r="AB35" s="143"/>
      <c r="AC35" s="143"/>
      <c r="AD35" s="143"/>
      <c r="AE35" s="143"/>
      <c r="AF35" s="143"/>
      <c r="AG35" s="143"/>
      <c r="AH35" s="143"/>
      <c r="AI35" s="143"/>
      <c r="AJ35" s="143"/>
      <c r="AK35" s="143"/>
      <c r="AL35" s="143"/>
      <c r="AM35" s="143"/>
      <c r="AN35" s="143"/>
      <c r="AO35" s="143"/>
      <c r="AP35" s="143"/>
      <c r="AQ35" s="143"/>
      <c r="AR35" s="143"/>
      <c r="AS35" s="143"/>
      <c r="AT35" s="143"/>
      <c r="AU35" s="143"/>
      <c r="AV35" s="143"/>
      <c r="AW35" s="143"/>
      <c r="AX35" s="143"/>
    </row>
    <row r="36" spans="2:50">
      <c r="D36" s="143"/>
      <c r="E36" s="143"/>
      <c r="F36" s="143"/>
      <c r="G36" s="143"/>
      <c r="H36" s="143"/>
      <c r="I36" s="143"/>
      <c r="J36" s="143"/>
      <c r="K36" s="143"/>
      <c r="L36" s="143"/>
      <c r="M36" s="143"/>
      <c r="N36" s="143"/>
      <c r="O36" s="143"/>
      <c r="P36" s="143"/>
      <c r="Q36" s="143"/>
      <c r="R36" s="143"/>
      <c r="S36" s="143"/>
      <c r="T36" s="143"/>
      <c r="U36" s="143"/>
      <c r="V36" s="143"/>
      <c r="W36" s="143"/>
      <c r="X36" s="143"/>
      <c r="Y36" s="143"/>
      <c r="Z36" s="143"/>
      <c r="AA36" s="143"/>
      <c r="AB36" s="143"/>
      <c r="AC36" s="143"/>
      <c r="AD36" s="143"/>
      <c r="AE36" s="143"/>
      <c r="AF36" s="143"/>
      <c r="AG36" s="143"/>
      <c r="AH36" s="143"/>
      <c r="AI36" s="143"/>
      <c r="AJ36" s="143"/>
      <c r="AK36" s="143"/>
      <c r="AL36" s="143"/>
      <c r="AM36" s="143"/>
      <c r="AN36" s="143"/>
      <c r="AO36" s="143"/>
      <c r="AP36" s="143"/>
      <c r="AQ36" s="143"/>
      <c r="AR36" s="143"/>
      <c r="AS36" s="143"/>
      <c r="AT36" s="143"/>
      <c r="AU36" s="143"/>
      <c r="AV36" s="143"/>
      <c r="AW36" s="143"/>
      <c r="AX36" s="143"/>
    </row>
    <row r="37" spans="2:50">
      <c r="D37" s="143"/>
      <c r="E37" s="143"/>
      <c r="F37" s="143"/>
      <c r="G37" s="143"/>
      <c r="H37" s="143"/>
      <c r="I37" s="143"/>
      <c r="J37" s="143"/>
      <c r="K37" s="143"/>
      <c r="L37" s="143"/>
      <c r="M37" s="143"/>
      <c r="N37" s="143"/>
      <c r="O37" s="143"/>
      <c r="P37" s="143"/>
      <c r="Q37" s="143"/>
      <c r="R37" s="143"/>
      <c r="S37" s="143"/>
      <c r="T37" s="143"/>
      <c r="U37" s="143"/>
      <c r="V37" s="143"/>
      <c r="W37" s="143"/>
      <c r="X37" s="143"/>
      <c r="Y37" s="143"/>
      <c r="Z37" s="143"/>
      <c r="AA37" s="143"/>
      <c r="AB37" s="143"/>
      <c r="AC37" s="143"/>
      <c r="AD37" s="143"/>
      <c r="AE37" s="143"/>
      <c r="AF37" s="143"/>
      <c r="AG37" s="143"/>
      <c r="AH37" s="143"/>
      <c r="AI37" s="143"/>
      <c r="AJ37" s="143"/>
      <c r="AK37" s="143"/>
      <c r="AL37" s="143"/>
      <c r="AM37" s="143"/>
      <c r="AN37" s="143"/>
      <c r="AO37" s="143"/>
      <c r="AP37" s="143"/>
      <c r="AQ37" s="143"/>
      <c r="AR37" s="143"/>
      <c r="AS37" s="143"/>
      <c r="AT37" s="143"/>
      <c r="AU37" s="143"/>
      <c r="AV37" s="143"/>
      <c r="AW37" s="143"/>
      <c r="AX37" s="143"/>
    </row>
    <row r="38" spans="2:50">
      <c r="D38" s="143"/>
      <c r="E38" s="143"/>
      <c r="F38" s="143"/>
      <c r="G38" s="143"/>
      <c r="H38" s="143"/>
      <c r="I38" s="143"/>
      <c r="J38" s="143"/>
      <c r="K38" s="143"/>
      <c r="L38" s="143"/>
      <c r="M38" s="143"/>
      <c r="N38" s="143"/>
      <c r="O38" s="143"/>
      <c r="P38" s="143"/>
      <c r="Q38" s="143"/>
      <c r="R38" s="143"/>
      <c r="S38" s="143"/>
      <c r="T38" s="143"/>
      <c r="U38" s="143"/>
      <c r="V38" s="143"/>
      <c r="W38" s="143"/>
      <c r="X38" s="143"/>
      <c r="Y38" s="143"/>
      <c r="Z38" s="143"/>
      <c r="AA38" s="143"/>
      <c r="AB38" s="143"/>
      <c r="AC38" s="143"/>
      <c r="AD38" s="143"/>
      <c r="AE38" s="143"/>
      <c r="AF38" s="143"/>
      <c r="AG38" s="143"/>
      <c r="AH38" s="143"/>
      <c r="AI38" s="143"/>
      <c r="AJ38" s="143"/>
      <c r="AK38" s="143"/>
      <c r="AL38" s="143"/>
      <c r="AM38" s="143"/>
      <c r="AN38" s="143"/>
      <c r="AO38" s="143"/>
      <c r="AP38" s="143"/>
      <c r="AQ38" s="143"/>
      <c r="AR38" s="143"/>
      <c r="AS38" s="143"/>
      <c r="AT38" s="143"/>
      <c r="AU38" s="143"/>
      <c r="AV38" s="143"/>
      <c r="AW38" s="143"/>
      <c r="AX38" s="143"/>
    </row>
    <row r="39" spans="2:50">
      <c r="D39" s="143"/>
      <c r="E39" s="143"/>
      <c r="F39" s="143"/>
      <c r="G39" s="143"/>
      <c r="H39" s="143"/>
      <c r="I39" s="143"/>
      <c r="J39" s="143"/>
      <c r="K39" s="143"/>
      <c r="L39" s="143"/>
      <c r="M39" s="143"/>
      <c r="N39" s="143"/>
      <c r="O39" s="143"/>
      <c r="P39" s="143"/>
      <c r="Q39" s="143"/>
      <c r="R39" s="143"/>
      <c r="S39" s="143"/>
      <c r="T39" s="143"/>
      <c r="U39" s="143"/>
      <c r="V39" s="143"/>
      <c r="W39" s="143"/>
      <c r="X39" s="143"/>
      <c r="Y39" s="143"/>
      <c r="Z39" s="143"/>
      <c r="AA39" s="143"/>
      <c r="AB39" s="143"/>
      <c r="AC39" s="143"/>
      <c r="AD39" s="143"/>
      <c r="AE39" s="143"/>
      <c r="AF39" s="143"/>
      <c r="AG39" s="143"/>
      <c r="AH39" s="143"/>
      <c r="AI39" s="143"/>
      <c r="AJ39" s="143"/>
      <c r="AK39" s="143"/>
      <c r="AL39" s="143"/>
      <c r="AM39" s="143"/>
      <c r="AN39" s="143"/>
      <c r="AO39" s="143"/>
      <c r="AP39" s="143"/>
      <c r="AQ39" s="143"/>
      <c r="AR39" s="143"/>
      <c r="AS39" s="143"/>
      <c r="AT39" s="143"/>
      <c r="AU39" s="143"/>
      <c r="AV39" s="143"/>
      <c r="AW39" s="143"/>
      <c r="AX39" s="143"/>
    </row>
    <row r="40" spans="2:50">
      <c r="D40" s="143"/>
      <c r="E40" s="143"/>
      <c r="F40" s="143"/>
      <c r="G40" s="143"/>
      <c r="H40" s="143"/>
      <c r="I40" s="143"/>
      <c r="J40" s="143"/>
      <c r="K40" s="143"/>
      <c r="L40" s="143"/>
      <c r="M40" s="143"/>
      <c r="N40" s="143"/>
      <c r="O40" s="143"/>
      <c r="P40" s="143"/>
      <c r="Q40" s="143"/>
      <c r="R40" s="143"/>
      <c r="S40" s="143"/>
      <c r="T40" s="143"/>
      <c r="U40" s="143"/>
      <c r="V40" s="143"/>
      <c r="W40" s="143"/>
      <c r="X40" s="143"/>
      <c r="Y40" s="143"/>
      <c r="Z40" s="143"/>
      <c r="AA40" s="143"/>
      <c r="AB40" s="143"/>
      <c r="AC40" s="143"/>
      <c r="AD40" s="143"/>
      <c r="AE40" s="143"/>
      <c r="AF40" s="143"/>
      <c r="AG40" s="143"/>
      <c r="AH40" s="143"/>
      <c r="AI40" s="143"/>
      <c r="AJ40" s="143"/>
      <c r="AK40" s="143"/>
      <c r="AL40" s="143"/>
      <c r="AM40" s="143"/>
      <c r="AN40" s="143"/>
      <c r="AO40" s="143"/>
      <c r="AP40" s="143"/>
      <c r="AQ40" s="143"/>
      <c r="AR40" s="143"/>
      <c r="AS40" s="143"/>
      <c r="AT40" s="143"/>
      <c r="AU40" s="143"/>
      <c r="AV40" s="143"/>
      <c r="AW40" s="143"/>
      <c r="AX40" s="143"/>
    </row>
    <row r="41" spans="2:50">
      <c r="C41" s="174"/>
      <c r="D41" s="143"/>
      <c r="E41" s="143"/>
      <c r="F41" s="143"/>
      <c r="G41" s="143"/>
      <c r="H41" s="143"/>
      <c r="I41" s="143"/>
      <c r="J41" s="143"/>
      <c r="K41" s="143"/>
      <c r="L41" s="143"/>
      <c r="M41" s="143"/>
      <c r="N41" s="143"/>
      <c r="O41" s="143"/>
      <c r="P41" s="143"/>
      <c r="Q41" s="143"/>
      <c r="R41" s="143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143"/>
      <c r="AW41" s="143"/>
      <c r="AX41" s="143"/>
    </row>
    <row r="42" spans="2:50">
      <c r="D42" s="143"/>
      <c r="E42" s="143"/>
      <c r="F42" s="143"/>
      <c r="G42" s="143"/>
      <c r="H42" s="143"/>
      <c r="I42" s="143"/>
      <c r="J42" s="143"/>
      <c r="K42" s="143"/>
      <c r="L42" s="143"/>
      <c r="M42" s="143"/>
      <c r="N42" s="143"/>
      <c r="O42" s="143"/>
      <c r="P42" s="143"/>
      <c r="Q42" s="143"/>
      <c r="R42" s="143"/>
      <c r="S42" s="143"/>
      <c r="T42" s="143"/>
      <c r="U42" s="143"/>
      <c r="V42" s="143"/>
      <c r="W42" s="143"/>
      <c r="X42" s="143"/>
      <c r="Y42" s="143"/>
      <c r="Z42" s="143"/>
      <c r="AA42" s="143"/>
      <c r="AB42" s="143"/>
      <c r="AC42" s="143"/>
      <c r="AD42" s="143"/>
      <c r="AE42" s="143"/>
      <c r="AF42" s="143"/>
      <c r="AG42" s="143"/>
      <c r="AH42" s="143"/>
      <c r="AI42" s="143"/>
      <c r="AJ42" s="143"/>
      <c r="AK42" s="143"/>
      <c r="AL42" s="143"/>
      <c r="AM42" s="143"/>
      <c r="AN42" s="143"/>
      <c r="AO42" s="143"/>
      <c r="AP42" s="143"/>
      <c r="AQ42" s="143"/>
      <c r="AR42" s="143"/>
      <c r="AS42" s="143"/>
      <c r="AT42" s="143"/>
      <c r="AU42" s="143"/>
      <c r="AV42" s="143"/>
      <c r="AW42" s="143"/>
      <c r="AX42" s="143"/>
    </row>
    <row r="43" spans="2:50">
      <c r="D43" s="143"/>
      <c r="E43" s="143"/>
      <c r="F43" s="143"/>
      <c r="G43" s="143"/>
      <c r="H43" s="143"/>
      <c r="I43" s="143"/>
      <c r="J43" s="143"/>
      <c r="K43" s="143"/>
      <c r="L43" s="143"/>
      <c r="M43" s="143"/>
      <c r="N43" s="143"/>
      <c r="O43" s="143"/>
      <c r="P43" s="143"/>
      <c r="Q43" s="143"/>
      <c r="R43" s="143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143"/>
      <c r="AW43" s="143"/>
      <c r="AX43" s="143"/>
    </row>
    <row r="44" spans="2:50">
      <c r="D44" s="143"/>
      <c r="E44" s="143"/>
      <c r="F44" s="143"/>
      <c r="G44" s="143"/>
      <c r="H44" s="143"/>
      <c r="I44" s="143"/>
      <c r="J44" s="143"/>
      <c r="K44" s="143"/>
      <c r="L44" s="143"/>
      <c r="M44" s="143"/>
      <c r="N44" s="143"/>
      <c r="O44" s="143"/>
      <c r="P44" s="143"/>
      <c r="Q44" s="143"/>
      <c r="R44" s="143"/>
      <c r="S44" s="143"/>
      <c r="T44" s="143"/>
      <c r="U44" s="143"/>
      <c r="V44" s="143"/>
      <c r="W44" s="143"/>
      <c r="X44" s="143"/>
      <c r="Y44" s="143"/>
      <c r="Z44" s="143"/>
      <c r="AA44" s="143"/>
      <c r="AB44" s="143"/>
      <c r="AC44" s="143"/>
      <c r="AD44" s="143"/>
      <c r="AE44" s="143"/>
      <c r="AF44" s="143"/>
      <c r="AG44" s="143"/>
      <c r="AH44" s="143"/>
      <c r="AI44" s="143"/>
      <c r="AJ44" s="143"/>
      <c r="AK44" s="143"/>
      <c r="AL44" s="143"/>
      <c r="AM44" s="143"/>
      <c r="AN44" s="143"/>
      <c r="AO44" s="143"/>
      <c r="AP44" s="143"/>
      <c r="AQ44" s="143"/>
      <c r="AR44" s="143"/>
      <c r="AS44" s="143"/>
      <c r="AT44" s="143"/>
      <c r="AU44" s="143"/>
      <c r="AV44" s="143"/>
      <c r="AW44" s="143"/>
      <c r="AX44" s="143"/>
    </row>
    <row r="45" spans="2:50">
      <c r="D45" s="143"/>
      <c r="E45" s="143"/>
      <c r="F45" s="143"/>
      <c r="G45" s="143"/>
      <c r="H45" s="143"/>
      <c r="I45" s="143"/>
      <c r="J45" s="143"/>
      <c r="K45" s="143"/>
      <c r="L45" s="143"/>
      <c r="M45" s="143"/>
      <c r="N45" s="143"/>
      <c r="O45" s="143"/>
      <c r="P45" s="143"/>
      <c r="Q45" s="143"/>
      <c r="R45" s="143"/>
      <c r="S45" s="143"/>
      <c r="T45" s="143"/>
      <c r="U45" s="143"/>
      <c r="V45" s="143"/>
      <c r="W45" s="143"/>
      <c r="X45" s="143"/>
      <c r="Y45" s="143"/>
      <c r="Z45" s="143"/>
      <c r="AA45" s="143"/>
      <c r="AB45" s="143"/>
      <c r="AC45" s="143"/>
      <c r="AD45" s="143"/>
      <c r="AE45" s="143"/>
      <c r="AF45" s="143"/>
      <c r="AG45" s="143"/>
      <c r="AH45" s="143"/>
      <c r="AI45" s="143"/>
      <c r="AJ45" s="143"/>
      <c r="AK45" s="143"/>
      <c r="AL45" s="143"/>
      <c r="AM45" s="143"/>
      <c r="AN45" s="143"/>
      <c r="AO45" s="143"/>
      <c r="AP45" s="143"/>
      <c r="AQ45" s="143"/>
      <c r="AR45" s="143"/>
      <c r="AS45" s="143"/>
      <c r="AT45" s="143"/>
      <c r="AU45" s="143"/>
      <c r="AV45" s="143"/>
      <c r="AW45" s="143"/>
      <c r="AX45" s="143"/>
    </row>
    <row r="46" spans="2:50">
      <c r="D46" s="143"/>
      <c r="E46" s="143"/>
      <c r="F46" s="143"/>
      <c r="G46" s="143"/>
      <c r="H46" s="143"/>
      <c r="I46" s="143"/>
      <c r="J46" s="143"/>
      <c r="K46" s="143"/>
      <c r="L46" s="143"/>
      <c r="M46" s="143"/>
      <c r="N46" s="143"/>
      <c r="O46" s="143"/>
      <c r="P46" s="143"/>
      <c r="Q46" s="143"/>
      <c r="R46" s="143"/>
      <c r="S46" s="143"/>
      <c r="T46" s="143"/>
      <c r="U46" s="143"/>
      <c r="V46" s="143"/>
      <c r="W46" s="143"/>
      <c r="X46" s="143"/>
      <c r="Y46" s="143"/>
      <c r="Z46" s="143"/>
      <c r="AA46" s="143"/>
      <c r="AB46" s="143"/>
      <c r="AC46" s="143"/>
      <c r="AD46" s="143"/>
      <c r="AE46" s="143"/>
      <c r="AF46" s="143"/>
      <c r="AG46" s="143"/>
      <c r="AH46" s="143"/>
      <c r="AI46" s="143"/>
      <c r="AJ46" s="143"/>
      <c r="AK46" s="143"/>
      <c r="AL46" s="143"/>
      <c r="AM46" s="143"/>
      <c r="AN46" s="143"/>
      <c r="AO46" s="143"/>
      <c r="AP46" s="143"/>
      <c r="AQ46" s="143"/>
      <c r="AR46" s="143"/>
      <c r="AS46" s="143"/>
      <c r="AT46" s="143"/>
      <c r="AU46" s="143"/>
      <c r="AV46" s="143"/>
      <c r="AW46" s="143"/>
      <c r="AX46" s="143"/>
    </row>
    <row r="47" spans="2:50">
      <c r="D47" s="143"/>
      <c r="E47" s="143"/>
      <c r="F47" s="143"/>
      <c r="G47" s="143"/>
      <c r="H47" s="143"/>
      <c r="I47" s="143"/>
      <c r="J47" s="143"/>
      <c r="K47" s="143"/>
      <c r="L47" s="143"/>
      <c r="M47" s="143"/>
      <c r="N47" s="143"/>
      <c r="O47" s="143"/>
      <c r="P47" s="143"/>
      <c r="Q47" s="143"/>
      <c r="R47" s="143"/>
      <c r="S47" s="143"/>
      <c r="T47" s="143"/>
      <c r="U47" s="143"/>
      <c r="V47" s="143"/>
      <c r="W47" s="143"/>
      <c r="X47" s="143"/>
      <c r="Y47" s="143"/>
      <c r="Z47" s="143"/>
      <c r="AA47" s="143"/>
      <c r="AB47" s="143"/>
      <c r="AC47" s="143"/>
      <c r="AD47" s="143"/>
      <c r="AE47" s="143"/>
      <c r="AF47" s="143"/>
      <c r="AG47" s="143"/>
      <c r="AH47" s="143"/>
      <c r="AI47" s="143"/>
      <c r="AJ47" s="143"/>
      <c r="AK47" s="143"/>
      <c r="AL47" s="143"/>
      <c r="AM47" s="143"/>
      <c r="AN47" s="143"/>
      <c r="AO47" s="143"/>
      <c r="AP47" s="143"/>
      <c r="AQ47" s="143"/>
      <c r="AR47" s="143"/>
      <c r="AS47" s="143"/>
      <c r="AT47" s="143"/>
      <c r="AU47" s="143"/>
      <c r="AV47" s="143"/>
      <c r="AW47" s="143"/>
      <c r="AX47" s="143"/>
    </row>
  </sheetData>
  <mergeCells count="7">
    <mergeCell ref="AE6:AJ6"/>
    <mergeCell ref="AL6:AT6"/>
    <mergeCell ref="A4:C4"/>
    <mergeCell ref="A5:C5"/>
    <mergeCell ref="A1:E1"/>
    <mergeCell ref="A2:E2"/>
    <mergeCell ref="A3:E3"/>
  </mergeCells>
  <phoneticPr fontId="8" type="noConversion"/>
  <pageMargins left="0.7" right="0.7" top="0.75" bottom="0.75" header="0.3" footer="0.3"/>
  <pageSetup scale="45" orientation="landscape" horizontalDpi="360" verticalDpi="360" r:id="rId1"/>
  <headerFooter>
    <oddFooter>&amp;R&amp;F
&amp;A
&amp;P of &amp;N</oddFooter>
  </headerFooter>
  <colBreaks count="1" manualBreakCount="1">
    <brk id="28" max="36" man="1"/>
  </colBreaks>
  <customProperties>
    <customPr name="_pios_id" r:id="rId2"/>
  </customPropertie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3" tint="0.79998168889431442"/>
  </sheetPr>
  <dimension ref="A1:AU47"/>
  <sheetViews>
    <sheetView zoomScaleNormal="100" zoomScaleSheetLayoutView="100" workbookViewId="0">
      <pane xSplit="6" ySplit="8" topLeftCell="AC9" activePane="bottomRight" state="frozen"/>
      <selection activeCell="U42" sqref="U42"/>
      <selection pane="topRight" activeCell="U42" sqref="U42"/>
      <selection pane="bottomLeft" activeCell="U42" sqref="U42"/>
      <selection pane="bottomRight" activeCell="AG10" sqref="AG10"/>
    </sheetView>
  </sheetViews>
  <sheetFormatPr defaultColWidth="6.28515625" defaultRowHeight="11.25"/>
  <cols>
    <col min="1" max="1" width="5.140625" style="79" customWidth="1"/>
    <col min="2" max="2" width="21.85546875" style="79" customWidth="1"/>
    <col min="3" max="3" width="14.42578125" style="79" bestFit="1" customWidth="1"/>
    <col min="4" max="5" width="12.85546875" style="79" bestFit="1" customWidth="1"/>
    <col min="6" max="6" width="12.85546875" style="79" customWidth="1"/>
    <col min="7" max="7" width="10.42578125" style="79" bestFit="1" customWidth="1"/>
    <col min="8" max="8" width="12.7109375" style="79" bestFit="1" customWidth="1"/>
    <col min="9" max="9" width="14.5703125" style="79" bestFit="1" customWidth="1"/>
    <col min="10" max="10" width="11.5703125" style="79" bestFit="1" customWidth="1"/>
    <col min="11" max="11" width="11.28515625" style="79" customWidth="1"/>
    <col min="12" max="12" width="12.28515625" style="79" bestFit="1" customWidth="1"/>
    <col min="13" max="14" width="11.28515625" style="79" bestFit="1" customWidth="1"/>
    <col min="15" max="15" width="11.85546875" style="79" bestFit="1" customWidth="1"/>
    <col min="16" max="17" width="11.28515625" style="79" bestFit="1" customWidth="1"/>
    <col min="18" max="18" width="12" style="79" bestFit="1" customWidth="1"/>
    <col min="19" max="19" width="11.42578125" style="79" bestFit="1" customWidth="1"/>
    <col min="20" max="21" width="11.42578125" style="79" customWidth="1"/>
    <col min="22" max="22" width="10.7109375" style="79" bestFit="1" customWidth="1"/>
    <col min="23" max="24" width="12.28515625" style="79" customWidth="1"/>
    <col min="25" max="25" width="11.28515625" style="79" bestFit="1" customWidth="1"/>
    <col min="26" max="26" width="11.28515625" style="79" customWidth="1"/>
    <col min="27" max="28" width="12.28515625" style="79" customWidth="1"/>
    <col min="29" max="29" width="11.28515625" style="79" bestFit="1" customWidth="1"/>
    <col min="30" max="30" width="11.85546875" style="79" bestFit="1" customWidth="1"/>
    <col min="31" max="31" width="11.28515625" style="79" bestFit="1" customWidth="1"/>
    <col min="32" max="32" width="11.5703125" style="79" bestFit="1" customWidth="1"/>
    <col min="33" max="33" width="12.85546875" style="79" bestFit="1" customWidth="1"/>
    <col min="34" max="34" width="0.7109375" style="79" customWidth="1"/>
    <col min="35" max="35" width="13.5703125" style="79" bestFit="1" customWidth="1"/>
    <col min="36" max="36" width="13.7109375" style="79" customWidth="1"/>
    <col min="37" max="37" width="13.28515625" style="79" bestFit="1" customWidth="1"/>
    <col min="38" max="38" width="13.5703125" style="79" bestFit="1" customWidth="1"/>
    <col min="39" max="39" width="0.5703125" style="79" customWidth="1"/>
    <col min="40" max="40" width="12.85546875" style="79" bestFit="1" customWidth="1"/>
    <col min="41" max="41" width="14.5703125" style="79" customWidth="1"/>
    <col min="42" max="42" width="13.28515625" style="79" bestFit="1" customWidth="1"/>
    <col min="43" max="43" width="13.5703125" style="79" bestFit="1" customWidth="1"/>
    <col min="44" max="44" width="0.5703125" style="142" customWidth="1"/>
    <col min="45" max="45" width="13.5703125" style="142" bestFit="1" customWidth="1"/>
    <col min="46" max="46" width="12.85546875" style="142" bestFit="1" customWidth="1"/>
    <col min="47" max="47" width="10.5703125" style="142" bestFit="1" customWidth="1"/>
    <col min="48" max="16384" width="6.28515625" style="79"/>
  </cols>
  <sheetData>
    <row r="1" spans="1:47" s="89" customFormat="1" ht="12.75">
      <c r="A1" s="459" t="str">
        <f>'Table of Contents'!A1</f>
        <v>Puget Sound Energy</v>
      </c>
      <c r="B1" s="459"/>
      <c r="C1" s="459"/>
      <c r="D1" s="468"/>
      <c r="E1" s="468"/>
      <c r="F1" s="127"/>
      <c r="AR1" s="136"/>
      <c r="AS1" s="136"/>
      <c r="AT1" s="136"/>
      <c r="AU1" s="136"/>
    </row>
    <row r="2" spans="1:47" s="89" customFormat="1" ht="12.75">
      <c r="A2" s="459" t="str">
        <f>'Table of Contents'!A2</f>
        <v>2024 General Rate Case Docket No. UE-240004 and UG-240005</v>
      </c>
      <c r="B2" s="459"/>
      <c r="C2" s="459"/>
      <c r="D2" s="468"/>
      <c r="E2" s="468"/>
      <c r="F2" s="127"/>
      <c r="AR2" s="136"/>
      <c r="AS2" s="136"/>
      <c r="AT2" s="136"/>
      <c r="AU2" s="136"/>
    </row>
    <row r="3" spans="1:47" s="89" customFormat="1" ht="12.75">
      <c r="A3" s="470" t="s">
        <v>189</v>
      </c>
      <c r="B3" s="470"/>
      <c r="C3" s="470"/>
      <c r="D3" s="538"/>
      <c r="E3" s="538"/>
      <c r="F3" s="128"/>
      <c r="AR3" s="136"/>
      <c r="AS3" s="136"/>
      <c r="AT3" s="136"/>
      <c r="AU3" s="136"/>
    </row>
    <row r="4" spans="1:47" s="89" customFormat="1">
      <c r="A4" s="536"/>
      <c r="B4" s="536"/>
      <c r="C4" s="536"/>
      <c r="AR4" s="136"/>
      <c r="AS4" s="136"/>
      <c r="AT4" s="136"/>
      <c r="AU4" s="136"/>
    </row>
    <row r="5" spans="1:47" s="89" customFormat="1" ht="12" thickBot="1">
      <c r="A5" s="537"/>
      <c r="B5" s="537"/>
      <c r="C5" s="536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R5" s="136"/>
      <c r="AS5" s="136"/>
      <c r="AT5" s="136"/>
      <c r="AU5" s="136"/>
    </row>
    <row r="6" spans="1:47" s="89" customFormat="1" ht="12" thickBot="1">
      <c r="A6" s="100"/>
      <c r="B6" s="100"/>
      <c r="C6" s="99"/>
      <c r="D6" s="99"/>
      <c r="E6" s="99"/>
      <c r="F6" s="99"/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99"/>
      <c r="AB6" s="99"/>
      <c r="AC6" s="99"/>
      <c r="AD6" s="99"/>
      <c r="AE6" s="99"/>
      <c r="AF6" s="99"/>
      <c r="AG6" s="99"/>
      <c r="AH6" s="93"/>
      <c r="AI6" s="531" t="s">
        <v>314</v>
      </c>
      <c r="AJ6" s="532"/>
      <c r="AK6" s="532"/>
      <c r="AL6" s="532"/>
      <c r="AM6" s="93"/>
      <c r="AN6" s="533" t="s">
        <v>315</v>
      </c>
      <c r="AO6" s="534"/>
      <c r="AP6" s="534"/>
      <c r="AQ6" s="534"/>
      <c r="AR6" s="535"/>
      <c r="AS6" s="136"/>
      <c r="AT6" s="136"/>
      <c r="AU6" s="136"/>
    </row>
    <row r="7" spans="1:47" s="89" customFormat="1" ht="67.5">
      <c r="A7" s="92" t="s">
        <v>2</v>
      </c>
      <c r="B7" s="92" t="s">
        <v>107</v>
      </c>
      <c r="C7" s="92" t="s">
        <v>82</v>
      </c>
      <c r="D7" s="104" t="s">
        <v>190</v>
      </c>
      <c r="E7" s="214" t="s">
        <v>312</v>
      </c>
      <c r="F7" s="214" t="s">
        <v>334</v>
      </c>
      <c r="G7" s="131" t="str">
        <f>'Revenue by Sch RY#1'!F7</f>
        <v xml:space="preserve">Schedule 95 Power Cost
</v>
      </c>
      <c r="H7" s="131" t="str">
        <f>'Revenue by Sch RY#1'!G7</f>
        <v>Schedule 95 PCA Imbalance</v>
      </c>
      <c r="I7" s="131" t="str">
        <f>'Revenue by Sch RY#1'!H7</f>
        <v>Schedule 95A Federal Incentive Credit</v>
      </c>
      <c r="J7" s="131" t="str">
        <f>'Revenue by Sch RY#1'!I7</f>
        <v>Schedule 120 Conservation</v>
      </c>
      <c r="K7" s="131" t="str">
        <f>'Revenue by Sch RY#1'!J7</f>
        <v>Schedule 129 Low Income</v>
      </c>
      <c r="L7" s="131" t="str">
        <f>'Revenue by Sch RY#1'!K7</f>
        <v>Schedule 129D Bill Discount</v>
      </c>
      <c r="M7" s="131" t="str">
        <f>'Revenue by Sch RY#1'!L7</f>
        <v>Schedule 137 REC</v>
      </c>
      <c r="N7" s="131" t="str">
        <f>'Revenue by Sch RY#1'!M7</f>
        <v>Schedule 139 Green Direct</v>
      </c>
      <c r="O7" s="131" t="str">
        <f>'Revenue by Sch RY#1'!N7</f>
        <v xml:space="preserve">Schedule 139 Green Direct Supplemental </v>
      </c>
      <c r="P7" s="131" t="str">
        <f>'Revenue by Sch RY#1'!O7</f>
        <v>Schedule 140 Property Tax</v>
      </c>
      <c r="Q7" s="131" t="str">
        <f>'Revenue by Sch RY#1'!P7</f>
        <v>Schedule 141 ERF</v>
      </c>
      <c r="R7" s="131" t="str">
        <f>'Revenue by Sch RY#1'!Q7</f>
        <v>Schedule 141A Energy Charge Credit</v>
      </c>
      <c r="S7" s="131" t="str">
        <f>'Revenue by Sch RY#1'!R7</f>
        <v>Schedule 141CEI Clean Energy Implementation Plan</v>
      </c>
      <c r="T7" s="208" t="str">
        <f>'Revenue by Sch RY#1'!AR7</f>
        <v>Schedule 141CGR Clean Generation Resources</v>
      </c>
      <c r="U7" s="208" t="str">
        <f>'Revenue by Sch RY#1'!AS7</f>
        <v>Schedule 141DCARB Decarbonization</v>
      </c>
      <c r="V7" s="131" t="str">
        <f>'Revenue by Sch RY#1'!S7</f>
        <v>Schedule 141COL Colstrip Adjustment</v>
      </c>
      <c r="W7" s="131" t="str">
        <f>'Revenue by Sch RY#1'!T7</f>
        <v>Schedule 141N Rates Not Subject to Refund</v>
      </c>
      <c r="X7" s="131" t="str">
        <f>'Revenue by Sch RY#1'!U7</f>
        <v>Schedule 141R Rates Subject to Refund</v>
      </c>
      <c r="Y7" s="131" t="str">
        <f>'Revenue by Sch RY#1'!V7</f>
        <v>Schedule 141 TEP</v>
      </c>
      <c r="Z7" s="208" t="str">
        <f>'Revenue by Sch RY#1'!AT7</f>
        <v>Schedule 141WFP Wildfire Prevention Cost Recovery</v>
      </c>
      <c r="AA7" s="131" t="str">
        <f>'Revenue by Sch RY#1'!W7</f>
        <v>Schedule 141X (Protected) EDIT</v>
      </c>
      <c r="AB7" s="131" t="str">
        <f>'Revenue by Sch RY#1'!X7</f>
        <v>Schedule 141Z (Unprotected) EDIT</v>
      </c>
      <c r="AC7" s="131" t="str">
        <f>'Revenue by Sch RY#1'!Y7</f>
        <v>Schedule 142  Deocupling Deferral</v>
      </c>
      <c r="AD7" s="131" t="str">
        <f>'Revenue by Sch RY#1'!Z7</f>
        <v>Schedule 142 Deocupling Supplemental</v>
      </c>
      <c r="AE7" s="131" t="str">
        <f>'Revenue by Sch RY#1'!AA7</f>
        <v>Schedule 194 BPA Res &amp; Farm Credit</v>
      </c>
      <c r="AF7" s="90" t="str">
        <f>'Revenue by Sch RY#1'!AB7</f>
        <v>Subtotal
Rider
Rates</v>
      </c>
      <c r="AG7" s="90" t="str">
        <f>'Revenue by Sch RY#1'!AC7</f>
        <v>Normalized Revenue After Riders</v>
      </c>
      <c r="AH7" s="91"/>
      <c r="AI7" s="205" t="s">
        <v>473</v>
      </c>
      <c r="AJ7" s="216" t="str">
        <f>+T7</f>
        <v>Schedule 141CGR Clean Generation Resources</v>
      </c>
      <c r="AK7" s="216" t="str">
        <f t="shared" ref="AK7" si="0">+U7</f>
        <v>Schedule 141DCARB Decarbonization</v>
      </c>
      <c r="AL7" s="216" t="str">
        <f>+Z7</f>
        <v>Schedule 141WFP Wildfire Prevention Cost Recovery</v>
      </c>
      <c r="AM7" s="91"/>
      <c r="AN7" s="205" t="s">
        <v>474</v>
      </c>
      <c r="AO7" s="216" t="str">
        <f>AJ7</f>
        <v>Schedule 141CGR Clean Generation Resources</v>
      </c>
      <c r="AP7" s="216" t="str">
        <f t="shared" ref="AP7:AQ7" si="1">AK7</f>
        <v>Schedule 141DCARB Decarbonization</v>
      </c>
      <c r="AQ7" s="216" t="str">
        <f t="shared" si="1"/>
        <v>Schedule 141WFP Wildfire Prevention Cost Recovery</v>
      </c>
      <c r="AR7" s="196"/>
      <c r="AS7" s="195" t="s">
        <v>78</v>
      </c>
      <c r="AT7" s="195" t="s">
        <v>80</v>
      </c>
      <c r="AU7" s="195" t="s">
        <v>81</v>
      </c>
    </row>
    <row r="8" spans="1:47" s="85" customFormat="1">
      <c r="A8" s="88"/>
      <c r="B8" s="86" t="s">
        <v>18</v>
      </c>
      <c r="C8" s="87" t="s">
        <v>19</v>
      </c>
      <c r="D8" s="87" t="s">
        <v>20</v>
      </c>
      <c r="E8" s="209" t="s">
        <v>21</v>
      </c>
      <c r="F8" s="209" t="s">
        <v>24</v>
      </c>
      <c r="G8" s="87" t="s">
        <v>25</v>
      </c>
      <c r="H8" s="87" t="s">
        <v>26</v>
      </c>
      <c r="I8" s="87" t="s">
        <v>27</v>
      </c>
      <c r="J8" s="87" t="s">
        <v>28</v>
      </c>
      <c r="K8" s="87" t="s">
        <v>29</v>
      </c>
      <c r="L8" s="87" t="s">
        <v>30</v>
      </c>
      <c r="M8" s="87" t="s">
        <v>74</v>
      </c>
      <c r="N8" s="87" t="s">
        <v>83</v>
      </c>
      <c r="O8" s="87" t="s">
        <v>84</v>
      </c>
      <c r="P8" s="87" t="s">
        <v>75</v>
      </c>
      <c r="Q8" s="87" t="s">
        <v>85</v>
      </c>
      <c r="R8" s="87" t="s">
        <v>93</v>
      </c>
      <c r="S8" s="21" t="s">
        <v>94</v>
      </c>
      <c r="T8" s="213" t="s">
        <v>86</v>
      </c>
      <c r="U8" s="209" t="s">
        <v>91</v>
      </c>
      <c r="V8" s="21" t="s">
        <v>92</v>
      </c>
      <c r="W8" s="21" t="s">
        <v>146</v>
      </c>
      <c r="X8" s="19" t="s">
        <v>147</v>
      </c>
      <c r="Y8" s="19" t="s">
        <v>95</v>
      </c>
      <c r="Z8" s="215" t="s">
        <v>96</v>
      </c>
      <c r="AA8" s="19" t="s">
        <v>265</v>
      </c>
      <c r="AB8" s="19" t="s">
        <v>316</v>
      </c>
      <c r="AC8" s="193" t="s">
        <v>317</v>
      </c>
      <c r="AD8" s="193" t="s">
        <v>290</v>
      </c>
      <c r="AE8" s="193" t="s">
        <v>291</v>
      </c>
      <c r="AF8" s="193" t="s">
        <v>292</v>
      </c>
      <c r="AG8" s="193" t="s">
        <v>339</v>
      </c>
      <c r="AH8" s="87"/>
      <c r="AI8" s="86" t="s">
        <v>364</v>
      </c>
      <c r="AJ8" s="87" t="s">
        <v>365</v>
      </c>
      <c r="AK8" s="87" t="s">
        <v>366</v>
      </c>
      <c r="AL8" s="87" t="s">
        <v>367</v>
      </c>
      <c r="AM8" s="87"/>
      <c r="AN8" s="86" t="s">
        <v>295</v>
      </c>
      <c r="AO8" s="86" t="s">
        <v>296</v>
      </c>
      <c r="AP8" s="87" t="s">
        <v>297</v>
      </c>
      <c r="AQ8" s="87" t="s">
        <v>298</v>
      </c>
      <c r="AR8" s="193"/>
      <c r="AS8" s="193" t="s">
        <v>336</v>
      </c>
      <c r="AT8" s="193" t="s">
        <v>337</v>
      </c>
      <c r="AU8" s="193" t="s">
        <v>338</v>
      </c>
    </row>
    <row r="9" spans="1:47">
      <c r="A9" s="84">
        <v>1</v>
      </c>
      <c r="B9" s="134" t="str">
        <f>'Revenue by Sch RY#1'!B9</f>
        <v>Residential</v>
      </c>
      <c r="C9" s="134" t="str">
        <f>'Revenue by Sch RY#1'!C9</f>
        <v>7 (307) (317) (327)</v>
      </c>
      <c r="D9" s="116">
        <v>11447649239.71397</v>
      </c>
      <c r="E9" s="210">
        <f>'Revenue by Sch RY#1'!AL9</f>
        <v>1540271161.1779709</v>
      </c>
      <c r="F9" s="210">
        <v>17613973.042186517</v>
      </c>
      <c r="G9" s="118">
        <f>+'Sch 95'!J8</f>
        <v>0</v>
      </c>
      <c r="H9" s="118">
        <f>+'Sch 95 Imbalance'!J8</f>
        <v>39259434.568707265</v>
      </c>
      <c r="I9" s="118">
        <f>+'Sch 95a'!J8</f>
        <v>0</v>
      </c>
      <c r="J9" s="118">
        <f>+'Sch 120'!J8</f>
        <v>56887270.314438216</v>
      </c>
      <c r="K9" s="118">
        <f>+'Sch 129'!J8</f>
        <v>16105277.955792582</v>
      </c>
      <c r="L9" s="118">
        <f>+'Sch 129D'!J8</f>
        <v>6845870.9517969862</v>
      </c>
      <c r="M9" s="118">
        <f>+'Sch 137'!J8</f>
        <v>0</v>
      </c>
      <c r="N9" s="118">
        <f>'Sch 139'!AB7</f>
        <v>0</v>
      </c>
      <c r="O9" s="118">
        <f>+'Sch 139 Supplemental'!J8</f>
        <v>0</v>
      </c>
      <c r="P9" s="118">
        <f>+'Sch 140'!J8</f>
        <v>29458673.683844693</v>
      </c>
      <c r="Q9" s="118">
        <f>+'Sch 141'!J8</f>
        <v>0</v>
      </c>
      <c r="R9" s="118">
        <f>+'Sch 141A'!K8</f>
        <v>19646634.593130726</v>
      </c>
      <c r="S9" s="118">
        <f>+'Sch 141CEI'!N8</f>
        <v>0</v>
      </c>
      <c r="T9" s="210">
        <f>+'Sch 141CGR'!N8</f>
        <v>41217769.741866097</v>
      </c>
      <c r="U9" s="210">
        <f>+'Sch 141DCARB'!J8</f>
        <v>6646098.5128571149</v>
      </c>
      <c r="V9" s="118">
        <f>+'Sch 141COL'!N8</f>
        <v>30744389.150903765</v>
      </c>
      <c r="W9" s="118">
        <f>+'Sch 141N'!O8</f>
        <v>0</v>
      </c>
      <c r="X9" s="118">
        <f>+'Sch 141R'!O8</f>
        <v>0</v>
      </c>
      <c r="Y9" s="118">
        <f>+'Sch 141TEP'!J8</f>
        <v>3597747.6665951214</v>
      </c>
      <c r="Z9" s="210">
        <f>+'Sch 141WFP'!N8</f>
        <v>15926650.538183255</v>
      </c>
      <c r="AA9" s="118">
        <f>+'Sch 141X'!J8</f>
        <v>0</v>
      </c>
      <c r="AB9" s="118">
        <f>+'Sch 141Z'!J8</f>
        <v>0</v>
      </c>
      <c r="AC9" s="118">
        <f>+'Sch 142'!N8</f>
        <v>-39203043.539450288</v>
      </c>
      <c r="AD9" s="118">
        <f>+'Sch 142 Supplemental'!N8</f>
        <v>0</v>
      </c>
      <c r="AE9" s="118">
        <f>+'Sch 194'!J8</f>
        <v>-84970002.884412691</v>
      </c>
      <c r="AF9" s="12">
        <f t="shared" ref="AF9:AF22" si="2">SUM(G9:AE9)</f>
        <v>142162771.25425285</v>
      </c>
      <c r="AG9" s="12">
        <f>E9+AF9+F9</f>
        <v>1700047905.4744103</v>
      </c>
      <c r="AH9" s="80"/>
      <c r="AI9" s="80">
        <f t="shared" ref="AI9:AI22" si="3">-E9-F9</f>
        <v>-1557885134.2201574</v>
      </c>
      <c r="AJ9" s="80">
        <f>-T9</f>
        <v>-41217769.741866097</v>
      </c>
      <c r="AK9" s="80">
        <f>-U9</f>
        <v>-6646098.5128571149</v>
      </c>
      <c r="AL9" s="80">
        <f>-Z9</f>
        <v>-15926650.538183255</v>
      </c>
      <c r="AM9" s="80"/>
      <c r="AN9" s="182">
        <v>1707240331.2535515</v>
      </c>
      <c r="AO9" s="210">
        <f>+'Sch 141CGR'!T8</f>
        <v>51813214.350268565</v>
      </c>
      <c r="AP9" s="210">
        <f>+'Sch 141DCARB'!N8</f>
        <v>6646098.5128571149</v>
      </c>
      <c r="AQ9" s="210">
        <f>+'Sch 141WFP'!T8</f>
        <v>19885010.849828102</v>
      </c>
      <c r="AR9" s="144"/>
      <c r="AS9" s="144">
        <f>SUM(AI9:AQ9)</f>
        <v>163909001.95344135</v>
      </c>
      <c r="AT9" s="144">
        <f>SUM(AG9,AS9)</f>
        <v>1863956907.4278517</v>
      </c>
      <c r="AU9" s="187">
        <f>AS9/AG9</f>
        <v>9.6414343046233975E-2</v>
      </c>
    </row>
    <row r="10" spans="1:47">
      <c r="A10" s="84">
        <f t="shared" ref="A10:A24" si="4">+A9+1</f>
        <v>2</v>
      </c>
      <c r="B10" s="134" t="str">
        <f>'Revenue by Sch RY#1'!B10</f>
        <v>Sec Volt Gen Svc</v>
      </c>
      <c r="C10" s="134" t="str">
        <f>'Revenue by Sch RY#1'!C10</f>
        <v>08 (24) (324)</v>
      </c>
      <c r="D10" s="116">
        <v>2774967422.2693906</v>
      </c>
      <c r="E10" s="210">
        <f>'Revenue by Sch RY#1'!AL10</f>
        <v>351194289.15151125</v>
      </c>
      <c r="F10" s="210">
        <v>1404419.083049519</v>
      </c>
      <c r="G10" s="118">
        <f>+'Sch 95'!J13</f>
        <v>0</v>
      </c>
      <c r="H10" s="118">
        <f>+'Sch 95 Imbalance'!J13</f>
        <v>8895687.8110664301</v>
      </c>
      <c r="I10" s="118">
        <f>+'Sch 95a'!J13</f>
        <v>0</v>
      </c>
      <c r="J10" s="118">
        <f>+'Sch 120'!J13</f>
        <v>11813031.391341632</v>
      </c>
      <c r="K10" s="118">
        <f>+'Sch 129'!J13</f>
        <v>3632866.2955131535</v>
      </c>
      <c r="L10" s="118">
        <f>+'Sch 129D'!J13</f>
        <v>1544313.5050888616</v>
      </c>
      <c r="M10" s="118">
        <f>+'Sch 137'!J13</f>
        <v>0</v>
      </c>
      <c r="N10" s="118">
        <f>'Sch 139'!AB12</f>
        <v>-170310.80978907831</v>
      </c>
      <c r="O10" s="118">
        <f>+'Sch 139 Supplemental'!J13</f>
        <v>-304380.86726511997</v>
      </c>
      <c r="P10" s="118">
        <f>+'Sch 140'!J13</f>
        <v>5782197.0771931801</v>
      </c>
      <c r="Q10" s="118">
        <f>+'Sch 141'!J13</f>
        <v>0</v>
      </c>
      <c r="R10" s="118">
        <f>+'Sch 141A'!K13</f>
        <v>4445652.2235794086</v>
      </c>
      <c r="S10" s="118">
        <f>+'Sch 141CEI'!N13</f>
        <v>0</v>
      </c>
      <c r="T10" s="210">
        <f>+'Sch 141CGR'!N13</f>
        <v>9032211.7806892972</v>
      </c>
      <c r="U10" s="210">
        <f>+'Sch 141DCARB'!J13</f>
        <v>793623.28485625726</v>
      </c>
      <c r="V10" s="118">
        <f>+'Sch 141COL'!N13</f>
        <v>6619275.7749425983</v>
      </c>
      <c r="W10" s="118">
        <f>+'Sch 141N'!O13</f>
        <v>0</v>
      </c>
      <c r="X10" s="118">
        <f>+'Sch 141R'!O13</f>
        <v>0</v>
      </c>
      <c r="Y10" s="118">
        <f>+'Sch 141TEP'!J13</f>
        <v>765250.16262900655</v>
      </c>
      <c r="Z10" s="210">
        <f>+'Sch 141WFP'!N13</f>
        <v>3407205.0016037403</v>
      </c>
      <c r="AA10" s="118">
        <f>+'Sch 141X'!J13</f>
        <v>0</v>
      </c>
      <c r="AB10" s="118">
        <f>+'Sch 141Z'!J13</f>
        <v>0</v>
      </c>
      <c r="AC10" s="118">
        <f>+'Sch 142'!N13</f>
        <v>-6119238.6650658827</v>
      </c>
      <c r="AD10" s="118">
        <f>+'Sch 142 Supplemental'!N13</f>
        <v>0</v>
      </c>
      <c r="AE10" s="118">
        <f>+'Sch 194'!J12</f>
        <v>-1925412.8134409073</v>
      </c>
      <c r="AF10" s="12">
        <f t="shared" si="2"/>
        <v>48211971.152942576</v>
      </c>
      <c r="AG10" s="12">
        <f t="shared" ref="AG10:AG22" si="5">E10+AF10+F10</f>
        <v>400810679.38750339</v>
      </c>
      <c r="AH10" s="80"/>
      <c r="AI10" s="80">
        <f t="shared" si="3"/>
        <v>-352598708.23456079</v>
      </c>
      <c r="AJ10" s="80">
        <f t="shared" ref="AJ10:AJ22" si="6">-T10</f>
        <v>-9032211.7806892972</v>
      </c>
      <c r="AK10" s="80">
        <f t="shared" ref="AK10:AK22" si="7">-U10</f>
        <v>-793623.28485625726</v>
      </c>
      <c r="AL10" s="80">
        <f t="shared" ref="AL10:AL22" si="8">-Z10</f>
        <v>-3407205.0016037403</v>
      </c>
      <c r="AM10" s="80"/>
      <c r="AN10" s="182">
        <v>386638900.72859424</v>
      </c>
      <c r="AO10" s="210">
        <f>+'Sch 141CGR'!T13</f>
        <v>11354033.175029518</v>
      </c>
      <c r="AP10" s="210">
        <f>+'Sch 141DCARB'!N13</f>
        <v>793623.28485625726</v>
      </c>
      <c r="AQ10" s="210">
        <f>+'Sch 141WFP'!T13</f>
        <v>4254021.1617029319</v>
      </c>
      <c r="AR10" s="144"/>
      <c r="AS10" s="144">
        <f t="shared" ref="AS10:AS22" si="9">SUM(AI10:AQ10)</f>
        <v>37208830.048472881</v>
      </c>
      <c r="AT10" s="144">
        <f t="shared" ref="AT10:AT22" si="10">SUM(AG10,AS10)</f>
        <v>438019509.43597627</v>
      </c>
      <c r="AU10" s="187">
        <f t="shared" ref="AU10:AU24" si="11">AS10/AG10</f>
        <v>9.2833928739956106E-2</v>
      </c>
    </row>
    <row r="11" spans="1:47">
      <c r="A11" s="84">
        <f t="shared" si="4"/>
        <v>3</v>
      </c>
      <c r="B11" s="134" t="str">
        <f>'Revenue by Sch RY#1'!B11</f>
        <v>Sec Volt Gen Med Dem Svc</v>
      </c>
      <c r="C11" s="134" t="str">
        <f>'Revenue by Sch RY#1'!C11</f>
        <v>7A (11) (25)</v>
      </c>
      <c r="D11" s="116">
        <v>2968720174.6374388</v>
      </c>
      <c r="E11" s="210">
        <f>'Revenue by Sch RY#1'!AL11</f>
        <v>342614151.03203213</v>
      </c>
      <c r="F11" s="210">
        <v>738152.25853139558</v>
      </c>
      <c r="G11" s="118">
        <f>+'Sch 95'!J15</f>
        <v>0</v>
      </c>
      <c r="H11" s="118">
        <f>+'Sch 95 Imbalance'!J15</f>
        <v>9724264.4727359712</v>
      </c>
      <c r="I11" s="118">
        <f>+'Sch 95a'!J15</f>
        <v>0</v>
      </c>
      <c r="J11" s="118">
        <f>+'Sch 120'!J15</f>
        <v>12870959.490854187</v>
      </c>
      <c r="K11" s="118">
        <f>+'Sch 129'!J15</f>
        <v>3617367.1798122851</v>
      </c>
      <c r="L11" s="118">
        <f>+'Sch 129D'!J15</f>
        <v>1539305.1828988446</v>
      </c>
      <c r="M11" s="118">
        <f>+'Sch 137'!J15</f>
        <v>0</v>
      </c>
      <c r="N11" s="118">
        <f>'Sch 139'!AB14</f>
        <v>-250853.44905173592</v>
      </c>
      <c r="O11" s="118">
        <f>+'Sch 139 Supplemental'!J15</f>
        <v>-461127.34409385605</v>
      </c>
      <c r="P11" s="118">
        <f>+'Sch 140'!J15</f>
        <v>5861200.5041148318</v>
      </c>
      <c r="Q11" s="118">
        <f>+'Sch 141'!J15</f>
        <v>0</v>
      </c>
      <c r="R11" s="118">
        <f>+'Sch 141A'!K15</f>
        <v>4710904.7012083707</v>
      </c>
      <c r="S11" s="118">
        <f>+'Sch 141CEI'!N15</f>
        <v>0</v>
      </c>
      <c r="T11" s="210">
        <f>+'Sch 141CGR'!N15</f>
        <v>9940431.4307320621</v>
      </c>
      <c r="U11" s="210">
        <f>+'Sch 141DCARB'!J15</f>
        <v>71866.927337495828</v>
      </c>
      <c r="V11" s="118">
        <f>+'Sch 141COL'!N15</f>
        <v>7113434.7210937114</v>
      </c>
      <c r="W11" s="118">
        <f>+'Sch 141N'!O15</f>
        <v>0</v>
      </c>
      <c r="X11" s="118">
        <f>+'Sch 141R'!O15</f>
        <v>0</v>
      </c>
      <c r="Y11" s="118">
        <f>+'Sch 141TEP'!J15</f>
        <v>849578.05286916997</v>
      </c>
      <c r="Z11" s="210">
        <f>+'Sch 141WFP'!N15</f>
        <v>3557632.8134628101</v>
      </c>
      <c r="AA11" s="118">
        <f>+'Sch 141X'!J15</f>
        <v>0</v>
      </c>
      <c r="AB11" s="118">
        <f>+'Sch 141Z'!J15</f>
        <v>0</v>
      </c>
      <c r="AC11" s="118">
        <f>+'Sch 142'!N15</f>
        <v>9357199.3906600922</v>
      </c>
      <c r="AD11" s="118">
        <f>+'Sch 142 Supplemental'!N15</f>
        <v>0</v>
      </c>
      <c r="AE11" s="118">
        <f>+'Sch 194'!J14+'Sch 194'!J9</f>
        <v>-1012009.800592276</v>
      </c>
      <c r="AF11" s="12">
        <f t="shared" si="2"/>
        <v>67490154.274041981</v>
      </c>
      <c r="AG11" s="12">
        <f t="shared" si="5"/>
        <v>410842457.56460553</v>
      </c>
      <c r="AH11" s="80"/>
      <c r="AI11" s="80">
        <f t="shared" si="3"/>
        <v>-343352303.29056352</v>
      </c>
      <c r="AJ11" s="80">
        <f t="shared" si="6"/>
        <v>-9940431.4307320621</v>
      </c>
      <c r="AK11" s="80">
        <f t="shared" si="7"/>
        <v>-71866.927337495828</v>
      </c>
      <c r="AL11" s="80">
        <f t="shared" si="8"/>
        <v>-3557632.8134628101</v>
      </c>
      <c r="AM11" s="80"/>
      <c r="AN11" s="182">
        <v>376483269.79820704</v>
      </c>
      <c r="AO11" s="210">
        <f>+'Sch 141CGR'!T15</f>
        <v>12496264.311857082</v>
      </c>
      <c r="AP11" s="210">
        <f>+'Sch 141DCARB'!N15</f>
        <v>71960.31240351373</v>
      </c>
      <c r="AQ11" s="210">
        <f>+'Sch 141WFP'!T15</f>
        <v>4441835.835212728</v>
      </c>
      <c r="AR11" s="144"/>
      <c r="AS11" s="144">
        <f t="shared" si="9"/>
        <v>36571095.795584515</v>
      </c>
      <c r="AT11" s="144">
        <f t="shared" si="10"/>
        <v>447413553.36019003</v>
      </c>
      <c r="AU11" s="187">
        <f t="shared" si="11"/>
        <v>8.901488909488782E-2</v>
      </c>
    </row>
    <row r="12" spans="1:47">
      <c r="A12" s="84">
        <f t="shared" si="4"/>
        <v>4</v>
      </c>
      <c r="B12" s="134" t="str">
        <f>'Revenue by Sch RY#1'!B12</f>
        <v>Sec Volt Gen Lg Dem Svc</v>
      </c>
      <c r="C12" s="134" t="str">
        <f>'Revenue by Sch RY#1'!C12</f>
        <v>12 (26) (26P)</v>
      </c>
      <c r="D12" s="116">
        <v>2056791563.2414525</v>
      </c>
      <c r="E12" s="210">
        <f>'Revenue by Sch RY#1'!AL12</f>
        <v>211393611.06507736</v>
      </c>
      <c r="F12" s="210">
        <v>3566058.9486056441</v>
      </c>
      <c r="G12" s="118">
        <f>+'Sch 95'!J17</f>
        <v>0</v>
      </c>
      <c r="H12" s="118">
        <f>+'Sch 95 Imbalance'!J17</f>
        <v>6496814.7235609544</v>
      </c>
      <c r="I12" s="118">
        <f>+'Sch 95a'!J17</f>
        <v>0</v>
      </c>
      <c r="J12" s="118">
        <f>+'Sch 120'!J17</f>
        <v>8017302.9803149905</v>
      </c>
      <c r="K12" s="118">
        <f>+'Sch 129'!J17</f>
        <v>2261600.4136884538</v>
      </c>
      <c r="L12" s="118">
        <f>+'Sch 129D'!J17</f>
        <v>962640.24732242292</v>
      </c>
      <c r="M12" s="118">
        <f>+'Sch 137'!J17</f>
        <v>0</v>
      </c>
      <c r="N12" s="118">
        <f>'Sch 139'!AB16</f>
        <v>-376680.32877339236</v>
      </c>
      <c r="O12" s="118">
        <f>+'Sch 139 Supplemental'!J17</f>
        <v>0</v>
      </c>
      <c r="P12" s="118">
        <f>+'Sch 140'!J17</f>
        <v>3453824.3183220821</v>
      </c>
      <c r="Q12" s="118">
        <f>+'Sch 141'!J17</f>
        <v>0</v>
      </c>
      <c r="R12" s="118">
        <f>+'Sch 141A'!K17</f>
        <v>2765351.612399145</v>
      </c>
      <c r="S12" s="118">
        <f>+'Sch 141CEI'!N17</f>
        <v>0</v>
      </c>
      <c r="T12" s="210">
        <f>+'Sch 141CGR'!N17</f>
        <v>5666300.1742695607</v>
      </c>
      <c r="U12" s="210">
        <f>+'Sch 141DCARB'!J17</f>
        <v>35979.886079421325</v>
      </c>
      <c r="V12" s="118">
        <f>+'Sch 141COL'!N17</f>
        <v>4203912.5784196258</v>
      </c>
      <c r="W12" s="118">
        <f>+'Sch 141N'!O17</f>
        <v>0</v>
      </c>
      <c r="X12" s="118">
        <f>+'Sch 141R'!O17</f>
        <v>0</v>
      </c>
      <c r="Y12" s="118">
        <f>+'Sch 141TEP'!J17</f>
        <v>489375.69058441161</v>
      </c>
      <c r="Z12" s="210">
        <f>+'Sch 141WFP'!N17</f>
        <v>1909573.9474490094</v>
      </c>
      <c r="AA12" s="118">
        <f>+'Sch 141X'!J17</f>
        <v>0</v>
      </c>
      <c r="AB12" s="118">
        <f>+'Sch 141Z'!J17</f>
        <v>0</v>
      </c>
      <c r="AC12" s="118">
        <f>+'Sch 142'!N17</f>
        <v>3690046.1219218923</v>
      </c>
      <c r="AD12" s="118">
        <f>+'Sch 142 Supplemental'!N17</f>
        <v>0</v>
      </c>
      <c r="AE12" s="118">
        <f>+'Sch 194'!J16</f>
        <v>-125617.53685833098</v>
      </c>
      <c r="AF12" s="12">
        <f t="shared" si="2"/>
        <v>39450424.828700244</v>
      </c>
      <c r="AG12" s="12">
        <f t="shared" si="5"/>
        <v>254410094.84238327</v>
      </c>
      <c r="AH12" s="80"/>
      <c r="AI12" s="80">
        <f t="shared" si="3"/>
        <v>-214959670.01368302</v>
      </c>
      <c r="AJ12" s="80">
        <f t="shared" si="6"/>
        <v>-5666300.1742695607</v>
      </c>
      <c r="AK12" s="80">
        <f t="shared" si="7"/>
        <v>-35979.886079421325</v>
      </c>
      <c r="AL12" s="80">
        <f t="shared" si="8"/>
        <v>-1909573.9474490094</v>
      </c>
      <c r="AM12" s="80"/>
      <c r="AN12" s="182">
        <v>235781631.70379132</v>
      </c>
      <c r="AO12" s="210">
        <f>+'Sch 141CGR'!T17</f>
        <v>7122879.945738202</v>
      </c>
      <c r="AP12" s="210">
        <f>+'Sch 141DCARB'!N17</f>
        <v>35979.886079421325</v>
      </c>
      <c r="AQ12" s="210">
        <f>+'Sch 141WFP'!T17</f>
        <v>2384173.5318130534</v>
      </c>
      <c r="AR12" s="144"/>
      <c r="AS12" s="144">
        <f t="shared" si="9"/>
        <v>22753141.045940995</v>
      </c>
      <c r="AT12" s="144">
        <f t="shared" si="10"/>
        <v>277163235.88832426</v>
      </c>
      <c r="AU12" s="187">
        <f t="shared" si="11"/>
        <v>8.9434898642828747E-2</v>
      </c>
    </row>
    <row r="13" spans="1:47">
      <c r="A13" s="84">
        <f t="shared" si="4"/>
        <v>5</v>
      </c>
      <c r="B13" s="134" t="str">
        <f>'Revenue by Sch RY#1'!B13</f>
        <v>Sec Volt Irrig &amp; Pump Svc</v>
      </c>
      <c r="C13" s="134" t="str">
        <f>'Revenue by Sch RY#1'!C13</f>
        <v>29</v>
      </c>
      <c r="D13" s="116">
        <v>14843026.361509496</v>
      </c>
      <c r="E13" s="210">
        <f>'Revenue by Sch RY#1'!AL13</f>
        <v>1570996.4100765337</v>
      </c>
      <c r="F13" s="210">
        <v>-5971.5441845098003</v>
      </c>
      <c r="G13" s="118">
        <f>+'Sch 95'!J18</f>
        <v>0</v>
      </c>
      <c r="H13" s="118">
        <f>+'Sch 95 Imbalance'!J18</f>
        <v>53793.004850087535</v>
      </c>
      <c r="I13" s="118">
        <f>+'Sch 95a'!J18</f>
        <v>0</v>
      </c>
      <c r="J13" s="118">
        <f>+'Sch 120'!J18</f>
        <v>67633.170127920224</v>
      </c>
      <c r="K13" s="118">
        <f>+'Sch 129'!J18</f>
        <v>17229.288814044136</v>
      </c>
      <c r="L13" s="118">
        <f>+'Sch 129D'!J18</f>
        <v>7330.6592787657455</v>
      </c>
      <c r="M13" s="118">
        <f>+'Sch 137'!J18</f>
        <v>0</v>
      </c>
      <c r="N13" s="118">
        <f>'Sch 139'!AB17</f>
        <v>0</v>
      </c>
      <c r="O13" s="118">
        <f>+'Sch 139 Supplemental'!J18</f>
        <v>0</v>
      </c>
      <c r="P13" s="118">
        <f>+'Sch 140'!J18</f>
        <v>29561.51806915718</v>
      </c>
      <c r="Q13" s="118">
        <f>+'Sch 141'!J18</f>
        <v>0</v>
      </c>
      <c r="R13" s="118">
        <f>+'Sch 141A'!K18</f>
        <v>24963.059702843842</v>
      </c>
      <c r="S13" s="118">
        <f>+'Sch 141CEI'!N18</f>
        <v>0</v>
      </c>
      <c r="T13" s="210">
        <f>+'Sch 141CGR'!N18</f>
        <v>50135.504347361042</v>
      </c>
      <c r="U13" s="210">
        <f>+'Sch 141DCARB'!J18</f>
        <v>5245.1838706287517</v>
      </c>
      <c r="V13" s="118">
        <f>+'Sch 141COL'!N18</f>
        <v>37854.016574760215</v>
      </c>
      <c r="W13" s="118">
        <f>+'Sch 141N'!O18</f>
        <v>0</v>
      </c>
      <c r="X13" s="118">
        <f>+'Sch 141R'!O18</f>
        <v>0</v>
      </c>
      <c r="Y13" s="118">
        <f>+'Sch 141TEP'!J18</f>
        <v>5524.1220634283618</v>
      </c>
      <c r="Z13" s="210">
        <f>+'Sch 141WFP'!N18</f>
        <v>17943.256953037846</v>
      </c>
      <c r="AA13" s="118">
        <f>+'Sch 141X'!J18</f>
        <v>0</v>
      </c>
      <c r="AB13" s="118">
        <f>+'Sch 141Z'!J18</f>
        <v>0</v>
      </c>
      <c r="AC13" s="118">
        <f>+'Sch 142'!N18</f>
        <v>47193.918493235273</v>
      </c>
      <c r="AD13" s="118">
        <f>+'Sch 142 Supplemental'!N18</f>
        <v>0</v>
      </c>
      <c r="AE13" s="118">
        <f>+'Sch 194'!J18</f>
        <v>-112483.06925910617</v>
      </c>
      <c r="AF13" s="12">
        <f t="shared" si="2"/>
        <v>251923.63388616394</v>
      </c>
      <c r="AG13" s="12">
        <f t="shared" si="5"/>
        <v>1816948.4997781876</v>
      </c>
      <c r="AH13" s="80"/>
      <c r="AI13" s="80">
        <f t="shared" si="3"/>
        <v>-1565024.8658920238</v>
      </c>
      <c r="AJ13" s="80">
        <f t="shared" si="6"/>
        <v>-50135.504347361042</v>
      </c>
      <c r="AK13" s="80">
        <f t="shared" si="7"/>
        <v>-5245.1838706287517</v>
      </c>
      <c r="AL13" s="80">
        <f t="shared" si="8"/>
        <v>-17943.256953037846</v>
      </c>
      <c r="AM13" s="80"/>
      <c r="AN13" s="182">
        <v>1712287.8854345933</v>
      </c>
      <c r="AO13" s="210">
        <f>+'Sch 141CGR'!T18</f>
        <v>62478.903261381776</v>
      </c>
      <c r="AP13" s="210">
        <f>+'Sch 141DCARB'!N18</f>
        <v>5151.7988046108512</v>
      </c>
      <c r="AQ13" s="210">
        <f>+'Sch 141WFP'!T18</f>
        <v>22402.818366422904</v>
      </c>
      <c r="AR13" s="144"/>
      <c r="AS13" s="144">
        <f t="shared" si="9"/>
        <v>163972.59480395739</v>
      </c>
      <c r="AT13" s="144">
        <f t="shared" si="10"/>
        <v>1980921.0945821451</v>
      </c>
      <c r="AU13" s="187">
        <f t="shared" si="11"/>
        <v>9.0246143368386669E-2</v>
      </c>
    </row>
    <row r="14" spans="1:47">
      <c r="A14" s="84">
        <f t="shared" si="4"/>
        <v>6</v>
      </c>
      <c r="B14" s="134" t="str">
        <f>'Revenue by Sch RY#1'!B14</f>
        <v>Pri Volt Gen Svc</v>
      </c>
      <c r="C14" s="134" t="str">
        <f>'Revenue by Sch RY#1'!C14</f>
        <v>10 (31)</v>
      </c>
      <c r="D14" s="116">
        <v>1411297972.0883911</v>
      </c>
      <c r="E14" s="210">
        <f>'Revenue by Sch RY#1'!AL14</f>
        <v>146543996.67945495</v>
      </c>
      <c r="F14" s="210">
        <v>-1087945.2600072583</v>
      </c>
      <c r="G14" s="118">
        <f>+'Sch 95'!J22</f>
        <v>0</v>
      </c>
      <c r="H14" s="118">
        <f>+'Sch 95 Imbalance'!J22</f>
        <v>4521309.1978646806</v>
      </c>
      <c r="I14" s="118">
        <f>+'Sch 95a'!J22</f>
        <v>0</v>
      </c>
      <c r="J14" s="118">
        <f>+'Sch 120'!J22</f>
        <v>5463723.1427596482</v>
      </c>
      <c r="K14" s="118">
        <f>+'Sch 129'!J22</f>
        <v>1567368.2074461628</v>
      </c>
      <c r="L14" s="118">
        <f>+'Sch 129D'!J22</f>
        <v>666238.25711608015</v>
      </c>
      <c r="M14" s="118">
        <f>+'Sch 137'!J22</f>
        <v>0</v>
      </c>
      <c r="N14" s="118">
        <f>'Sch 139'!AB21</f>
        <v>-205033.01364356</v>
      </c>
      <c r="O14" s="118">
        <f>+'Sch 139 Supplemental'!J22</f>
        <v>-407124.12728128</v>
      </c>
      <c r="P14" s="118">
        <f>+'Sch 140'!J22</f>
        <v>2457109.469620415</v>
      </c>
      <c r="Q14" s="118">
        <f>+'Sch 141'!J22</f>
        <v>0</v>
      </c>
      <c r="R14" s="118">
        <f>+'Sch 141A'!K22</f>
        <v>1969786.2430351041</v>
      </c>
      <c r="S14" s="118">
        <f>+'Sch 141CEI'!N22</f>
        <v>0</v>
      </c>
      <c r="T14" s="210">
        <f>+'Sch 141CGR'!N22</f>
        <v>3955612.4781701048</v>
      </c>
      <c r="U14" s="210">
        <f>+'Sch 141DCARB'!J22</f>
        <v>29551.347037033534</v>
      </c>
      <c r="V14" s="118">
        <f>+'Sch 141COL'!N22</f>
        <v>2877667.6260161321</v>
      </c>
      <c r="W14" s="118">
        <f>+'Sch 141N'!O22</f>
        <v>0</v>
      </c>
      <c r="X14" s="118">
        <f>+'Sch 141R'!O22</f>
        <v>0</v>
      </c>
      <c r="Y14" s="118">
        <f>+'Sch 141TEP'!J22</f>
        <v>358743.67690865853</v>
      </c>
      <c r="Z14" s="210">
        <f>+'Sch 141WFP'!N22</f>
        <v>1342627.7959382271</v>
      </c>
      <c r="AA14" s="118">
        <f>+'Sch 141X'!J22</f>
        <v>0</v>
      </c>
      <c r="AB14" s="118">
        <f>+'Sch 141Z'!J22</f>
        <v>0</v>
      </c>
      <c r="AC14" s="118">
        <f>+'Sch 142'!N22</f>
        <v>483164.92207094305</v>
      </c>
      <c r="AD14" s="118">
        <f>+'Sch 142 Supplemental'!N22</f>
        <v>0</v>
      </c>
      <c r="AE14" s="118">
        <f>+'Sch 194'!J21</f>
        <v>-175824.71109490652</v>
      </c>
      <c r="AF14" s="12">
        <f t="shared" si="2"/>
        <v>24904920.511963442</v>
      </c>
      <c r="AG14" s="12">
        <f t="shared" si="5"/>
        <v>170360971.93141115</v>
      </c>
      <c r="AH14" s="80"/>
      <c r="AI14" s="80">
        <f t="shared" si="3"/>
        <v>-145456051.41944769</v>
      </c>
      <c r="AJ14" s="80">
        <f t="shared" si="6"/>
        <v>-3955612.4781701048</v>
      </c>
      <c r="AK14" s="80">
        <f t="shared" si="7"/>
        <v>-29551.347037033534</v>
      </c>
      <c r="AL14" s="80">
        <f t="shared" si="8"/>
        <v>-1342627.7959382271</v>
      </c>
      <c r="AM14" s="80"/>
      <c r="AN14" s="182">
        <v>159452791.90695757</v>
      </c>
      <c r="AO14" s="210">
        <f>+'Sch 141CGR'!T22</f>
        <v>4972442.6746420469</v>
      </c>
      <c r="AP14" s="210">
        <f>+'Sch 141DCARB'!N22</f>
        <v>29551.347037033538</v>
      </c>
      <c r="AQ14" s="210">
        <f>+'Sch 141WFP'!T22</f>
        <v>1676320.3427804906</v>
      </c>
      <c r="AR14" s="144"/>
      <c r="AS14" s="144">
        <f t="shared" si="9"/>
        <v>15347263.230824081</v>
      </c>
      <c r="AT14" s="144">
        <f t="shared" si="10"/>
        <v>185708235.16223523</v>
      </c>
      <c r="AU14" s="187">
        <f t="shared" si="11"/>
        <v>9.0086732053882776E-2</v>
      </c>
    </row>
    <row r="15" spans="1:47">
      <c r="A15" s="84">
        <f t="shared" si="4"/>
        <v>7</v>
      </c>
      <c r="B15" s="134" t="str">
        <f>'Revenue by Sch RY#1'!B15</f>
        <v>Pri Volt Irrig &amp; Pump Svc</v>
      </c>
      <c r="C15" s="134" t="str">
        <f>'Revenue by Sch RY#1'!C15</f>
        <v>35</v>
      </c>
      <c r="D15" s="116">
        <v>4380281.1514552524</v>
      </c>
      <c r="E15" s="210">
        <f>'Revenue by Sch RY#1'!AL15</f>
        <v>406364.84663697297</v>
      </c>
      <c r="F15" s="210">
        <v>-1637.810049453376</v>
      </c>
      <c r="G15" s="118">
        <f>+'Sch 95'!J23</f>
        <v>0</v>
      </c>
      <c r="H15" s="118">
        <f>+'Sch 95 Imbalance'!J23</f>
        <v>14112.047022321567</v>
      </c>
      <c r="I15" s="118">
        <f>+'Sch 95a'!J23</f>
        <v>0</v>
      </c>
      <c r="J15" s="118">
        <f>+'Sch 120'!J23</f>
        <v>11564.650651646407</v>
      </c>
      <c r="K15" s="118">
        <f>+'Sch 129'!J23</f>
        <v>4019.4212630722268</v>
      </c>
      <c r="L15" s="118">
        <f>+'Sch 129D'!J23</f>
        <v>1710.0169408684471</v>
      </c>
      <c r="M15" s="118">
        <f>+'Sch 137'!J23</f>
        <v>0</v>
      </c>
      <c r="N15" s="118">
        <f>'Sch 139'!AB22</f>
        <v>0</v>
      </c>
      <c r="O15" s="118">
        <f>+'Sch 139 Supplemental'!J23</f>
        <v>0</v>
      </c>
      <c r="P15" s="118">
        <f>+'Sch 140'!J23</f>
        <v>7606.9310307704645</v>
      </c>
      <c r="Q15" s="118">
        <f>+'Sch 141'!J23</f>
        <v>0</v>
      </c>
      <c r="R15" s="118">
        <f>+'Sch 141A'!K23</f>
        <v>7183.8340557102292</v>
      </c>
      <c r="S15" s="118">
        <f>+'Sch 141CEI'!N23</f>
        <v>0</v>
      </c>
      <c r="T15" s="210">
        <f>+'Sch 141CGR'!N23</f>
        <v>11282.560874718421</v>
      </c>
      <c r="U15" s="210">
        <f>+'Sch 141DCARB'!J23</f>
        <v>9.4609196251320569</v>
      </c>
      <c r="V15" s="118">
        <f>+'Sch 141COL'!N23</f>
        <v>6862.2244272362459</v>
      </c>
      <c r="W15" s="118">
        <f>+'Sch 141N'!O23</f>
        <v>0</v>
      </c>
      <c r="X15" s="118">
        <f>+'Sch 141R'!O23</f>
        <v>0</v>
      </c>
      <c r="Y15" s="118">
        <f>+'Sch 141TEP'!J23</f>
        <v>2609.098012871445</v>
      </c>
      <c r="Z15" s="210">
        <f>+'Sch 141WFP'!N23</f>
        <v>20169.467476741898</v>
      </c>
      <c r="AA15" s="118">
        <f>+'Sch 141X'!J23</f>
        <v>0</v>
      </c>
      <c r="AB15" s="118">
        <f>+'Sch 141Z'!J23</f>
        <v>0</v>
      </c>
      <c r="AC15" s="118">
        <f>+'Sch 142'!N23</f>
        <v>13931.349355889592</v>
      </c>
      <c r="AD15" s="118">
        <f>+'Sch 142 Supplemental'!N23</f>
        <v>0</v>
      </c>
      <c r="AE15" s="118">
        <f>+'Sch 194'!J23</f>
        <v>-33204.298021914641</v>
      </c>
      <c r="AF15" s="12">
        <f t="shared" si="2"/>
        <v>67856.764009557417</v>
      </c>
      <c r="AG15" s="12">
        <f t="shared" si="5"/>
        <v>472583.800597077</v>
      </c>
      <c r="AH15" s="80"/>
      <c r="AI15" s="80">
        <f t="shared" si="3"/>
        <v>-404727.03658751957</v>
      </c>
      <c r="AJ15" s="80">
        <f t="shared" si="6"/>
        <v>-11282.560874718421</v>
      </c>
      <c r="AK15" s="80">
        <f t="shared" si="7"/>
        <v>-9.4609196251320569</v>
      </c>
      <c r="AL15" s="80">
        <f t="shared" si="8"/>
        <v>-20169.467476741898</v>
      </c>
      <c r="AM15" s="80"/>
      <c r="AN15" s="182">
        <v>453263.25558384811</v>
      </c>
      <c r="AO15" s="210">
        <f>+'Sch 141CGR'!T23</f>
        <v>14182.857264786897</v>
      </c>
      <c r="AP15" s="210">
        <f>+'Sch 141DCARB'!N23</f>
        <v>9.4609196251320569</v>
      </c>
      <c r="AQ15" s="210">
        <f>+'Sch 141WFP'!T23</f>
        <v>25182.324346774898</v>
      </c>
      <c r="AR15" s="144"/>
      <c r="AS15" s="144">
        <f t="shared" si="9"/>
        <v>56449.372256430041</v>
      </c>
      <c r="AT15" s="144">
        <f t="shared" si="10"/>
        <v>529033.1728535071</v>
      </c>
      <c r="AU15" s="187">
        <f t="shared" si="11"/>
        <v>0.11944838605366954</v>
      </c>
    </row>
    <row r="16" spans="1:47">
      <c r="A16" s="84">
        <f t="shared" si="4"/>
        <v>8</v>
      </c>
      <c r="B16" s="134" t="str">
        <f>'Revenue by Sch RY#1'!B16</f>
        <v>Pri Volt Interr Elec Sch</v>
      </c>
      <c r="C16" s="134">
        <f>'Revenue by Sch RY#1'!C16</f>
        <v>43</v>
      </c>
      <c r="D16" s="116">
        <v>121633779.10385114</v>
      </c>
      <c r="E16" s="210">
        <f>'Revenue by Sch RY#1'!AL16</f>
        <v>13591299.32798796</v>
      </c>
      <c r="F16" s="210">
        <v>-66814.719629107276</v>
      </c>
      <c r="G16" s="118">
        <f>+'Sch 95'!J24</f>
        <v>0</v>
      </c>
      <c r="H16" s="118">
        <f>+'Sch 95 Imbalance'!J24</f>
        <v>353964.19434748462</v>
      </c>
      <c r="I16" s="118">
        <f>+'Sch 95a'!J24</f>
        <v>0</v>
      </c>
      <c r="J16" s="118">
        <f>+'Sch 120'!J24</f>
        <v>99647.951085734006</v>
      </c>
      <c r="K16" s="118">
        <f>+'Sch 129'!J24</f>
        <v>137795.3875749966</v>
      </c>
      <c r="L16" s="118">
        <f>+'Sch 129D'!J24</f>
        <v>58566.096404989679</v>
      </c>
      <c r="M16" s="118">
        <f>+'Sch 137'!J24</f>
        <v>0</v>
      </c>
      <c r="N16" s="118">
        <f>'Sch 139'!AB23</f>
        <v>-12485.049600000028</v>
      </c>
      <c r="O16" s="118">
        <f>+'Sch 139 Supplemental'!J24</f>
        <v>-26652.364799999999</v>
      </c>
      <c r="P16" s="118">
        <f>+'Sch 140'!J24</f>
        <v>186946.8922823157</v>
      </c>
      <c r="Q16" s="118">
        <f>+'Sch 141'!J24</f>
        <v>0</v>
      </c>
      <c r="R16" s="118">
        <f>+'Sch 141A'!K24</f>
        <v>170233.3897950931</v>
      </c>
      <c r="S16" s="118">
        <f>+'Sch 141CEI'!N24</f>
        <v>0</v>
      </c>
      <c r="T16" s="210">
        <f>+'Sch 141CGR'!N24</f>
        <v>120636.1656109991</v>
      </c>
      <c r="U16" s="210">
        <f>+'Sch 141DCARB'!J24</f>
        <v>3445.1348488352037</v>
      </c>
      <c r="V16" s="118">
        <f>+'Sch 141COL'!N24</f>
        <v>51305.670957413327</v>
      </c>
      <c r="W16" s="118">
        <f>+'Sch 141N'!O24</f>
        <v>0</v>
      </c>
      <c r="X16" s="118">
        <f>+'Sch 141R'!O24</f>
        <v>0</v>
      </c>
      <c r="Y16" s="118">
        <f>+'Sch 141TEP'!J24</f>
        <v>52574.992597381133</v>
      </c>
      <c r="Z16" s="210">
        <f>+'Sch 141WFP'!N24</f>
        <v>152162.98974444694</v>
      </c>
      <c r="AA16" s="118">
        <f>+'Sch 141X'!J24</f>
        <v>0</v>
      </c>
      <c r="AB16" s="118">
        <f>+'Sch 141Z'!J24</f>
        <v>0</v>
      </c>
      <c r="AC16" s="118">
        <f>+'Sch 142'!N24</f>
        <v>386487.32930307381</v>
      </c>
      <c r="AD16" s="118">
        <f>+'Sch 142 Supplemental'!N24</f>
        <v>0</v>
      </c>
      <c r="AE16" s="118">
        <f>+'Sch 194'!J24</f>
        <v>0</v>
      </c>
      <c r="AF16" s="12">
        <f t="shared" si="2"/>
        <v>1734628.7801527632</v>
      </c>
      <c r="AG16" s="12">
        <f t="shared" si="5"/>
        <v>15259113.388511615</v>
      </c>
      <c r="AH16" s="80"/>
      <c r="AI16" s="80">
        <f t="shared" si="3"/>
        <v>-13524484.608358853</v>
      </c>
      <c r="AJ16" s="80">
        <f t="shared" si="6"/>
        <v>-120636.1656109991</v>
      </c>
      <c r="AK16" s="80">
        <f t="shared" si="7"/>
        <v>-3445.1348488352037</v>
      </c>
      <c r="AL16" s="80">
        <f t="shared" si="8"/>
        <v>-152162.98974444694</v>
      </c>
      <c r="AM16" s="80"/>
      <c r="AN16" s="182">
        <v>14823604.198737292</v>
      </c>
      <c r="AO16" s="210">
        <f>+'Sch 141CGR'!T24</f>
        <v>151646.91215323884</v>
      </c>
      <c r="AP16" s="210">
        <f>+'Sch 141DCARB'!N24</f>
        <v>3445.1348488352037</v>
      </c>
      <c r="AQ16" s="210">
        <f>+'Sch 141WFP'!T24</f>
        <v>189981.10712334106</v>
      </c>
      <c r="AR16" s="144"/>
      <c r="AS16" s="144">
        <f t="shared" si="9"/>
        <v>1367948.4542995733</v>
      </c>
      <c r="AT16" s="144">
        <f t="shared" si="10"/>
        <v>16627061.842811188</v>
      </c>
      <c r="AU16" s="187">
        <f t="shared" si="11"/>
        <v>8.9647964430848492E-2</v>
      </c>
    </row>
    <row r="17" spans="1:47">
      <c r="A17" s="84">
        <f t="shared" si="4"/>
        <v>9</v>
      </c>
      <c r="B17" s="134" t="str">
        <f>'Revenue by Sch RY#1'!B17</f>
        <v>High Volt Interr Svc</v>
      </c>
      <c r="C17" s="134">
        <f>'Revenue by Sch RY#1'!C17</f>
        <v>46</v>
      </c>
      <c r="D17" s="116">
        <v>96918964.527943105</v>
      </c>
      <c r="E17" s="210">
        <f>'Revenue by Sch RY#1'!AL17</f>
        <v>7805692.7197050452</v>
      </c>
      <c r="F17" s="210">
        <v>-3792.9623170064297</v>
      </c>
      <c r="G17" s="118">
        <f>+'Sch 95'!J27</f>
        <v>0</v>
      </c>
      <c r="H17" s="118">
        <f>+'Sch 95 Imbalance'!J27</f>
        <v>352933.73402404255</v>
      </c>
      <c r="I17" s="118">
        <f>+'Sch 95a'!J27</f>
        <v>0</v>
      </c>
      <c r="J17" s="118">
        <f>+'Sch 120'!J27</f>
        <v>94315.990992967156</v>
      </c>
      <c r="K17" s="118">
        <f>+'Sch 129'!J27</f>
        <v>78709.747879022951</v>
      </c>
      <c r="L17" s="118">
        <f>+'Sch 129D'!J27</f>
        <v>33441.94952988044</v>
      </c>
      <c r="M17" s="118">
        <f>+'Sch 137'!J27</f>
        <v>0</v>
      </c>
      <c r="N17" s="118">
        <f>'Sch 139'!AB26</f>
        <v>-23702.798756640055</v>
      </c>
      <c r="O17" s="118">
        <f>+'Sch 139 Supplemental'!J27</f>
        <v>-38418.97972992</v>
      </c>
      <c r="P17" s="118">
        <f>+'Sch 140'!J27</f>
        <v>92086.527690975126</v>
      </c>
      <c r="Q17" s="118">
        <f>+'Sch 141'!J27</f>
        <v>0</v>
      </c>
      <c r="R17" s="118">
        <f>+'Sch 141A'!K27</f>
        <v>132331.77280775295</v>
      </c>
      <c r="S17" s="118">
        <f>+'Sch 141CEI'!N27</f>
        <v>0</v>
      </c>
      <c r="T17" s="210">
        <f>+'Sch 141CGR'!N27</f>
        <v>234602.08421261591</v>
      </c>
      <c r="U17" s="210">
        <f>+'Sch 141DCARB'!J27</f>
        <v>5035.5518573621002</v>
      </c>
      <c r="V17" s="118">
        <f>+'Sch 141COL'!N27</f>
        <v>45989.486663673131</v>
      </c>
      <c r="W17" s="118">
        <f>+'Sch 141N'!O27</f>
        <v>0</v>
      </c>
      <c r="X17" s="118">
        <f>+'Sch 141R'!O27</f>
        <v>0</v>
      </c>
      <c r="Y17" s="118">
        <f>+'Sch 141TEP'!J27</f>
        <v>30824.753479715881</v>
      </c>
      <c r="Z17" s="210">
        <f>+'Sch 141WFP'!N27</f>
        <v>36060.710451981446</v>
      </c>
      <c r="AA17" s="118">
        <f>+'Sch 141X'!J27</f>
        <v>0</v>
      </c>
      <c r="AB17" s="118">
        <f>+'Sch 141Z'!J27</f>
        <v>0</v>
      </c>
      <c r="AC17" s="118">
        <f>+'Sch 142'!N27</f>
        <v>0</v>
      </c>
      <c r="AD17" s="118">
        <f>+'Sch 142 Supplemental'!N27</f>
        <v>0</v>
      </c>
      <c r="AE17" s="118">
        <f>+'Sch 194'!J27</f>
        <v>0</v>
      </c>
      <c r="AF17" s="12">
        <f t="shared" si="2"/>
        <v>1074210.5311034299</v>
      </c>
      <c r="AG17" s="12">
        <f t="shared" si="5"/>
        <v>8876110.2884914689</v>
      </c>
      <c r="AH17" s="80"/>
      <c r="AI17" s="80">
        <f t="shared" si="3"/>
        <v>-7801899.7573880386</v>
      </c>
      <c r="AJ17" s="80">
        <f t="shared" si="6"/>
        <v>-234602.08421261591</v>
      </c>
      <c r="AK17" s="80">
        <f t="shared" si="7"/>
        <v>-5035.5518573621002</v>
      </c>
      <c r="AL17" s="80">
        <f t="shared" si="8"/>
        <v>-36060.710451981446</v>
      </c>
      <c r="AM17" s="80"/>
      <c r="AN17" s="182">
        <v>8493210.2171860971</v>
      </c>
      <c r="AO17" s="210">
        <f>+'Sch 141CGR'!T27</f>
        <v>294846.14741088467</v>
      </c>
      <c r="AP17" s="210">
        <f>+'Sch 141DCARB'!N27</f>
        <v>5035.5518573621002</v>
      </c>
      <c r="AQ17" s="210">
        <f>+'Sch 141WFP'!T27</f>
        <v>45023.127547818753</v>
      </c>
      <c r="AR17" s="144"/>
      <c r="AS17" s="144">
        <f t="shared" si="9"/>
        <v>760516.94009216444</v>
      </c>
      <c r="AT17" s="144">
        <f t="shared" si="10"/>
        <v>9636627.2285836339</v>
      </c>
      <c r="AU17" s="187">
        <f t="shared" si="11"/>
        <v>8.5681330602463412E-2</v>
      </c>
    </row>
    <row r="18" spans="1:47">
      <c r="A18" s="84">
        <f t="shared" si="4"/>
        <v>10</v>
      </c>
      <c r="B18" s="134" t="str">
        <f>'Revenue by Sch RY#1'!B18</f>
        <v>High Volt Gen Svc</v>
      </c>
      <c r="C18" s="134">
        <f>'Revenue by Sch RY#1'!C18</f>
        <v>49</v>
      </c>
      <c r="D18" s="116">
        <v>534899242.67952603</v>
      </c>
      <c r="E18" s="210">
        <f>'Revenue by Sch RY#1'!AL18</f>
        <v>42889722.146926105</v>
      </c>
      <c r="F18" s="210">
        <v>-18604.044515703805</v>
      </c>
      <c r="G18" s="118">
        <f>+'Sch 95'!J28</f>
        <v>0</v>
      </c>
      <c r="H18" s="118">
        <f>+'Sch 95 Imbalance'!J28</f>
        <v>1729148.1506499348</v>
      </c>
      <c r="I18" s="118">
        <f>+'Sch 95a'!J28</f>
        <v>0</v>
      </c>
      <c r="J18" s="118">
        <f>+'Sch 120'!J28</f>
        <v>1908855.4746890247</v>
      </c>
      <c r="K18" s="118">
        <f>+'Sch 129'!J28</f>
        <v>447663.78041880461</v>
      </c>
      <c r="L18" s="118">
        <f>+'Sch 129D'!J28</f>
        <v>190404.18856522633</v>
      </c>
      <c r="M18" s="118">
        <f>+'Sch 137'!J28</f>
        <v>0</v>
      </c>
      <c r="N18" s="118">
        <f>'Sch 139'!AB27</f>
        <v>-222040.13567078579</v>
      </c>
      <c r="O18" s="118">
        <f>+'Sch 139 Supplemental'!J28</f>
        <v>-442563.2485048321</v>
      </c>
      <c r="P18" s="118">
        <f>+'Sch 140'!J28</f>
        <v>508101.06499147479</v>
      </c>
      <c r="Q18" s="118">
        <f>+'Sch 141'!J28</f>
        <v>0</v>
      </c>
      <c r="R18" s="118">
        <f>+'Sch 141A'!K28</f>
        <v>619150.33777154901</v>
      </c>
      <c r="S18" s="118">
        <f>+'Sch 141CEI'!N28</f>
        <v>0</v>
      </c>
      <c r="T18" s="210">
        <f>+'Sch 141CGR'!N28</f>
        <v>1294451.7708135068</v>
      </c>
      <c r="U18" s="210">
        <f>+'Sch 141DCARB'!J28</f>
        <v>14267.396929192619</v>
      </c>
      <c r="V18" s="118">
        <f>+'Sch 141COL'!N28</f>
        <v>1010446.9582401112</v>
      </c>
      <c r="W18" s="118">
        <f>+'Sch 141N'!O28</f>
        <v>0</v>
      </c>
      <c r="X18" s="118">
        <f>+'Sch 141R'!O28</f>
        <v>0</v>
      </c>
      <c r="Y18" s="118">
        <f>+'Sch 141TEP'!J28</f>
        <v>117665.50978749942</v>
      </c>
      <c r="Z18" s="210">
        <f>+'Sch 141WFP'!N28</f>
        <v>198970.31459897972</v>
      </c>
      <c r="AA18" s="118">
        <f>+'Sch 141X'!J28</f>
        <v>0</v>
      </c>
      <c r="AB18" s="118">
        <f>+'Sch 141Z'!J28</f>
        <v>0</v>
      </c>
      <c r="AC18" s="118">
        <f>+'Sch 142'!N28</f>
        <v>0</v>
      </c>
      <c r="AD18" s="118">
        <f>+'Sch 142 Supplemental'!N28</f>
        <v>0</v>
      </c>
      <c r="AE18" s="118">
        <f>+'Sch 194'!J28</f>
        <v>0</v>
      </c>
      <c r="AF18" s="12">
        <f t="shared" si="2"/>
        <v>7374521.5632796856</v>
      </c>
      <c r="AG18" s="12">
        <f t="shared" si="5"/>
        <v>50245639.665690087</v>
      </c>
      <c r="AH18" s="80"/>
      <c r="AI18" s="80">
        <f t="shared" si="3"/>
        <v>-42871118.102410398</v>
      </c>
      <c r="AJ18" s="80">
        <f t="shared" si="6"/>
        <v>-1294451.7708135068</v>
      </c>
      <c r="AK18" s="80">
        <f t="shared" si="7"/>
        <v>-14267.396929192619</v>
      </c>
      <c r="AL18" s="80">
        <f t="shared" si="8"/>
        <v>-198970.31459897972</v>
      </c>
      <c r="AM18" s="80"/>
      <c r="AN18" s="182">
        <v>46670437.208727852</v>
      </c>
      <c r="AO18" s="210">
        <f>+'Sch 141CGR'!T28</f>
        <v>1627266.4666324127</v>
      </c>
      <c r="AP18" s="210">
        <f>+'Sch 141DCARB'!N28</f>
        <v>14267.396929192619</v>
      </c>
      <c r="AQ18" s="210">
        <f>+'Sch 141WFP'!T28</f>
        <v>248421.77927548988</v>
      </c>
      <c r="AR18" s="144"/>
      <c r="AS18" s="144">
        <f t="shared" si="9"/>
        <v>4181585.2668128717</v>
      </c>
      <c r="AT18" s="144">
        <f t="shared" si="10"/>
        <v>54427224.932502955</v>
      </c>
      <c r="AU18" s="187">
        <f t="shared" si="11"/>
        <v>8.322284868169845E-2</v>
      </c>
    </row>
    <row r="19" spans="1:47">
      <c r="A19" s="84">
        <f t="shared" si="4"/>
        <v>11</v>
      </c>
      <c r="B19" s="134" t="str">
        <f>'Revenue by Sch RY#1'!B19</f>
        <v>Area &amp; Street Lighting</v>
      </c>
      <c r="C19" s="134" t="str">
        <f>'Revenue by Sch RY#1'!C19</f>
        <v>03, 50-59</v>
      </c>
      <c r="D19" s="116">
        <v>67027608.143863305</v>
      </c>
      <c r="E19" s="210">
        <f>'Revenue by Sch RY#1'!AL19</f>
        <v>21338623.293992013</v>
      </c>
      <c r="F19" s="210">
        <v>-56848.710061108693</v>
      </c>
      <c r="G19" s="118">
        <f>+'Sch 95'!J31</f>
        <v>0</v>
      </c>
      <c r="H19" s="118">
        <f>+'Sch 95 Imbalance'!J31</f>
        <v>264179.2818347133</v>
      </c>
      <c r="I19" s="118">
        <f>+'Sch 95a'!J31</f>
        <v>0</v>
      </c>
      <c r="J19" s="118">
        <f>+'Sch 120'!J31</f>
        <v>156234.33597302419</v>
      </c>
      <c r="K19" s="118">
        <f>+'Sch 129'!J31</f>
        <v>233645.32207072151</v>
      </c>
      <c r="L19" s="118">
        <f>+'Sch 129D'!J31</f>
        <v>99336.252359946942</v>
      </c>
      <c r="M19" s="118">
        <f>+'Sch 137'!J31</f>
        <v>0</v>
      </c>
      <c r="N19" s="118">
        <f>'Sch 139'!AB30</f>
        <v>0</v>
      </c>
      <c r="O19" s="118">
        <f>+'Sch 139 Supplemental'!J31</f>
        <v>0</v>
      </c>
      <c r="P19" s="118">
        <f>+'Sch 140'!J31</f>
        <v>577522.27421453246</v>
      </c>
      <c r="Q19" s="118">
        <f>+'Sch 141'!J31</f>
        <v>0</v>
      </c>
      <c r="R19" s="118">
        <f>+'Sch 141A'!K31</f>
        <v>120790.73069632005</v>
      </c>
      <c r="S19" s="118">
        <f>+'Sch 141CEI'!N31</f>
        <v>0</v>
      </c>
      <c r="T19" s="210">
        <f>+'Sch 141CGR'!N31</f>
        <v>112458</v>
      </c>
      <c r="U19" s="210">
        <f>+'Sch 141DCARB'!J31</f>
        <v>53935.519227045588</v>
      </c>
      <c r="V19" s="118">
        <f>+'Sch 141COL'!N31</f>
        <v>79966.691981027019</v>
      </c>
      <c r="W19" s="118">
        <f>+'Sch 141N'!O31</f>
        <v>0</v>
      </c>
      <c r="X19" s="118">
        <f>+'Sch 141R'!O31</f>
        <v>0</v>
      </c>
      <c r="Y19" s="118">
        <f>+'Sch 141TEP'!J31</f>
        <v>0</v>
      </c>
      <c r="Z19" s="210">
        <f>+'Sch 141WFP'!N31</f>
        <v>156218.02689690789</v>
      </c>
      <c r="AA19" s="118">
        <f>+'Sch 141X'!J31</f>
        <v>0</v>
      </c>
      <c r="AB19" s="118">
        <f>+'Sch 141Z'!J31</f>
        <v>0</v>
      </c>
      <c r="AC19" s="118">
        <f>+'Sch 142'!N31</f>
        <v>0</v>
      </c>
      <c r="AD19" s="118">
        <f>+'Sch 142 Supplemental'!N31</f>
        <v>0</v>
      </c>
      <c r="AE19" s="118">
        <f>+'Sch 194'!J31</f>
        <v>-12981.7100491824</v>
      </c>
      <c r="AF19" s="12">
        <f t="shared" si="2"/>
        <v>1841304.7252050566</v>
      </c>
      <c r="AG19" s="12">
        <f t="shared" si="5"/>
        <v>23123079.309135959</v>
      </c>
      <c r="AH19" s="80"/>
      <c r="AI19" s="80">
        <f t="shared" si="3"/>
        <v>-21281774.583930902</v>
      </c>
      <c r="AJ19" s="80">
        <f t="shared" si="6"/>
        <v>-112458</v>
      </c>
      <c r="AK19" s="80">
        <f t="shared" si="7"/>
        <v>-53935.519227045588</v>
      </c>
      <c r="AL19" s="80">
        <f t="shared" si="8"/>
        <v>-156218.02689690789</v>
      </c>
      <c r="AM19" s="80"/>
      <c r="AN19" s="182">
        <v>23332841.369818438</v>
      </c>
      <c r="AO19" s="210">
        <f>+'Sch 141CGR'!T31</f>
        <v>141366.41144137757</v>
      </c>
      <c r="AP19" s="210">
        <f>+'Sch 141DCARB'!N31</f>
        <v>53935.519227045588</v>
      </c>
      <c r="AQ19" s="210">
        <f>+'Sch 141WFP'!T31</f>
        <v>195043.97062874821</v>
      </c>
      <c r="AR19" s="144"/>
      <c r="AS19" s="144">
        <f t="shared" si="9"/>
        <v>2118801.1410607519</v>
      </c>
      <c r="AT19" s="144">
        <f t="shared" si="10"/>
        <v>25241880.450196709</v>
      </c>
      <c r="AU19" s="187">
        <f t="shared" si="11"/>
        <v>9.1631443750816124E-2</v>
      </c>
    </row>
    <row r="20" spans="1:47">
      <c r="A20" s="84">
        <f t="shared" si="4"/>
        <v>12</v>
      </c>
      <c r="B20" s="134" t="str">
        <f>'Revenue by Sch RY#1'!B20</f>
        <v>Retail Wheeling</v>
      </c>
      <c r="C20" s="134" t="str">
        <f>'Revenue by Sch RY#1'!C20</f>
        <v xml:space="preserve">449 / 459 </v>
      </c>
      <c r="D20" s="116">
        <v>1964993565.6779518</v>
      </c>
      <c r="E20" s="210">
        <f>'Revenue by Sch RY#1'!AL20</f>
        <v>14113311.581309503</v>
      </c>
      <c r="F20" s="210">
        <v>0</v>
      </c>
      <c r="G20" s="118">
        <f>+'Sch 95'!J33</f>
        <v>0</v>
      </c>
      <c r="H20" s="118">
        <f>+'Sch 95 Imbalance'!J33</f>
        <v>0</v>
      </c>
      <c r="I20" s="118">
        <f>+'Sch 95a'!J33</f>
        <v>0</v>
      </c>
      <c r="J20" s="118">
        <f>+'Sch 120'!J33</f>
        <v>2658108.6583916335</v>
      </c>
      <c r="K20" s="118">
        <f>+'Sch 129'!J33</f>
        <v>108213.15781757205</v>
      </c>
      <c r="L20" s="118">
        <f>+'Sch 129D'!J33</f>
        <v>45252.775087348316</v>
      </c>
      <c r="M20" s="118">
        <f>+'Sch 137'!J33</f>
        <v>0</v>
      </c>
      <c r="N20" s="118">
        <f>'Sch 139'!AB32</f>
        <v>0</v>
      </c>
      <c r="O20" s="118">
        <f>+'Sch 139 Supplemental'!J33</f>
        <v>0</v>
      </c>
      <c r="P20" s="118">
        <f>+'Sch 140'!J33</f>
        <v>33447.703325431365</v>
      </c>
      <c r="Q20" s="118">
        <f>+'Sch 141'!J33</f>
        <v>0</v>
      </c>
      <c r="R20" s="118">
        <f>+'Sch 141A'!K33</f>
        <v>0</v>
      </c>
      <c r="S20" s="118">
        <f>+'Sch 141CEI'!N33</f>
        <v>0</v>
      </c>
      <c r="T20" s="210">
        <f>+'Sch 141CGR'!N33</f>
        <v>0</v>
      </c>
      <c r="U20" s="210">
        <f>+'Sch 141DCARB'!J33</f>
        <v>11289.288936160296</v>
      </c>
      <c r="V20" s="118">
        <f>+'Sch 141COL'!N33</f>
        <v>0</v>
      </c>
      <c r="W20" s="118">
        <f>+'Sch 141N'!O33</f>
        <v>0</v>
      </c>
      <c r="X20" s="118">
        <f>+'Sch 141R'!O33</f>
        <v>0</v>
      </c>
      <c r="Y20" s="118">
        <f>+'Sch 141TEP'!J33</f>
        <v>0</v>
      </c>
      <c r="Z20" s="210">
        <f>+'Sch 141WFP'!N33</f>
        <v>410614.28454946139</v>
      </c>
      <c r="AA20" s="118">
        <f>+'Sch 141X'!J33</f>
        <v>0</v>
      </c>
      <c r="AB20" s="118">
        <f>+'Sch 141Z'!J33</f>
        <v>0</v>
      </c>
      <c r="AC20" s="118">
        <f>+'Sch 142'!N33</f>
        <v>0</v>
      </c>
      <c r="AD20" s="118">
        <f>+'Sch 142 Supplemental'!N33</f>
        <v>0</v>
      </c>
      <c r="AE20" s="118">
        <f>+'Sch 194'!J34</f>
        <v>0</v>
      </c>
      <c r="AF20" s="12">
        <f t="shared" si="2"/>
        <v>3266925.8681076067</v>
      </c>
      <c r="AG20" s="12">
        <f t="shared" si="5"/>
        <v>17380237.449417111</v>
      </c>
      <c r="AH20" s="80"/>
      <c r="AI20" s="80">
        <f t="shared" si="3"/>
        <v>-14113311.581309503</v>
      </c>
      <c r="AJ20" s="80">
        <f t="shared" si="6"/>
        <v>0</v>
      </c>
      <c r="AK20" s="80">
        <f t="shared" si="7"/>
        <v>-11289.288936160296</v>
      </c>
      <c r="AL20" s="80">
        <f t="shared" si="8"/>
        <v>-410614.28454946139</v>
      </c>
      <c r="AM20" s="80"/>
      <c r="AN20" s="182">
        <v>14113311.581309503</v>
      </c>
      <c r="AO20" s="210">
        <f>+'Sch 141CGR'!T33</f>
        <v>0</v>
      </c>
      <c r="AP20" s="210">
        <f>+'Sch 141DCARB'!N33</f>
        <v>11289.288936160296</v>
      </c>
      <c r="AQ20" s="210">
        <f>+'Sch 141WFP'!T33</f>
        <v>512667.08488298563</v>
      </c>
      <c r="AR20" s="144"/>
      <c r="AS20" s="144">
        <f t="shared" si="9"/>
        <v>102052.80033352372</v>
      </c>
      <c r="AT20" s="144">
        <f t="shared" si="10"/>
        <v>17482290.249750633</v>
      </c>
      <c r="AU20" s="187">
        <f t="shared" si="11"/>
        <v>5.8717725019888211E-3</v>
      </c>
    </row>
    <row r="21" spans="1:47">
      <c r="A21" s="84">
        <f t="shared" si="4"/>
        <v>13</v>
      </c>
      <c r="B21" s="134" t="str">
        <f>'Revenue by Sch RY#1'!B21</f>
        <v>Special Contract</v>
      </c>
      <c r="C21" s="134" t="str">
        <f>'Revenue by Sch RY#1'!C21</f>
        <v>Special Contract</v>
      </c>
      <c r="D21" s="116">
        <v>304773055.46200001</v>
      </c>
      <c r="E21" s="210">
        <f>'Revenue by Sch RY#1'!AL21</f>
        <v>8125898.7603416722</v>
      </c>
      <c r="F21" s="210">
        <v>308656.99493579194</v>
      </c>
      <c r="G21" s="118">
        <f>+'Sch 95'!J34</f>
        <v>0</v>
      </c>
      <c r="H21" s="118">
        <f>+'Sch 95 Imbalance'!J34</f>
        <v>0</v>
      </c>
      <c r="I21" s="118">
        <f>+'Sch 95a'!J34</f>
        <v>0</v>
      </c>
      <c r="J21" s="118">
        <f>+'Sch 120'!J34</f>
        <v>1289494.7976597222</v>
      </c>
      <c r="K21" s="118">
        <f>+'Sch 129'!J34</f>
        <v>187130.656053668</v>
      </c>
      <c r="L21" s="118">
        <f>+'Sch 129D'!J34</f>
        <v>19810.248605029999</v>
      </c>
      <c r="M21" s="118">
        <f>+'Sch 137'!J34</f>
        <v>0</v>
      </c>
      <c r="N21" s="118">
        <f>'Sch 139'!AB33</f>
        <v>0</v>
      </c>
      <c r="O21" s="118">
        <f>+'Sch 139 Supplemental'!J34</f>
        <v>0</v>
      </c>
      <c r="P21" s="118">
        <f>+'Sch 140'!J34</f>
        <v>156958.12356293004</v>
      </c>
      <c r="Q21" s="118">
        <f>+'Sch 141'!J34</f>
        <v>0</v>
      </c>
      <c r="R21" s="118">
        <f>+'Sch 141A'!K34</f>
        <v>0</v>
      </c>
      <c r="S21" s="118">
        <f>+'Sch 141CEI'!N34</f>
        <v>0</v>
      </c>
      <c r="T21" s="210">
        <f>+'Sch 141CGR'!N34</f>
        <v>0</v>
      </c>
      <c r="U21" s="210">
        <f>+'Sch 141DCARB'!J34</f>
        <v>3054.1969589255868</v>
      </c>
      <c r="V21" s="118">
        <f>+'Sch 141COL'!N34</f>
        <v>0</v>
      </c>
      <c r="W21" s="118">
        <f>+'Sch 141N'!O34</f>
        <v>0</v>
      </c>
      <c r="X21" s="118">
        <f>+'Sch 141R'!O34</f>
        <v>0</v>
      </c>
      <c r="Y21" s="118">
        <f>+'Sch 141TEP'!J34</f>
        <v>0</v>
      </c>
      <c r="Z21" s="210">
        <f>+'Sch 141WFP'!N34</f>
        <v>403047.29938686301</v>
      </c>
      <c r="AA21" s="118">
        <f>+'Sch 141X'!J34</f>
        <v>0</v>
      </c>
      <c r="AB21" s="118">
        <f>+'Sch 141Z'!J34</f>
        <v>0</v>
      </c>
      <c r="AC21" s="118">
        <f>+'Sch 142'!N34</f>
        <v>367556.30488717201</v>
      </c>
      <c r="AD21" s="118">
        <f>+'Sch 142 Supplemental'!N34</f>
        <v>0</v>
      </c>
      <c r="AE21" s="118">
        <f>+'Sch 194'!J35</f>
        <v>0</v>
      </c>
      <c r="AF21" s="12">
        <f t="shared" si="2"/>
        <v>2427051.6271143104</v>
      </c>
      <c r="AG21" s="12">
        <f t="shared" si="5"/>
        <v>10861607.382391775</v>
      </c>
      <c r="AH21" s="80"/>
      <c r="AI21" s="80">
        <f t="shared" si="3"/>
        <v>-8434555.7552774642</v>
      </c>
      <c r="AJ21" s="80">
        <f t="shared" si="6"/>
        <v>0</v>
      </c>
      <c r="AK21" s="80">
        <f t="shared" si="7"/>
        <v>-3054.1969589255868</v>
      </c>
      <c r="AL21" s="80">
        <f t="shared" si="8"/>
        <v>-403047.29938686301</v>
      </c>
      <c r="AM21" s="80"/>
      <c r="AN21" s="182">
        <v>8954806.3667320777</v>
      </c>
      <c r="AO21" s="210">
        <f>+'Sch 141CGR'!T34</f>
        <v>0</v>
      </c>
      <c r="AP21" s="210">
        <f>+'Sch 141DCARB'!N34</f>
        <v>3054.1969589255868</v>
      </c>
      <c r="AQ21" s="210">
        <f>+'Sch 141WFP'!T34</f>
        <v>503219.42470497056</v>
      </c>
      <c r="AR21" s="144"/>
      <c r="AS21" s="144">
        <f t="shared" si="9"/>
        <v>620422.7367727214</v>
      </c>
      <c r="AT21" s="144">
        <f t="shared" si="10"/>
        <v>11482030.119164497</v>
      </c>
      <c r="AU21" s="187">
        <f t="shared" si="11"/>
        <v>5.712071104489707E-2</v>
      </c>
    </row>
    <row r="22" spans="1:47">
      <c r="A22" s="84">
        <f t="shared" si="4"/>
        <v>14</v>
      </c>
      <c r="B22" s="134" t="str">
        <f>'Revenue by Sch RY#1'!B22</f>
        <v>Firm Resale</v>
      </c>
      <c r="C22" s="134">
        <f>'Revenue by Sch RY#1'!C22</f>
        <v>5</v>
      </c>
      <c r="D22" s="116">
        <v>6710049.8818741431</v>
      </c>
      <c r="E22" s="210">
        <f>'Revenue by Sch RY#1'!AL22</f>
        <v>1127276</v>
      </c>
      <c r="F22" s="210">
        <v>-564.28827922475568</v>
      </c>
      <c r="G22" s="118">
        <f>+'Sch 95'!J39</f>
        <v>0</v>
      </c>
      <c r="H22" s="118">
        <f>+'Sch 95 Imbalance'!J39</f>
        <v>21776.61604816961</v>
      </c>
      <c r="I22" s="118">
        <f>+'Sch 95a'!J39</f>
        <v>0</v>
      </c>
      <c r="J22" s="118">
        <f>+'Sch 120'!J39</f>
        <v>0</v>
      </c>
      <c r="K22" s="118">
        <f>+'Sch 129'!J39</f>
        <v>0</v>
      </c>
      <c r="L22" s="118">
        <f>+'Sch 129D'!J39</f>
        <v>0</v>
      </c>
      <c r="M22" s="118">
        <f>+'Sch 137'!J39</f>
        <v>0</v>
      </c>
      <c r="N22" s="118">
        <f>'Sch 139'!AB38</f>
        <v>0</v>
      </c>
      <c r="O22" s="118">
        <f>+'Sch 139 Supplemental'!J39</f>
        <v>0</v>
      </c>
      <c r="P22" s="118">
        <f>+'Sch 140'!J39</f>
        <v>0</v>
      </c>
      <c r="Q22" s="118">
        <f>+'Sch 141'!J39</f>
        <v>0</v>
      </c>
      <c r="R22" s="118">
        <f>+'Sch 141A'!K39</f>
        <v>11898.909539733748</v>
      </c>
      <c r="S22" s="118">
        <f>+'Sch 141CEI'!N39</f>
        <v>0</v>
      </c>
      <c r="T22" s="210">
        <f>+'Sch 141CGR'!N39</f>
        <v>20268.832271719843</v>
      </c>
      <c r="U22" s="210">
        <f>+'Sch 141DCARB'!J39</f>
        <v>49.906501150441784</v>
      </c>
      <c r="V22" s="118">
        <f>+'Sch 141COL'!N39</f>
        <v>14813.202282535356</v>
      </c>
      <c r="W22" s="118">
        <f>+'Sch 141N'!O39</f>
        <v>0</v>
      </c>
      <c r="X22" s="118">
        <f>+'Sch 141R'!O39</f>
        <v>0</v>
      </c>
      <c r="Y22" s="118">
        <f>+'Sch 141TEP'!J39</f>
        <v>0</v>
      </c>
      <c r="Z22" s="210">
        <f>+'Sch 141WFP'!N39</f>
        <v>7724.3646160020717</v>
      </c>
      <c r="AA22" s="118">
        <f>+'Sch 141X'!J39</f>
        <v>0</v>
      </c>
      <c r="AB22" s="118">
        <f>+'Sch 141Z'!J39</f>
        <v>0</v>
      </c>
      <c r="AC22" s="118">
        <f>+'Sch 142'!N39</f>
        <v>0</v>
      </c>
      <c r="AD22" s="118">
        <f>+'Sch 142 Supplemental'!N39</f>
        <v>0</v>
      </c>
      <c r="AE22" s="118">
        <f>+'Sch 194'!J40</f>
        <v>0</v>
      </c>
      <c r="AF22" s="12">
        <f t="shared" si="2"/>
        <v>76531.83125931106</v>
      </c>
      <c r="AG22" s="12">
        <f t="shared" si="5"/>
        <v>1203243.5429800865</v>
      </c>
      <c r="AH22" s="80"/>
      <c r="AI22" s="80">
        <f t="shared" si="3"/>
        <v>-1126711.7117207753</v>
      </c>
      <c r="AJ22" s="80">
        <f t="shared" si="6"/>
        <v>-20268.832271719843</v>
      </c>
      <c r="AK22" s="80">
        <f t="shared" si="7"/>
        <v>-49.906501150441784</v>
      </c>
      <c r="AL22" s="80">
        <f t="shared" si="8"/>
        <v>-7724.3646160020717</v>
      </c>
      <c r="AM22" s="80"/>
      <c r="AN22" s="182">
        <v>1126711.7129150722</v>
      </c>
      <c r="AO22" s="210">
        <f>+'Sch 141CGR'!T39</f>
        <v>25479.14061583854</v>
      </c>
      <c r="AP22" s="210">
        <f>+'Sch 141DCARB'!N39</f>
        <v>49.906501150441784</v>
      </c>
      <c r="AQ22" s="210">
        <f>+'Sch 141WFP'!T39</f>
        <v>9644.1542324912753</v>
      </c>
      <c r="AR22" s="144"/>
      <c r="AS22" s="144">
        <f t="shared" si="9"/>
        <v>7130.0991549048967</v>
      </c>
      <c r="AT22" s="144">
        <f t="shared" si="10"/>
        <v>1210373.6421349915</v>
      </c>
      <c r="AU22" s="187">
        <f t="shared" si="11"/>
        <v>5.925732322856021E-3</v>
      </c>
    </row>
    <row r="23" spans="1:47">
      <c r="A23" s="84">
        <f t="shared" si="4"/>
        <v>15</v>
      </c>
      <c r="B23" s="84"/>
      <c r="C23" s="84"/>
      <c r="D23" s="4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211"/>
      <c r="U23" s="211"/>
      <c r="V23" s="12"/>
      <c r="W23" s="12"/>
      <c r="X23" s="12"/>
      <c r="Y23" s="12"/>
      <c r="Z23" s="211"/>
      <c r="AA23" s="12"/>
      <c r="AB23" s="12"/>
      <c r="AC23" s="12"/>
      <c r="AD23" s="12"/>
      <c r="AE23" s="12"/>
      <c r="AF23" s="12"/>
      <c r="AG23" s="12"/>
      <c r="AH23" s="80"/>
      <c r="AI23" s="80"/>
      <c r="AJ23" s="95"/>
      <c r="AK23" s="95"/>
      <c r="AL23" s="95"/>
      <c r="AM23" s="80"/>
      <c r="AN23" s="144"/>
      <c r="AO23" s="211"/>
      <c r="AP23" s="211"/>
      <c r="AQ23" s="211"/>
      <c r="AR23" s="144"/>
      <c r="AS23" s="144"/>
      <c r="AT23" s="144"/>
      <c r="AU23" s="187"/>
    </row>
    <row r="24" spans="1:47" ht="12" thickBot="1">
      <c r="A24" s="84">
        <f t="shared" si="4"/>
        <v>16</v>
      </c>
      <c r="B24" s="84"/>
      <c r="C24" s="84" t="s">
        <v>11</v>
      </c>
      <c r="D24" s="8">
        <f>SUM(D9:D23)</f>
        <v>23775605944.94062</v>
      </c>
      <c r="E24" s="14">
        <f>SUM(E9:E23)</f>
        <v>2702986394.1930218</v>
      </c>
      <c r="F24" s="14">
        <f>SUM(F9:F23)</f>
        <v>22389080.988265499</v>
      </c>
      <c r="G24" s="14">
        <f t="shared" ref="G24" si="12">SUM(G9:G23)</f>
        <v>0</v>
      </c>
      <c r="H24" s="14">
        <f t="shared" ref="H24:J24" si="13">SUM(H9:H23)</f>
        <v>71687417.802712053</v>
      </c>
      <c r="I24" s="14">
        <f t="shared" si="13"/>
        <v>0</v>
      </c>
      <c r="J24" s="14">
        <f t="shared" si="13"/>
        <v>101338142.34928034</v>
      </c>
      <c r="K24" s="14">
        <f t="shared" ref="K24:L24" si="14">SUM(K9:K23)</f>
        <v>28398886.814144548</v>
      </c>
      <c r="L24" s="14">
        <f t="shared" si="14"/>
        <v>12014220.330995252</v>
      </c>
      <c r="M24" s="14">
        <f t="shared" ref="M24:P24" si="15">SUM(M9:M23)</f>
        <v>0</v>
      </c>
      <c r="N24" s="14">
        <f t="shared" si="15"/>
        <v>-1261105.5852851924</v>
      </c>
      <c r="O24" s="14">
        <f t="shared" si="15"/>
        <v>-1680266.9316750083</v>
      </c>
      <c r="P24" s="14">
        <f t="shared" si="15"/>
        <v>48605236.088262789</v>
      </c>
      <c r="Q24" s="14">
        <f t="shared" ref="Q24:S24" si="16">SUM(Q9:Q23)</f>
        <v>0</v>
      </c>
      <c r="R24" s="14">
        <f t="shared" si="16"/>
        <v>34624881.407721765</v>
      </c>
      <c r="S24" s="14">
        <f t="shared" si="16"/>
        <v>0</v>
      </c>
      <c r="T24" s="212">
        <f t="shared" ref="T24" si="17">SUM(T9:T23)</f>
        <v>71656160.523858055</v>
      </c>
      <c r="U24" s="212">
        <f t="shared" ref="U24" si="18">SUM(U9:U23)</f>
        <v>7673451.5982162477</v>
      </c>
      <c r="V24" s="14">
        <f t="shared" ref="V24:W24" si="19">SUM(V9:V23)</f>
        <v>52805918.102502599</v>
      </c>
      <c r="W24" s="14">
        <f t="shared" si="19"/>
        <v>0</v>
      </c>
      <c r="X24" s="14">
        <f t="shared" ref="X24:Z24" si="20">SUM(X9:X23)</f>
        <v>0</v>
      </c>
      <c r="Y24" s="14">
        <f t="shared" si="20"/>
        <v>6269893.7255272642</v>
      </c>
      <c r="Z24" s="212">
        <f t="shared" si="20"/>
        <v>27546600.811311465</v>
      </c>
      <c r="AA24" s="14">
        <f t="shared" ref="AA24:AD24" si="21">SUM(AA9:AA23)</f>
        <v>0</v>
      </c>
      <c r="AB24" s="14">
        <f t="shared" si="21"/>
        <v>0</v>
      </c>
      <c r="AC24" s="14">
        <f t="shared" si="21"/>
        <v>-30976702.867823873</v>
      </c>
      <c r="AD24" s="14">
        <f t="shared" si="21"/>
        <v>0</v>
      </c>
      <c r="AE24" s="14">
        <f>SUM(AE9:AE23)</f>
        <v>-88367536.823729306</v>
      </c>
      <c r="AF24" s="14">
        <f t="shared" ref="AF24:AG24" si="22">SUM(AF9:AF23)</f>
        <v>340335197.34601891</v>
      </c>
      <c r="AG24" s="14">
        <f t="shared" si="22"/>
        <v>3065710672.5273075</v>
      </c>
      <c r="AH24" s="80"/>
      <c r="AI24" s="83">
        <f t="shared" ref="AI24:AQ24" si="23">SUM(AI9:AI23)</f>
        <v>-2725375475.1812882</v>
      </c>
      <c r="AJ24" s="83">
        <f t="shared" ref="AJ24" si="24">SUM(AJ9:AJ23)</f>
        <v>-71656160.523858055</v>
      </c>
      <c r="AK24" s="83">
        <f t="shared" si="23"/>
        <v>-7673451.5982162477</v>
      </c>
      <c r="AL24" s="83">
        <f t="shared" si="23"/>
        <v>-27546600.811311465</v>
      </c>
      <c r="AM24" s="80"/>
      <c r="AN24" s="152">
        <f>SUM(AN9:AN23)</f>
        <v>2985277399.1875453</v>
      </c>
      <c r="AO24" s="212">
        <f t="shared" si="23"/>
        <v>90076101.296315312</v>
      </c>
      <c r="AP24" s="212">
        <f t="shared" si="23"/>
        <v>7673451.5982162487</v>
      </c>
      <c r="AQ24" s="212">
        <f t="shared" si="23"/>
        <v>34392947.512446351</v>
      </c>
      <c r="AR24" s="144"/>
      <c r="AS24" s="152">
        <f>SUM(AS9:AS23)</f>
        <v>285168211.47985071</v>
      </c>
      <c r="AT24" s="152">
        <f>SUM(AT9:AT23)</f>
        <v>3350878884.0071573</v>
      </c>
      <c r="AU24" s="186">
        <f t="shared" si="11"/>
        <v>9.3018631547759204E-2</v>
      </c>
    </row>
    <row r="25" spans="1:47" ht="12" thickTop="1">
      <c r="D25" s="3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211"/>
      <c r="U25" s="211"/>
      <c r="V25" s="12"/>
      <c r="W25" s="12"/>
      <c r="X25" s="12"/>
      <c r="Y25" s="12"/>
      <c r="Z25" s="211"/>
      <c r="AA25" s="12"/>
      <c r="AB25" s="12"/>
      <c r="AC25" s="12"/>
      <c r="AD25" s="12"/>
      <c r="AE25" s="12"/>
      <c r="AF25" s="80"/>
      <c r="AG25" s="80"/>
      <c r="AH25" s="80"/>
      <c r="AI25" s="80"/>
      <c r="AJ25" s="80"/>
      <c r="AK25" s="80"/>
      <c r="AL25" s="80"/>
      <c r="AM25" s="80"/>
      <c r="AN25" s="207" t="s">
        <v>340</v>
      </c>
      <c r="AO25" s="211"/>
      <c r="AP25" s="211"/>
      <c r="AQ25" s="211"/>
      <c r="AR25" s="144"/>
      <c r="AS25" s="144"/>
      <c r="AT25" s="144"/>
    </row>
    <row r="26" spans="1:47">
      <c r="D26" s="119">
        <v>23775605944.940617</v>
      </c>
      <c r="E26" s="120">
        <f>'Revenue by Sch RY#1'!AL24</f>
        <v>2702986394.1930218</v>
      </c>
      <c r="F26" s="120">
        <v>22389080.988265496</v>
      </c>
      <c r="G26" s="118">
        <f>+'Sch 95'!J41</f>
        <v>0</v>
      </c>
      <c r="H26" s="118">
        <f>+'Sch 95 Imbalance'!J41</f>
        <v>71687417.802712053</v>
      </c>
      <c r="I26" s="118">
        <f>+'Sch 95a'!J41</f>
        <v>0</v>
      </c>
      <c r="J26" s="118">
        <f>+'Sch 120'!J41</f>
        <v>101338142.34928034</v>
      </c>
      <c r="K26" s="118">
        <f>+'Sch 129'!J41</f>
        <v>28398886.814144537</v>
      </c>
      <c r="L26" s="118">
        <f>+'Sch 129D'!J41</f>
        <v>12014220.330995252</v>
      </c>
      <c r="M26" s="118">
        <f>+'Sch 137'!J41</f>
        <v>0</v>
      </c>
      <c r="N26" s="118">
        <f>'Sch 139'!AB40</f>
        <v>-1261105.5852851924</v>
      </c>
      <c r="O26" s="118">
        <f>+'Sch 139 Supplemental'!J41</f>
        <v>-1680266.931675008</v>
      </c>
      <c r="P26" s="118">
        <f>+'Sch 140'!J41</f>
        <v>48605236.088262789</v>
      </c>
      <c r="Q26" s="118">
        <f>+'Sch 141'!J41</f>
        <v>0</v>
      </c>
      <c r="R26" s="118">
        <f>+'Sch 141A'!K41</f>
        <v>34624881.407721765</v>
      </c>
      <c r="S26" s="118">
        <f>+'Sch 141CEI'!N41</f>
        <v>0</v>
      </c>
      <c r="T26" s="210">
        <f>+'Sch 141CGR'!N41</f>
        <v>71656160.523858055</v>
      </c>
      <c r="U26" s="210">
        <f>+'Sch 141DCARB'!J41</f>
        <v>7673451.5982162496</v>
      </c>
      <c r="V26" s="118">
        <f>+'Sch 141COL'!N41</f>
        <v>52805918.102502584</v>
      </c>
      <c r="W26" s="118">
        <f>+'Sch 141N'!O41</f>
        <v>0</v>
      </c>
      <c r="X26" s="118">
        <f>+'Sch 141R'!O41</f>
        <v>0</v>
      </c>
      <c r="Y26" s="118">
        <f>+'Sch 141TEP'!J41</f>
        <v>6269893.7255272642</v>
      </c>
      <c r="Z26" s="210">
        <f>+'Sch 141WFP'!N41</f>
        <v>27546600.811311465</v>
      </c>
      <c r="AA26" s="118">
        <f>+'Sch 141X'!J41</f>
        <v>0</v>
      </c>
      <c r="AB26" s="118">
        <f>+'Sch 141Z'!J41</f>
        <v>0</v>
      </c>
      <c r="AC26" s="118">
        <f>+'Sch 142'!N41</f>
        <v>-30976702.867823873</v>
      </c>
      <c r="AD26" s="118">
        <f>+'Sch 142 Supplemental'!N41</f>
        <v>0</v>
      </c>
      <c r="AE26" s="118">
        <f>+'Sch 194'!J42</f>
        <v>-88367536.823729321</v>
      </c>
      <c r="AF26" s="144">
        <f>SUM(G24:AE24)</f>
        <v>340335197.34601903</v>
      </c>
      <c r="AG26" s="144">
        <f>E26+AF26+F26</f>
        <v>3065710672.5273061</v>
      </c>
      <c r="AH26" s="80"/>
      <c r="AI26" s="144">
        <f>E26+F26</f>
        <v>2725375475.1812873</v>
      </c>
      <c r="AJ26" s="364">
        <f>'Sch 141CGR'!N41</f>
        <v>71656160.523858055</v>
      </c>
      <c r="AK26" s="364">
        <f>'Sch 141DCARB'!J41</f>
        <v>7673451.5982162496</v>
      </c>
      <c r="AL26" s="364">
        <f>'Sch 141WFP'!N41</f>
        <v>27546600.811311465</v>
      </c>
      <c r="AM26" s="80"/>
      <c r="AN26" s="217">
        <v>2985277400.9672737</v>
      </c>
      <c r="AO26" s="210">
        <f>'Sch 141CGR'!T41</f>
        <v>90076101.296315327</v>
      </c>
      <c r="AP26" s="210">
        <f>'Sch 141DCARB'!N41</f>
        <v>7673451.5982162496</v>
      </c>
      <c r="AQ26" s="210">
        <f>+'Sch 141WFP'!T41</f>
        <v>34392947.512446359</v>
      </c>
      <c r="AR26" s="144"/>
      <c r="AS26" s="144"/>
      <c r="AT26" s="144"/>
    </row>
    <row r="27" spans="1:47" s="81" customFormat="1">
      <c r="C27" s="179" t="s">
        <v>168</v>
      </c>
      <c r="D27" s="121">
        <f>+D26-D24</f>
        <v>0</v>
      </c>
      <c r="E27" s="121">
        <f>+E26-E24</f>
        <v>0</v>
      </c>
      <c r="F27" s="121">
        <f>+F26-F24</f>
        <v>0</v>
      </c>
      <c r="G27" s="126">
        <f t="shared" ref="G27:J27" si="25">+G26-G24</f>
        <v>0</v>
      </c>
      <c r="H27" s="126">
        <f t="shared" si="25"/>
        <v>0</v>
      </c>
      <c r="I27" s="126">
        <f t="shared" si="25"/>
        <v>0</v>
      </c>
      <c r="J27" s="126">
        <f t="shared" si="25"/>
        <v>0</v>
      </c>
      <c r="K27" s="126">
        <f t="shared" ref="K27:L27" si="26">+K26-K24</f>
        <v>0</v>
      </c>
      <c r="L27" s="126">
        <f t="shared" si="26"/>
        <v>0</v>
      </c>
      <c r="M27" s="126">
        <f t="shared" ref="M27:P27" si="27">+M26-M24</f>
        <v>0</v>
      </c>
      <c r="N27" s="126">
        <f t="shared" si="27"/>
        <v>0</v>
      </c>
      <c r="O27" s="126">
        <f t="shared" si="27"/>
        <v>0</v>
      </c>
      <c r="P27" s="126">
        <f t="shared" si="27"/>
        <v>0</v>
      </c>
      <c r="Q27" s="126">
        <f t="shared" ref="Q27:S27" si="28">+Q26-Q24</f>
        <v>0</v>
      </c>
      <c r="R27" s="126">
        <f t="shared" si="28"/>
        <v>0</v>
      </c>
      <c r="S27" s="126">
        <f t="shared" si="28"/>
        <v>0</v>
      </c>
      <c r="T27" s="126">
        <f t="shared" ref="T27" si="29">+T26-T24</f>
        <v>0</v>
      </c>
      <c r="U27" s="126">
        <f t="shared" ref="U27" si="30">+U26-U24</f>
        <v>0</v>
      </c>
      <c r="V27" s="126">
        <f t="shared" ref="V27:W27" si="31">+V26-V24</f>
        <v>0</v>
      </c>
      <c r="W27" s="126">
        <f t="shared" si="31"/>
        <v>0</v>
      </c>
      <c r="X27" s="126">
        <f t="shared" ref="X27:Y27" si="32">+X26-X24</f>
        <v>0</v>
      </c>
      <c r="Y27" s="126">
        <f t="shared" si="32"/>
        <v>0</v>
      </c>
      <c r="Z27" s="126"/>
      <c r="AA27" s="126">
        <f t="shared" ref="AA27:AD27" si="33">+AA26-AA24</f>
        <v>0</v>
      </c>
      <c r="AB27" s="126">
        <f t="shared" si="33"/>
        <v>0</v>
      </c>
      <c r="AC27" s="126">
        <f t="shared" si="33"/>
        <v>0</v>
      </c>
      <c r="AD27" s="126">
        <f t="shared" si="33"/>
        <v>0</v>
      </c>
      <c r="AE27" s="126">
        <f>+AE26-AE24</f>
        <v>0</v>
      </c>
      <c r="AF27" s="181">
        <f>+AF26-AF24</f>
        <v>0</v>
      </c>
      <c r="AG27" s="181">
        <f>+AG26-AG24</f>
        <v>0</v>
      </c>
      <c r="AH27" s="82"/>
      <c r="AI27" s="181">
        <f>+AI26+AI24</f>
        <v>0</v>
      </c>
      <c r="AJ27" s="181">
        <f t="shared" ref="AJ27:AL27" si="34">+AJ26+AJ24</f>
        <v>0</v>
      </c>
      <c r="AK27" s="181">
        <f t="shared" si="34"/>
        <v>0</v>
      </c>
      <c r="AL27" s="181">
        <f t="shared" si="34"/>
        <v>0</v>
      </c>
      <c r="AM27" s="80"/>
      <c r="AN27" s="181">
        <f>+AN26-AN24</f>
        <v>1.7797284126281738</v>
      </c>
      <c r="AO27" s="126">
        <f t="shared" ref="AO27:AQ27" si="35">+AO26-AO24</f>
        <v>0</v>
      </c>
      <c r="AP27" s="126">
        <f t="shared" si="35"/>
        <v>0</v>
      </c>
      <c r="AQ27" s="126">
        <f t="shared" si="35"/>
        <v>0</v>
      </c>
      <c r="AR27" s="144"/>
      <c r="AS27" s="144"/>
      <c r="AT27" s="144"/>
      <c r="AU27" s="142"/>
    </row>
    <row r="28" spans="1:47">
      <c r="B28" s="178"/>
      <c r="AF28" s="80"/>
      <c r="AG28" s="80"/>
      <c r="AI28" s="80"/>
      <c r="AJ28" s="80"/>
      <c r="AK28" s="80"/>
      <c r="AL28" s="80"/>
      <c r="AM28" s="80"/>
      <c r="AN28" s="207"/>
      <c r="AO28" s="12"/>
      <c r="AP28" s="96"/>
      <c r="AQ28" s="80"/>
      <c r="AR28" s="144"/>
      <c r="AS28" s="144"/>
      <c r="AT28" s="144"/>
    </row>
    <row r="29" spans="1:47" ht="12" thickBot="1">
      <c r="B29" s="178" t="s">
        <v>313</v>
      </c>
      <c r="AI29" s="80"/>
      <c r="AJ29" s="80"/>
      <c r="AK29" s="80"/>
      <c r="AL29" s="80"/>
      <c r="AM29" s="80"/>
      <c r="AN29" s="201">
        <f>+AN24+AI24</f>
        <v>259901924.00625706</v>
      </c>
      <c r="AO29" s="201">
        <f t="shared" ref="AO29:AQ29" si="36">+AO24+AJ24</f>
        <v>18419940.772457257</v>
      </c>
      <c r="AP29" s="201">
        <f t="shared" si="36"/>
        <v>0</v>
      </c>
      <c r="AQ29" s="201">
        <f t="shared" si="36"/>
        <v>6846346.7011348866</v>
      </c>
      <c r="AR29" s="144"/>
      <c r="AS29" s="201">
        <f>SUM(AN29:AQ29)</f>
        <v>285168211.47984916</v>
      </c>
    </row>
    <row r="30" spans="1:47" ht="12" thickTop="1">
      <c r="B30" s="178" t="s">
        <v>335</v>
      </c>
      <c r="AI30" s="80"/>
      <c r="AJ30" s="80"/>
      <c r="AK30" s="80"/>
      <c r="AL30" s="80"/>
      <c r="AM30" s="80"/>
      <c r="AN30" s="207" t="s">
        <v>340</v>
      </c>
      <c r="AO30" s="12"/>
      <c r="AP30" s="96"/>
      <c r="AQ30" s="80"/>
      <c r="AR30" s="144"/>
      <c r="AS30" s="181">
        <f>AS24-AS29</f>
        <v>1.5497207641601563E-6</v>
      </c>
      <c r="AT30" s="179"/>
    </row>
    <row r="31" spans="1:47">
      <c r="AI31" s="80"/>
      <c r="AJ31" s="80"/>
      <c r="AK31" s="80"/>
      <c r="AL31" s="80"/>
      <c r="AM31" s="80"/>
      <c r="AN31" s="217">
        <v>259901924</v>
      </c>
      <c r="AO31" s="12"/>
      <c r="AP31" s="96"/>
      <c r="AQ31" s="80"/>
      <c r="AR31" s="144"/>
      <c r="AS31" s="179" t="s">
        <v>168</v>
      </c>
      <c r="AT31" s="144"/>
    </row>
    <row r="32" spans="1:47">
      <c r="AI32" s="80"/>
      <c r="AJ32" s="80"/>
      <c r="AK32" s="80"/>
      <c r="AL32" s="80"/>
      <c r="AM32" s="80"/>
      <c r="AN32" s="181">
        <f>+AN31-AN29</f>
        <v>-6.2570571899414063E-3</v>
      </c>
      <c r="AO32" s="179" t="s">
        <v>168</v>
      </c>
      <c r="AP32" s="96"/>
      <c r="AQ32" s="80"/>
      <c r="AR32" s="144"/>
      <c r="AS32" s="144"/>
      <c r="AT32" s="144"/>
    </row>
    <row r="33" spans="2:47">
      <c r="AI33" s="80"/>
      <c r="AJ33" s="80"/>
      <c r="AK33" s="80"/>
      <c r="AL33" s="80"/>
      <c r="AM33" s="80"/>
      <c r="AN33" s="142"/>
      <c r="AO33" s="12"/>
      <c r="AP33" s="96"/>
      <c r="AQ33" s="80"/>
      <c r="AR33" s="144"/>
      <c r="AS33" s="144"/>
      <c r="AT33" s="144"/>
    </row>
    <row r="34" spans="2:47">
      <c r="B34" s="94"/>
      <c r="AI34" s="80"/>
      <c r="AJ34" s="80"/>
      <c r="AK34" s="80"/>
      <c r="AL34" s="80"/>
      <c r="AM34" s="80"/>
      <c r="AO34" s="12"/>
      <c r="AP34" s="96"/>
      <c r="AQ34" s="80"/>
      <c r="AR34" s="144"/>
      <c r="AS34" s="144"/>
      <c r="AT34" s="144"/>
    </row>
    <row r="35" spans="2:47">
      <c r="AI35" s="80"/>
      <c r="AJ35" s="80"/>
      <c r="AK35" s="80"/>
      <c r="AL35" s="80"/>
      <c r="AM35" s="80"/>
      <c r="AO35" s="12"/>
      <c r="AP35" s="96"/>
      <c r="AQ35" s="80"/>
      <c r="AR35" s="144"/>
      <c r="AS35" s="144"/>
      <c r="AT35" s="144"/>
    </row>
    <row r="36" spans="2:47">
      <c r="AI36" s="80"/>
      <c r="AJ36" s="80"/>
      <c r="AK36" s="80"/>
      <c r="AL36" s="80"/>
      <c r="AM36" s="80"/>
      <c r="AO36" s="12"/>
      <c r="AP36" s="96"/>
      <c r="AQ36" s="80"/>
      <c r="AR36" s="144"/>
      <c r="AS36" s="144"/>
      <c r="AT36" s="144"/>
    </row>
    <row r="37" spans="2:47">
      <c r="AI37" s="80"/>
      <c r="AJ37" s="80"/>
      <c r="AK37" s="80"/>
      <c r="AL37" s="80"/>
      <c r="AM37" s="80"/>
      <c r="AO37" s="12"/>
      <c r="AP37" s="96"/>
      <c r="AQ37" s="80"/>
      <c r="AR37" s="144"/>
      <c r="AS37" s="144"/>
      <c r="AT37" s="144"/>
    </row>
    <row r="38" spans="2:47">
      <c r="AR38" s="143"/>
      <c r="AS38" s="143"/>
      <c r="AT38" s="143"/>
      <c r="AU38" s="143"/>
    </row>
    <row r="39" spans="2:47">
      <c r="AR39" s="143"/>
      <c r="AS39" s="143"/>
      <c r="AT39" s="143"/>
      <c r="AU39" s="143"/>
    </row>
    <row r="40" spans="2:47">
      <c r="AR40" s="143"/>
      <c r="AS40" s="143"/>
      <c r="AT40" s="143"/>
      <c r="AU40" s="143"/>
    </row>
    <row r="41" spans="2:47">
      <c r="AR41" s="143"/>
      <c r="AS41" s="143"/>
      <c r="AT41" s="143"/>
      <c r="AU41" s="143"/>
    </row>
    <row r="42" spans="2:47">
      <c r="AR42" s="143"/>
      <c r="AS42" s="143"/>
      <c r="AT42" s="143"/>
      <c r="AU42" s="143"/>
    </row>
    <row r="43" spans="2:47">
      <c r="C43" s="102"/>
      <c r="AR43" s="143"/>
      <c r="AS43" s="143"/>
      <c r="AT43" s="143"/>
      <c r="AU43" s="143"/>
    </row>
    <row r="44" spans="2:47">
      <c r="AR44" s="143"/>
      <c r="AS44" s="143"/>
      <c r="AT44" s="143"/>
      <c r="AU44" s="143"/>
    </row>
    <row r="45" spans="2:47">
      <c r="AR45" s="143"/>
      <c r="AS45" s="143"/>
      <c r="AT45" s="143"/>
      <c r="AU45" s="143"/>
    </row>
    <row r="46" spans="2:47">
      <c r="AR46" s="143"/>
      <c r="AS46" s="143"/>
      <c r="AT46" s="143"/>
      <c r="AU46" s="143"/>
    </row>
    <row r="47" spans="2:47">
      <c r="AR47" s="143"/>
      <c r="AS47" s="143"/>
      <c r="AT47" s="143"/>
      <c r="AU47" s="143"/>
    </row>
  </sheetData>
  <mergeCells count="7">
    <mergeCell ref="AI6:AL6"/>
    <mergeCell ref="AN6:AR6"/>
    <mergeCell ref="A4:C4"/>
    <mergeCell ref="A5:C5"/>
    <mergeCell ref="A1:E1"/>
    <mergeCell ref="A2:E2"/>
    <mergeCell ref="A3:E3"/>
  </mergeCells>
  <pageMargins left="0.7" right="0.7" top="0.75" bottom="0.75" header="0.3" footer="0.3"/>
  <pageSetup scale="45" orientation="landscape" horizontalDpi="360" verticalDpi="360" r:id="rId1"/>
  <headerFooter>
    <oddFooter>&amp;R&amp;F
&amp;A
&amp;P of &amp;N</oddFooter>
  </headerFooter>
  <customProperties>
    <customPr name="_pios_id" r:id="rId2"/>
  </customPropertie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92D050"/>
    <pageSetUpPr fitToPage="1"/>
  </sheetPr>
  <dimension ref="C43"/>
  <sheetViews>
    <sheetView view="pageBreakPreview" zoomScale="60" zoomScaleNormal="100" workbookViewId="0">
      <selection activeCell="C32" sqref="C32"/>
    </sheetView>
  </sheetViews>
  <sheetFormatPr defaultColWidth="8.85546875" defaultRowHeight="11.25"/>
  <cols>
    <col min="1" max="16384" width="8.85546875" style="3"/>
  </cols>
  <sheetData>
    <row r="43" spans="3:3">
      <c r="C43" s="101"/>
    </row>
  </sheetData>
  <printOptions horizontalCentered="1"/>
  <pageMargins left="0.7" right="0.7" top="0.75" bottom="0.71" header="0.3" footer="0.3"/>
  <pageSetup orientation="landscape" r:id="rId1"/>
  <headerFooter alignWithMargins="0">
    <oddFooter>&amp;L&amp;"Times New Roman,Regular"&amp;F
&amp;A&amp;R&amp;"Times New Roman,Regular"Page &amp;P of &amp;N</oddFooter>
  </headerFooter>
  <customProperties>
    <customPr name="_pios_id" r:id="rId2"/>
  </customPropertie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6" tint="0.79998168889431442"/>
    <pageSetUpPr fitToPage="1"/>
  </sheetPr>
  <dimension ref="A1:N45"/>
  <sheetViews>
    <sheetView zoomScaleNormal="100" zoomScaleSheetLayoutView="100" workbookViewId="0">
      <pane xSplit="3" ySplit="7" topLeftCell="D8" activePane="bottomRight" state="frozen"/>
      <selection activeCell="U42" sqref="U42"/>
      <selection pane="topRight" activeCell="U42" sqref="U42"/>
      <selection pane="bottomLeft" activeCell="U42" sqref="U42"/>
      <selection pane="bottomRight" activeCell="U42" sqref="U42"/>
    </sheetView>
  </sheetViews>
  <sheetFormatPr defaultColWidth="8.85546875" defaultRowHeight="11.25"/>
  <cols>
    <col min="1" max="1" width="4.42578125" style="3" bestFit="1" customWidth="1"/>
    <col min="2" max="2" width="14.85546875" style="3" bestFit="1" customWidth="1"/>
    <col min="3" max="3" width="21.7109375" style="3" bestFit="1" customWidth="1"/>
    <col min="4" max="4" width="15.140625" style="3" bestFit="1" customWidth="1"/>
    <col min="5" max="5" width="11" style="3" customWidth="1"/>
    <col min="6" max="6" width="11.85546875" style="3" customWidth="1"/>
    <col min="7" max="7" width="0.85546875" style="3" customWidth="1"/>
    <col min="8" max="8" width="12.85546875" style="3" bestFit="1" customWidth="1"/>
    <col min="9" max="9" width="8.5703125" style="3" customWidth="1"/>
    <col min="10" max="10" width="10.7109375" style="3" bestFit="1" customWidth="1"/>
    <col min="11" max="11" width="1" style="3" customWidth="1"/>
    <col min="12" max="12" width="12.85546875" style="3" bestFit="1" customWidth="1"/>
    <col min="13" max="13" width="8.5703125" style="3" customWidth="1"/>
    <col min="14" max="14" width="13.42578125" style="3" customWidth="1"/>
    <col min="15" max="16384" width="8.85546875" style="3"/>
  </cols>
  <sheetData>
    <row r="1" spans="1:14" s="15" customFormat="1" ht="12.75" customHeight="1">
      <c r="A1" s="459" t="str">
        <f>'Exh CTM-8 (Rate Impacts_RY#1)'!A1</f>
        <v>Puget Sound Energy</v>
      </c>
      <c r="B1" s="460"/>
      <c r="C1" s="460"/>
      <c r="D1" s="460"/>
      <c r="E1" s="460"/>
      <c r="F1" s="460"/>
      <c r="G1" s="460"/>
      <c r="H1" s="460"/>
      <c r="I1" s="460"/>
      <c r="J1" s="460"/>
      <c r="K1" s="460"/>
      <c r="L1" s="460"/>
      <c r="M1" s="460"/>
      <c r="N1" s="460"/>
    </row>
    <row r="2" spans="1:14" s="15" customFormat="1" ht="12.75">
      <c r="A2" s="459" t="str">
        <f>'Exh CTM-8 (Rate Impacts_RY#1)'!A2</f>
        <v>2024 General Rate Case Docket No. UE-240004 and UG-240005</v>
      </c>
      <c r="B2" s="460"/>
      <c r="C2" s="460"/>
      <c r="D2" s="460"/>
      <c r="E2" s="460"/>
      <c r="F2" s="460"/>
      <c r="G2" s="460"/>
      <c r="H2" s="460"/>
      <c r="I2" s="460"/>
      <c r="J2" s="460"/>
      <c r="K2" s="460"/>
      <c r="L2" s="460"/>
      <c r="M2" s="460"/>
      <c r="N2" s="460"/>
    </row>
    <row r="3" spans="1:14" s="15" customFormat="1" ht="12.75">
      <c r="A3" s="545" t="s">
        <v>188</v>
      </c>
      <c r="B3" s="470"/>
      <c r="C3" s="470"/>
      <c r="D3" s="470"/>
      <c r="E3" s="470"/>
      <c r="F3" s="471"/>
      <c r="G3" s="471"/>
      <c r="H3" s="471"/>
      <c r="I3" s="471"/>
      <c r="J3" s="471"/>
      <c r="K3" s="471"/>
      <c r="L3" s="471"/>
      <c r="M3" s="471"/>
      <c r="N3" s="471"/>
    </row>
    <row r="4" spans="1:14" s="15" customFormat="1" ht="12.75">
      <c r="A4" s="545" t="s">
        <v>177</v>
      </c>
      <c r="B4" s="470"/>
      <c r="C4" s="470"/>
      <c r="D4" s="470"/>
      <c r="E4" s="470"/>
      <c r="F4" s="471"/>
      <c r="G4" s="471"/>
      <c r="H4" s="471"/>
      <c r="I4" s="471"/>
      <c r="J4" s="471"/>
      <c r="K4" s="471"/>
      <c r="L4" s="471"/>
      <c r="M4" s="471"/>
      <c r="N4" s="471"/>
    </row>
    <row r="5" spans="1:14" s="15" customFormat="1">
      <c r="A5" s="456"/>
      <c r="B5" s="456"/>
      <c r="C5" s="456"/>
      <c r="D5" s="456"/>
      <c r="E5" s="456"/>
      <c r="F5" s="44"/>
    </row>
    <row r="6" spans="1:14" s="15" customFormat="1">
      <c r="A6" s="45"/>
      <c r="B6" s="44"/>
      <c r="C6" s="44"/>
      <c r="D6" s="44"/>
      <c r="H6" s="539" t="s">
        <v>175</v>
      </c>
      <c r="I6" s="540"/>
      <c r="J6" s="541"/>
      <c r="L6" s="542" t="s">
        <v>176</v>
      </c>
      <c r="M6" s="543"/>
      <c r="N6" s="544"/>
    </row>
    <row r="7" spans="1:14" s="15" customFormat="1" ht="45">
      <c r="A7" s="97" t="s">
        <v>2</v>
      </c>
      <c r="B7" s="97" t="s">
        <v>3</v>
      </c>
      <c r="C7" s="97" t="s">
        <v>14</v>
      </c>
      <c r="D7" s="105" t="str">
        <f>'Revenue by Sch RY#1'!D7</f>
        <v>12 months ending December 2025 F23 Forecast KWh</v>
      </c>
      <c r="E7" s="104" t="s">
        <v>214</v>
      </c>
      <c r="F7" s="10" t="s">
        <v>90</v>
      </c>
      <c r="H7" s="10" t="s">
        <v>216</v>
      </c>
      <c r="I7" s="104" t="s">
        <v>182</v>
      </c>
      <c r="J7" s="10" t="s">
        <v>90</v>
      </c>
      <c r="K7" s="10"/>
      <c r="L7" s="10" t="str">
        <f>+H7</f>
        <v>Annual Delivered KWh</v>
      </c>
      <c r="M7" s="104" t="s">
        <v>183</v>
      </c>
      <c r="N7" s="10" t="str">
        <f>+J7</f>
        <v>Annual Delivered $</v>
      </c>
    </row>
    <row r="8" spans="1:14">
      <c r="A8" s="2">
        <v>1</v>
      </c>
      <c r="B8" s="107" t="s">
        <v>181</v>
      </c>
      <c r="D8" s="116">
        <f>'Revenue by Sch RY#1'!D9</f>
        <v>11278205851.395365</v>
      </c>
      <c r="E8" s="129">
        <v>7.8630000000000002E-3</v>
      </c>
      <c r="F8" s="12">
        <f>D8*E8</f>
        <v>88680532.609521762</v>
      </c>
      <c r="H8" s="4">
        <f>D8</f>
        <v>11278205851.395365</v>
      </c>
      <c r="I8" s="109">
        <v>0</v>
      </c>
      <c r="J8" s="12">
        <f>$I8*H8</f>
        <v>0</v>
      </c>
      <c r="K8" s="12"/>
      <c r="L8" s="116">
        <f>'Revenue by Sch RY#2'!D9</f>
        <v>11447649239.71397</v>
      </c>
      <c r="M8" s="11">
        <f>I8</f>
        <v>0</v>
      </c>
      <c r="N8" s="12">
        <f>$M8*L8</f>
        <v>0</v>
      </c>
    </row>
    <row r="9" spans="1:14">
      <c r="A9" s="2">
        <f t="shared" ref="A9:A41" si="0">+A8+1</f>
        <v>2</v>
      </c>
      <c r="B9" s="108" t="s">
        <v>179</v>
      </c>
      <c r="D9" s="4">
        <v>0</v>
      </c>
      <c r="E9" s="129">
        <v>7.5240000000000003E-3</v>
      </c>
      <c r="F9" s="12">
        <f>D9*E9</f>
        <v>0</v>
      </c>
      <c r="H9" s="4">
        <f>D9</f>
        <v>0</v>
      </c>
      <c r="I9" s="109">
        <v>0</v>
      </c>
      <c r="J9" s="12">
        <f>$I9*H9</f>
        <v>0</v>
      </c>
      <c r="K9" s="12"/>
      <c r="L9" s="4">
        <v>0</v>
      </c>
      <c r="M9" s="11">
        <f>I9</f>
        <v>0</v>
      </c>
      <c r="N9" s="12">
        <f>$M9*L9</f>
        <v>0</v>
      </c>
    </row>
    <row r="10" spans="1:14">
      <c r="A10" s="2">
        <f t="shared" si="0"/>
        <v>3</v>
      </c>
      <c r="B10" s="2"/>
      <c r="C10" s="3" t="s">
        <v>4</v>
      </c>
      <c r="D10" s="6">
        <f>SUM(D8:D9)</f>
        <v>11278205851.395365</v>
      </c>
      <c r="E10" s="130"/>
      <c r="F10" s="13">
        <f t="shared" ref="F10" si="1">SUM(F8:F9)</f>
        <v>88680532.609521762</v>
      </c>
      <c r="H10" s="6">
        <f>SUM(H8:H9)</f>
        <v>11278205851.395365</v>
      </c>
      <c r="I10" s="11"/>
      <c r="J10" s="13">
        <f t="shared" ref="J10" si="2">SUM(J8:J9)</f>
        <v>0</v>
      </c>
      <c r="K10" s="12"/>
      <c r="L10" s="6">
        <f>SUM(L8:L9)</f>
        <v>11447649239.71397</v>
      </c>
      <c r="M10" s="11"/>
      <c r="N10" s="13">
        <f t="shared" ref="N10" si="3">SUM(N8:N9)</f>
        <v>0</v>
      </c>
    </row>
    <row r="11" spans="1:14">
      <c r="A11" s="2">
        <f t="shared" si="0"/>
        <v>4</v>
      </c>
      <c r="B11" s="2"/>
      <c r="D11" s="4"/>
      <c r="E11" s="130"/>
      <c r="F11" s="12"/>
      <c r="H11" s="4"/>
      <c r="I11" s="11"/>
      <c r="J11" s="12"/>
      <c r="K11" s="12"/>
      <c r="L11" s="4"/>
      <c r="M11" s="11"/>
      <c r="N11" s="12"/>
    </row>
    <row r="12" spans="1:14">
      <c r="A12" s="2">
        <f t="shared" si="0"/>
        <v>5</v>
      </c>
      <c r="B12" s="107">
        <v>8</v>
      </c>
      <c r="D12" s="4">
        <v>0</v>
      </c>
      <c r="E12" s="129">
        <v>7.5050000000000004E-3</v>
      </c>
      <c r="F12" s="12">
        <f t="shared" ref="F12:F18" si="4">D12*E12</f>
        <v>0</v>
      </c>
      <c r="H12" s="4">
        <f>D12</f>
        <v>0</v>
      </c>
      <c r="I12" s="109">
        <v>0</v>
      </c>
      <c r="J12" s="12">
        <f t="shared" ref="J12:J18" si="5">$I12*H12</f>
        <v>0</v>
      </c>
      <c r="K12" s="12"/>
      <c r="L12" s="4">
        <v>0</v>
      </c>
      <c r="M12" s="11">
        <f t="shared" ref="M12:M18" si="6">I12</f>
        <v>0</v>
      </c>
      <c r="N12" s="12">
        <f t="shared" ref="N12:N18" si="7">$M12*L12</f>
        <v>0</v>
      </c>
    </row>
    <row r="13" spans="1:14">
      <c r="A13" s="2">
        <f t="shared" si="0"/>
        <v>6</v>
      </c>
      <c r="B13" s="107" t="s">
        <v>180</v>
      </c>
      <c r="D13" s="116">
        <f>'Revenue by Sch RY#1'!D10</f>
        <v>2762635966.1696987</v>
      </c>
      <c r="E13" s="130">
        <f>+E12</f>
        <v>7.5050000000000004E-3</v>
      </c>
      <c r="F13" s="12">
        <f t="shared" si="4"/>
        <v>20733582.926103588</v>
      </c>
      <c r="H13" s="4">
        <f>D13</f>
        <v>2762635966.1696987</v>
      </c>
      <c r="I13" s="109">
        <v>0</v>
      </c>
      <c r="J13" s="12">
        <f t="shared" si="5"/>
        <v>0</v>
      </c>
      <c r="K13" s="12"/>
      <c r="L13" s="116">
        <f>'Revenue by Sch RY#2'!D10</f>
        <v>2774967422.2693906</v>
      </c>
      <c r="M13" s="11">
        <f t="shared" si="6"/>
        <v>0</v>
      </c>
      <c r="N13" s="12">
        <f t="shared" si="7"/>
        <v>0</v>
      </c>
    </row>
    <row r="14" spans="1:14">
      <c r="A14" s="2">
        <f t="shared" si="0"/>
        <v>7</v>
      </c>
      <c r="B14" s="108">
        <v>11</v>
      </c>
      <c r="D14" s="4">
        <v>0</v>
      </c>
      <c r="E14" s="130">
        <f>E9</f>
        <v>7.5240000000000003E-3</v>
      </c>
      <c r="F14" s="12">
        <f t="shared" si="4"/>
        <v>0</v>
      </c>
      <c r="H14" s="4">
        <f t="shared" ref="H14:H18" si="8">D14</f>
        <v>0</v>
      </c>
      <c r="I14" s="109">
        <v>0</v>
      </c>
      <c r="J14" s="12">
        <f t="shared" si="5"/>
        <v>0</v>
      </c>
      <c r="K14" s="12"/>
      <c r="L14" s="4">
        <v>0</v>
      </c>
      <c r="M14" s="11">
        <f t="shared" si="6"/>
        <v>0</v>
      </c>
      <c r="N14" s="12">
        <f t="shared" si="7"/>
        <v>0</v>
      </c>
    </row>
    <row r="15" spans="1:14">
      <c r="A15" s="2">
        <f t="shared" si="0"/>
        <v>8</v>
      </c>
      <c r="B15" s="108">
        <v>25</v>
      </c>
      <c r="D15" s="116">
        <f>'Revenue by Sch RY#1'!D11</f>
        <v>2960202274.8054705</v>
      </c>
      <c r="E15" s="130">
        <f>+E14</f>
        <v>7.5240000000000003E-3</v>
      </c>
      <c r="F15" s="12">
        <f t="shared" si="4"/>
        <v>22272561.915636361</v>
      </c>
      <c r="H15" s="4">
        <f t="shared" si="8"/>
        <v>2960202274.8054705</v>
      </c>
      <c r="I15" s="109">
        <v>0</v>
      </c>
      <c r="J15" s="12">
        <f t="shared" si="5"/>
        <v>0</v>
      </c>
      <c r="K15" s="12"/>
      <c r="L15" s="116">
        <f>'Revenue by Sch RY#2'!D11</f>
        <v>2968720174.6374388</v>
      </c>
      <c r="M15" s="11">
        <f t="shared" si="6"/>
        <v>0</v>
      </c>
      <c r="N15" s="12">
        <f t="shared" si="7"/>
        <v>0</v>
      </c>
    </row>
    <row r="16" spans="1:14">
      <c r="A16" s="2">
        <f t="shared" si="0"/>
        <v>9</v>
      </c>
      <c r="B16" s="107">
        <v>12</v>
      </c>
      <c r="D16" s="4">
        <v>0</v>
      </c>
      <c r="E16" s="129">
        <v>7.0130000000000001E-3</v>
      </c>
      <c r="F16" s="12">
        <f t="shared" si="4"/>
        <v>0</v>
      </c>
      <c r="H16" s="4">
        <f t="shared" si="8"/>
        <v>0</v>
      </c>
      <c r="I16" s="109">
        <v>0</v>
      </c>
      <c r="J16" s="12">
        <f t="shared" si="5"/>
        <v>0</v>
      </c>
      <c r="K16" s="12"/>
      <c r="L16" s="4">
        <v>0</v>
      </c>
      <c r="M16" s="11">
        <f t="shared" si="6"/>
        <v>0</v>
      </c>
      <c r="N16" s="12">
        <f t="shared" si="7"/>
        <v>0</v>
      </c>
    </row>
    <row r="17" spans="1:14">
      <c r="A17" s="2">
        <f t="shared" si="0"/>
        <v>10</v>
      </c>
      <c r="B17" s="107" t="s">
        <v>5</v>
      </c>
      <c r="D17" s="116">
        <f>'Revenue by Sch RY#1'!D12</f>
        <v>2013891730.8000479</v>
      </c>
      <c r="E17" s="130">
        <f>+E16</f>
        <v>7.0130000000000001E-3</v>
      </c>
      <c r="F17" s="12">
        <f t="shared" si="4"/>
        <v>14123422.708100736</v>
      </c>
      <c r="H17" s="4">
        <f t="shared" si="8"/>
        <v>2013891730.8000479</v>
      </c>
      <c r="I17" s="109">
        <v>0</v>
      </c>
      <c r="J17" s="12">
        <f t="shared" si="5"/>
        <v>0</v>
      </c>
      <c r="K17" s="12"/>
      <c r="L17" s="116">
        <f>'Revenue by Sch RY#2'!D12</f>
        <v>2056791563.2414525</v>
      </c>
      <c r="M17" s="11">
        <f t="shared" si="6"/>
        <v>0</v>
      </c>
      <c r="N17" s="12">
        <f t="shared" si="7"/>
        <v>0</v>
      </c>
    </row>
    <row r="18" spans="1:14">
      <c r="A18" s="2">
        <f t="shared" si="0"/>
        <v>11</v>
      </c>
      <c r="B18" s="107">
        <v>29</v>
      </c>
      <c r="D18" s="116">
        <f>'Revenue by Sch RY#1'!D13</f>
        <v>14930059.630887466</v>
      </c>
      <c r="E18" s="129">
        <v>7.9100000000000004E-3</v>
      </c>
      <c r="F18" s="12">
        <f t="shared" si="4"/>
        <v>118096.77168031986</v>
      </c>
      <c r="H18" s="4">
        <f t="shared" si="8"/>
        <v>14930059.630887466</v>
      </c>
      <c r="I18" s="109">
        <v>0</v>
      </c>
      <c r="J18" s="12">
        <f t="shared" si="5"/>
        <v>0</v>
      </c>
      <c r="K18" s="12"/>
      <c r="L18" s="116">
        <f>'Revenue by Sch RY#2'!D13</f>
        <v>14843026.361509496</v>
      </c>
      <c r="M18" s="11">
        <f t="shared" si="6"/>
        <v>0</v>
      </c>
      <c r="N18" s="12">
        <f t="shared" si="7"/>
        <v>0</v>
      </c>
    </row>
    <row r="19" spans="1:14">
      <c r="A19" s="2">
        <f t="shared" si="0"/>
        <v>12</v>
      </c>
      <c r="B19" s="2"/>
      <c r="C19" s="7" t="s">
        <v>6</v>
      </c>
      <c r="D19" s="6">
        <f>SUM(D12:D18)</f>
        <v>7751660031.4061041</v>
      </c>
      <c r="E19" s="130"/>
      <c r="F19" s="13">
        <f t="shared" ref="F19" si="9">SUM(F12:F18)</f>
        <v>57247664.321521007</v>
      </c>
      <c r="H19" s="6">
        <f>SUM(H12:H18)</f>
        <v>7751660031.4061041</v>
      </c>
      <c r="I19" s="11"/>
      <c r="J19" s="13">
        <f t="shared" ref="J19" si="10">SUM(J12:J18)</f>
        <v>0</v>
      </c>
      <c r="K19" s="12"/>
      <c r="L19" s="6">
        <f>SUM(L12:L18)</f>
        <v>7815322186.5097914</v>
      </c>
      <c r="M19" s="11"/>
      <c r="N19" s="13">
        <f t="shared" ref="N19" si="11">SUM(N12:N18)</f>
        <v>0</v>
      </c>
    </row>
    <row r="20" spans="1:14">
      <c r="A20" s="2">
        <f t="shared" si="0"/>
        <v>13</v>
      </c>
      <c r="B20" s="2"/>
      <c r="D20" s="4"/>
      <c r="E20" s="130"/>
      <c r="F20" s="12"/>
      <c r="H20" s="4"/>
      <c r="I20" s="11"/>
      <c r="J20" s="12"/>
      <c r="K20" s="12"/>
      <c r="L20" s="4"/>
      <c r="M20" s="11"/>
      <c r="N20" s="12"/>
    </row>
    <row r="21" spans="1:14">
      <c r="A21" s="2">
        <f t="shared" si="0"/>
        <v>14</v>
      </c>
      <c r="B21" s="107">
        <v>10</v>
      </c>
      <c r="D21" s="4">
        <v>0</v>
      </c>
      <c r="E21" s="129">
        <v>6.8739999999999999E-3</v>
      </c>
      <c r="F21" s="12">
        <f t="shared" ref="F21:F24" si="12">D21*E21</f>
        <v>0</v>
      </c>
      <c r="H21" s="4">
        <f t="shared" ref="H21:H24" si="13">D21</f>
        <v>0</v>
      </c>
      <c r="I21" s="109">
        <v>0</v>
      </c>
      <c r="J21" s="12">
        <f t="shared" ref="J21:J24" si="14">$I21*H21</f>
        <v>0</v>
      </c>
      <c r="K21" s="12"/>
      <c r="L21" s="4">
        <v>0</v>
      </c>
      <c r="M21" s="11">
        <f t="shared" ref="M21:M24" si="15">I21</f>
        <v>0</v>
      </c>
      <c r="N21" s="12">
        <f t="shared" ref="N21:N24" si="16">$M21*L21</f>
        <v>0</v>
      </c>
    </row>
    <row r="22" spans="1:14">
      <c r="A22" s="2">
        <f t="shared" si="0"/>
        <v>15</v>
      </c>
      <c r="B22" s="107">
        <v>31</v>
      </c>
      <c r="D22" s="116">
        <f>'Revenue by Sch RY#1'!D14</f>
        <v>1423586019.4788036</v>
      </c>
      <c r="E22" s="130">
        <f>+E21</f>
        <v>6.8739999999999999E-3</v>
      </c>
      <c r="F22" s="12">
        <f t="shared" si="12"/>
        <v>9785730.297897296</v>
      </c>
      <c r="H22" s="4">
        <f t="shared" si="13"/>
        <v>1423586019.4788036</v>
      </c>
      <c r="I22" s="109">
        <v>0</v>
      </c>
      <c r="J22" s="12">
        <f t="shared" si="14"/>
        <v>0</v>
      </c>
      <c r="K22" s="12"/>
      <c r="L22" s="116">
        <f>'Revenue by Sch RY#2'!D14</f>
        <v>1411297972.0883911</v>
      </c>
      <c r="M22" s="11">
        <f t="shared" si="15"/>
        <v>0</v>
      </c>
      <c r="N22" s="12">
        <f t="shared" si="16"/>
        <v>0</v>
      </c>
    </row>
    <row r="23" spans="1:14">
      <c r="A23" s="2">
        <f t="shared" si="0"/>
        <v>16</v>
      </c>
      <c r="B23" s="107">
        <v>35</v>
      </c>
      <c r="D23" s="116">
        <f>'Revenue by Sch RY#1'!D15</f>
        <v>4407260.1568774413</v>
      </c>
      <c r="E23" s="129">
        <v>7.3559999999999997E-3</v>
      </c>
      <c r="F23" s="12">
        <f t="shared" si="12"/>
        <v>32419.805713990456</v>
      </c>
      <c r="H23" s="4">
        <f t="shared" si="13"/>
        <v>4407260.1568774413</v>
      </c>
      <c r="I23" s="109">
        <v>0</v>
      </c>
      <c r="J23" s="12">
        <f t="shared" si="14"/>
        <v>0</v>
      </c>
      <c r="K23" s="12"/>
      <c r="L23" s="116">
        <f>'Revenue by Sch RY#2'!D15</f>
        <v>4380281.1514552524</v>
      </c>
      <c r="M23" s="11">
        <f t="shared" si="15"/>
        <v>0</v>
      </c>
      <c r="N23" s="12">
        <f t="shared" si="16"/>
        <v>0</v>
      </c>
    </row>
    <row r="24" spans="1:14">
      <c r="A24" s="2">
        <f t="shared" si="0"/>
        <v>17</v>
      </c>
      <c r="B24" s="107">
        <v>43</v>
      </c>
      <c r="D24" s="116">
        <f>'Revenue by Sch RY#1'!D16</f>
        <v>122267424.6450724</v>
      </c>
      <c r="E24" s="129">
        <v>6.7629999999999999E-3</v>
      </c>
      <c r="F24" s="12">
        <f t="shared" si="12"/>
        <v>826894.59287462465</v>
      </c>
      <c r="H24" s="4">
        <f t="shared" si="13"/>
        <v>122267424.6450724</v>
      </c>
      <c r="I24" s="109">
        <v>0</v>
      </c>
      <c r="J24" s="12">
        <f t="shared" si="14"/>
        <v>0</v>
      </c>
      <c r="K24" s="12"/>
      <c r="L24" s="116">
        <f>'Revenue by Sch RY#2'!D16</f>
        <v>121633779.10385114</v>
      </c>
      <c r="M24" s="11">
        <f t="shared" si="15"/>
        <v>0</v>
      </c>
      <c r="N24" s="12">
        <f t="shared" si="16"/>
        <v>0</v>
      </c>
    </row>
    <row r="25" spans="1:14">
      <c r="A25" s="2">
        <f t="shared" si="0"/>
        <v>18</v>
      </c>
      <c r="B25" s="2"/>
      <c r="C25" s="3" t="s">
        <v>7</v>
      </c>
      <c r="D25" s="6">
        <f>SUM(D21:D24)</f>
        <v>1550260704.2807536</v>
      </c>
      <c r="E25" s="130"/>
      <c r="F25" s="13">
        <f t="shared" ref="F25" si="17">SUM(F21:F24)</f>
        <v>10645044.696485911</v>
      </c>
      <c r="H25" s="6">
        <f>SUM(H21:H24)</f>
        <v>1550260704.2807536</v>
      </c>
      <c r="I25" s="11"/>
      <c r="J25" s="13">
        <f t="shared" ref="J25" si="18">SUM(J21:J24)</f>
        <v>0</v>
      </c>
      <c r="K25" s="12"/>
      <c r="L25" s="6">
        <f>SUM(L21:L24)</f>
        <v>1537312032.3436973</v>
      </c>
      <c r="M25" s="11"/>
      <c r="N25" s="13">
        <f t="shared" ref="N25" si="19">SUM(N21:N24)</f>
        <v>0</v>
      </c>
    </row>
    <row r="26" spans="1:14">
      <c r="A26" s="2">
        <f t="shared" si="0"/>
        <v>19</v>
      </c>
      <c r="B26" s="2"/>
      <c r="D26" s="4"/>
      <c r="E26" s="130"/>
      <c r="F26" s="12"/>
      <c r="H26" s="4"/>
      <c r="I26" s="11"/>
      <c r="J26" s="12"/>
      <c r="K26" s="12"/>
      <c r="L26" s="4"/>
      <c r="M26" s="11"/>
      <c r="N26" s="12"/>
    </row>
    <row r="27" spans="1:14">
      <c r="A27" s="2">
        <f t="shared" si="0"/>
        <v>20</v>
      </c>
      <c r="B27" s="107">
        <v>46</v>
      </c>
      <c r="D27" s="116">
        <f>'Revenue by Sch RY#1'!D17</f>
        <v>96933187.043131709</v>
      </c>
      <c r="E27" s="129">
        <v>7.5490000000000002E-3</v>
      </c>
      <c r="F27" s="12">
        <f t="shared" ref="F27:F28" si="20">D27*E27</f>
        <v>731748.62898860127</v>
      </c>
      <c r="H27" s="4">
        <f t="shared" ref="H27:H28" si="21">D27</f>
        <v>96933187.043131709</v>
      </c>
      <c r="I27" s="109">
        <v>0</v>
      </c>
      <c r="J27" s="12">
        <f t="shared" ref="J27:J28" si="22">$I27*H27</f>
        <v>0</v>
      </c>
      <c r="K27" s="12"/>
      <c r="L27" s="116">
        <f>'Revenue by Sch RY#2'!D17</f>
        <v>96918964.527943105</v>
      </c>
      <c r="M27" s="11">
        <f t="shared" ref="M27:M28" si="23">I27</f>
        <v>0</v>
      </c>
      <c r="N27" s="12">
        <f t="shared" ref="N27:N28" si="24">$M27*L27</f>
        <v>0</v>
      </c>
    </row>
    <row r="28" spans="1:14">
      <c r="A28" s="2">
        <f t="shared" si="0"/>
        <v>21</v>
      </c>
      <c r="B28" s="107">
        <v>49</v>
      </c>
      <c r="D28" s="116">
        <f>'Revenue by Sch RY#1'!D18</f>
        <v>534843226.30681556</v>
      </c>
      <c r="E28" s="129">
        <v>6.966E-3</v>
      </c>
      <c r="F28" s="12">
        <f t="shared" si="20"/>
        <v>3725717.9144532774</v>
      </c>
      <c r="H28" s="4">
        <f t="shared" si="21"/>
        <v>534843226.30681556</v>
      </c>
      <c r="I28" s="109">
        <v>0</v>
      </c>
      <c r="J28" s="12">
        <f t="shared" si="22"/>
        <v>0</v>
      </c>
      <c r="K28" s="12"/>
      <c r="L28" s="116">
        <f>'Revenue by Sch RY#2'!D18</f>
        <v>534899242.67952603</v>
      </c>
      <c r="M28" s="11">
        <f t="shared" si="23"/>
        <v>0</v>
      </c>
      <c r="N28" s="12">
        <f t="shared" si="24"/>
        <v>0</v>
      </c>
    </row>
    <row r="29" spans="1:14">
      <c r="A29" s="2">
        <f t="shared" si="0"/>
        <v>22</v>
      </c>
      <c r="B29" s="2"/>
      <c r="C29" s="3" t="s">
        <v>8</v>
      </c>
      <c r="D29" s="6">
        <f>SUM(D27:D28)</f>
        <v>631776413.34994721</v>
      </c>
      <c r="E29" s="11"/>
      <c r="F29" s="13">
        <f t="shared" ref="F29" si="25">SUM(F27:F28)</f>
        <v>4457466.5434418786</v>
      </c>
      <c r="H29" s="6">
        <f>SUM(H27:H28)</f>
        <v>631776413.34994721</v>
      </c>
      <c r="I29" s="11"/>
      <c r="J29" s="13">
        <f t="shared" ref="J29" si="26">SUM(J27:J28)</f>
        <v>0</v>
      </c>
      <c r="K29" s="12"/>
      <c r="L29" s="6">
        <f>SUM(L27:L28)</f>
        <v>631818207.20746911</v>
      </c>
      <c r="M29" s="11"/>
      <c r="N29" s="13">
        <f t="shared" ref="N29" si="27">SUM(N27:N28)</f>
        <v>0</v>
      </c>
    </row>
    <row r="30" spans="1:14">
      <c r="A30" s="2">
        <f t="shared" si="0"/>
        <v>23</v>
      </c>
      <c r="B30" s="2"/>
      <c r="D30" s="4"/>
      <c r="E30" s="11"/>
      <c r="F30" s="12"/>
      <c r="H30" s="4"/>
      <c r="I30" s="11"/>
      <c r="J30" s="12"/>
      <c r="K30" s="12"/>
      <c r="L30" s="4"/>
      <c r="M30" s="11"/>
      <c r="N30" s="12"/>
    </row>
    <row r="31" spans="1:14">
      <c r="A31" s="2">
        <f t="shared" si="0"/>
        <v>24</v>
      </c>
      <c r="B31" s="107" t="s">
        <v>178</v>
      </c>
      <c r="D31" s="122">
        <f>'Revenue by Sch RY#1'!D19</f>
        <v>67255417.982360825</v>
      </c>
      <c r="E31" s="117">
        <v>8.1030000000000008E-3</v>
      </c>
      <c r="F31" s="13">
        <f>D31*E31</f>
        <v>544970.65191106987</v>
      </c>
      <c r="H31" s="6">
        <f>D31</f>
        <v>67255417.982360825</v>
      </c>
      <c r="I31" s="109">
        <v>0</v>
      </c>
      <c r="J31" s="13">
        <f>$I31*H31</f>
        <v>0</v>
      </c>
      <c r="K31" s="12"/>
      <c r="L31" s="122">
        <f>'Revenue by Sch RY#2'!D19</f>
        <v>67027608.143863305</v>
      </c>
      <c r="M31" s="11">
        <f>I31</f>
        <v>0</v>
      </c>
      <c r="N31" s="13">
        <f>$M31*L31</f>
        <v>0</v>
      </c>
    </row>
    <row r="32" spans="1:14">
      <c r="A32" s="2">
        <f t="shared" si="0"/>
        <v>25</v>
      </c>
      <c r="B32" s="2"/>
      <c r="D32" s="4"/>
      <c r="E32" s="11"/>
      <c r="F32" s="12"/>
      <c r="H32" s="4"/>
      <c r="I32" s="11"/>
      <c r="J32" s="12"/>
      <c r="K32" s="12"/>
      <c r="L32" s="4"/>
      <c r="M32" s="11"/>
      <c r="N32" s="12"/>
    </row>
    <row r="33" spans="1:14">
      <c r="A33" s="2">
        <f t="shared" si="0"/>
        <v>26</v>
      </c>
      <c r="B33" s="108" t="s">
        <v>9</v>
      </c>
      <c r="D33" s="116">
        <f>'Revenue by Sch RY#1'!D20</f>
        <v>1967511960.3194919</v>
      </c>
      <c r="E33" s="117">
        <v>0</v>
      </c>
      <c r="F33" s="12">
        <f t="shared" ref="F33:F34" si="28">D33*E33</f>
        <v>0</v>
      </c>
      <c r="H33" s="4">
        <f t="shared" ref="H33:H34" si="29">D33</f>
        <v>1967511960.3194919</v>
      </c>
      <c r="I33" s="109">
        <v>0</v>
      </c>
      <c r="J33" s="12">
        <f t="shared" ref="J33:J34" si="30">$I33*H33</f>
        <v>0</v>
      </c>
      <c r="K33" s="12"/>
      <c r="L33" s="116">
        <f>'Revenue by Sch RY#2'!D20</f>
        <v>1964993565.6779518</v>
      </c>
      <c r="M33" s="11">
        <f t="shared" ref="M33:M34" si="31">I33</f>
        <v>0</v>
      </c>
      <c r="N33" s="12">
        <f t="shared" ref="N33:N34" si="32">$M33*L33</f>
        <v>0</v>
      </c>
    </row>
    <row r="34" spans="1:14">
      <c r="A34" s="2">
        <f t="shared" si="0"/>
        <v>27</v>
      </c>
      <c r="B34" s="108" t="s">
        <v>76</v>
      </c>
      <c r="D34" s="116">
        <f>'Revenue by Sch RY#1'!D21</f>
        <v>304773055.46200001</v>
      </c>
      <c r="E34" s="117">
        <v>0</v>
      </c>
      <c r="F34" s="12">
        <f t="shared" si="28"/>
        <v>0</v>
      </c>
      <c r="H34" s="4">
        <f t="shared" si="29"/>
        <v>304773055.46200001</v>
      </c>
      <c r="I34" s="109">
        <v>0</v>
      </c>
      <c r="J34" s="12">
        <f t="shared" si="30"/>
        <v>0</v>
      </c>
      <c r="K34" s="12"/>
      <c r="L34" s="116">
        <f>'Revenue by Sch RY#2'!D21</f>
        <v>304773055.46200001</v>
      </c>
      <c r="M34" s="11">
        <f t="shared" si="31"/>
        <v>0</v>
      </c>
      <c r="N34" s="12">
        <f t="shared" si="32"/>
        <v>0</v>
      </c>
    </row>
    <row r="35" spans="1:14">
      <c r="A35" s="2">
        <f t="shared" si="0"/>
        <v>28</v>
      </c>
      <c r="B35" s="5"/>
      <c r="C35" s="3" t="s">
        <v>77</v>
      </c>
      <c r="D35" s="6">
        <f>SUM(D33:D34)</f>
        <v>2272285015.7814918</v>
      </c>
      <c r="E35" s="11"/>
      <c r="F35" s="13">
        <f t="shared" ref="F35" si="33">SUM(F33:F34)</f>
        <v>0</v>
      </c>
      <c r="H35" s="6">
        <f>SUM(H33:H34)</f>
        <v>2272285015.7814918</v>
      </c>
      <c r="J35" s="13">
        <f t="shared" ref="J35" si="34">SUM(J33:J34)</f>
        <v>0</v>
      </c>
      <c r="K35" s="12"/>
      <c r="L35" s="6">
        <f>SUM(L33:L34)</f>
        <v>2269766621.1399517</v>
      </c>
      <c r="N35" s="13">
        <f t="shared" ref="N35" si="35">SUM(N33:N34)</f>
        <v>0</v>
      </c>
    </row>
    <row r="36" spans="1:14">
      <c r="A36" s="2">
        <f t="shared" si="0"/>
        <v>29</v>
      </c>
      <c r="B36" s="2"/>
      <c r="D36" s="4"/>
      <c r="E36" s="11"/>
      <c r="F36" s="12"/>
      <c r="H36" s="4"/>
      <c r="J36" s="12"/>
      <c r="K36" s="12"/>
      <c r="L36" s="4"/>
      <c r="N36" s="12"/>
    </row>
    <row r="37" spans="1:14" ht="12" thickBot="1">
      <c r="A37" s="2">
        <f t="shared" si="0"/>
        <v>30</v>
      </c>
      <c r="B37" s="2"/>
      <c r="C37" s="7" t="s">
        <v>15</v>
      </c>
      <c r="D37" s="8">
        <f>SUM(D10,D19,D25,D29,D31,D35)</f>
        <v>23551443434.196022</v>
      </c>
      <c r="E37" s="11"/>
      <c r="F37" s="14">
        <f>SUM(F10,F19,F25,F29,F31,F35)</f>
        <v>161575678.82288164</v>
      </c>
      <c r="H37" s="8">
        <f>SUM(H10,H19,H25,H29,H31,H35)</f>
        <v>23551443434.196022</v>
      </c>
      <c r="J37" s="14">
        <f>SUM(J10,J19,J25,J29,J31,J35)</f>
        <v>0</v>
      </c>
      <c r="K37" s="12"/>
      <c r="L37" s="8">
        <f>SUM(L10,L19,L25,L29,L31,L35)</f>
        <v>23768895895.058746</v>
      </c>
      <c r="N37" s="14">
        <f>SUM(N10,N19,N25,N29,N31,N35)</f>
        <v>0</v>
      </c>
    </row>
    <row r="38" spans="1:14" ht="12" thickTop="1">
      <c r="A38" s="2">
        <f t="shared" si="0"/>
        <v>31</v>
      </c>
      <c r="B38" s="2"/>
      <c r="E38" s="11"/>
      <c r="F38" s="12"/>
      <c r="J38" s="12"/>
      <c r="K38" s="12"/>
      <c r="N38" s="12"/>
    </row>
    <row r="39" spans="1:14">
      <c r="A39" s="2">
        <f t="shared" si="0"/>
        <v>32</v>
      </c>
      <c r="B39" s="107">
        <v>5</v>
      </c>
      <c r="C39" s="3" t="s">
        <v>16</v>
      </c>
      <c r="D39" s="122">
        <f>'Revenue by Sch RY#1'!D22</f>
        <v>6714960.2368700616</v>
      </c>
      <c r="E39" s="117">
        <v>7.9939999999999994E-3</v>
      </c>
      <c r="F39" s="13">
        <f>D39*E39</f>
        <v>53679.392133539266</v>
      </c>
      <c r="H39" s="6">
        <f>D39</f>
        <v>6714960.2368700616</v>
      </c>
      <c r="I39" s="109">
        <v>0</v>
      </c>
      <c r="J39" s="13">
        <f>$I39*H39</f>
        <v>0</v>
      </c>
      <c r="K39" s="12"/>
      <c r="L39" s="122">
        <f>'Revenue by Sch RY#2'!D22</f>
        <v>6710049.8818741431</v>
      </c>
      <c r="M39" s="11">
        <f>I39</f>
        <v>0</v>
      </c>
      <c r="N39" s="12">
        <f>$M39*L39</f>
        <v>0</v>
      </c>
    </row>
    <row r="40" spans="1:14">
      <c r="A40" s="2">
        <f t="shared" si="0"/>
        <v>33</v>
      </c>
      <c r="B40" s="2"/>
      <c r="E40" s="11"/>
      <c r="F40" s="12"/>
      <c r="J40" s="12"/>
      <c r="K40" s="12"/>
      <c r="N40" s="12"/>
    </row>
    <row r="41" spans="1:14" ht="12" thickBot="1">
      <c r="A41" s="2">
        <f t="shared" si="0"/>
        <v>34</v>
      </c>
      <c r="B41" s="2"/>
      <c r="C41" s="110" t="s">
        <v>17</v>
      </c>
      <c r="D41" s="111">
        <f>SUM(D37,D39)</f>
        <v>23558158394.432892</v>
      </c>
      <c r="E41" s="112"/>
      <c r="F41" s="113">
        <f>SUM(F37,F39)</f>
        <v>161629358.21501517</v>
      </c>
      <c r="G41" s="15"/>
      <c r="H41" s="111">
        <f>SUM(H37,H39)</f>
        <v>23558158394.432892</v>
      </c>
      <c r="I41" s="15"/>
      <c r="J41" s="113">
        <f t="shared" ref="J41" si="36">SUM(J37,J39)</f>
        <v>0</v>
      </c>
      <c r="K41" s="114"/>
      <c r="L41" s="111">
        <f>SUM(L37,L39)</f>
        <v>23775605944.94062</v>
      </c>
      <c r="M41" s="15"/>
      <c r="N41" s="113">
        <f t="shared" ref="N41" si="37">SUM(N37,N39)</f>
        <v>0</v>
      </c>
    </row>
    <row r="42" spans="1:14" ht="12" thickTop="1">
      <c r="D42" s="123">
        <f>'Revenue by Sch RY#1'!D24</f>
        <v>23558158394.432896</v>
      </c>
      <c r="H42" s="162">
        <f>D41</f>
        <v>23558158394.432892</v>
      </c>
      <c r="L42" s="123">
        <f>'Revenue by Sch RY#2'!D24</f>
        <v>23775605944.94062</v>
      </c>
    </row>
    <row r="43" spans="1:14">
      <c r="C43" s="17" t="s">
        <v>168</v>
      </c>
      <c r="D43" s="124">
        <f>D41-D42</f>
        <v>0</v>
      </c>
      <c r="H43" s="124">
        <f>H41-H42</f>
        <v>0</v>
      </c>
      <c r="L43" s="124">
        <f>L41-L42</f>
        <v>0</v>
      </c>
    </row>
    <row r="44" spans="1:14">
      <c r="L44" s="4"/>
    </row>
    <row r="45" spans="1:14">
      <c r="B45" s="3" t="s">
        <v>261</v>
      </c>
      <c r="C45" s="101"/>
      <c r="L45" s="4"/>
    </row>
  </sheetData>
  <mergeCells count="7">
    <mergeCell ref="A5:E5"/>
    <mergeCell ref="H6:J6"/>
    <mergeCell ref="L6:N6"/>
    <mergeCell ref="A1:N1"/>
    <mergeCell ref="A2:N2"/>
    <mergeCell ref="A3:N3"/>
    <mergeCell ref="A4:N4"/>
  </mergeCells>
  <pageMargins left="0.7" right="0.7" top="0.75" bottom="0.75" header="0.3" footer="0.3"/>
  <pageSetup scale="83" orientation="landscape" horizontalDpi="360" verticalDpi="360" r:id="rId1"/>
  <headerFooter>
    <oddFooter>&amp;R&amp;F
&amp;A
&amp;P of &amp;N</oddFooter>
  </headerFooter>
  <customProperties>
    <customPr name="_pios_id" r:id="rId2"/>
  </customPropertie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6" tint="0.79998168889431442"/>
    <pageSetUpPr fitToPage="1"/>
  </sheetPr>
  <dimension ref="A1:N45"/>
  <sheetViews>
    <sheetView zoomScaleNormal="100" zoomScaleSheetLayoutView="100" workbookViewId="0">
      <pane ySplit="7" topLeftCell="A8" activePane="bottomLeft" state="frozen"/>
      <selection activeCell="U42" sqref="U42"/>
      <selection pane="bottomLeft" activeCell="U42" sqref="U42"/>
    </sheetView>
  </sheetViews>
  <sheetFormatPr defaultColWidth="8.85546875" defaultRowHeight="11.25"/>
  <cols>
    <col min="1" max="1" width="4.42578125" style="3" bestFit="1" customWidth="1"/>
    <col min="2" max="2" width="14.85546875" style="3" bestFit="1" customWidth="1"/>
    <col min="3" max="3" width="21.7109375" style="3" bestFit="1" customWidth="1"/>
    <col min="4" max="4" width="15.140625" style="3" bestFit="1" customWidth="1"/>
    <col min="5" max="5" width="11" style="3" customWidth="1"/>
    <col min="6" max="6" width="11.85546875" style="3" customWidth="1"/>
    <col min="7" max="7" width="0.85546875" style="3" customWidth="1"/>
    <col min="8" max="8" width="12.85546875" style="3" bestFit="1" customWidth="1"/>
    <col min="9" max="9" width="9.42578125" style="3" bestFit="1" customWidth="1"/>
    <col min="10" max="10" width="10.7109375" style="3" bestFit="1" customWidth="1"/>
    <col min="11" max="11" width="1" style="3" customWidth="1"/>
    <col min="12" max="12" width="12.85546875" style="3" bestFit="1" customWidth="1"/>
    <col min="13" max="13" width="9.42578125" style="3" bestFit="1" customWidth="1"/>
    <col min="14" max="14" width="13.42578125" style="3" customWidth="1"/>
    <col min="15" max="16384" width="8.85546875" style="3"/>
  </cols>
  <sheetData>
    <row r="1" spans="1:14" s="15" customFormat="1" ht="12.75" customHeight="1">
      <c r="A1" s="459" t="str">
        <f>'Exh CTM-8 (Rate Impacts_RY#1)'!A1</f>
        <v>Puget Sound Energy</v>
      </c>
      <c r="B1" s="460"/>
      <c r="C1" s="460"/>
      <c r="D1" s="460"/>
      <c r="E1" s="460"/>
      <c r="F1" s="460"/>
      <c r="G1" s="460"/>
      <c r="H1" s="460"/>
      <c r="I1" s="460"/>
      <c r="J1" s="460"/>
      <c r="K1" s="460"/>
      <c r="L1" s="460"/>
      <c r="M1" s="460"/>
      <c r="N1" s="460"/>
    </row>
    <row r="2" spans="1:14" s="15" customFormat="1" ht="12.75">
      <c r="A2" s="459" t="str">
        <f>'Exh CTM-8 (Rate Impacts_RY#1)'!A2</f>
        <v>2024 General Rate Case Docket No. UE-240004 and UG-240005</v>
      </c>
      <c r="B2" s="460"/>
      <c r="C2" s="460"/>
      <c r="D2" s="460"/>
      <c r="E2" s="460"/>
      <c r="F2" s="460"/>
      <c r="G2" s="460"/>
      <c r="H2" s="460"/>
      <c r="I2" s="460"/>
      <c r="J2" s="460"/>
      <c r="K2" s="460"/>
      <c r="L2" s="460"/>
      <c r="M2" s="460"/>
      <c r="N2" s="460"/>
    </row>
    <row r="3" spans="1:14" s="15" customFormat="1" ht="12.75">
      <c r="A3" s="545" t="s">
        <v>191</v>
      </c>
      <c r="B3" s="470"/>
      <c r="C3" s="470"/>
      <c r="D3" s="470"/>
      <c r="E3" s="470"/>
      <c r="F3" s="471"/>
      <c r="G3" s="471"/>
      <c r="H3" s="471"/>
      <c r="I3" s="471"/>
      <c r="J3" s="471"/>
      <c r="K3" s="471"/>
      <c r="L3" s="471"/>
      <c r="M3" s="471"/>
      <c r="N3" s="471"/>
    </row>
    <row r="4" spans="1:14" s="15" customFormat="1" ht="12.75">
      <c r="A4" s="545" t="s">
        <v>177</v>
      </c>
      <c r="B4" s="470"/>
      <c r="C4" s="470"/>
      <c r="D4" s="470"/>
      <c r="E4" s="470"/>
      <c r="F4" s="471"/>
      <c r="G4" s="471"/>
      <c r="H4" s="471"/>
      <c r="I4" s="471"/>
      <c r="J4" s="471"/>
      <c r="K4" s="471"/>
      <c r="L4" s="471"/>
      <c r="M4" s="471"/>
      <c r="N4" s="471"/>
    </row>
    <row r="5" spans="1:14" s="15" customFormat="1">
      <c r="A5" s="456"/>
      <c r="B5" s="456"/>
      <c r="C5" s="456"/>
      <c r="D5" s="456"/>
      <c r="E5" s="456"/>
      <c r="F5" s="44"/>
    </row>
    <row r="6" spans="1:14" s="15" customFormat="1" ht="12.75">
      <c r="A6" s="45"/>
      <c r="B6" s="44"/>
      <c r="C6" s="44"/>
      <c r="D6" s="44"/>
      <c r="H6" s="546" t="str">
        <f>'Sch 95'!H6</f>
        <v>MYRP January 2025</v>
      </c>
      <c r="I6" s="494"/>
      <c r="J6" s="493"/>
      <c r="K6" s="132">
        <f>'Sch 95'!K6</f>
        <v>0</v>
      </c>
      <c r="L6" s="546" t="str">
        <f>'Sch 95'!L6</f>
        <v>MYRP January 2026</v>
      </c>
      <c r="M6" s="547"/>
      <c r="N6" s="548"/>
    </row>
    <row r="7" spans="1:14" s="15" customFormat="1" ht="45">
      <c r="A7" s="97" t="s">
        <v>2</v>
      </c>
      <c r="B7" s="97" t="s">
        <v>3</v>
      </c>
      <c r="C7" s="97" t="s">
        <v>14</v>
      </c>
      <c r="D7" s="133" t="str">
        <f>'Sch 95'!D7</f>
        <v>12 months ending December 2025 F23 Forecast KWh</v>
      </c>
      <c r="E7" s="133" t="str">
        <f>'Sch 95'!E7</f>
        <v>Current Rates as of January 2024 (1)</v>
      </c>
      <c r="F7" s="133" t="str">
        <f>'Sch 95'!F7</f>
        <v>Annual Delivered $</v>
      </c>
      <c r="G7" s="133">
        <f>'Sch 95'!G7</f>
        <v>0</v>
      </c>
      <c r="H7" s="133" t="str">
        <f>'Sch 95'!H7</f>
        <v>Annual Delivered KWh</v>
      </c>
      <c r="I7" s="133" t="str">
        <f>'Sch 95'!I7</f>
        <v>Rates Effective January 2025</v>
      </c>
      <c r="J7" s="133" t="str">
        <f>'Sch 95'!J7</f>
        <v>Annual Delivered $</v>
      </c>
      <c r="K7" s="133">
        <f>'Sch 95'!K7</f>
        <v>0</v>
      </c>
      <c r="L7" s="133" t="str">
        <f>'Sch 95'!L7</f>
        <v>Annual Delivered KWh</v>
      </c>
      <c r="M7" s="133" t="str">
        <f>'Sch 95'!M7</f>
        <v>Rates Effective January 2026</v>
      </c>
      <c r="N7" s="133" t="str">
        <f>'Sch 95'!N7</f>
        <v>Annual Delivered $</v>
      </c>
    </row>
    <row r="8" spans="1:14">
      <c r="A8" s="2">
        <v>1</v>
      </c>
      <c r="B8" s="132" t="str">
        <f>'Sch 95'!B8</f>
        <v xml:space="preserve"> 7 (307) (317) (327)</v>
      </c>
      <c r="D8" s="116">
        <f>'Revenue by Sch RY#1'!D9</f>
        <v>11278205851.395365</v>
      </c>
      <c r="E8" s="129">
        <v>3.4810000000000002E-3</v>
      </c>
      <c r="F8" s="12">
        <f>D8*E8</f>
        <v>39259434.568707265</v>
      </c>
      <c r="H8" s="4">
        <f>D8</f>
        <v>11278205851.395365</v>
      </c>
      <c r="I8" s="11">
        <f t="shared" ref="I8:I9" si="0">E8</f>
        <v>3.4810000000000002E-3</v>
      </c>
      <c r="J8" s="12">
        <f>$I8*H8</f>
        <v>39259434.568707265</v>
      </c>
      <c r="K8" s="12"/>
      <c r="L8" s="116">
        <f>'Revenue by Sch RY#2'!D9</f>
        <v>11447649239.71397</v>
      </c>
      <c r="M8" s="11">
        <f t="shared" ref="M8:M9" si="1">I8</f>
        <v>3.4810000000000002E-3</v>
      </c>
      <c r="N8" s="12">
        <f>$M8*L8</f>
        <v>39849267.003444329</v>
      </c>
    </row>
    <row r="9" spans="1:14">
      <c r="A9" s="2">
        <f t="shared" ref="A9:A41" si="2">+A8+1</f>
        <v>2</v>
      </c>
      <c r="B9" s="132" t="str">
        <f>'Sch 95'!B9</f>
        <v xml:space="preserve">7A </v>
      </c>
      <c r="D9" s="4">
        <v>0</v>
      </c>
      <c r="E9" s="129">
        <v>3.2850000000000002E-3</v>
      </c>
      <c r="F9" s="12">
        <f>D9*E9</f>
        <v>0</v>
      </c>
      <c r="H9" s="4">
        <f>D9</f>
        <v>0</v>
      </c>
      <c r="I9" s="11">
        <f t="shared" si="0"/>
        <v>3.2850000000000002E-3</v>
      </c>
      <c r="J9" s="12">
        <f>$I9*H9</f>
        <v>0</v>
      </c>
      <c r="K9" s="12"/>
      <c r="L9" s="4">
        <v>0</v>
      </c>
      <c r="M9" s="11">
        <f t="shared" si="1"/>
        <v>3.2850000000000002E-3</v>
      </c>
      <c r="N9" s="12">
        <f>$M9*L9</f>
        <v>0</v>
      </c>
    </row>
    <row r="10" spans="1:14">
      <c r="A10" s="2">
        <f t="shared" si="2"/>
        <v>3</v>
      </c>
      <c r="B10" s="2"/>
      <c r="C10" s="3" t="s">
        <v>4</v>
      </c>
      <c r="D10" s="6">
        <f>SUM(D8:D9)</f>
        <v>11278205851.395365</v>
      </c>
      <c r="E10" s="130"/>
      <c r="F10" s="13">
        <f t="shared" ref="F10" si="3">SUM(F8:F9)</f>
        <v>39259434.568707265</v>
      </c>
      <c r="H10" s="6">
        <f>SUM(H8:H9)</f>
        <v>11278205851.395365</v>
      </c>
      <c r="I10" s="11"/>
      <c r="J10" s="13">
        <f t="shared" ref="J10" si="4">SUM(J8:J9)</f>
        <v>39259434.568707265</v>
      </c>
      <c r="K10" s="12"/>
      <c r="L10" s="6">
        <f>SUM(L8:L9)</f>
        <v>11447649239.71397</v>
      </c>
      <c r="M10" s="11"/>
      <c r="N10" s="13">
        <f t="shared" ref="N10" si="5">SUM(N8:N9)</f>
        <v>39849267.003444329</v>
      </c>
    </row>
    <row r="11" spans="1:14">
      <c r="A11" s="2">
        <f t="shared" si="2"/>
        <v>4</v>
      </c>
      <c r="B11" s="2"/>
      <c r="D11" s="4"/>
      <c r="E11" s="130"/>
      <c r="F11" s="12"/>
      <c r="H11" s="4"/>
      <c r="I11" s="11"/>
      <c r="J11" s="12"/>
      <c r="K11" s="12"/>
      <c r="L11" s="4"/>
      <c r="M11" s="11"/>
      <c r="N11" s="12"/>
    </row>
    <row r="12" spans="1:14">
      <c r="A12" s="2">
        <f t="shared" si="2"/>
        <v>5</v>
      </c>
      <c r="B12" s="132">
        <f>'Sch 95'!B12</f>
        <v>8</v>
      </c>
      <c r="D12" s="4">
        <v>0</v>
      </c>
      <c r="E12" s="129">
        <v>3.2200000000000002E-3</v>
      </c>
      <c r="F12" s="12">
        <f t="shared" ref="F12:F18" si="6">D12*E12</f>
        <v>0</v>
      </c>
      <c r="H12" s="4">
        <f>D12</f>
        <v>0</v>
      </c>
      <c r="I12" s="11">
        <f t="shared" ref="I12:I18" si="7">E12</f>
        <v>3.2200000000000002E-3</v>
      </c>
      <c r="J12" s="12">
        <f t="shared" ref="J12:J18" si="8">$I12*H12</f>
        <v>0</v>
      </c>
      <c r="K12" s="12"/>
      <c r="L12" s="4">
        <v>0</v>
      </c>
      <c r="M12" s="11">
        <f t="shared" ref="M12:M18" si="9">I12</f>
        <v>3.2200000000000002E-3</v>
      </c>
      <c r="N12" s="12">
        <f t="shared" ref="N12:N18" si="10">$M12*L12</f>
        <v>0</v>
      </c>
    </row>
    <row r="13" spans="1:14">
      <c r="A13" s="2">
        <f t="shared" si="2"/>
        <v>6</v>
      </c>
      <c r="B13" s="132" t="str">
        <f>'Sch 95'!B13</f>
        <v>24 (324)</v>
      </c>
      <c r="D13" s="116">
        <f>'Revenue by Sch RY#1'!D10</f>
        <v>2762635966.1696987</v>
      </c>
      <c r="E13" s="130">
        <f>+E12</f>
        <v>3.2200000000000002E-3</v>
      </c>
      <c r="F13" s="12">
        <f t="shared" si="6"/>
        <v>8895687.8110664301</v>
      </c>
      <c r="H13" s="4">
        <f>D13</f>
        <v>2762635966.1696987</v>
      </c>
      <c r="I13" s="11">
        <f t="shared" si="7"/>
        <v>3.2200000000000002E-3</v>
      </c>
      <c r="J13" s="12">
        <f t="shared" si="8"/>
        <v>8895687.8110664301</v>
      </c>
      <c r="K13" s="12"/>
      <c r="L13" s="116">
        <f>'Revenue by Sch RY#2'!D10</f>
        <v>2774967422.2693906</v>
      </c>
      <c r="M13" s="11">
        <f t="shared" si="9"/>
        <v>3.2200000000000002E-3</v>
      </c>
      <c r="N13" s="12">
        <f t="shared" si="10"/>
        <v>8935395.0997074377</v>
      </c>
    </row>
    <row r="14" spans="1:14">
      <c r="A14" s="2">
        <f t="shared" si="2"/>
        <v>7</v>
      </c>
      <c r="B14" s="132">
        <f>'Sch 95'!B14</f>
        <v>11</v>
      </c>
      <c r="D14" s="4">
        <v>0</v>
      </c>
      <c r="E14" s="130">
        <f>E9</f>
        <v>3.2850000000000002E-3</v>
      </c>
      <c r="F14" s="12">
        <f t="shared" si="6"/>
        <v>0</v>
      </c>
      <c r="H14" s="4">
        <f t="shared" ref="H14:H18" si="11">D14</f>
        <v>0</v>
      </c>
      <c r="I14" s="11">
        <f t="shared" si="7"/>
        <v>3.2850000000000002E-3</v>
      </c>
      <c r="J14" s="12">
        <f t="shared" si="8"/>
        <v>0</v>
      </c>
      <c r="K14" s="12"/>
      <c r="L14" s="4">
        <v>0</v>
      </c>
      <c r="M14" s="11">
        <f t="shared" si="9"/>
        <v>3.2850000000000002E-3</v>
      </c>
      <c r="N14" s="12">
        <f t="shared" si="10"/>
        <v>0</v>
      </c>
    </row>
    <row r="15" spans="1:14">
      <c r="A15" s="2">
        <f t="shared" si="2"/>
        <v>8</v>
      </c>
      <c r="B15" s="132">
        <f>'Sch 95'!B15</f>
        <v>25</v>
      </c>
      <c r="D15" s="116">
        <f>'Revenue by Sch RY#1'!D11</f>
        <v>2960202274.8054705</v>
      </c>
      <c r="E15" s="130">
        <f>+E14</f>
        <v>3.2850000000000002E-3</v>
      </c>
      <c r="F15" s="12">
        <f t="shared" si="6"/>
        <v>9724264.4727359712</v>
      </c>
      <c r="H15" s="4">
        <f t="shared" si="11"/>
        <v>2960202274.8054705</v>
      </c>
      <c r="I15" s="11">
        <f t="shared" si="7"/>
        <v>3.2850000000000002E-3</v>
      </c>
      <c r="J15" s="12">
        <f t="shared" si="8"/>
        <v>9724264.4727359712</v>
      </c>
      <c r="K15" s="12"/>
      <c r="L15" s="116">
        <f>'Revenue by Sch RY#2'!D11</f>
        <v>2968720174.6374388</v>
      </c>
      <c r="M15" s="11">
        <f t="shared" si="9"/>
        <v>3.2850000000000002E-3</v>
      </c>
      <c r="N15" s="12">
        <f t="shared" si="10"/>
        <v>9752245.7736839876</v>
      </c>
    </row>
    <row r="16" spans="1:14">
      <c r="A16" s="2">
        <f t="shared" si="2"/>
        <v>9</v>
      </c>
      <c r="B16" s="132">
        <f>'Sch 95'!B16</f>
        <v>12</v>
      </c>
      <c r="D16" s="4">
        <v>0</v>
      </c>
      <c r="E16" s="129">
        <v>3.2260000000000001E-3</v>
      </c>
      <c r="F16" s="12">
        <f t="shared" si="6"/>
        <v>0</v>
      </c>
      <c r="H16" s="4">
        <f t="shared" si="11"/>
        <v>0</v>
      </c>
      <c r="I16" s="11">
        <f t="shared" si="7"/>
        <v>3.2260000000000001E-3</v>
      </c>
      <c r="J16" s="12">
        <f t="shared" si="8"/>
        <v>0</v>
      </c>
      <c r="K16" s="12"/>
      <c r="L16" s="4">
        <v>0</v>
      </c>
      <c r="M16" s="11">
        <f t="shared" si="9"/>
        <v>3.2260000000000001E-3</v>
      </c>
      <c r="N16" s="12">
        <f t="shared" si="10"/>
        <v>0</v>
      </c>
    </row>
    <row r="17" spans="1:14">
      <c r="A17" s="2">
        <f t="shared" si="2"/>
        <v>10</v>
      </c>
      <c r="B17" s="132" t="str">
        <f>'Sch 95'!B17</f>
        <v>26 &amp; 26P</v>
      </c>
      <c r="D17" s="116">
        <f>'Revenue by Sch RY#1'!D12</f>
        <v>2013891730.8000479</v>
      </c>
      <c r="E17" s="130">
        <f>+E16</f>
        <v>3.2260000000000001E-3</v>
      </c>
      <c r="F17" s="12">
        <f t="shared" si="6"/>
        <v>6496814.7235609544</v>
      </c>
      <c r="H17" s="4">
        <f t="shared" si="11"/>
        <v>2013891730.8000479</v>
      </c>
      <c r="I17" s="11">
        <f t="shared" si="7"/>
        <v>3.2260000000000001E-3</v>
      </c>
      <c r="J17" s="12">
        <f t="shared" si="8"/>
        <v>6496814.7235609544</v>
      </c>
      <c r="K17" s="12"/>
      <c r="L17" s="116">
        <f>'Revenue by Sch RY#2'!D12</f>
        <v>2056791563.2414525</v>
      </c>
      <c r="M17" s="11">
        <f t="shared" si="9"/>
        <v>3.2260000000000001E-3</v>
      </c>
      <c r="N17" s="12">
        <f t="shared" si="10"/>
        <v>6635209.5830169255</v>
      </c>
    </row>
    <row r="18" spans="1:14">
      <c r="A18" s="2">
        <f t="shared" si="2"/>
        <v>11</v>
      </c>
      <c r="B18" s="132">
        <f>'Sch 95'!B18</f>
        <v>29</v>
      </c>
      <c r="D18" s="116">
        <f>'Revenue by Sch RY#1'!D13</f>
        <v>14930059.630887466</v>
      </c>
      <c r="E18" s="129">
        <v>3.6029999999999999E-3</v>
      </c>
      <c r="F18" s="12">
        <f t="shared" si="6"/>
        <v>53793.004850087535</v>
      </c>
      <c r="H18" s="4">
        <f t="shared" si="11"/>
        <v>14930059.630887466</v>
      </c>
      <c r="I18" s="11">
        <f t="shared" si="7"/>
        <v>3.6029999999999999E-3</v>
      </c>
      <c r="J18" s="12">
        <f t="shared" si="8"/>
        <v>53793.004850087535</v>
      </c>
      <c r="K18" s="12"/>
      <c r="L18" s="116">
        <f>'Revenue by Sch RY#2'!D13</f>
        <v>14843026.361509496</v>
      </c>
      <c r="M18" s="11">
        <f t="shared" si="9"/>
        <v>3.6029999999999999E-3</v>
      </c>
      <c r="N18" s="12">
        <f t="shared" si="10"/>
        <v>53479.42398051871</v>
      </c>
    </row>
    <row r="19" spans="1:14">
      <c r="A19" s="2">
        <f t="shared" si="2"/>
        <v>12</v>
      </c>
      <c r="B19" s="2"/>
      <c r="C19" s="7" t="s">
        <v>6</v>
      </c>
      <c r="D19" s="6">
        <f>SUM(D12:D18)</f>
        <v>7751660031.4061041</v>
      </c>
      <c r="E19" s="130"/>
      <c r="F19" s="13">
        <f t="shared" ref="F19" si="12">SUM(F12:F18)</f>
        <v>25170560.012213442</v>
      </c>
      <c r="H19" s="6">
        <f>SUM(H12:H18)</f>
        <v>7751660031.4061041</v>
      </c>
      <c r="I19" s="11"/>
      <c r="J19" s="13">
        <f t="shared" ref="J19" si="13">SUM(J12:J18)</f>
        <v>25170560.012213442</v>
      </c>
      <c r="K19" s="12"/>
      <c r="L19" s="6">
        <f>SUM(L12:L18)</f>
        <v>7815322186.5097914</v>
      </c>
      <c r="M19" s="11"/>
      <c r="N19" s="13">
        <f t="shared" ref="N19" si="14">SUM(N12:N18)</f>
        <v>25376329.880388871</v>
      </c>
    </row>
    <row r="20" spans="1:14">
      <c r="A20" s="2">
        <f t="shared" si="2"/>
        <v>13</v>
      </c>
      <c r="B20" s="2"/>
      <c r="D20" s="4"/>
      <c r="E20" s="130"/>
      <c r="F20" s="12"/>
      <c r="H20" s="4"/>
      <c r="I20" s="11"/>
      <c r="J20" s="12"/>
      <c r="K20" s="12"/>
      <c r="L20" s="4"/>
      <c r="M20" s="11"/>
      <c r="N20" s="12"/>
    </row>
    <row r="21" spans="1:14">
      <c r="A21" s="2">
        <f t="shared" si="2"/>
        <v>14</v>
      </c>
      <c r="B21" s="132">
        <f>'Sch 95'!B21</f>
        <v>10</v>
      </c>
      <c r="D21" s="4">
        <v>0</v>
      </c>
      <c r="E21" s="129">
        <v>3.176E-3</v>
      </c>
      <c r="F21" s="12">
        <f t="shared" ref="F21:F24" si="15">D21*E21</f>
        <v>0</v>
      </c>
      <c r="H21" s="4">
        <f t="shared" ref="H21:I24" si="16">D21</f>
        <v>0</v>
      </c>
      <c r="I21" s="11">
        <f t="shared" si="16"/>
        <v>3.176E-3</v>
      </c>
      <c r="J21" s="12">
        <f t="shared" ref="J21:J24" si="17">$I21*H21</f>
        <v>0</v>
      </c>
      <c r="K21" s="12"/>
      <c r="L21" s="4">
        <v>0</v>
      </c>
      <c r="M21" s="11">
        <f t="shared" ref="M21:M24" si="18">I21</f>
        <v>3.176E-3</v>
      </c>
      <c r="N21" s="12">
        <f t="shared" ref="N21:N24" si="19">$M21*L21</f>
        <v>0</v>
      </c>
    </row>
    <row r="22" spans="1:14">
      <c r="A22" s="2">
        <f t="shared" si="2"/>
        <v>15</v>
      </c>
      <c r="B22" s="132">
        <f>'Sch 95'!B22</f>
        <v>31</v>
      </c>
      <c r="D22" s="116">
        <f>'Revenue by Sch RY#1'!D14</f>
        <v>1423586019.4788036</v>
      </c>
      <c r="E22" s="130">
        <f>+E21</f>
        <v>3.176E-3</v>
      </c>
      <c r="F22" s="12">
        <f t="shared" si="15"/>
        <v>4521309.1978646806</v>
      </c>
      <c r="H22" s="4">
        <f t="shared" si="16"/>
        <v>1423586019.4788036</v>
      </c>
      <c r="I22" s="11">
        <f t="shared" si="16"/>
        <v>3.176E-3</v>
      </c>
      <c r="J22" s="12">
        <f t="shared" si="17"/>
        <v>4521309.1978646806</v>
      </c>
      <c r="K22" s="12"/>
      <c r="L22" s="116">
        <f>'Revenue by Sch RY#2'!D14</f>
        <v>1411297972.0883911</v>
      </c>
      <c r="M22" s="11">
        <f t="shared" si="18"/>
        <v>3.176E-3</v>
      </c>
      <c r="N22" s="12">
        <f t="shared" si="19"/>
        <v>4482282.3593527302</v>
      </c>
    </row>
    <row r="23" spans="1:14">
      <c r="A23" s="2">
        <f t="shared" si="2"/>
        <v>16</v>
      </c>
      <c r="B23" s="132">
        <f>'Sch 95'!B23</f>
        <v>35</v>
      </c>
      <c r="D23" s="116">
        <f>'Revenue by Sch RY#1'!D15</f>
        <v>4407260.1568774413</v>
      </c>
      <c r="E23" s="129">
        <v>3.202E-3</v>
      </c>
      <c r="F23" s="12">
        <f t="shared" si="15"/>
        <v>14112.047022321567</v>
      </c>
      <c r="H23" s="4">
        <f t="shared" si="16"/>
        <v>4407260.1568774413</v>
      </c>
      <c r="I23" s="11">
        <f t="shared" si="16"/>
        <v>3.202E-3</v>
      </c>
      <c r="J23" s="12">
        <f t="shared" si="17"/>
        <v>14112.047022321567</v>
      </c>
      <c r="K23" s="12"/>
      <c r="L23" s="116">
        <f>'Revenue by Sch RY#2'!D15</f>
        <v>4380281.1514552524</v>
      </c>
      <c r="M23" s="11">
        <f t="shared" si="18"/>
        <v>3.202E-3</v>
      </c>
      <c r="N23" s="12">
        <f t="shared" si="19"/>
        <v>14025.660246959718</v>
      </c>
    </row>
    <row r="24" spans="1:14">
      <c r="A24" s="2">
        <f t="shared" si="2"/>
        <v>17</v>
      </c>
      <c r="B24" s="132">
        <f>'Sch 95'!B24</f>
        <v>43</v>
      </c>
      <c r="D24" s="116">
        <f>'Revenue by Sch RY#1'!D16</f>
        <v>122267424.6450724</v>
      </c>
      <c r="E24" s="129">
        <v>2.895E-3</v>
      </c>
      <c r="F24" s="12">
        <f t="shared" si="15"/>
        <v>353964.19434748462</v>
      </c>
      <c r="H24" s="4">
        <f t="shared" si="16"/>
        <v>122267424.6450724</v>
      </c>
      <c r="I24" s="11">
        <f t="shared" si="16"/>
        <v>2.895E-3</v>
      </c>
      <c r="J24" s="12">
        <f t="shared" si="17"/>
        <v>353964.19434748462</v>
      </c>
      <c r="K24" s="12"/>
      <c r="L24" s="116">
        <f>'Revenue by Sch RY#2'!D16</f>
        <v>121633779.10385114</v>
      </c>
      <c r="M24" s="11">
        <f t="shared" si="18"/>
        <v>2.895E-3</v>
      </c>
      <c r="N24" s="12">
        <f t="shared" si="19"/>
        <v>352129.79050564906</v>
      </c>
    </row>
    <row r="25" spans="1:14">
      <c r="A25" s="2">
        <f t="shared" si="2"/>
        <v>18</v>
      </c>
      <c r="B25" s="2"/>
      <c r="C25" s="3" t="s">
        <v>7</v>
      </c>
      <c r="D25" s="6">
        <f>SUM(D21:D24)</f>
        <v>1550260704.2807536</v>
      </c>
      <c r="E25" s="130"/>
      <c r="F25" s="13">
        <f t="shared" ref="F25" si="20">SUM(F21:F24)</f>
        <v>4889385.4392344868</v>
      </c>
      <c r="H25" s="6">
        <f>SUM(H21:H24)</f>
        <v>1550260704.2807536</v>
      </c>
      <c r="I25" s="11"/>
      <c r="J25" s="13">
        <f t="shared" ref="J25" si="21">SUM(J21:J24)</f>
        <v>4889385.4392344868</v>
      </c>
      <c r="K25" s="12"/>
      <c r="L25" s="6">
        <f>SUM(L21:L24)</f>
        <v>1537312032.3436973</v>
      </c>
      <c r="M25" s="11"/>
      <c r="N25" s="13">
        <f t="shared" ref="N25" si="22">SUM(N21:N24)</f>
        <v>4848437.8101053387</v>
      </c>
    </row>
    <row r="26" spans="1:14">
      <c r="A26" s="2">
        <f t="shared" si="2"/>
        <v>19</v>
      </c>
      <c r="B26" s="2"/>
      <c r="D26" s="4"/>
      <c r="E26" s="130"/>
      <c r="F26" s="12"/>
      <c r="H26" s="4"/>
      <c r="I26" s="11"/>
      <c r="J26" s="12"/>
      <c r="K26" s="12"/>
      <c r="L26" s="4"/>
      <c r="M26" s="11"/>
      <c r="N26" s="12"/>
    </row>
    <row r="27" spans="1:14">
      <c r="A27" s="2">
        <f t="shared" si="2"/>
        <v>20</v>
      </c>
      <c r="B27" s="132">
        <f>'Sch 95'!B27</f>
        <v>46</v>
      </c>
      <c r="D27" s="116">
        <f>'Revenue by Sch RY#1'!D17</f>
        <v>96933187.043131709</v>
      </c>
      <c r="E27" s="129">
        <v>3.6410000000000001E-3</v>
      </c>
      <c r="F27" s="12">
        <f t="shared" ref="F27:F28" si="23">D27*E27</f>
        <v>352933.73402404255</v>
      </c>
      <c r="H27" s="4">
        <f t="shared" ref="H27:I28" si="24">D27</f>
        <v>96933187.043131709</v>
      </c>
      <c r="I27" s="11">
        <f t="shared" si="24"/>
        <v>3.6410000000000001E-3</v>
      </c>
      <c r="J27" s="12">
        <f t="shared" ref="J27:J28" si="25">$I27*H27</f>
        <v>352933.73402404255</v>
      </c>
      <c r="K27" s="12"/>
      <c r="L27" s="116">
        <f>'Revenue by Sch RY#2'!D17</f>
        <v>96918964.527943105</v>
      </c>
      <c r="M27" s="11">
        <f t="shared" ref="M27:M28" si="26">I27</f>
        <v>3.6410000000000001E-3</v>
      </c>
      <c r="N27" s="12">
        <f t="shared" ref="N27:N28" si="27">$M27*L27</f>
        <v>352881.94984624087</v>
      </c>
    </row>
    <row r="28" spans="1:14">
      <c r="A28" s="2">
        <f t="shared" si="2"/>
        <v>21</v>
      </c>
      <c r="B28" s="132">
        <f>'Sch 95'!B28</f>
        <v>49</v>
      </c>
      <c r="D28" s="116">
        <f>'Revenue by Sch RY#1'!D18</f>
        <v>534843226.30681556</v>
      </c>
      <c r="E28" s="129">
        <v>3.2330000000000002E-3</v>
      </c>
      <c r="F28" s="12">
        <f t="shared" si="23"/>
        <v>1729148.1506499348</v>
      </c>
      <c r="H28" s="4">
        <f t="shared" si="24"/>
        <v>534843226.30681556</v>
      </c>
      <c r="I28" s="11">
        <f t="shared" si="24"/>
        <v>3.2330000000000002E-3</v>
      </c>
      <c r="J28" s="12">
        <f t="shared" si="25"/>
        <v>1729148.1506499348</v>
      </c>
      <c r="K28" s="12"/>
      <c r="L28" s="116">
        <f>'Revenue by Sch RY#2'!D18</f>
        <v>534899242.67952603</v>
      </c>
      <c r="M28" s="11">
        <f t="shared" si="26"/>
        <v>3.2330000000000002E-3</v>
      </c>
      <c r="N28" s="12">
        <f t="shared" si="27"/>
        <v>1729329.2515829077</v>
      </c>
    </row>
    <row r="29" spans="1:14">
      <c r="A29" s="2">
        <f t="shared" si="2"/>
        <v>22</v>
      </c>
      <c r="B29" s="2"/>
      <c r="C29" s="3" t="s">
        <v>8</v>
      </c>
      <c r="D29" s="6">
        <f>SUM(D27:D28)</f>
        <v>631776413.34994721</v>
      </c>
      <c r="E29" s="11"/>
      <c r="F29" s="13">
        <f t="shared" ref="F29" si="28">SUM(F27:F28)</f>
        <v>2082081.8846739773</v>
      </c>
      <c r="H29" s="6">
        <f>SUM(H27:H28)</f>
        <v>631776413.34994721</v>
      </c>
      <c r="I29" s="11"/>
      <c r="J29" s="13">
        <f t="shared" ref="J29" si="29">SUM(J27:J28)</f>
        <v>2082081.8846739773</v>
      </c>
      <c r="K29" s="12"/>
      <c r="L29" s="6">
        <f>SUM(L27:L28)</f>
        <v>631818207.20746911</v>
      </c>
      <c r="M29" s="11"/>
      <c r="N29" s="13">
        <f t="shared" ref="N29" si="30">SUM(N27:N28)</f>
        <v>2082211.2014291487</v>
      </c>
    </row>
    <row r="30" spans="1:14">
      <c r="A30" s="2">
        <f t="shared" si="2"/>
        <v>23</v>
      </c>
      <c r="B30" s="2"/>
      <c r="D30" s="4"/>
      <c r="E30" s="11"/>
      <c r="F30" s="12"/>
      <c r="H30" s="4"/>
      <c r="I30" s="11"/>
      <c r="J30" s="12"/>
      <c r="K30" s="12"/>
      <c r="L30" s="4"/>
      <c r="M30" s="11"/>
      <c r="N30" s="12"/>
    </row>
    <row r="31" spans="1:14">
      <c r="A31" s="2">
        <f t="shared" si="2"/>
        <v>24</v>
      </c>
      <c r="B31" s="132" t="str">
        <f>'Sch 95'!B31</f>
        <v>03, 50-59</v>
      </c>
      <c r="D31" s="122">
        <f>'Revenue by Sch RY#1'!D19</f>
        <v>67255417.982360825</v>
      </c>
      <c r="E31" s="117">
        <v>3.9280000000000001E-3</v>
      </c>
      <c r="F31" s="13">
        <f>D31*E31</f>
        <v>264179.2818347133</v>
      </c>
      <c r="H31" s="6">
        <f>D31</f>
        <v>67255417.982360825</v>
      </c>
      <c r="I31" s="11">
        <f t="shared" ref="I31" si="31">E31</f>
        <v>3.9280000000000001E-3</v>
      </c>
      <c r="J31" s="13">
        <f>$I31*H31</f>
        <v>264179.2818347133</v>
      </c>
      <c r="K31" s="12"/>
      <c r="L31" s="122">
        <f>'Revenue by Sch RY#2'!D19</f>
        <v>67027608.143863305</v>
      </c>
      <c r="M31" s="11">
        <f t="shared" ref="M31" si="32">I31</f>
        <v>3.9280000000000001E-3</v>
      </c>
      <c r="N31" s="13">
        <f>$M31*L31</f>
        <v>263284.44478909508</v>
      </c>
    </row>
    <row r="32" spans="1:14">
      <c r="A32" s="2">
        <f t="shared" si="2"/>
        <v>25</v>
      </c>
      <c r="B32" s="2"/>
      <c r="D32" s="4"/>
      <c r="E32" s="11"/>
      <c r="F32" s="12"/>
      <c r="H32" s="4"/>
      <c r="I32" s="11"/>
      <c r="J32" s="12"/>
      <c r="K32" s="12"/>
      <c r="L32" s="4"/>
      <c r="M32" s="11"/>
      <c r="N32" s="12"/>
    </row>
    <row r="33" spans="1:14">
      <c r="A33" s="2">
        <f t="shared" si="2"/>
        <v>26</v>
      </c>
      <c r="B33" s="132" t="str">
        <f>'Sch 95'!B33</f>
        <v>449-459</v>
      </c>
      <c r="D33" s="116">
        <f>'Revenue by Sch RY#1'!D20</f>
        <v>1967511960.3194919</v>
      </c>
      <c r="E33" s="117">
        <v>0</v>
      </c>
      <c r="F33" s="12">
        <f t="shared" ref="F33:F34" si="33">D33*E33</f>
        <v>0</v>
      </c>
      <c r="H33" s="4">
        <f t="shared" ref="H33:I34" si="34">D33</f>
        <v>1967511960.3194919</v>
      </c>
      <c r="I33" s="11">
        <f t="shared" si="34"/>
        <v>0</v>
      </c>
      <c r="J33" s="12">
        <f t="shared" ref="J33:J34" si="35">$I33*H33</f>
        <v>0</v>
      </c>
      <c r="K33" s="12"/>
      <c r="L33" s="116">
        <f>'Revenue by Sch RY#2'!D20</f>
        <v>1964993565.6779518</v>
      </c>
      <c r="M33" s="11">
        <f t="shared" ref="M33:M34" si="36">I33</f>
        <v>0</v>
      </c>
      <c r="N33" s="12">
        <f t="shared" ref="N33:N34" si="37">$M33*L33</f>
        <v>0</v>
      </c>
    </row>
    <row r="34" spans="1:14">
      <c r="A34" s="2">
        <f t="shared" si="2"/>
        <v>27</v>
      </c>
      <c r="B34" s="132" t="str">
        <f>'Sch 95'!B34</f>
        <v>Special Contract</v>
      </c>
      <c r="D34" s="116">
        <f>'Revenue by Sch RY#1'!D21</f>
        <v>304773055.46200001</v>
      </c>
      <c r="E34" s="117">
        <v>0</v>
      </c>
      <c r="F34" s="12">
        <f t="shared" si="33"/>
        <v>0</v>
      </c>
      <c r="H34" s="4">
        <f t="shared" si="34"/>
        <v>304773055.46200001</v>
      </c>
      <c r="I34" s="11">
        <f t="shared" si="34"/>
        <v>0</v>
      </c>
      <c r="J34" s="12">
        <f t="shared" si="35"/>
        <v>0</v>
      </c>
      <c r="K34" s="12"/>
      <c r="L34" s="116">
        <f>'Revenue by Sch RY#2'!D21</f>
        <v>304773055.46200001</v>
      </c>
      <c r="M34" s="11">
        <f t="shared" si="36"/>
        <v>0</v>
      </c>
      <c r="N34" s="12">
        <f t="shared" si="37"/>
        <v>0</v>
      </c>
    </row>
    <row r="35" spans="1:14">
      <c r="A35" s="2">
        <f t="shared" si="2"/>
        <v>28</v>
      </c>
      <c r="B35" s="5"/>
      <c r="C35" s="3" t="s">
        <v>77</v>
      </c>
      <c r="D35" s="6">
        <f>SUM(D33:D34)</f>
        <v>2272285015.7814918</v>
      </c>
      <c r="E35" s="11"/>
      <c r="F35" s="13">
        <f t="shared" ref="F35" si="38">SUM(F33:F34)</f>
        <v>0</v>
      </c>
      <c r="H35" s="6">
        <f>SUM(H33:H34)</f>
        <v>2272285015.7814918</v>
      </c>
      <c r="J35" s="13">
        <f t="shared" ref="J35" si="39">SUM(J33:J34)</f>
        <v>0</v>
      </c>
      <c r="K35" s="12"/>
      <c r="L35" s="6">
        <f>SUM(L33:L34)</f>
        <v>2269766621.1399517</v>
      </c>
      <c r="N35" s="13">
        <f t="shared" ref="N35" si="40">SUM(N33:N34)</f>
        <v>0</v>
      </c>
    </row>
    <row r="36" spans="1:14">
      <c r="A36" s="2">
        <f t="shared" si="2"/>
        <v>29</v>
      </c>
      <c r="B36" s="2"/>
      <c r="D36" s="4"/>
      <c r="E36" s="11"/>
      <c r="F36" s="12"/>
      <c r="H36" s="4"/>
      <c r="J36" s="12"/>
      <c r="K36" s="12"/>
      <c r="L36" s="4"/>
      <c r="N36" s="12"/>
    </row>
    <row r="37" spans="1:14" ht="12" thickBot="1">
      <c r="A37" s="2">
        <f t="shared" si="2"/>
        <v>30</v>
      </c>
      <c r="B37" s="2"/>
      <c r="C37" s="7" t="s">
        <v>15</v>
      </c>
      <c r="D37" s="8">
        <f>SUM(D10,D19,D25,D29,D31,D35)</f>
        <v>23551443434.196022</v>
      </c>
      <c r="E37" s="11"/>
      <c r="F37" s="14">
        <f>SUM(F10,F19,F25,F29,F31,F35)</f>
        <v>71665641.186663881</v>
      </c>
      <c r="H37" s="8">
        <f>SUM(H10,H19,H25,H29,H31,H35)</f>
        <v>23551443434.196022</v>
      </c>
      <c r="J37" s="14">
        <f>SUM(J10,J19,J25,J29,J31,J35)</f>
        <v>71665641.186663881</v>
      </c>
      <c r="K37" s="12"/>
      <c r="L37" s="8">
        <f>SUM(L10,L19,L25,L29,L31,L35)</f>
        <v>23768895895.058746</v>
      </c>
      <c r="N37" s="14">
        <f>SUM(N10,N19,N25,N29,N31,N35)</f>
        <v>72419530.340156779</v>
      </c>
    </row>
    <row r="38" spans="1:14" ht="12" thickTop="1">
      <c r="A38" s="2">
        <f t="shared" si="2"/>
        <v>31</v>
      </c>
      <c r="B38" s="2"/>
      <c r="E38" s="11"/>
      <c r="F38" s="12"/>
      <c r="J38" s="12"/>
      <c r="K38" s="12"/>
      <c r="N38" s="12"/>
    </row>
    <row r="39" spans="1:14">
      <c r="A39" s="2">
        <f t="shared" si="2"/>
        <v>32</v>
      </c>
      <c r="B39" s="132">
        <f>'Sch 95'!B39</f>
        <v>5</v>
      </c>
      <c r="C39" s="3" t="s">
        <v>16</v>
      </c>
      <c r="D39" s="122">
        <f>'Revenue by Sch RY#1'!D22</f>
        <v>6714960.2368700616</v>
      </c>
      <c r="E39" s="117">
        <v>3.2429999999999998E-3</v>
      </c>
      <c r="F39" s="13">
        <f>D39*E39</f>
        <v>21776.61604816961</v>
      </c>
      <c r="H39" s="6">
        <f>D39</f>
        <v>6714960.2368700616</v>
      </c>
      <c r="I39" s="11">
        <f t="shared" ref="I39" si="41">E39</f>
        <v>3.2429999999999998E-3</v>
      </c>
      <c r="J39" s="13">
        <f>$I39*H39</f>
        <v>21776.61604816961</v>
      </c>
      <c r="K39" s="12"/>
      <c r="L39" s="122">
        <f>'Revenue by Sch RY#2'!D22</f>
        <v>6710049.8818741431</v>
      </c>
      <c r="M39" s="11">
        <f t="shared" ref="M39" si="42">I39</f>
        <v>3.2429999999999998E-3</v>
      </c>
      <c r="N39" s="12">
        <f>$M39*L39</f>
        <v>21760.691766917844</v>
      </c>
    </row>
    <row r="40" spans="1:14">
      <c r="A40" s="2">
        <f t="shared" si="2"/>
        <v>33</v>
      </c>
      <c r="B40" s="2"/>
      <c r="E40" s="11"/>
      <c r="F40" s="12"/>
      <c r="J40" s="12"/>
      <c r="K40" s="12"/>
      <c r="N40" s="12"/>
    </row>
    <row r="41" spans="1:14" ht="12" thickBot="1">
      <c r="A41" s="2">
        <f t="shared" si="2"/>
        <v>34</v>
      </c>
      <c r="B41" s="2"/>
      <c r="C41" s="110" t="s">
        <v>17</v>
      </c>
      <c r="D41" s="111">
        <f>SUM(D37,D39)</f>
        <v>23558158394.432892</v>
      </c>
      <c r="E41" s="112"/>
      <c r="F41" s="113">
        <f>SUM(F37,F39)</f>
        <v>71687417.802712053</v>
      </c>
      <c r="G41" s="15"/>
      <c r="H41" s="111">
        <f>SUM(H37,H39)</f>
        <v>23558158394.432892</v>
      </c>
      <c r="I41" s="15"/>
      <c r="J41" s="113">
        <f t="shared" ref="J41" si="43">SUM(J37,J39)</f>
        <v>71687417.802712053</v>
      </c>
      <c r="K41" s="114"/>
      <c r="L41" s="111">
        <f>SUM(L37,L39)</f>
        <v>23775605944.94062</v>
      </c>
      <c r="M41" s="15"/>
      <c r="N41" s="113">
        <f t="shared" ref="N41" si="44">SUM(N37,N39)</f>
        <v>72441291.031923696</v>
      </c>
    </row>
    <row r="42" spans="1:14" ht="12" thickTop="1">
      <c r="D42" s="123">
        <f>'Revenue by Sch RY#1'!D24</f>
        <v>23558158394.432896</v>
      </c>
      <c r="H42" s="162">
        <f>D41</f>
        <v>23558158394.432892</v>
      </c>
      <c r="L42" s="123">
        <f>'Revenue by Sch RY#2'!D24</f>
        <v>23775605944.94062</v>
      </c>
    </row>
    <row r="43" spans="1:14">
      <c r="C43" s="17" t="s">
        <v>168</v>
      </c>
      <c r="D43" s="124">
        <f>D41-D42</f>
        <v>0</v>
      </c>
      <c r="H43" s="124">
        <f>H41-H42</f>
        <v>0</v>
      </c>
      <c r="L43" s="124">
        <f>L41-L42</f>
        <v>0</v>
      </c>
    </row>
    <row r="44" spans="1:14">
      <c r="L44" s="4"/>
    </row>
    <row r="45" spans="1:14">
      <c r="B45" s="3" t="s">
        <v>260</v>
      </c>
      <c r="C45" s="101"/>
    </row>
  </sheetData>
  <mergeCells count="7">
    <mergeCell ref="H6:J6"/>
    <mergeCell ref="L6:N6"/>
    <mergeCell ref="A1:N1"/>
    <mergeCell ref="A2:N2"/>
    <mergeCell ref="A3:N3"/>
    <mergeCell ref="A4:N4"/>
    <mergeCell ref="A5:E5"/>
  </mergeCells>
  <pageMargins left="0.7" right="0.7" top="0.75" bottom="0.75" header="0.3" footer="0.3"/>
  <pageSetup scale="82" orientation="landscape" horizontalDpi="360" verticalDpi="360" r:id="rId1"/>
  <headerFooter>
    <oddFooter>&amp;R&amp;F
&amp;A
&amp;P of &amp;N</oddFooter>
  </headerFooter>
  <customProperties>
    <customPr name="_pios_id" r:id="rId2"/>
  </customPropertie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6" tint="0.79998168889431442"/>
    <pageSetUpPr fitToPage="1"/>
  </sheetPr>
  <dimension ref="A1:N45"/>
  <sheetViews>
    <sheetView zoomScaleNormal="100" zoomScaleSheetLayoutView="100" workbookViewId="0">
      <pane ySplit="7" topLeftCell="A8" activePane="bottomLeft" state="frozen"/>
      <selection activeCell="U42" sqref="U42"/>
      <selection pane="bottomLeft" activeCell="U42" sqref="U42"/>
    </sheetView>
  </sheetViews>
  <sheetFormatPr defaultColWidth="8.85546875" defaultRowHeight="11.25"/>
  <cols>
    <col min="1" max="1" width="4.42578125" style="3" bestFit="1" customWidth="1"/>
    <col min="2" max="2" width="14.85546875" style="3" bestFit="1" customWidth="1"/>
    <col min="3" max="3" width="21.7109375" style="3" bestFit="1" customWidth="1"/>
    <col min="4" max="4" width="15.140625" style="3" bestFit="1" customWidth="1"/>
    <col min="5" max="5" width="11" style="3" customWidth="1"/>
    <col min="6" max="6" width="11.85546875" style="3" customWidth="1"/>
    <col min="7" max="7" width="0.85546875" style="3" customWidth="1"/>
    <col min="8" max="8" width="12.85546875" style="3" bestFit="1" customWidth="1"/>
    <col min="9" max="9" width="8.5703125" style="3" customWidth="1"/>
    <col min="10" max="10" width="10.7109375" style="3" bestFit="1" customWidth="1"/>
    <col min="11" max="11" width="1" style="3" customWidth="1"/>
    <col min="12" max="12" width="12.85546875" style="3" bestFit="1" customWidth="1"/>
    <col min="13" max="13" width="8.5703125" style="3" customWidth="1"/>
    <col min="14" max="14" width="13.42578125" style="3" customWidth="1"/>
    <col min="15" max="16384" width="8.85546875" style="3"/>
  </cols>
  <sheetData>
    <row r="1" spans="1:14" s="15" customFormat="1" ht="12.75" customHeight="1">
      <c r="A1" s="459" t="str">
        <f>'Exh CTM-8 (Rate Impacts_RY#1)'!A1</f>
        <v>Puget Sound Energy</v>
      </c>
      <c r="B1" s="460"/>
      <c r="C1" s="460"/>
      <c r="D1" s="460"/>
      <c r="E1" s="460"/>
      <c r="F1" s="460"/>
      <c r="G1" s="460"/>
      <c r="H1" s="460"/>
      <c r="I1" s="460"/>
      <c r="J1" s="460"/>
      <c r="K1" s="460"/>
      <c r="L1" s="460"/>
      <c r="M1" s="460"/>
      <c r="N1" s="460"/>
    </row>
    <row r="2" spans="1:14" s="15" customFormat="1" ht="12.75">
      <c r="A2" s="459" t="str">
        <f>'Exh CTM-8 (Rate Impacts_RY#1)'!A2</f>
        <v>2024 General Rate Case Docket No. UE-240004 and UG-240005</v>
      </c>
      <c r="B2" s="460"/>
      <c r="C2" s="460"/>
      <c r="D2" s="460"/>
      <c r="E2" s="460"/>
      <c r="F2" s="460"/>
      <c r="G2" s="460"/>
      <c r="H2" s="460"/>
      <c r="I2" s="460"/>
      <c r="J2" s="460"/>
      <c r="K2" s="460"/>
      <c r="L2" s="460"/>
      <c r="M2" s="460"/>
      <c r="N2" s="460"/>
    </row>
    <row r="3" spans="1:14" s="15" customFormat="1" ht="12.75">
      <c r="A3" s="545" t="s">
        <v>193</v>
      </c>
      <c r="B3" s="470"/>
      <c r="C3" s="470"/>
      <c r="D3" s="470"/>
      <c r="E3" s="470"/>
      <c r="F3" s="471"/>
      <c r="G3" s="471"/>
      <c r="H3" s="471"/>
      <c r="I3" s="471"/>
      <c r="J3" s="471"/>
      <c r="K3" s="471"/>
      <c r="L3" s="471"/>
      <c r="M3" s="471"/>
      <c r="N3" s="471"/>
    </row>
    <row r="4" spans="1:14" s="15" customFormat="1" ht="12.75">
      <c r="A4" s="545" t="s">
        <v>177</v>
      </c>
      <c r="B4" s="470"/>
      <c r="C4" s="470"/>
      <c r="D4" s="470"/>
      <c r="E4" s="470"/>
      <c r="F4" s="471"/>
      <c r="G4" s="471"/>
      <c r="H4" s="471"/>
      <c r="I4" s="471"/>
      <c r="J4" s="471"/>
      <c r="K4" s="471"/>
      <c r="L4" s="471"/>
      <c r="M4" s="471"/>
      <c r="N4" s="471"/>
    </row>
    <row r="5" spans="1:14" s="15" customFormat="1">
      <c r="A5" s="456"/>
      <c r="B5" s="456"/>
      <c r="C5" s="456"/>
      <c r="D5" s="456"/>
      <c r="E5" s="456"/>
      <c r="F5" s="44"/>
    </row>
    <row r="6" spans="1:14" s="15" customFormat="1" ht="12.75">
      <c r="A6" s="45"/>
      <c r="B6" s="44"/>
      <c r="C6" s="44"/>
      <c r="D6" s="44"/>
      <c r="H6" s="546" t="str">
        <f>'Sch 95'!H6</f>
        <v>MYRP January 2025</v>
      </c>
      <c r="I6" s="494"/>
      <c r="J6" s="493"/>
      <c r="K6" s="132">
        <f>'Sch 95'!K6</f>
        <v>0</v>
      </c>
      <c r="L6" s="546" t="str">
        <f>'Sch 95'!L6</f>
        <v>MYRP January 2026</v>
      </c>
      <c r="M6" s="547"/>
      <c r="N6" s="548"/>
    </row>
    <row r="7" spans="1:14" s="15" customFormat="1" ht="45">
      <c r="A7" s="97" t="s">
        <v>2</v>
      </c>
      <c r="B7" s="97" t="s">
        <v>3</v>
      </c>
      <c r="C7" s="97" t="s">
        <v>14</v>
      </c>
      <c r="D7" s="133" t="str">
        <f>'Sch 95'!D7</f>
        <v>12 months ending December 2025 F23 Forecast KWh</v>
      </c>
      <c r="E7" s="133" t="str">
        <f>'Sch 95'!E7</f>
        <v>Current Rates as of January 2024 (1)</v>
      </c>
      <c r="F7" s="133" t="str">
        <f>'Sch 95'!F7</f>
        <v>Annual Delivered $</v>
      </c>
      <c r="G7" s="133">
        <f>'Sch 95'!G7</f>
        <v>0</v>
      </c>
      <c r="H7" s="133" t="str">
        <f>'Sch 95'!H7</f>
        <v>Annual Delivered KWh</v>
      </c>
      <c r="I7" s="133" t="str">
        <f>'Sch 95'!I7</f>
        <v>Rates Effective January 2025</v>
      </c>
      <c r="J7" s="133" t="str">
        <f>'Sch 95'!J7</f>
        <v>Annual Delivered $</v>
      </c>
      <c r="K7" s="133">
        <f>'Sch 95'!K7</f>
        <v>0</v>
      </c>
      <c r="L7" s="133" t="str">
        <f>'Sch 95'!L7</f>
        <v>Annual Delivered KWh</v>
      </c>
      <c r="M7" s="133" t="str">
        <f>'Sch 95'!M7</f>
        <v>Rates Effective January 2026</v>
      </c>
      <c r="N7" s="133" t="str">
        <f>'Sch 95'!N7</f>
        <v>Annual Delivered $</v>
      </c>
    </row>
    <row r="8" spans="1:14">
      <c r="A8" s="2">
        <v>1</v>
      </c>
      <c r="B8" s="132" t="str">
        <f>'Sch 95'!B8</f>
        <v xml:space="preserve"> 7 (307) (317) (327)</v>
      </c>
      <c r="D8" s="116">
        <f>'Revenue by Sch RY#1'!D9</f>
        <v>11278205851.395365</v>
      </c>
      <c r="E8" s="129">
        <v>0</v>
      </c>
      <c r="F8" s="12">
        <f>D8*E8</f>
        <v>0</v>
      </c>
      <c r="H8" s="4">
        <f>D8</f>
        <v>11278205851.395365</v>
      </c>
      <c r="I8" s="11">
        <f>E8</f>
        <v>0</v>
      </c>
      <c r="J8" s="12">
        <f>$I8*H8</f>
        <v>0</v>
      </c>
      <c r="K8" s="12"/>
      <c r="L8" s="116">
        <f>'Revenue by Sch RY#2'!D9</f>
        <v>11447649239.71397</v>
      </c>
      <c r="M8" s="11">
        <f>I8</f>
        <v>0</v>
      </c>
      <c r="N8" s="12">
        <f>$M8*L8</f>
        <v>0</v>
      </c>
    </row>
    <row r="9" spans="1:14">
      <c r="A9" s="2">
        <f t="shared" ref="A9:A41" si="0">+A8+1</f>
        <v>2</v>
      </c>
      <c r="B9" s="132" t="str">
        <f>'Sch 95'!B9</f>
        <v xml:space="preserve">7A </v>
      </c>
      <c r="D9" s="4">
        <v>0</v>
      </c>
      <c r="E9" s="129">
        <v>0</v>
      </c>
      <c r="F9" s="12">
        <f>D9*E9</f>
        <v>0</v>
      </c>
      <c r="H9" s="4">
        <f>D9</f>
        <v>0</v>
      </c>
      <c r="I9" s="11">
        <f>E9</f>
        <v>0</v>
      </c>
      <c r="J9" s="12">
        <f>$I9*H9</f>
        <v>0</v>
      </c>
      <c r="K9" s="12"/>
      <c r="L9" s="4">
        <v>0</v>
      </c>
      <c r="M9" s="11">
        <f>I9</f>
        <v>0</v>
      </c>
      <c r="N9" s="12">
        <f>$M9*L9</f>
        <v>0</v>
      </c>
    </row>
    <row r="10" spans="1:14">
      <c r="A10" s="2">
        <f t="shared" si="0"/>
        <v>3</v>
      </c>
      <c r="B10" s="2"/>
      <c r="C10" s="3" t="s">
        <v>4</v>
      </c>
      <c r="D10" s="6">
        <f>SUM(D8:D9)</f>
        <v>11278205851.395365</v>
      </c>
      <c r="E10" s="130"/>
      <c r="F10" s="13">
        <f t="shared" ref="F10" si="1">SUM(F8:F9)</f>
        <v>0</v>
      </c>
      <c r="H10" s="6">
        <f>SUM(H8:H9)</f>
        <v>11278205851.395365</v>
      </c>
      <c r="I10" s="11"/>
      <c r="J10" s="13">
        <f t="shared" ref="J10" si="2">SUM(J8:J9)</f>
        <v>0</v>
      </c>
      <c r="K10" s="12"/>
      <c r="L10" s="6">
        <f>SUM(L8:L9)</f>
        <v>11447649239.71397</v>
      </c>
      <c r="M10" s="11"/>
      <c r="N10" s="13">
        <f t="shared" ref="N10" si="3">SUM(N8:N9)</f>
        <v>0</v>
      </c>
    </row>
    <row r="11" spans="1:14">
      <c r="A11" s="2">
        <f t="shared" si="0"/>
        <v>4</v>
      </c>
      <c r="B11" s="2"/>
      <c r="D11" s="4"/>
      <c r="E11" s="130"/>
      <c r="F11" s="12"/>
      <c r="H11" s="4"/>
      <c r="I11" s="11"/>
      <c r="J11" s="12"/>
      <c r="K11" s="12"/>
      <c r="L11" s="4"/>
      <c r="M11" s="11"/>
      <c r="N11" s="12"/>
    </row>
    <row r="12" spans="1:14">
      <c r="A12" s="2">
        <f t="shared" si="0"/>
        <v>5</v>
      </c>
      <c r="B12" s="132">
        <f>'Sch 95'!B12</f>
        <v>8</v>
      </c>
      <c r="D12" s="4">
        <v>0</v>
      </c>
      <c r="E12" s="129">
        <v>0</v>
      </c>
      <c r="F12" s="12">
        <f t="shared" ref="F12:F18" si="4">D12*E12</f>
        <v>0</v>
      </c>
      <c r="H12" s="4">
        <f>D12</f>
        <v>0</v>
      </c>
      <c r="I12" s="11">
        <f t="shared" ref="I12:I18" si="5">E12</f>
        <v>0</v>
      </c>
      <c r="J12" s="12">
        <f t="shared" ref="J12:J18" si="6">$I12*H12</f>
        <v>0</v>
      </c>
      <c r="K12" s="12"/>
      <c r="L12" s="4">
        <v>0</v>
      </c>
      <c r="M12" s="11">
        <f t="shared" ref="M12:M18" si="7">I12</f>
        <v>0</v>
      </c>
      <c r="N12" s="12">
        <f t="shared" ref="N12:N18" si="8">$M12*L12</f>
        <v>0</v>
      </c>
    </row>
    <row r="13" spans="1:14">
      <c r="A13" s="2">
        <f t="shared" si="0"/>
        <v>6</v>
      </c>
      <c r="B13" s="132" t="str">
        <f>'Sch 95'!B13</f>
        <v>24 (324)</v>
      </c>
      <c r="D13" s="116">
        <f>'Revenue by Sch RY#1'!D10</f>
        <v>2762635966.1696987</v>
      </c>
      <c r="E13" s="130">
        <f>+E12</f>
        <v>0</v>
      </c>
      <c r="F13" s="12">
        <f t="shared" si="4"/>
        <v>0</v>
      </c>
      <c r="H13" s="4">
        <f>D13</f>
        <v>2762635966.1696987</v>
      </c>
      <c r="I13" s="11">
        <f t="shared" si="5"/>
        <v>0</v>
      </c>
      <c r="J13" s="12">
        <f t="shared" si="6"/>
        <v>0</v>
      </c>
      <c r="K13" s="12"/>
      <c r="L13" s="116">
        <f>'Revenue by Sch RY#2'!D10</f>
        <v>2774967422.2693906</v>
      </c>
      <c r="M13" s="11">
        <f t="shared" si="7"/>
        <v>0</v>
      </c>
      <c r="N13" s="12">
        <f t="shared" si="8"/>
        <v>0</v>
      </c>
    </row>
    <row r="14" spans="1:14">
      <c r="A14" s="2">
        <f t="shared" si="0"/>
        <v>7</v>
      </c>
      <c r="B14" s="132">
        <f>'Sch 95'!B14</f>
        <v>11</v>
      </c>
      <c r="D14" s="4">
        <v>0</v>
      </c>
      <c r="E14" s="130">
        <f>E9</f>
        <v>0</v>
      </c>
      <c r="F14" s="12">
        <f t="shared" si="4"/>
        <v>0</v>
      </c>
      <c r="H14" s="4">
        <f t="shared" ref="H14:H18" si="9">D14</f>
        <v>0</v>
      </c>
      <c r="I14" s="11">
        <f t="shared" si="5"/>
        <v>0</v>
      </c>
      <c r="J14" s="12">
        <f t="shared" si="6"/>
        <v>0</v>
      </c>
      <c r="K14" s="12"/>
      <c r="L14" s="4">
        <v>0</v>
      </c>
      <c r="M14" s="11">
        <f t="shared" si="7"/>
        <v>0</v>
      </c>
      <c r="N14" s="12">
        <f t="shared" si="8"/>
        <v>0</v>
      </c>
    </row>
    <row r="15" spans="1:14">
      <c r="A15" s="2">
        <f t="shared" si="0"/>
        <v>8</v>
      </c>
      <c r="B15" s="132">
        <f>'Sch 95'!B15</f>
        <v>25</v>
      </c>
      <c r="D15" s="116">
        <f>'Revenue by Sch RY#1'!D11</f>
        <v>2960202274.8054705</v>
      </c>
      <c r="E15" s="130">
        <f>+E14</f>
        <v>0</v>
      </c>
      <c r="F15" s="12">
        <f t="shared" si="4"/>
        <v>0</v>
      </c>
      <c r="H15" s="4">
        <f t="shared" si="9"/>
        <v>2960202274.8054705</v>
      </c>
      <c r="I15" s="11">
        <f t="shared" si="5"/>
        <v>0</v>
      </c>
      <c r="J15" s="12">
        <f t="shared" si="6"/>
        <v>0</v>
      </c>
      <c r="K15" s="12"/>
      <c r="L15" s="116">
        <f>'Revenue by Sch RY#2'!D11</f>
        <v>2968720174.6374388</v>
      </c>
      <c r="M15" s="11">
        <f t="shared" si="7"/>
        <v>0</v>
      </c>
      <c r="N15" s="12">
        <f t="shared" si="8"/>
        <v>0</v>
      </c>
    </row>
    <row r="16" spans="1:14">
      <c r="A16" s="2">
        <f t="shared" si="0"/>
        <v>9</v>
      </c>
      <c r="B16" s="132">
        <f>'Sch 95'!B16</f>
        <v>12</v>
      </c>
      <c r="D16" s="4">
        <v>0</v>
      </c>
      <c r="E16" s="129">
        <v>0</v>
      </c>
      <c r="F16" s="12">
        <f t="shared" si="4"/>
        <v>0</v>
      </c>
      <c r="H16" s="4">
        <f t="shared" si="9"/>
        <v>0</v>
      </c>
      <c r="I16" s="11">
        <f t="shared" si="5"/>
        <v>0</v>
      </c>
      <c r="J16" s="12">
        <f t="shared" si="6"/>
        <v>0</v>
      </c>
      <c r="K16" s="12"/>
      <c r="L16" s="4">
        <v>0</v>
      </c>
      <c r="M16" s="11">
        <f t="shared" si="7"/>
        <v>0</v>
      </c>
      <c r="N16" s="12">
        <f t="shared" si="8"/>
        <v>0</v>
      </c>
    </row>
    <row r="17" spans="1:14">
      <c r="A17" s="2">
        <f t="shared" si="0"/>
        <v>10</v>
      </c>
      <c r="B17" s="132" t="str">
        <f>'Sch 95'!B17</f>
        <v>26 &amp; 26P</v>
      </c>
      <c r="D17" s="116">
        <f>'Revenue by Sch RY#1'!D12</f>
        <v>2013891730.8000479</v>
      </c>
      <c r="E17" s="130">
        <f>+E16</f>
        <v>0</v>
      </c>
      <c r="F17" s="12">
        <f t="shared" si="4"/>
        <v>0</v>
      </c>
      <c r="H17" s="4">
        <f t="shared" si="9"/>
        <v>2013891730.8000479</v>
      </c>
      <c r="I17" s="11">
        <f t="shared" si="5"/>
        <v>0</v>
      </c>
      <c r="J17" s="12">
        <f t="shared" si="6"/>
        <v>0</v>
      </c>
      <c r="K17" s="12"/>
      <c r="L17" s="116">
        <f>'Revenue by Sch RY#2'!D12</f>
        <v>2056791563.2414525</v>
      </c>
      <c r="M17" s="11">
        <f t="shared" si="7"/>
        <v>0</v>
      </c>
      <c r="N17" s="12">
        <f t="shared" si="8"/>
        <v>0</v>
      </c>
    </row>
    <row r="18" spans="1:14">
      <c r="A18" s="2">
        <f t="shared" si="0"/>
        <v>11</v>
      </c>
      <c r="B18" s="132">
        <f>'Sch 95'!B18</f>
        <v>29</v>
      </c>
      <c r="D18" s="116">
        <f>'Revenue by Sch RY#1'!D13</f>
        <v>14930059.630887466</v>
      </c>
      <c r="E18" s="129">
        <v>0</v>
      </c>
      <c r="F18" s="12">
        <f t="shared" si="4"/>
        <v>0</v>
      </c>
      <c r="H18" s="4">
        <f t="shared" si="9"/>
        <v>14930059.630887466</v>
      </c>
      <c r="I18" s="11">
        <f t="shared" si="5"/>
        <v>0</v>
      </c>
      <c r="J18" s="12">
        <f t="shared" si="6"/>
        <v>0</v>
      </c>
      <c r="K18" s="12"/>
      <c r="L18" s="116">
        <f>'Revenue by Sch RY#2'!D13</f>
        <v>14843026.361509496</v>
      </c>
      <c r="M18" s="11">
        <f t="shared" si="7"/>
        <v>0</v>
      </c>
      <c r="N18" s="12">
        <f t="shared" si="8"/>
        <v>0</v>
      </c>
    </row>
    <row r="19" spans="1:14">
      <c r="A19" s="2">
        <f t="shared" si="0"/>
        <v>12</v>
      </c>
      <c r="B19" s="2"/>
      <c r="C19" s="7" t="s">
        <v>6</v>
      </c>
      <c r="D19" s="6">
        <f>SUM(D12:D18)</f>
        <v>7751660031.4061041</v>
      </c>
      <c r="E19" s="130"/>
      <c r="F19" s="13">
        <f t="shared" ref="F19" si="10">SUM(F12:F18)</f>
        <v>0</v>
      </c>
      <c r="H19" s="6">
        <f>SUM(H12:H18)</f>
        <v>7751660031.4061041</v>
      </c>
      <c r="I19" s="11"/>
      <c r="J19" s="13">
        <f t="shared" ref="J19" si="11">SUM(J12:J18)</f>
        <v>0</v>
      </c>
      <c r="K19" s="12"/>
      <c r="L19" s="6">
        <f>SUM(L12:L18)</f>
        <v>7815322186.5097914</v>
      </c>
      <c r="M19" s="11"/>
      <c r="N19" s="13">
        <f t="shared" ref="N19" si="12">SUM(N12:N18)</f>
        <v>0</v>
      </c>
    </row>
    <row r="20" spans="1:14">
      <c r="A20" s="2">
        <f t="shared" si="0"/>
        <v>13</v>
      </c>
      <c r="B20" s="2"/>
      <c r="D20" s="4"/>
      <c r="E20" s="130"/>
      <c r="F20" s="12"/>
      <c r="H20" s="4"/>
      <c r="I20" s="11"/>
      <c r="J20" s="12"/>
      <c r="K20" s="12"/>
      <c r="L20" s="4"/>
      <c r="M20" s="11"/>
      <c r="N20" s="12"/>
    </row>
    <row r="21" spans="1:14">
      <c r="A21" s="2">
        <f t="shared" si="0"/>
        <v>14</v>
      </c>
      <c r="B21" s="132">
        <f>'Sch 95'!B21</f>
        <v>10</v>
      </c>
      <c r="D21" s="4">
        <v>0</v>
      </c>
      <c r="E21" s="129">
        <v>0</v>
      </c>
      <c r="F21" s="12">
        <f t="shared" ref="F21:F24" si="13">D21*E21</f>
        <v>0</v>
      </c>
      <c r="H21" s="4">
        <f t="shared" ref="H21:H24" si="14">D21</f>
        <v>0</v>
      </c>
      <c r="I21" s="11">
        <f t="shared" ref="I21:I24" si="15">E21</f>
        <v>0</v>
      </c>
      <c r="J21" s="12">
        <f t="shared" ref="J21:J24" si="16">$I21*H21</f>
        <v>0</v>
      </c>
      <c r="K21" s="12"/>
      <c r="L21" s="4">
        <v>0</v>
      </c>
      <c r="M21" s="11">
        <f t="shared" ref="M21:M24" si="17">I21</f>
        <v>0</v>
      </c>
      <c r="N21" s="12">
        <f t="shared" ref="N21:N24" si="18">$M21*L21</f>
        <v>0</v>
      </c>
    </row>
    <row r="22" spans="1:14">
      <c r="A22" s="2">
        <f t="shared" si="0"/>
        <v>15</v>
      </c>
      <c r="B22" s="132">
        <f>'Sch 95'!B22</f>
        <v>31</v>
      </c>
      <c r="D22" s="116">
        <f>'Revenue by Sch RY#1'!D14</f>
        <v>1423586019.4788036</v>
      </c>
      <c r="E22" s="130">
        <f>+E21</f>
        <v>0</v>
      </c>
      <c r="F22" s="12">
        <f t="shared" si="13"/>
        <v>0</v>
      </c>
      <c r="H22" s="4">
        <f t="shared" si="14"/>
        <v>1423586019.4788036</v>
      </c>
      <c r="I22" s="11">
        <f t="shared" si="15"/>
        <v>0</v>
      </c>
      <c r="J22" s="12">
        <f t="shared" si="16"/>
        <v>0</v>
      </c>
      <c r="K22" s="12"/>
      <c r="L22" s="116">
        <f>'Revenue by Sch RY#2'!D14</f>
        <v>1411297972.0883911</v>
      </c>
      <c r="M22" s="11">
        <f t="shared" si="17"/>
        <v>0</v>
      </c>
      <c r="N22" s="12">
        <f t="shared" si="18"/>
        <v>0</v>
      </c>
    </row>
    <row r="23" spans="1:14">
      <c r="A23" s="2">
        <f t="shared" si="0"/>
        <v>16</v>
      </c>
      <c r="B23" s="132">
        <f>'Sch 95'!B23</f>
        <v>35</v>
      </c>
      <c r="D23" s="116">
        <f>'Revenue by Sch RY#1'!D15</f>
        <v>4407260.1568774413</v>
      </c>
      <c r="E23" s="129">
        <v>0</v>
      </c>
      <c r="F23" s="12">
        <f t="shared" si="13"/>
        <v>0</v>
      </c>
      <c r="H23" s="4">
        <f t="shared" si="14"/>
        <v>4407260.1568774413</v>
      </c>
      <c r="I23" s="11">
        <f t="shared" si="15"/>
        <v>0</v>
      </c>
      <c r="J23" s="12">
        <f t="shared" si="16"/>
        <v>0</v>
      </c>
      <c r="K23" s="12"/>
      <c r="L23" s="116">
        <f>'Revenue by Sch RY#2'!D15</f>
        <v>4380281.1514552524</v>
      </c>
      <c r="M23" s="11">
        <f t="shared" si="17"/>
        <v>0</v>
      </c>
      <c r="N23" s="12">
        <f t="shared" si="18"/>
        <v>0</v>
      </c>
    </row>
    <row r="24" spans="1:14">
      <c r="A24" s="2">
        <f t="shared" si="0"/>
        <v>17</v>
      </c>
      <c r="B24" s="132">
        <f>'Sch 95'!B24</f>
        <v>43</v>
      </c>
      <c r="D24" s="116">
        <f>'Revenue by Sch RY#1'!D16</f>
        <v>122267424.6450724</v>
      </c>
      <c r="E24" s="129">
        <v>0</v>
      </c>
      <c r="F24" s="12">
        <f t="shared" si="13"/>
        <v>0</v>
      </c>
      <c r="H24" s="4">
        <f t="shared" si="14"/>
        <v>122267424.6450724</v>
      </c>
      <c r="I24" s="11">
        <f t="shared" si="15"/>
        <v>0</v>
      </c>
      <c r="J24" s="12">
        <f t="shared" si="16"/>
        <v>0</v>
      </c>
      <c r="K24" s="12"/>
      <c r="L24" s="116">
        <f>'Revenue by Sch RY#2'!D16</f>
        <v>121633779.10385114</v>
      </c>
      <c r="M24" s="11">
        <f t="shared" si="17"/>
        <v>0</v>
      </c>
      <c r="N24" s="12">
        <f t="shared" si="18"/>
        <v>0</v>
      </c>
    </row>
    <row r="25" spans="1:14">
      <c r="A25" s="2">
        <f t="shared" si="0"/>
        <v>18</v>
      </c>
      <c r="B25" s="2"/>
      <c r="C25" s="3" t="s">
        <v>7</v>
      </c>
      <c r="D25" s="6">
        <f>SUM(D21:D24)</f>
        <v>1550260704.2807536</v>
      </c>
      <c r="E25" s="130"/>
      <c r="F25" s="13">
        <f t="shared" ref="F25" si="19">SUM(F21:F24)</f>
        <v>0</v>
      </c>
      <c r="H25" s="6">
        <f>SUM(H21:H24)</f>
        <v>1550260704.2807536</v>
      </c>
      <c r="I25" s="11"/>
      <c r="J25" s="13">
        <f t="shared" ref="J25" si="20">SUM(J21:J24)</f>
        <v>0</v>
      </c>
      <c r="K25" s="12"/>
      <c r="L25" s="6">
        <f>SUM(L21:L24)</f>
        <v>1537312032.3436973</v>
      </c>
      <c r="M25" s="11"/>
      <c r="N25" s="13">
        <f t="shared" ref="N25" si="21">SUM(N21:N24)</f>
        <v>0</v>
      </c>
    </row>
    <row r="26" spans="1:14">
      <c r="A26" s="2">
        <f t="shared" si="0"/>
        <v>19</v>
      </c>
      <c r="B26" s="2"/>
      <c r="D26" s="4"/>
      <c r="E26" s="130"/>
      <c r="F26" s="12"/>
      <c r="H26" s="4"/>
      <c r="I26" s="11"/>
      <c r="J26" s="12"/>
      <c r="K26" s="12"/>
      <c r="L26" s="4"/>
      <c r="M26" s="11"/>
      <c r="N26" s="12"/>
    </row>
    <row r="27" spans="1:14">
      <c r="A27" s="2">
        <f t="shared" si="0"/>
        <v>20</v>
      </c>
      <c r="B27" s="132">
        <f>'Sch 95'!B27</f>
        <v>46</v>
      </c>
      <c r="D27" s="116">
        <f>'Revenue by Sch RY#1'!D17</f>
        <v>96933187.043131709</v>
      </c>
      <c r="E27" s="129">
        <v>0</v>
      </c>
      <c r="F27" s="12">
        <f t="shared" ref="F27:F28" si="22">D27*E27</f>
        <v>0</v>
      </c>
      <c r="H27" s="4">
        <f t="shared" ref="H27:H28" si="23">D27</f>
        <v>96933187.043131709</v>
      </c>
      <c r="I27" s="11">
        <f t="shared" ref="I27:I28" si="24">E27</f>
        <v>0</v>
      </c>
      <c r="J27" s="12">
        <f t="shared" ref="J27:J28" si="25">$I27*H27</f>
        <v>0</v>
      </c>
      <c r="K27" s="12"/>
      <c r="L27" s="116">
        <f>'Revenue by Sch RY#2'!D17</f>
        <v>96918964.527943105</v>
      </c>
      <c r="M27" s="11">
        <f t="shared" ref="M27:M28" si="26">I27</f>
        <v>0</v>
      </c>
      <c r="N27" s="12">
        <f t="shared" ref="N27:N28" si="27">$M27*L27</f>
        <v>0</v>
      </c>
    </row>
    <row r="28" spans="1:14">
      <c r="A28" s="2">
        <f t="shared" si="0"/>
        <v>21</v>
      </c>
      <c r="B28" s="132">
        <f>'Sch 95'!B28</f>
        <v>49</v>
      </c>
      <c r="D28" s="116">
        <f>'Revenue by Sch RY#1'!D18</f>
        <v>534843226.30681556</v>
      </c>
      <c r="E28" s="129">
        <v>0</v>
      </c>
      <c r="F28" s="12">
        <f t="shared" si="22"/>
        <v>0</v>
      </c>
      <c r="H28" s="4">
        <f t="shared" si="23"/>
        <v>534843226.30681556</v>
      </c>
      <c r="I28" s="11">
        <f t="shared" si="24"/>
        <v>0</v>
      </c>
      <c r="J28" s="12">
        <f t="shared" si="25"/>
        <v>0</v>
      </c>
      <c r="K28" s="12"/>
      <c r="L28" s="116">
        <f>'Revenue by Sch RY#2'!D18</f>
        <v>534899242.67952603</v>
      </c>
      <c r="M28" s="11">
        <f t="shared" si="26"/>
        <v>0</v>
      </c>
      <c r="N28" s="12">
        <f t="shared" si="27"/>
        <v>0</v>
      </c>
    </row>
    <row r="29" spans="1:14">
      <c r="A29" s="2">
        <f t="shared" si="0"/>
        <v>22</v>
      </c>
      <c r="B29" s="2"/>
      <c r="C29" s="3" t="s">
        <v>8</v>
      </c>
      <c r="D29" s="6">
        <f>SUM(D27:D28)</f>
        <v>631776413.34994721</v>
      </c>
      <c r="E29" s="11"/>
      <c r="F29" s="13">
        <f t="shared" ref="F29" si="28">SUM(F27:F28)</f>
        <v>0</v>
      </c>
      <c r="H29" s="6">
        <f>SUM(H27:H28)</f>
        <v>631776413.34994721</v>
      </c>
      <c r="I29" s="11"/>
      <c r="J29" s="13">
        <f t="shared" ref="J29" si="29">SUM(J27:J28)</f>
        <v>0</v>
      </c>
      <c r="K29" s="12"/>
      <c r="L29" s="6">
        <f>SUM(L27:L28)</f>
        <v>631818207.20746911</v>
      </c>
      <c r="M29" s="11"/>
      <c r="N29" s="13">
        <f t="shared" ref="N29" si="30">SUM(N27:N28)</f>
        <v>0</v>
      </c>
    </row>
    <row r="30" spans="1:14">
      <c r="A30" s="2">
        <f t="shared" si="0"/>
        <v>23</v>
      </c>
      <c r="B30" s="2"/>
      <c r="D30" s="4"/>
      <c r="E30" s="11"/>
      <c r="F30" s="12"/>
      <c r="H30" s="4"/>
      <c r="I30" s="11"/>
      <c r="J30" s="12"/>
      <c r="K30" s="12"/>
      <c r="L30" s="4"/>
      <c r="M30" s="11"/>
      <c r="N30" s="12"/>
    </row>
    <row r="31" spans="1:14">
      <c r="A31" s="2">
        <f t="shared" si="0"/>
        <v>24</v>
      </c>
      <c r="B31" s="132" t="str">
        <f>'Sch 95'!B31</f>
        <v>03, 50-59</v>
      </c>
      <c r="D31" s="122">
        <f>'Revenue by Sch RY#1'!D19</f>
        <v>67255417.982360825</v>
      </c>
      <c r="E31" s="117">
        <v>0</v>
      </c>
      <c r="F31" s="13">
        <f>D31*E31</f>
        <v>0</v>
      </c>
      <c r="H31" s="6">
        <f>D31</f>
        <v>67255417.982360825</v>
      </c>
      <c r="I31" s="11">
        <f>E31</f>
        <v>0</v>
      </c>
      <c r="J31" s="13">
        <f>$I31*H31</f>
        <v>0</v>
      </c>
      <c r="K31" s="12"/>
      <c r="L31" s="122">
        <f>'Revenue by Sch RY#2'!D19</f>
        <v>67027608.143863305</v>
      </c>
      <c r="M31" s="11">
        <f>I31</f>
        <v>0</v>
      </c>
      <c r="N31" s="13">
        <f>$M31*L31</f>
        <v>0</v>
      </c>
    </row>
    <row r="32" spans="1:14">
      <c r="A32" s="2">
        <f t="shared" si="0"/>
        <v>25</v>
      </c>
      <c r="B32" s="2"/>
      <c r="D32" s="4"/>
      <c r="E32" s="11"/>
      <c r="F32" s="12"/>
      <c r="H32" s="4"/>
      <c r="I32" s="11"/>
      <c r="J32" s="12"/>
      <c r="K32" s="12"/>
      <c r="L32" s="4"/>
      <c r="M32" s="11"/>
      <c r="N32" s="12"/>
    </row>
    <row r="33" spans="1:14">
      <c r="A33" s="2">
        <f t="shared" si="0"/>
        <v>26</v>
      </c>
      <c r="B33" s="132" t="str">
        <f>'Sch 95'!B33</f>
        <v>449-459</v>
      </c>
      <c r="D33" s="116">
        <f>'Revenue by Sch RY#1'!D20</f>
        <v>1967511960.3194919</v>
      </c>
      <c r="E33" s="117">
        <v>0</v>
      </c>
      <c r="F33" s="12">
        <f t="shared" ref="F33:F34" si="31">D33*E33</f>
        <v>0</v>
      </c>
      <c r="H33" s="4">
        <f t="shared" ref="H33:H34" si="32">D33</f>
        <v>1967511960.3194919</v>
      </c>
      <c r="I33" s="11">
        <f t="shared" ref="I33:I34" si="33">E33</f>
        <v>0</v>
      </c>
      <c r="J33" s="12">
        <f t="shared" ref="J33:J34" si="34">$I33*H33</f>
        <v>0</v>
      </c>
      <c r="K33" s="12"/>
      <c r="L33" s="116">
        <f>'Revenue by Sch RY#2'!D20</f>
        <v>1964993565.6779518</v>
      </c>
      <c r="M33" s="11">
        <f t="shared" ref="M33:M34" si="35">I33</f>
        <v>0</v>
      </c>
      <c r="N33" s="12">
        <f t="shared" ref="N33:N34" si="36">$M33*L33</f>
        <v>0</v>
      </c>
    </row>
    <row r="34" spans="1:14">
      <c r="A34" s="2">
        <f t="shared" si="0"/>
        <v>27</v>
      </c>
      <c r="B34" s="132" t="str">
        <f>'Sch 95'!B34</f>
        <v>Special Contract</v>
      </c>
      <c r="D34" s="116">
        <f>'Revenue by Sch RY#1'!D21</f>
        <v>304773055.46200001</v>
      </c>
      <c r="E34" s="117">
        <v>0</v>
      </c>
      <c r="F34" s="12">
        <f t="shared" si="31"/>
        <v>0</v>
      </c>
      <c r="H34" s="4">
        <f t="shared" si="32"/>
        <v>304773055.46200001</v>
      </c>
      <c r="I34" s="11">
        <f t="shared" si="33"/>
        <v>0</v>
      </c>
      <c r="J34" s="12">
        <f t="shared" si="34"/>
        <v>0</v>
      </c>
      <c r="K34" s="12"/>
      <c r="L34" s="116">
        <f>'Revenue by Sch RY#2'!D21</f>
        <v>304773055.46200001</v>
      </c>
      <c r="M34" s="11">
        <f t="shared" si="35"/>
        <v>0</v>
      </c>
      <c r="N34" s="12">
        <f t="shared" si="36"/>
        <v>0</v>
      </c>
    </row>
    <row r="35" spans="1:14">
      <c r="A35" s="2">
        <f t="shared" si="0"/>
        <v>28</v>
      </c>
      <c r="B35" s="5"/>
      <c r="C35" s="3" t="s">
        <v>77</v>
      </c>
      <c r="D35" s="6">
        <f>SUM(D33:D34)</f>
        <v>2272285015.7814918</v>
      </c>
      <c r="E35" s="11"/>
      <c r="F35" s="13">
        <f t="shared" ref="F35" si="37">SUM(F33:F34)</f>
        <v>0</v>
      </c>
      <c r="H35" s="6">
        <f>SUM(H33:H34)</f>
        <v>2272285015.7814918</v>
      </c>
      <c r="J35" s="13">
        <f t="shared" ref="J35" si="38">SUM(J33:J34)</f>
        <v>0</v>
      </c>
      <c r="K35" s="12"/>
      <c r="L35" s="6">
        <f>SUM(L33:L34)</f>
        <v>2269766621.1399517</v>
      </c>
      <c r="N35" s="13">
        <f t="shared" ref="N35" si="39">SUM(N33:N34)</f>
        <v>0</v>
      </c>
    </row>
    <row r="36" spans="1:14">
      <c r="A36" s="2">
        <f t="shared" si="0"/>
        <v>29</v>
      </c>
      <c r="B36" s="2"/>
      <c r="D36" s="4"/>
      <c r="E36" s="11"/>
      <c r="F36" s="12"/>
      <c r="H36" s="4"/>
      <c r="J36" s="12"/>
      <c r="K36" s="12"/>
      <c r="L36" s="4"/>
      <c r="N36" s="12"/>
    </row>
    <row r="37" spans="1:14" ht="12" thickBot="1">
      <c r="A37" s="2">
        <f t="shared" si="0"/>
        <v>30</v>
      </c>
      <c r="B37" s="2"/>
      <c r="C37" s="7" t="s">
        <v>15</v>
      </c>
      <c r="D37" s="8">
        <f>SUM(D10,D19,D25,D29,D31,D35)</f>
        <v>23551443434.196022</v>
      </c>
      <c r="E37" s="11"/>
      <c r="F37" s="14">
        <f>SUM(F10,F19,F25,F29,F31,F35)</f>
        <v>0</v>
      </c>
      <c r="H37" s="8">
        <f>SUM(H10,H19,H25,H29,H31,H35)</f>
        <v>23551443434.196022</v>
      </c>
      <c r="J37" s="14">
        <f>SUM(J10,J19,J25,J29,J31,J35)</f>
        <v>0</v>
      </c>
      <c r="K37" s="12"/>
      <c r="L37" s="8">
        <f>SUM(L10,L19,L25,L29,L31,L35)</f>
        <v>23768895895.058746</v>
      </c>
      <c r="N37" s="14">
        <f>SUM(N10,N19,N25,N29,N31,N35)</f>
        <v>0</v>
      </c>
    </row>
    <row r="38" spans="1:14" ht="12" thickTop="1">
      <c r="A38" s="2">
        <f t="shared" si="0"/>
        <v>31</v>
      </c>
      <c r="B38" s="2"/>
      <c r="E38" s="11"/>
      <c r="F38" s="12"/>
      <c r="J38" s="12"/>
      <c r="K38" s="12"/>
      <c r="N38" s="12"/>
    </row>
    <row r="39" spans="1:14">
      <c r="A39" s="2">
        <f t="shared" si="0"/>
        <v>32</v>
      </c>
      <c r="B39" s="132">
        <f>'Sch 95'!B39</f>
        <v>5</v>
      </c>
      <c r="C39" s="3" t="s">
        <v>16</v>
      </c>
      <c r="D39" s="122">
        <f>'Revenue by Sch RY#1'!D22</f>
        <v>6714960.2368700616</v>
      </c>
      <c r="E39" s="117">
        <v>0</v>
      </c>
      <c r="F39" s="13">
        <f>D39*E39</f>
        <v>0</v>
      </c>
      <c r="H39" s="6">
        <f>D39</f>
        <v>6714960.2368700616</v>
      </c>
      <c r="I39" s="11">
        <f>E39</f>
        <v>0</v>
      </c>
      <c r="J39" s="13">
        <f>$I39*H39</f>
        <v>0</v>
      </c>
      <c r="K39" s="12"/>
      <c r="L39" s="122">
        <f>'Revenue by Sch RY#2'!D22</f>
        <v>6710049.8818741431</v>
      </c>
      <c r="M39" s="11">
        <f>I39</f>
        <v>0</v>
      </c>
      <c r="N39" s="12">
        <f>$M39*L39</f>
        <v>0</v>
      </c>
    </row>
    <row r="40" spans="1:14">
      <c r="A40" s="2">
        <f t="shared" si="0"/>
        <v>33</v>
      </c>
      <c r="B40" s="2"/>
      <c r="E40" s="11"/>
      <c r="F40" s="12"/>
      <c r="J40" s="12"/>
      <c r="K40" s="12"/>
      <c r="N40" s="12"/>
    </row>
    <row r="41" spans="1:14" ht="12" thickBot="1">
      <c r="A41" s="2">
        <f t="shared" si="0"/>
        <v>34</v>
      </c>
      <c r="B41" s="2"/>
      <c r="C41" s="110" t="s">
        <v>17</v>
      </c>
      <c r="D41" s="111">
        <f>SUM(D37,D39)</f>
        <v>23558158394.432892</v>
      </c>
      <c r="E41" s="112"/>
      <c r="F41" s="113">
        <f>SUM(F37,F39)</f>
        <v>0</v>
      </c>
      <c r="G41" s="15"/>
      <c r="H41" s="111">
        <f>SUM(H37,H39)</f>
        <v>23558158394.432892</v>
      </c>
      <c r="I41" s="15"/>
      <c r="J41" s="113">
        <f t="shared" ref="J41" si="40">SUM(J37,J39)</f>
        <v>0</v>
      </c>
      <c r="K41" s="114"/>
      <c r="L41" s="111">
        <f>SUM(L37,L39)</f>
        <v>23775605944.94062</v>
      </c>
      <c r="M41" s="15"/>
      <c r="N41" s="113">
        <f t="shared" ref="N41" si="41">SUM(N37,N39)</f>
        <v>0</v>
      </c>
    </row>
    <row r="42" spans="1:14" ht="12" thickTop="1">
      <c r="D42" s="123">
        <f>'Revenue by Sch RY#1'!D24</f>
        <v>23558158394.432896</v>
      </c>
      <c r="H42" s="162">
        <f>D41</f>
        <v>23558158394.432892</v>
      </c>
      <c r="L42" s="123">
        <f>'Revenue by Sch RY#2'!D24</f>
        <v>23775605944.94062</v>
      </c>
    </row>
    <row r="43" spans="1:14">
      <c r="C43" s="17" t="s">
        <v>168</v>
      </c>
      <c r="D43" s="124">
        <f>D41-D42</f>
        <v>0</v>
      </c>
      <c r="H43" s="124">
        <f>H41-H42</f>
        <v>0</v>
      </c>
      <c r="L43" s="124">
        <f>L41-L42</f>
        <v>0</v>
      </c>
    </row>
    <row r="44" spans="1:14">
      <c r="L44" s="4"/>
    </row>
    <row r="45" spans="1:14">
      <c r="B45" s="3" t="s">
        <v>259</v>
      </c>
      <c r="C45" s="101"/>
    </row>
  </sheetData>
  <mergeCells count="7">
    <mergeCell ref="H6:J6"/>
    <mergeCell ref="L6:N6"/>
    <mergeCell ref="A1:N1"/>
    <mergeCell ref="A2:N2"/>
    <mergeCell ref="A3:N3"/>
    <mergeCell ref="A4:N4"/>
    <mergeCell ref="A5:E5"/>
  </mergeCells>
  <pageMargins left="0.7" right="0.7" top="0.75" bottom="0.75" header="0.3" footer="0.3"/>
  <pageSetup scale="83" orientation="landscape" horizontalDpi="360" verticalDpi="360" r:id="rId1"/>
  <headerFooter>
    <oddFooter>&amp;R&amp;F
&amp;A
&amp;P of &amp;N</oddFooter>
  </headerFooter>
  <customProperties>
    <customPr name="_pios_id" r:id="rId2"/>
  </customPropertie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6" tint="0.79998168889431442"/>
    <pageSetUpPr fitToPage="1"/>
  </sheetPr>
  <dimension ref="A1:N45"/>
  <sheetViews>
    <sheetView zoomScaleNormal="100" zoomScaleSheetLayoutView="100" workbookViewId="0">
      <pane ySplit="7" topLeftCell="A8" activePane="bottomLeft" state="frozen"/>
      <selection activeCell="U42" sqref="U42"/>
      <selection pane="bottomLeft" activeCell="U42" sqref="U42"/>
    </sheetView>
  </sheetViews>
  <sheetFormatPr defaultColWidth="8.85546875" defaultRowHeight="11.25"/>
  <cols>
    <col min="1" max="1" width="4.42578125" style="3" bestFit="1" customWidth="1"/>
    <col min="2" max="2" width="14.85546875" style="3" bestFit="1" customWidth="1"/>
    <col min="3" max="3" width="21.7109375" style="3" bestFit="1" customWidth="1"/>
    <col min="4" max="4" width="15.140625" style="3" bestFit="1" customWidth="1"/>
    <col min="5" max="5" width="11" style="3" customWidth="1"/>
    <col min="6" max="6" width="11.85546875" style="3" customWidth="1"/>
    <col min="7" max="7" width="0.85546875" style="3" customWidth="1"/>
    <col min="8" max="8" width="12.85546875" style="3" bestFit="1" customWidth="1"/>
    <col min="9" max="9" width="9.42578125" style="3" bestFit="1" customWidth="1"/>
    <col min="10" max="10" width="11.5703125" style="3" bestFit="1" customWidth="1"/>
    <col min="11" max="11" width="1" style="3" customWidth="1"/>
    <col min="12" max="12" width="12.85546875" style="3" bestFit="1" customWidth="1"/>
    <col min="13" max="13" width="9.42578125" style="3" bestFit="1" customWidth="1"/>
    <col min="14" max="14" width="13.42578125" style="3" customWidth="1"/>
    <col min="15" max="16384" width="8.85546875" style="3"/>
  </cols>
  <sheetData>
    <row r="1" spans="1:14" s="15" customFormat="1" ht="12.75" customHeight="1">
      <c r="A1" s="459" t="str">
        <f>'Exh CTM-8 (Rate Impacts_RY#1)'!A1</f>
        <v>Puget Sound Energy</v>
      </c>
      <c r="B1" s="460"/>
      <c r="C1" s="460"/>
      <c r="D1" s="460"/>
      <c r="E1" s="460"/>
      <c r="F1" s="460"/>
      <c r="G1" s="460"/>
      <c r="H1" s="460"/>
      <c r="I1" s="460"/>
      <c r="J1" s="460"/>
      <c r="K1" s="460"/>
      <c r="L1" s="460"/>
      <c r="M1" s="460"/>
      <c r="N1" s="460"/>
    </row>
    <row r="2" spans="1:14" s="15" customFormat="1" ht="12.75">
      <c r="A2" s="459" t="str">
        <f>'Exh CTM-8 (Rate Impacts_RY#1)'!A2</f>
        <v>2024 General Rate Case Docket No. UE-240004 and UG-240005</v>
      </c>
      <c r="B2" s="460"/>
      <c r="C2" s="460"/>
      <c r="D2" s="460"/>
      <c r="E2" s="460"/>
      <c r="F2" s="460"/>
      <c r="G2" s="460"/>
      <c r="H2" s="460"/>
      <c r="I2" s="460"/>
      <c r="J2" s="460"/>
      <c r="K2" s="460"/>
      <c r="L2" s="460"/>
      <c r="M2" s="460"/>
      <c r="N2" s="460"/>
    </row>
    <row r="3" spans="1:14" s="15" customFormat="1" ht="12.75">
      <c r="A3" s="545" t="s">
        <v>192</v>
      </c>
      <c r="B3" s="470"/>
      <c r="C3" s="470"/>
      <c r="D3" s="470"/>
      <c r="E3" s="470"/>
      <c r="F3" s="471"/>
      <c r="G3" s="471"/>
      <c r="H3" s="471"/>
      <c r="I3" s="471"/>
      <c r="J3" s="471"/>
      <c r="K3" s="471"/>
      <c r="L3" s="471"/>
      <c r="M3" s="471"/>
      <c r="N3" s="471"/>
    </row>
    <row r="4" spans="1:14" s="15" customFormat="1" ht="12.75">
      <c r="A4" s="545" t="s">
        <v>177</v>
      </c>
      <c r="B4" s="470"/>
      <c r="C4" s="470"/>
      <c r="D4" s="470"/>
      <c r="E4" s="470"/>
      <c r="F4" s="471"/>
      <c r="G4" s="471"/>
      <c r="H4" s="471"/>
      <c r="I4" s="471"/>
      <c r="J4" s="471"/>
      <c r="K4" s="471"/>
      <c r="L4" s="471"/>
      <c r="M4" s="471"/>
      <c r="N4" s="471"/>
    </row>
    <row r="5" spans="1:14" s="15" customFormat="1">
      <c r="A5" s="456"/>
      <c r="B5" s="456"/>
      <c r="C5" s="456"/>
      <c r="D5" s="456"/>
      <c r="E5" s="456"/>
      <c r="F5" s="44"/>
    </row>
    <row r="6" spans="1:14" s="15" customFormat="1" ht="12.75">
      <c r="A6" s="45"/>
      <c r="B6" s="44"/>
      <c r="C6" s="44"/>
      <c r="D6" s="44"/>
      <c r="H6" s="546" t="str">
        <f>'Sch 95'!H6</f>
        <v>MYRP January 2025</v>
      </c>
      <c r="I6" s="494"/>
      <c r="J6" s="493"/>
      <c r="K6" s="132">
        <f>'Sch 95'!K6</f>
        <v>0</v>
      </c>
      <c r="L6" s="546" t="str">
        <f>'Sch 95'!L6</f>
        <v>MYRP January 2026</v>
      </c>
      <c r="M6" s="547"/>
      <c r="N6" s="548"/>
    </row>
    <row r="7" spans="1:14" s="15" customFormat="1" ht="45">
      <c r="A7" s="97" t="s">
        <v>2</v>
      </c>
      <c r="B7" s="97" t="s">
        <v>3</v>
      </c>
      <c r="C7" s="97" t="s">
        <v>14</v>
      </c>
      <c r="D7" s="133" t="str">
        <f>'Sch 95'!D7</f>
        <v>12 months ending December 2025 F23 Forecast KWh</v>
      </c>
      <c r="E7" s="133" t="str">
        <f>'Sch 95'!E7</f>
        <v>Current Rates as of January 2024 (1)</v>
      </c>
      <c r="F7" s="133" t="str">
        <f>'Sch 95'!F7</f>
        <v>Annual Delivered $</v>
      </c>
      <c r="G7" s="133">
        <f>'Sch 95'!G7</f>
        <v>0</v>
      </c>
      <c r="H7" s="133" t="str">
        <f>'Sch 95'!H7</f>
        <v>Annual Delivered KWh</v>
      </c>
      <c r="I7" s="133" t="str">
        <f>'Sch 95'!I7</f>
        <v>Rates Effective January 2025</v>
      </c>
      <c r="J7" s="133" t="str">
        <f>'Sch 95'!J7</f>
        <v>Annual Delivered $</v>
      </c>
      <c r="K7" s="133">
        <f>'Sch 95'!K7</f>
        <v>0</v>
      </c>
      <c r="L7" s="133" t="str">
        <f>'Sch 95'!L7</f>
        <v>Annual Delivered KWh</v>
      </c>
      <c r="M7" s="133" t="str">
        <f>'Sch 95'!M7</f>
        <v>Rates Effective January 2026</v>
      </c>
      <c r="N7" s="133" t="str">
        <f>'Sch 95'!N7</f>
        <v>Annual Delivered $</v>
      </c>
    </row>
    <row r="8" spans="1:14">
      <c r="A8" s="2">
        <v>1</v>
      </c>
      <c r="B8" s="132" t="str">
        <f>'Sch 95'!B8</f>
        <v xml:space="preserve"> 7 (307) (317) (327)</v>
      </c>
      <c r="D8" s="116">
        <f>'Revenue by Sch RY#1'!D9</f>
        <v>11278205851.395365</v>
      </c>
      <c r="E8" s="129">
        <v>5.0439999999999999E-3</v>
      </c>
      <c r="F8" s="12">
        <f>D8*E8</f>
        <v>56887270.314438216</v>
      </c>
      <c r="H8" s="4">
        <f>D8</f>
        <v>11278205851.395365</v>
      </c>
      <c r="I8" s="11">
        <f>E8</f>
        <v>5.0439999999999999E-3</v>
      </c>
      <c r="J8" s="12">
        <f>$I8*H8</f>
        <v>56887270.314438216</v>
      </c>
      <c r="K8" s="12"/>
      <c r="L8" s="116">
        <f>'Revenue by Sch RY#2'!D9</f>
        <v>11447649239.71397</v>
      </c>
      <c r="M8" s="11">
        <f>I8</f>
        <v>5.0439999999999999E-3</v>
      </c>
      <c r="N8" s="12">
        <f>$M8*L8</f>
        <v>57741942.765117265</v>
      </c>
    </row>
    <row r="9" spans="1:14">
      <c r="A9" s="2">
        <f t="shared" ref="A9:A41" si="0">+A8+1</f>
        <v>2</v>
      </c>
      <c r="B9" s="132" t="str">
        <f>'Sch 95'!B9</f>
        <v xml:space="preserve">7A </v>
      </c>
      <c r="D9" s="4">
        <v>0</v>
      </c>
      <c r="E9" s="129">
        <v>4.3480000000000003E-3</v>
      </c>
      <c r="F9" s="12">
        <f>D9*E9</f>
        <v>0</v>
      </c>
      <c r="H9" s="4">
        <f>D9</f>
        <v>0</v>
      </c>
      <c r="I9" s="11">
        <f>E9</f>
        <v>4.3480000000000003E-3</v>
      </c>
      <c r="J9" s="12">
        <f>$I9*H9</f>
        <v>0</v>
      </c>
      <c r="K9" s="12"/>
      <c r="L9" s="4">
        <v>0</v>
      </c>
      <c r="M9" s="11">
        <f>I9</f>
        <v>4.3480000000000003E-3</v>
      </c>
      <c r="N9" s="12">
        <f>$M9*L9</f>
        <v>0</v>
      </c>
    </row>
    <row r="10" spans="1:14">
      <c r="A10" s="2">
        <f t="shared" si="0"/>
        <v>3</v>
      </c>
      <c r="B10" s="2"/>
      <c r="C10" s="3" t="s">
        <v>4</v>
      </c>
      <c r="D10" s="6">
        <f>SUM(D8:D9)</f>
        <v>11278205851.395365</v>
      </c>
      <c r="E10" s="130"/>
      <c r="F10" s="13">
        <f t="shared" ref="F10" si="1">SUM(F8:F9)</f>
        <v>56887270.314438216</v>
      </c>
      <c r="H10" s="6">
        <f>SUM(H8:H9)</f>
        <v>11278205851.395365</v>
      </c>
      <c r="I10" s="11"/>
      <c r="J10" s="13">
        <f t="shared" ref="J10" si="2">SUM(J8:J9)</f>
        <v>56887270.314438216</v>
      </c>
      <c r="K10" s="12"/>
      <c r="L10" s="6">
        <f>SUM(L8:L9)</f>
        <v>11447649239.71397</v>
      </c>
      <c r="M10" s="11"/>
      <c r="N10" s="13">
        <f t="shared" ref="N10" si="3">SUM(N8:N9)</f>
        <v>57741942.765117265</v>
      </c>
    </row>
    <row r="11" spans="1:14">
      <c r="A11" s="2">
        <f t="shared" si="0"/>
        <v>4</v>
      </c>
      <c r="B11" s="2"/>
      <c r="D11" s="4"/>
      <c r="E11" s="130"/>
      <c r="F11" s="12"/>
      <c r="H11" s="4"/>
      <c r="I11" s="11"/>
      <c r="J11" s="12"/>
      <c r="K11" s="12"/>
      <c r="L11" s="4"/>
      <c r="M11" s="11"/>
      <c r="N11" s="12"/>
    </row>
    <row r="12" spans="1:14">
      <c r="A12" s="2">
        <f t="shared" si="0"/>
        <v>5</v>
      </c>
      <c r="B12" s="132">
        <f>'Sch 95'!B12</f>
        <v>8</v>
      </c>
      <c r="D12" s="4">
        <v>0</v>
      </c>
      <c r="E12" s="129">
        <v>4.2760000000000003E-3</v>
      </c>
      <c r="F12" s="12">
        <f t="shared" ref="F12:F18" si="4">D12*E12</f>
        <v>0</v>
      </c>
      <c r="H12" s="4">
        <f>D12</f>
        <v>0</v>
      </c>
      <c r="I12" s="11">
        <f t="shared" ref="I12:I18" si="5">E12</f>
        <v>4.2760000000000003E-3</v>
      </c>
      <c r="J12" s="12">
        <f t="shared" ref="J12:J18" si="6">$I12*H12</f>
        <v>0</v>
      </c>
      <c r="K12" s="12"/>
      <c r="L12" s="4">
        <v>0</v>
      </c>
      <c r="M12" s="11">
        <f t="shared" ref="M12:M18" si="7">I12</f>
        <v>4.2760000000000003E-3</v>
      </c>
      <c r="N12" s="12">
        <f t="shared" ref="N12:N18" si="8">$M12*L12</f>
        <v>0</v>
      </c>
    </row>
    <row r="13" spans="1:14">
      <c r="A13" s="2">
        <f t="shared" si="0"/>
        <v>6</v>
      </c>
      <c r="B13" s="132" t="str">
        <f>'Sch 95'!B13</f>
        <v>24 (324)</v>
      </c>
      <c r="D13" s="116">
        <f>'Revenue by Sch RY#1'!D10</f>
        <v>2762635966.1696987</v>
      </c>
      <c r="E13" s="130">
        <f>+E12</f>
        <v>4.2760000000000003E-3</v>
      </c>
      <c r="F13" s="12">
        <f t="shared" si="4"/>
        <v>11813031.391341632</v>
      </c>
      <c r="H13" s="4">
        <f>D13</f>
        <v>2762635966.1696987</v>
      </c>
      <c r="I13" s="11">
        <f t="shared" si="5"/>
        <v>4.2760000000000003E-3</v>
      </c>
      <c r="J13" s="12">
        <f t="shared" si="6"/>
        <v>11813031.391341632</v>
      </c>
      <c r="K13" s="12"/>
      <c r="L13" s="116">
        <f>'Revenue by Sch RY#2'!D10</f>
        <v>2774967422.2693906</v>
      </c>
      <c r="M13" s="11">
        <f t="shared" si="7"/>
        <v>4.2760000000000003E-3</v>
      </c>
      <c r="N13" s="12">
        <f t="shared" si="8"/>
        <v>11865760.697623914</v>
      </c>
    </row>
    <row r="14" spans="1:14">
      <c r="A14" s="2">
        <f t="shared" si="0"/>
        <v>7</v>
      </c>
      <c r="B14" s="132">
        <f>'Sch 95'!B14</f>
        <v>11</v>
      </c>
      <c r="D14" s="4">
        <v>0</v>
      </c>
      <c r="E14" s="130">
        <f>E9</f>
        <v>4.3480000000000003E-3</v>
      </c>
      <c r="F14" s="12">
        <f t="shared" si="4"/>
        <v>0</v>
      </c>
      <c r="H14" s="4">
        <f t="shared" ref="H14:H18" si="9">D14</f>
        <v>0</v>
      </c>
      <c r="I14" s="11">
        <f t="shared" si="5"/>
        <v>4.3480000000000003E-3</v>
      </c>
      <c r="J14" s="12">
        <f t="shared" si="6"/>
        <v>0</v>
      </c>
      <c r="K14" s="12"/>
      <c r="L14" s="4">
        <v>0</v>
      </c>
      <c r="M14" s="11">
        <f t="shared" si="7"/>
        <v>4.3480000000000003E-3</v>
      </c>
      <c r="N14" s="12">
        <f t="shared" si="8"/>
        <v>0</v>
      </c>
    </row>
    <row r="15" spans="1:14">
      <c r="A15" s="2">
        <f t="shared" si="0"/>
        <v>8</v>
      </c>
      <c r="B15" s="132">
        <f>'Sch 95'!B15</f>
        <v>25</v>
      </c>
      <c r="D15" s="116">
        <f>'Revenue by Sch RY#1'!D11</f>
        <v>2960202274.8054705</v>
      </c>
      <c r="E15" s="130">
        <f>+E14</f>
        <v>4.3480000000000003E-3</v>
      </c>
      <c r="F15" s="12">
        <f t="shared" si="4"/>
        <v>12870959.490854187</v>
      </c>
      <c r="H15" s="4">
        <f t="shared" si="9"/>
        <v>2960202274.8054705</v>
      </c>
      <c r="I15" s="11">
        <f t="shared" si="5"/>
        <v>4.3480000000000003E-3</v>
      </c>
      <c r="J15" s="12">
        <f t="shared" si="6"/>
        <v>12870959.490854187</v>
      </c>
      <c r="K15" s="12"/>
      <c r="L15" s="116">
        <f>'Revenue by Sch RY#2'!D11</f>
        <v>2968720174.6374388</v>
      </c>
      <c r="M15" s="11">
        <f t="shared" si="7"/>
        <v>4.3480000000000003E-3</v>
      </c>
      <c r="N15" s="12">
        <f t="shared" si="8"/>
        <v>12907995.319323584</v>
      </c>
    </row>
    <row r="16" spans="1:14">
      <c r="A16" s="2">
        <f t="shared" si="0"/>
        <v>9</v>
      </c>
      <c r="B16" s="132">
        <f>'Sch 95'!B16</f>
        <v>12</v>
      </c>
      <c r="D16" s="4">
        <v>0</v>
      </c>
      <c r="E16" s="129">
        <v>3.9810000000000002E-3</v>
      </c>
      <c r="F16" s="12">
        <f t="shared" si="4"/>
        <v>0</v>
      </c>
      <c r="H16" s="4">
        <f t="shared" si="9"/>
        <v>0</v>
      </c>
      <c r="I16" s="11">
        <f t="shared" si="5"/>
        <v>3.9810000000000002E-3</v>
      </c>
      <c r="J16" s="12">
        <f t="shared" si="6"/>
        <v>0</v>
      </c>
      <c r="K16" s="12"/>
      <c r="L16" s="4">
        <v>0</v>
      </c>
      <c r="M16" s="11">
        <f t="shared" si="7"/>
        <v>3.9810000000000002E-3</v>
      </c>
      <c r="N16" s="12">
        <f t="shared" si="8"/>
        <v>0</v>
      </c>
    </row>
    <row r="17" spans="1:14">
      <c r="A17" s="2">
        <f t="shared" si="0"/>
        <v>10</v>
      </c>
      <c r="B17" s="132" t="str">
        <f>'Sch 95'!B17</f>
        <v>26 &amp; 26P</v>
      </c>
      <c r="D17" s="116">
        <f>'Revenue by Sch RY#1'!D12</f>
        <v>2013891730.8000479</v>
      </c>
      <c r="E17" s="130">
        <f>+E16</f>
        <v>3.9810000000000002E-3</v>
      </c>
      <c r="F17" s="12">
        <f t="shared" si="4"/>
        <v>8017302.9803149905</v>
      </c>
      <c r="H17" s="4">
        <f t="shared" si="9"/>
        <v>2013891730.8000479</v>
      </c>
      <c r="I17" s="11">
        <f t="shared" si="5"/>
        <v>3.9810000000000002E-3</v>
      </c>
      <c r="J17" s="12">
        <f t="shared" si="6"/>
        <v>8017302.9803149905</v>
      </c>
      <c r="K17" s="12"/>
      <c r="L17" s="116">
        <f>'Revenue by Sch RY#2'!D12</f>
        <v>2056791563.2414525</v>
      </c>
      <c r="M17" s="11">
        <f t="shared" si="7"/>
        <v>3.9810000000000002E-3</v>
      </c>
      <c r="N17" s="12">
        <f t="shared" si="8"/>
        <v>8188087.2132642223</v>
      </c>
    </row>
    <row r="18" spans="1:14">
      <c r="A18" s="2">
        <f t="shared" si="0"/>
        <v>11</v>
      </c>
      <c r="B18" s="132">
        <f>'Sch 95'!B18</f>
        <v>29</v>
      </c>
      <c r="D18" s="116">
        <f>'Revenue by Sch RY#1'!D13</f>
        <v>14930059.630887466</v>
      </c>
      <c r="E18" s="129">
        <v>4.5300000000000002E-3</v>
      </c>
      <c r="F18" s="12">
        <f t="shared" si="4"/>
        <v>67633.170127920224</v>
      </c>
      <c r="H18" s="4">
        <f t="shared" si="9"/>
        <v>14930059.630887466</v>
      </c>
      <c r="I18" s="11">
        <f t="shared" si="5"/>
        <v>4.5300000000000002E-3</v>
      </c>
      <c r="J18" s="12">
        <f t="shared" si="6"/>
        <v>67633.170127920224</v>
      </c>
      <c r="K18" s="12"/>
      <c r="L18" s="116">
        <f>'Revenue by Sch RY#2'!D13</f>
        <v>14843026.361509496</v>
      </c>
      <c r="M18" s="11">
        <f t="shared" si="7"/>
        <v>4.5300000000000002E-3</v>
      </c>
      <c r="N18" s="12">
        <f t="shared" si="8"/>
        <v>67238.909417638017</v>
      </c>
    </row>
    <row r="19" spans="1:14">
      <c r="A19" s="2">
        <f t="shared" si="0"/>
        <v>12</v>
      </c>
      <c r="B19" s="2"/>
      <c r="C19" s="7" t="s">
        <v>6</v>
      </c>
      <c r="D19" s="6">
        <f>SUM(D12:D18)</f>
        <v>7751660031.4061041</v>
      </c>
      <c r="E19" s="130"/>
      <c r="F19" s="13">
        <f t="shared" ref="F19" si="10">SUM(F12:F18)</f>
        <v>32768927.032638729</v>
      </c>
      <c r="H19" s="6">
        <f>SUM(H12:H18)</f>
        <v>7751660031.4061041</v>
      </c>
      <c r="I19" s="11"/>
      <c r="J19" s="13">
        <f t="shared" ref="J19" si="11">SUM(J12:J18)</f>
        <v>32768927.032638729</v>
      </c>
      <c r="K19" s="12"/>
      <c r="L19" s="6">
        <f>SUM(L12:L18)</f>
        <v>7815322186.5097914</v>
      </c>
      <c r="M19" s="11"/>
      <c r="N19" s="13">
        <f t="shared" ref="N19" si="12">SUM(N12:N18)</f>
        <v>33029082.13962936</v>
      </c>
    </row>
    <row r="20" spans="1:14">
      <c r="A20" s="2">
        <f t="shared" si="0"/>
        <v>13</v>
      </c>
      <c r="B20" s="2"/>
      <c r="D20" s="4"/>
      <c r="E20" s="130"/>
      <c r="F20" s="12"/>
      <c r="H20" s="4"/>
      <c r="I20" s="11"/>
      <c r="J20" s="12"/>
      <c r="K20" s="12"/>
      <c r="L20" s="4"/>
      <c r="M20" s="11"/>
      <c r="N20" s="12"/>
    </row>
    <row r="21" spans="1:14">
      <c r="A21" s="2">
        <f t="shared" si="0"/>
        <v>14</v>
      </c>
      <c r="B21" s="132">
        <f>'Sch 95'!B21</f>
        <v>10</v>
      </c>
      <c r="D21" s="4">
        <v>0</v>
      </c>
      <c r="E21" s="129">
        <v>3.8379999999999998E-3</v>
      </c>
      <c r="F21" s="12">
        <f t="shared" ref="F21:F24" si="13">D21*E21</f>
        <v>0</v>
      </c>
      <c r="H21" s="4">
        <f t="shared" ref="H21:I24" si="14">D21</f>
        <v>0</v>
      </c>
      <c r="I21" s="11">
        <f t="shared" si="14"/>
        <v>3.8379999999999998E-3</v>
      </c>
      <c r="J21" s="12">
        <f t="shared" ref="J21:J24" si="15">$I21*H21</f>
        <v>0</v>
      </c>
      <c r="K21" s="12"/>
      <c r="L21" s="4">
        <v>0</v>
      </c>
      <c r="M21" s="11">
        <f t="shared" ref="M21:M24" si="16">I21</f>
        <v>3.8379999999999998E-3</v>
      </c>
      <c r="N21" s="12">
        <f t="shared" ref="N21:N24" si="17">$M21*L21</f>
        <v>0</v>
      </c>
    </row>
    <row r="22" spans="1:14">
      <c r="A22" s="2">
        <f t="shared" si="0"/>
        <v>15</v>
      </c>
      <c r="B22" s="132">
        <f>'Sch 95'!B22</f>
        <v>31</v>
      </c>
      <c r="D22" s="116">
        <f>'Revenue by Sch RY#1'!D14</f>
        <v>1423586019.4788036</v>
      </c>
      <c r="E22" s="130">
        <f>+E21</f>
        <v>3.8379999999999998E-3</v>
      </c>
      <c r="F22" s="12">
        <f t="shared" si="13"/>
        <v>5463723.1427596482</v>
      </c>
      <c r="H22" s="4">
        <f t="shared" si="14"/>
        <v>1423586019.4788036</v>
      </c>
      <c r="I22" s="11">
        <f t="shared" si="14"/>
        <v>3.8379999999999998E-3</v>
      </c>
      <c r="J22" s="12">
        <f t="shared" si="15"/>
        <v>5463723.1427596482</v>
      </c>
      <c r="K22" s="12"/>
      <c r="L22" s="116">
        <f>'Revenue by Sch RY#2'!D14</f>
        <v>1411297972.0883911</v>
      </c>
      <c r="M22" s="11">
        <f t="shared" si="16"/>
        <v>3.8379999999999998E-3</v>
      </c>
      <c r="N22" s="12">
        <f t="shared" si="17"/>
        <v>5416561.6168752443</v>
      </c>
    </row>
    <row r="23" spans="1:14">
      <c r="A23" s="2">
        <f t="shared" si="0"/>
        <v>16</v>
      </c>
      <c r="B23" s="132">
        <f>'Sch 95'!B23</f>
        <v>35</v>
      </c>
      <c r="D23" s="116">
        <f>'Revenue by Sch RY#1'!D15</f>
        <v>4407260.1568774413</v>
      </c>
      <c r="E23" s="129">
        <v>2.624E-3</v>
      </c>
      <c r="F23" s="12">
        <f t="shared" si="13"/>
        <v>11564.650651646407</v>
      </c>
      <c r="H23" s="4">
        <f t="shared" si="14"/>
        <v>4407260.1568774413</v>
      </c>
      <c r="I23" s="11">
        <f t="shared" si="14"/>
        <v>2.624E-3</v>
      </c>
      <c r="J23" s="12">
        <f t="shared" si="15"/>
        <v>11564.650651646407</v>
      </c>
      <c r="K23" s="12"/>
      <c r="L23" s="116">
        <f>'Revenue by Sch RY#2'!D15</f>
        <v>4380281.1514552524</v>
      </c>
      <c r="M23" s="11">
        <f t="shared" si="16"/>
        <v>2.624E-3</v>
      </c>
      <c r="N23" s="12">
        <f t="shared" si="17"/>
        <v>11493.857741418582</v>
      </c>
    </row>
    <row r="24" spans="1:14">
      <c r="A24" s="2">
        <f t="shared" si="0"/>
        <v>17</v>
      </c>
      <c r="B24" s="132">
        <f>'Sch 95'!B24</f>
        <v>43</v>
      </c>
      <c r="D24" s="116">
        <f>'Revenue by Sch RY#1'!D16</f>
        <v>122267424.6450724</v>
      </c>
      <c r="E24" s="129">
        <v>8.1499999999999997E-4</v>
      </c>
      <c r="F24" s="12">
        <f t="shared" si="13"/>
        <v>99647.951085734006</v>
      </c>
      <c r="H24" s="4">
        <f t="shared" si="14"/>
        <v>122267424.6450724</v>
      </c>
      <c r="I24" s="11">
        <f t="shared" si="14"/>
        <v>8.1499999999999997E-4</v>
      </c>
      <c r="J24" s="12">
        <f t="shared" si="15"/>
        <v>99647.951085734006</v>
      </c>
      <c r="K24" s="12"/>
      <c r="L24" s="116">
        <f>'Revenue by Sch RY#2'!D16</f>
        <v>121633779.10385114</v>
      </c>
      <c r="M24" s="11">
        <f t="shared" si="16"/>
        <v>8.1499999999999997E-4</v>
      </c>
      <c r="N24" s="12">
        <f t="shared" si="17"/>
        <v>99131.529969638679</v>
      </c>
    </row>
    <row r="25" spans="1:14">
      <c r="A25" s="2">
        <f t="shared" si="0"/>
        <v>18</v>
      </c>
      <c r="B25" s="2"/>
      <c r="C25" s="3" t="s">
        <v>7</v>
      </c>
      <c r="D25" s="6">
        <f>SUM(D21:D24)</f>
        <v>1550260704.2807536</v>
      </c>
      <c r="E25" s="130"/>
      <c r="F25" s="13">
        <f t="shared" ref="F25" si="18">SUM(F21:F24)</f>
        <v>5574935.7444970291</v>
      </c>
      <c r="H25" s="6">
        <f>SUM(H21:H24)</f>
        <v>1550260704.2807536</v>
      </c>
      <c r="I25" s="11"/>
      <c r="J25" s="13">
        <f t="shared" ref="J25" si="19">SUM(J21:J24)</f>
        <v>5574935.7444970291</v>
      </c>
      <c r="K25" s="12"/>
      <c r="L25" s="6">
        <f>SUM(L21:L24)</f>
        <v>1537312032.3436973</v>
      </c>
      <c r="M25" s="11"/>
      <c r="N25" s="13">
        <f t="shared" ref="N25" si="20">SUM(N21:N24)</f>
        <v>5527187.0045863017</v>
      </c>
    </row>
    <row r="26" spans="1:14">
      <c r="A26" s="2">
        <f t="shared" si="0"/>
        <v>19</v>
      </c>
      <c r="B26" s="2"/>
      <c r="D26" s="4"/>
      <c r="E26" s="130"/>
      <c r="F26" s="12"/>
      <c r="H26" s="4"/>
      <c r="I26" s="11"/>
      <c r="J26" s="12"/>
      <c r="K26" s="12"/>
      <c r="L26" s="4"/>
      <c r="M26" s="11"/>
      <c r="N26" s="12"/>
    </row>
    <row r="27" spans="1:14">
      <c r="A27" s="2">
        <f t="shared" si="0"/>
        <v>20</v>
      </c>
      <c r="B27" s="132">
        <f>'Sch 95'!B27</f>
        <v>46</v>
      </c>
      <c r="D27" s="116">
        <f>'Revenue by Sch RY#1'!D17</f>
        <v>96933187.043131709</v>
      </c>
      <c r="E27" s="129">
        <v>9.7300000000000002E-4</v>
      </c>
      <c r="F27" s="12">
        <f t="shared" ref="F27:F28" si="21">D27*E27</f>
        <v>94315.990992967156</v>
      </c>
      <c r="H27" s="4">
        <f t="shared" ref="H27:I28" si="22">D27</f>
        <v>96933187.043131709</v>
      </c>
      <c r="I27" s="11">
        <f t="shared" si="22"/>
        <v>9.7300000000000002E-4</v>
      </c>
      <c r="J27" s="12">
        <f t="shared" ref="J27:J28" si="23">$I27*H27</f>
        <v>94315.990992967156</v>
      </c>
      <c r="K27" s="12"/>
      <c r="L27" s="116">
        <f>'Revenue by Sch RY#2'!D17</f>
        <v>96918964.527943105</v>
      </c>
      <c r="M27" s="11">
        <f t="shared" ref="M27:M28" si="24">I27</f>
        <v>9.7300000000000002E-4</v>
      </c>
      <c r="N27" s="12">
        <f t="shared" ref="N27:N28" si="25">$M27*L27</f>
        <v>94302.152485688639</v>
      </c>
    </row>
    <row r="28" spans="1:14">
      <c r="A28" s="2">
        <f t="shared" si="0"/>
        <v>21</v>
      </c>
      <c r="B28" s="132">
        <f>'Sch 95'!B28</f>
        <v>49</v>
      </c>
      <c r="D28" s="116">
        <f>'Revenue by Sch RY#1'!D18</f>
        <v>534843226.30681556</v>
      </c>
      <c r="E28" s="129">
        <v>3.5690000000000001E-3</v>
      </c>
      <c r="F28" s="12">
        <f t="shared" si="21"/>
        <v>1908855.4746890247</v>
      </c>
      <c r="H28" s="4">
        <f t="shared" si="22"/>
        <v>534843226.30681556</v>
      </c>
      <c r="I28" s="11">
        <f t="shared" si="22"/>
        <v>3.5690000000000001E-3</v>
      </c>
      <c r="J28" s="12">
        <f t="shared" si="23"/>
        <v>1908855.4746890247</v>
      </c>
      <c r="K28" s="12"/>
      <c r="L28" s="116">
        <f>'Revenue by Sch RY#2'!D18</f>
        <v>534899242.67952603</v>
      </c>
      <c r="M28" s="11">
        <f t="shared" si="24"/>
        <v>3.5690000000000001E-3</v>
      </c>
      <c r="N28" s="12">
        <f t="shared" si="25"/>
        <v>1909055.3971232285</v>
      </c>
    </row>
    <row r="29" spans="1:14">
      <c r="A29" s="2">
        <f t="shared" si="0"/>
        <v>22</v>
      </c>
      <c r="B29" s="2"/>
      <c r="C29" s="3" t="s">
        <v>8</v>
      </c>
      <c r="D29" s="6">
        <f>SUM(D27:D28)</f>
        <v>631776413.34994721</v>
      </c>
      <c r="E29" s="11"/>
      <c r="F29" s="13">
        <f t="shared" ref="F29" si="26">SUM(F27:F28)</f>
        <v>2003171.465681992</v>
      </c>
      <c r="H29" s="6">
        <f>SUM(H27:H28)</f>
        <v>631776413.34994721</v>
      </c>
      <c r="I29" s="11"/>
      <c r="J29" s="13">
        <f t="shared" ref="J29" si="27">SUM(J27:J28)</f>
        <v>2003171.465681992</v>
      </c>
      <c r="K29" s="12"/>
      <c r="L29" s="6">
        <f>SUM(L27:L28)</f>
        <v>631818207.20746911</v>
      </c>
      <c r="M29" s="11"/>
      <c r="N29" s="13">
        <f t="shared" ref="N29" si="28">SUM(N27:N28)</f>
        <v>2003357.5496089172</v>
      </c>
    </row>
    <row r="30" spans="1:14">
      <c r="A30" s="2">
        <f t="shared" si="0"/>
        <v>23</v>
      </c>
      <c r="B30" s="2"/>
      <c r="D30" s="4"/>
      <c r="E30" s="11"/>
      <c r="F30" s="12"/>
      <c r="H30" s="4"/>
      <c r="I30" s="11"/>
      <c r="J30" s="12"/>
      <c r="K30" s="12"/>
      <c r="L30" s="4"/>
      <c r="M30" s="11"/>
      <c r="N30" s="12"/>
    </row>
    <row r="31" spans="1:14">
      <c r="A31" s="2">
        <f t="shared" si="0"/>
        <v>24</v>
      </c>
      <c r="B31" s="132" t="str">
        <f>'Sch 95'!B31</f>
        <v>03, 50-59</v>
      </c>
      <c r="D31" s="122">
        <f>'Revenue by Sch RY#1'!D19</f>
        <v>67255417.982360825</v>
      </c>
      <c r="E31" s="117">
        <v>2.323E-3</v>
      </c>
      <c r="F31" s="13">
        <f>D31*E31</f>
        <v>156234.33597302419</v>
      </c>
      <c r="H31" s="6">
        <f>D31</f>
        <v>67255417.982360825</v>
      </c>
      <c r="I31" s="11">
        <f>E31</f>
        <v>2.323E-3</v>
      </c>
      <c r="J31" s="13">
        <f>$I31*H31</f>
        <v>156234.33597302419</v>
      </c>
      <c r="K31" s="12"/>
      <c r="L31" s="122">
        <f>'Revenue by Sch RY#2'!D19</f>
        <v>67027608.143863305</v>
      </c>
      <c r="M31" s="11">
        <f>I31</f>
        <v>2.323E-3</v>
      </c>
      <c r="N31" s="13">
        <f>$M31*L31</f>
        <v>155705.13371819447</v>
      </c>
    </row>
    <row r="32" spans="1:14">
      <c r="A32" s="2">
        <f t="shared" si="0"/>
        <v>25</v>
      </c>
      <c r="B32" s="2"/>
      <c r="D32" s="4"/>
      <c r="E32" s="11"/>
      <c r="F32" s="12"/>
      <c r="H32" s="4"/>
      <c r="I32" s="11"/>
      <c r="J32" s="12"/>
      <c r="K32" s="12"/>
      <c r="L32" s="4"/>
      <c r="M32" s="11"/>
      <c r="N32" s="12"/>
    </row>
    <row r="33" spans="1:14">
      <c r="A33" s="2">
        <f t="shared" si="0"/>
        <v>26</v>
      </c>
      <c r="B33" s="132" t="str">
        <f>'Sch 95'!B33</f>
        <v>449-459</v>
      </c>
      <c r="D33" s="116">
        <f>'Revenue by Sch RY#1'!D20</f>
        <v>1967511960.3194919</v>
      </c>
      <c r="E33" s="117">
        <v>1.351E-3</v>
      </c>
      <c r="F33" s="12">
        <f t="shared" ref="F33:F34" si="29">D33*E33</f>
        <v>2658108.6583916335</v>
      </c>
      <c r="H33" s="4">
        <f t="shared" ref="H33:I34" si="30">D33</f>
        <v>1967511960.3194919</v>
      </c>
      <c r="I33" s="11">
        <f t="shared" si="30"/>
        <v>1.351E-3</v>
      </c>
      <c r="J33" s="12">
        <f t="shared" ref="J33:J34" si="31">$I33*H33</f>
        <v>2658108.6583916335</v>
      </c>
      <c r="K33" s="12"/>
      <c r="L33" s="116">
        <f>'Revenue by Sch RY#2'!D20</f>
        <v>1964993565.6779518</v>
      </c>
      <c r="M33" s="11">
        <f t="shared" ref="M33:M34" si="32">I33</f>
        <v>1.351E-3</v>
      </c>
      <c r="N33" s="12">
        <f t="shared" ref="N33:N34" si="33">$M33*L33</f>
        <v>2654706.3072309131</v>
      </c>
    </row>
    <row r="34" spans="1:14">
      <c r="A34" s="2">
        <f t="shared" si="0"/>
        <v>27</v>
      </c>
      <c r="B34" s="132" t="str">
        <f>'Sch 95'!B34</f>
        <v>Special Contract</v>
      </c>
      <c r="D34" s="116">
        <f>'Revenue by Sch RY#1'!D21</f>
        <v>304773055.46200001</v>
      </c>
      <c r="E34" s="117">
        <v>4.2310000000000004E-3</v>
      </c>
      <c r="F34" s="12">
        <f t="shared" si="29"/>
        <v>1289494.7976597222</v>
      </c>
      <c r="H34" s="4">
        <f t="shared" si="30"/>
        <v>304773055.46200001</v>
      </c>
      <c r="I34" s="11">
        <f t="shared" si="30"/>
        <v>4.2310000000000004E-3</v>
      </c>
      <c r="J34" s="12">
        <f t="shared" si="31"/>
        <v>1289494.7976597222</v>
      </c>
      <c r="K34" s="12"/>
      <c r="L34" s="116">
        <f>'Revenue by Sch RY#2'!D21</f>
        <v>304773055.46200001</v>
      </c>
      <c r="M34" s="11">
        <f t="shared" si="32"/>
        <v>4.2310000000000004E-3</v>
      </c>
      <c r="N34" s="12">
        <f t="shared" si="33"/>
        <v>1289494.7976597222</v>
      </c>
    </row>
    <row r="35" spans="1:14">
      <c r="A35" s="2">
        <f t="shared" si="0"/>
        <v>28</v>
      </c>
      <c r="B35" s="5"/>
      <c r="C35" s="3" t="s">
        <v>77</v>
      </c>
      <c r="D35" s="6">
        <f>SUM(D33:D34)</f>
        <v>2272285015.7814918</v>
      </c>
      <c r="E35" s="11"/>
      <c r="F35" s="13">
        <f t="shared" ref="F35" si="34">SUM(F33:F34)</f>
        <v>3947603.4560513557</v>
      </c>
      <c r="H35" s="6">
        <f>SUM(H33:H34)</f>
        <v>2272285015.7814918</v>
      </c>
      <c r="J35" s="13">
        <f t="shared" ref="J35" si="35">SUM(J33:J34)</f>
        <v>3947603.4560513557</v>
      </c>
      <c r="K35" s="12"/>
      <c r="L35" s="6">
        <f>SUM(L33:L34)</f>
        <v>2269766621.1399517</v>
      </c>
      <c r="N35" s="13">
        <f t="shared" ref="N35" si="36">SUM(N33:N34)</f>
        <v>3944201.1048906352</v>
      </c>
    </row>
    <row r="36" spans="1:14">
      <c r="A36" s="2">
        <f t="shared" si="0"/>
        <v>29</v>
      </c>
      <c r="B36" s="2"/>
      <c r="D36" s="4"/>
      <c r="E36" s="11"/>
      <c r="F36" s="12"/>
      <c r="H36" s="4"/>
      <c r="J36" s="12"/>
      <c r="K36" s="12"/>
      <c r="L36" s="4"/>
      <c r="N36" s="12"/>
    </row>
    <row r="37" spans="1:14" ht="12" thickBot="1">
      <c r="A37" s="2">
        <f t="shared" si="0"/>
        <v>30</v>
      </c>
      <c r="B37" s="2"/>
      <c r="C37" s="7" t="s">
        <v>15</v>
      </c>
      <c r="D37" s="8">
        <f>SUM(D10,D19,D25,D29,D31,D35)</f>
        <v>23551443434.196022</v>
      </c>
      <c r="E37" s="11"/>
      <c r="F37" s="14">
        <f>SUM(F10,F19,F25,F29,F31,F35)</f>
        <v>101338142.34928034</v>
      </c>
      <c r="H37" s="8">
        <f>SUM(H10,H19,H25,H29,H31,H35)</f>
        <v>23551443434.196022</v>
      </c>
      <c r="J37" s="14">
        <f>SUM(J10,J19,J25,J29,J31,J35)</f>
        <v>101338142.34928034</v>
      </c>
      <c r="K37" s="12"/>
      <c r="L37" s="8">
        <f>SUM(L10,L19,L25,L29,L31,L35)</f>
        <v>23768895895.058746</v>
      </c>
      <c r="N37" s="14">
        <f>SUM(N10,N19,N25,N29,N31,N35)</f>
        <v>102401475.69755067</v>
      </c>
    </row>
    <row r="38" spans="1:14" ht="12" thickTop="1">
      <c r="A38" s="2">
        <f t="shared" si="0"/>
        <v>31</v>
      </c>
      <c r="B38" s="2"/>
      <c r="E38" s="11"/>
      <c r="F38" s="12"/>
      <c r="J38" s="12"/>
      <c r="K38" s="12"/>
      <c r="N38" s="12"/>
    </row>
    <row r="39" spans="1:14">
      <c r="A39" s="2">
        <f t="shared" si="0"/>
        <v>32</v>
      </c>
      <c r="B39" s="132">
        <f>'Sch 95'!B39</f>
        <v>5</v>
      </c>
      <c r="C39" s="3" t="s">
        <v>16</v>
      </c>
      <c r="D39" s="122">
        <f>'Revenue by Sch RY#1'!D22</f>
        <v>6714960.2368700616</v>
      </c>
      <c r="E39" s="117">
        <v>0</v>
      </c>
      <c r="F39" s="13">
        <f>D39*E39</f>
        <v>0</v>
      </c>
      <c r="H39" s="6">
        <f>D39</f>
        <v>6714960.2368700616</v>
      </c>
      <c r="I39" s="11">
        <f>E39</f>
        <v>0</v>
      </c>
      <c r="J39" s="13">
        <f>$I39*H39</f>
        <v>0</v>
      </c>
      <c r="K39" s="12"/>
      <c r="L39" s="122">
        <f>'Revenue by Sch RY#2'!D22</f>
        <v>6710049.8818741431</v>
      </c>
      <c r="M39" s="11">
        <f>I39</f>
        <v>0</v>
      </c>
      <c r="N39" s="12">
        <f>$M39*L39</f>
        <v>0</v>
      </c>
    </row>
    <row r="40" spans="1:14">
      <c r="A40" s="2">
        <f t="shared" si="0"/>
        <v>33</v>
      </c>
      <c r="B40" s="2"/>
      <c r="E40" s="11"/>
      <c r="F40" s="12"/>
      <c r="J40" s="12"/>
      <c r="K40" s="12"/>
      <c r="N40" s="12"/>
    </row>
    <row r="41" spans="1:14" ht="12" thickBot="1">
      <c r="A41" s="2">
        <f t="shared" si="0"/>
        <v>34</v>
      </c>
      <c r="B41" s="2"/>
      <c r="C41" s="110" t="s">
        <v>17</v>
      </c>
      <c r="D41" s="111">
        <f>SUM(D37,D39)</f>
        <v>23558158394.432892</v>
      </c>
      <c r="E41" s="112"/>
      <c r="F41" s="113">
        <f>SUM(F37,F39)</f>
        <v>101338142.34928034</v>
      </c>
      <c r="G41" s="15"/>
      <c r="H41" s="111">
        <f>SUM(H37,H39)</f>
        <v>23558158394.432892</v>
      </c>
      <c r="I41" s="15"/>
      <c r="J41" s="113">
        <f t="shared" ref="J41" si="37">SUM(J37,J39)</f>
        <v>101338142.34928034</v>
      </c>
      <c r="K41" s="114"/>
      <c r="L41" s="111">
        <f>SUM(L37,L39)</f>
        <v>23775605944.94062</v>
      </c>
      <c r="M41" s="15"/>
      <c r="N41" s="113">
        <f t="shared" ref="N41" si="38">SUM(N37,N39)</f>
        <v>102401475.69755067</v>
      </c>
    </row>
    <row r="42" spans="1:14" ht="12" thickTop="1">
      <c r="D42" s="123">
        <f>'Revenue by Sch RY#1'!D24</f>
        <v>23558158394.432896</v>
      </c>
      <c r="H42" s="162">
        <f>D41</f>
        <v>23558158394.432892</v>
      </c>
      <c r="L42" s="123">
        <f>'Revenue by Sch RY#2'!D24</f>
        <v>23775605944.94062</v>
      </c>
    </row>
    <row r="43" spans="1:14">
      <c r="C43" s="17" t="s">
        <v>168</v>
      </c>
      <c r="D43" s="124">
        <f>D41-D42</f>
        <v>0</v>
      </c>
      <c r="H43" s="124">
        <f>H41-H42</f>
        <v>0</v>
      </c>
      <c r="L43" s="124">
        <f>L41-L42</f>
        <v>0</v>
      </c>
    </row>
    <row r="44" spans="1:14">
      <c r="L44" s="4"/>
    </row>
    <row r="45" spans="1:14">
      <c r="B45" s="3" t="s">
        <v>258</v>
      </c>
      <c r="C45" s="101"/>
    </row>
  </sheetData>
  <mergeCells count="7">
    <mergeCell ref="H6:J6"/>
    <mergeCell ref="L6:N6"/>
    <mergeCell ref="A1:N1"/>
    <mergeCell ref="A2:N2"/>
    <mergeCell ref="A3:N3"/>
    <mergeCell ref="A4:N4"/>
    <mergeCell ref="A5:E5"/>
  </mergeCells>
  <pageMargins left="0.7" right="0.7" top="0.75" bottom="0.75" header="0.3" footer="0.3"/>
  <pageSetup scale="81" orientation="landscape" horizontalDpi="360" verticalDpi="360" r:id="rId1"/>
  <headerFooter>
    <oddFooter>&amp;R&amp;F
&amp;A
&amp;P of &amp;N</oddFooter>
  </headerFooter>
  <customProperties>
    <customPr name="_pios_id" r:id="rId2"/>
  </customPropertie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6" tint="0.79998168889431442"/>
    <pageSetUpPr fitToPage="1"/>
  </sheetPr>
  <dimension ref="A1:N45"/>
  <sheetViews>
    <sheetView zoomScaleNormal="100" zoomScaleSheetLayoutView="100" workbookViewId="0">
      <pane ySplit="7" topLeftCell="A8" activePane="bottomLeft" state="frozen"/>
      <selection activeCell="U42" sqref="U42"/>
      <selection pane="bottomLeft" activeCell="U42" sqref="U42"/>
    </sheetView>
  </sheetViews>
  <sheetFormatPr defaultColWidth="8.85546875" defaultRowHeight="11.25"/>
  <cols>
    <col min="1" max="1" width="4.42578125" style="3" bestFit="1" customWidth="1"/>
    <col min="2" max="2" width="14.85546875" style="3" bestFit="1" customWidth="1"/>
    <col min="3" max="3" width="21.7109375" style="3" bestFit="1" customWidth="1"/>
    <col min="4" max="4" width="15.140625" style="3" bestFit="1" customWidth="1"/>
    <col min="5" max="5" width="11" style="3" customWidth="1"/>
    <col min="6" max="6" width="11.85546875" style="3" customWidth="1"/>
    <col min="7" max="7" width="0.85546875" style="3" customWidth="1"/>
    <col min="8" max="8" width="12.85546875" style="3" bestFit="1" customWidth="1"/>
    <col min="9" max="9" width="9.42578125" style="3" bestFit="1" customWidth="1"/>
    <col min="10" max="10" width="11.5703125" style="3" bestFit="1" customWidth="1"/>
    <col min="11" max="11" width="1" style="3" customWidth="1"/>
    <col min="12" max="12" width="12.85546875" style="3" bestFit="1" customWidth="1"/>
    <col min="13" max="13" width="9.42578125" style="3" bestFit="1" customWidth="1"/>
    <col min="14" max="14" width="13.42578125" style="3" customWidth="1"/>
    <col min="15" max="16384" width="8.85546875" style="3"/>
  </cols>
  <sheetData>
    <row r="1" spans="1:14" s="15" customFormat="1" ht="12.75" customHeight="1">
      <c r="A1" s="459" t="str">
        <f>'Exh CTM-8 (Rate Impacts_RY#1)'!A1</f>
        <v>Puget Sound Energy</v>
      </c>
      <c r="B1" s="460"/>
      <c r="C1" s="460"/>
      <c r="D1" s="460"/>
      <c r="E1" s="460"/>
      <c r="F1" s="460"/>
      <c r="G1" s="460"/>
      <c r="H1" s="460"/>
      <c r="I1" s="460"/>
      <c r="J1" s="460"/>
      <c r="K1" s="460"/>
      <c r="L1" s="460"/>
      <c r="M1" s="460"/>
      <c r="N1" s="460"/>
    </row>
    <row r="2" spans="1:14" s="15" customFormat="1" ht="12.75">
      <c r="A2" s="459" t="str">
        <f>'Exh CTM-8 (Rate Impacts_RY#1)'!A2</f>
        <v>2024 General Rate Case Docket No. UE-240004 and UG-240005</v>
      </c>
      <c r="B2" s="460"/>
      <c r="C2" s="460"/>
      <c r="D2" s="460"/>
      <c r="E2" s="460"/>
      <c r="F2" s="460"/>
      <c r="G2" s="460"/>
      <c r="H2" s="460"/>
      <c r="I2" s="460"/>
      <c r="J2" s="460"/>
      <c r="K2" s="460"/>
      <c r="L2" s="460"/>
      <c r="M2" s="460"/>
      <c r="N2" s="460"/>
    </row>
    <row r="3" spans="1:14" s="15" customFormat="1" ht="12.75">
      <c r="A3" s="545" t="s">
        <v>194</v>
      </c>
      <c r="B3" s="470"/>
      <c r="C3" s="470"/>
      <c r="D3" s="470"/>
      <c r="E3" s="470"/>
      <c r="F3" s="471"/>
      <c r="G3" s="471"/>
      <c r="H3" s="471"/>
      <c r="I3" s="471"/>
      <c r="J3" s="471"/>
      <c r="K3" s="471"/>
      <c r="L3" s="471"/>
      <c r="M3" s="471"/>
      <c r="N3" s="471"/>
    </row>
    <row r="4" spans="1:14" s="15" customFormat="1" ht="12.75">
      <c r="A4" s="545" t="s">
        <v>177</v>
      </c>
      <c r="B4" s="470"/>
      <c r="C4" s="470"/>
      <c r="D4" s="470"/>
      <c r="E4" s="470"/>
      <c r="F4" s="471"/>
      <c r="G4" s="471"/>
      <c r="H4" s="471"/>
      <c r="I4" s="471"/>
      <c r="J4" s="471"/>
      <c r="K4" s="471"/>
      <c r="L4" s="471"/>
      <c r="M4" s="471"/>
      <c r="N4" s="471"/>
    </row>
    <row r="5" spans="1:14" s="15" customFormat="1">
      <c r="A5" s="456"/>
      <c r="B5" s="456"/>
      <c r="C5" s="456"/>
      <c r="D5" s="456"/>
      <c r="E5" s="456"/>
      <c r="F5" s="44"/>
    </row>
    <row r="6" spans="1:14" s="15" customFormat="1" ht="12.75">
      <c r="A6" s="45"/>
      <c r="B6" s="44"/>
      <c r="C6" s="44"/>
      <c r="D6" s="44"/>
      <c r="H6" s="546" t="str">
        <f>'Sch 95'!H6</f>
        <v>MYRP January 2025</v>
      </c>
      <c r="I6" s="494"/>
      <c r="J6" s="493"/>
      <c r="K6" s="132">
        <f>'Sch 95'!K6</f>
        <v>0</v>
      </c>
      <c r="L6" s="546" t="str">
        <f>'Sch 95'!L6</f>
        <v>MYRP January 2026</v>
      </c>
      <c r="M6" s="547"/>
      <c r="N6" s="548"/>
    </row>
    <row r="7" spans="1:14" s="15" customFormat="1" ht="45">
      <c r="A7" s="97" t="s">
        <v>2</v>
      </c>
      <c r="B7" s="97" t="s">
        <v>3</v>
      </c>
      <c r="C7" s="97" t="s">
        <v>14</v>
      </c>
      <c r="D7" s="133" t="str">
        <f>'Sch 95'!D7</f>
        <v>12 months ending December 2025 F23 Forecast KWh</v>
      </c>
      <c r="E7" s="133" t="str">
        <f>'Sch 95'!E7</f>
        <v>Current Rates as of January 2024 (1)</v>
      </c>
      <c r="F7" s="133" t="str">
        <f>'Sch 95'!F7</f>
        <v>Annual Delivered $</v>
      </c>
      <c r="G7" s="133">
        <f>'Sch 95'!G7</f>
        <v>0</v>
      </c>
      <c r="H7" s="133" t="str">
        <f>'Sch 95'!H7</f>
        <v>Annual Delivered KWh</v>
      </c>
      <c r="I7" s="133" t="str">
        <f>'Sch 95'!I7</f>
        <v>Rates Effective January 2025</v>
      </c>
      <c r="J7" s="133" t="str">
        <f>'Sch 95'!J7</f>
        <v>Annual Delivered $</v>
      </c>
      <c r="K7" s="133">
        <f>'Sch 95'!K7</f>
        <v>0</v>
      </c>
      <c r="L7" s="133" t="str">
        <f>'Sch 95'!L7</f>
        <v>Annual Delivered KWh</v>
      </c>
      <c r="M7" s="133" t="str">
        <f>'Sch 95'!M7</f>
        <v>Rates Effective January 2026</v>
      </c>
      <c r="N7" s="133" t="str">
        <f>'Sch 95'!N7</f>
        <v>Annual Delivered $</v>
      </c>
    </row>
    <row r="8" spans="1:14">
      <c r="A8" s="2">
        <v>1</v>
      </c>
      <c r="B8" s="132" t="str">
        <f>'Sch 95'!B8</f>
        <v xml:space="preserve"> 7 (307) (317) (327)</v>
      </c>
      <c r="D8" s="116">
        <f>'Revenue by Sch RY#1'!D9</f>
        <v>11278205851.395365</v>
      </c>
      <c r="E8" s="129">
        <v>1.428E-3</v>
      </c>
      <c r="F8" s="12">
        <f>D8*E8</f>
        <v>16105277.955792582</v>
      </c>
      <c r="H8" s="4">
        <f>D8</f>
        <v>11278205851.395365</v>
      </c>
      <c r="I8" s="11">
        <f>E8</f>
        <v>1.428E-3</v>
      </c>
      <c r="J8" s="12">
        <f>$I8*H8</f>
        <v>16105277.955792582</v>
      </c>
      <c r="K8" s="12"/>
      <c r="L8" s="116">
        <f>'Revenue by Sch RY#2'!D9</f>
        <v>11447649239.71397</v>
      </c>
      <c r="M8" s="11">
        <f>I8</f>
        <v>1.428E-3</v>
      </c>
      <c r="N8" s="12">
        <f>$M8*L8</f>
        <v>16347243.11431155</v>
      </c>
    </row>
    <row r="9" spans="1:14">
      <c r="A9" s="2">
        <f t="shared" ref="A9:A41" si="0">+A8+1</f>
        <v>2</v>
      </c>
      <c r="B9" s="132" t="str">
        <f>'Sch 95'!B9</f>
        <v xml:space="preserve">7A </v>
      </c>
      <c r="D9" s="4">
        <v>0</v>
      </c>
      <c r="E9" s="129">
        <v>1.222E-3</v>
      </c>
      <c r="F9" s="12">
        <f>D9*E9</f>
        <v>0</v>
      </c>
      <c r="H9" s="4">
        <f>D9</f>
        <v>0</v>
      </c>
      <c r="I9" s="11">
        <f>E9</f>
        <v>1.222E-3</v>
      </c>
      <c r="J9" s="12">
        <f>$I9*H9</f>
        <v>0</v>
      </c>
      <c r="K9" s="12"/>
      <c r="L9" s="4">
        <v>0</v>
      </c>
      <c r="M9" s="11">
        <f>I9</f>
        <v>1.222E-3</v>
      </c>
      <c r="N9" s="12">
        <f>$M9*L9</f>
        <v>0</v>
      </c>
    </row>
    <row r="10" spans="1:14">
      <c r="A10" s="2">
        <f t="shared" si="0"/>
        <v>3</v>
      </c>
      <c r="B10" s="2"/>
      <c r="C10" s="3" t="s">
        <v>4</v>
      </c>
      <c r="D10" s="6">
        <f>SUM(D8:D9)</f>
        <v>11278205851.395365</v>
      </c>
      <c r="E10" s="130"/>
      <c r="F10" s="13">
        <f t="shared" ref="F10" si="1">SUM(F8:F9)</f>
        <v>16105277.955792582</v>
      </c>
      <c r="H10" s="6">
        <f>SUM(H8:H9)</f>
        <v>11278205851.395365</v>
      </c>
      <c r="I10" s="11"/>
      <c r="J10" s="13">
        <f t="shared" ref="J10" si="2">SUM(J8:J9)</f>
        <v>16105277.955792582</v>
      </c>
      <c r="K10" s="12"/>
      <c r="L10" s="6">
        <f>SUM(L8:L9)</f>
        <v>11447649239.71397</v>
      </c>
      <c r="M10" s="11"/>
      <c r="N10" s="13">
        <f t="shared" ref="N10" si="3">SUM(N8:N9)</f>
        <v>16347243.11431155</v>
      </c>
    </row>
    <row r="11" spans="1:14">
      <c r="A11" s="2">
        <f t="shared" si="0"/>
        <v>4</v>
      </c>
      <c r="B11" s="2"/>
      <c r="D11" s="4"/>
      <c r="E11" s="130"/>
      <c r="F11" s="12"/>
      <c r="H11" s="4"/>
      <c r="I11" s="11"/>
      <c r="J11" s="12"/>
      <c r="K11" s="12"/>
      <c r="L11" s="4"/>
      <c r="M11" s="11"/>
      <c r="N11" s="12"/>
    </row>
    <row r="12" spans="1:14">
      <c r="A12" s="2">
        <f t="shared" si="0"/>
        <v>5</v>
      </c>
      <c r="B12" s="132">
        <f>'Sch 95'!B12</f>
        <v>8</v>
      </c>
      <c r="D12" s="4">
        <v>0</v>
      </c>
      <c r="E12" s="129">
        <v>1.315E-3</v>
      </c>
      <c r="F12" s="12">
        <f t="shared" ref="F12:F18" si="4">D12*E12</f>
        <v>0</v>
      </c>
      <c r="H12" s="4">
        <f>D12</f>
        <v>0</v>
      </c>
      <c r="I12" s="11">
        <f t="shared" ref="I12:I18" si="5">E12</f>
        <v>1.315E-3</v>
      </c>
      <c r="J12" s="12">
        <f t="shared" ref="J12:J18" si="6">$I12*H12</f>
        <v>0</v>
      </c>
      <c r="K12" s="12"/>
      <c r="L12" s="4">
        <v>0</v>
      </c>
      <c r="M12" s="11">
        <f t="shared" ref="M12:M18" si="7">I12</f>
        <v>1.315E-3</v>
      </c>
      <c r="N12" s="12">
        <f t="shared" ref="N12:N18" si="8">$M12*L12</f>
        <v>0</v>
      </c>
    </row>
    <row r="13" spans="1:14">
      <c r="A13" s="2">
        <f t="shared" si="0"/>
        <v>6</v>
      </c>
      <c r="B13" s="132" t="str">
        <f>'Sch 95'!B13</f>
        <v>24 (324)</v>
      </c>
      <c r="D13" s="116">
        <f>'Revenue by Sch RY#1'!D10</f>
        <v>2762635966.1696987</v>
      </c>
      <c r="E13" s="130">
        <f>+E12</f>
        <v>1.315E-3</v>
      </c>
      <c r="F13" s="12">
        <f t="shared" si="4"/>
        <v>3632866.2955131535</v>
      </c>
      <c r="H13" s="4">
        <f>D13</f>
        <v>2762635966.1696987</v>
      </c>
      <c r="I13" s="11">
        <f t="shared" si="5"/>
        <v>1.315E-3</v>
      </c>
      <c r="J13" s="12">
        <f t="shared" si="6"/>
        <v>3632866.2955131535</v>
      </c>
      <c r="K13" s="12"/>
      <c r="L13" s="116">
        <f>'Revenue by Sch RY#2'!D10</f>
        <v>2774967422.2693906</v>
      </c>
      <c r="M13" s="11">
        <f t="shared" si="7"/>
        <v>1.315E-3</v>
      </c>
      <c r="N13" s="12">
        <f t="shared" si="8"/>
        <v>3649082.1602842486</v>
      </c>
    </row>
    <row r="14" spans="1:14">
      <c r="A14" s="2">
        <f t="shared" si="0"/>
        <v>7</v>
      </c>
      <c r="B14" s="132">
        <f>'Sch 95'!B14</f>
        <v>11</v>
      </c>
      <c r="D14" s="4">
        <v>0</v>
      </c>
      <c r="E14" s="130">
        <f>E9</f>
        <v>1.222E-3</v>
      </c>
      <c r="F14" s="12">
        <f t="shared" si="4"/>
        <v>0</v>
      </c>
      <c r="H14" s="4">
        <f t="shared" ref="H14:H18" si="9">D14</f>
        <v>0</v>
      </c>
      <c r="I14" s="11">
        <f t="shared" si="5"/>
        <v>1.222E-3</v>
      </c>
      <c r="J14" s="12">
        <f t="shared" si="6"/>
        <v>0</v>
      </c>
      <c r="K14" s="12"/>
      <c r="L14" s="4">
        <v>0</v>
      </c>
      <c r="M14" s="11">
        <f t="shared" si="7"/>
        <v>1.222E-3</v>
      </c>
      <c r="N14" s="12">
        <f t="shared" si="8"/>
        <v>0</v>
      </c>
    </row>
    <row r="15" spans="1:14">
      <c r="A15" s="2">
        <f t="shared" si="0"/>
        <v>8</v>
      </c>
      <c r="B15" s="132">
        <f>'Sch 95'!B15</f>
        <v>25</v>
      </c>
      <c r="D15" s="116">
        <f>'Revenue by Sch RY#1'!D11</f>
        <v>2960202274.8054705</v>
      </c>
      <c r="E15" s="130">
        <f>+E14</f>
        <v>1.222E-3</v>
      </c>
      <c r="F15" s="12">
        <f t="shared" si="4"/>
        <v>3617367.1798122851</v>
      </c>
      <c r="H15" s="4">
        <f t="shared" si="9"/>
        <v>2960202274.8054705</v>
      </c>
      <c r="I15" s="11">
        <f t="shared" si="5"/>
        <v>1.222E-3</v>
      </c>
      <c r="J15" s="12">
        <f t="shared" si="6"/>
        <v>3617367.1798122851</v>
      </c>
      <c r="K15" s="12"/>
      <c r="L15" s="116">
        <f>'Revenue by Sch RY#2'!D11</f>
        <v>2968720174.6374388</v>
      </c>
      <c r="M15" s="11">
        <f t="shared" si="7"/>
        <v>1.222E-3</v>
      </c>
      <c r="N15" s="12">
        <f t="shared" si="8"/>
        <v>3627776.0534069501</v>
      </c>
    </row>
    <row r="16" spans="1:14">
      <c r="A16" s="2">
        <f t="shared" si="0"/>
        <v>9</v>
      </c>
      <c r="B16" s="132">
        <f>'Sch 95'!B16</f>
        <v>12</v>
      </c>
      <c r="D16" s="4">
        <v>0</v>
      </c>
      <c r="E16" s="129">
        <v>1.1230000000000001E-3</v>
      </c>
      <c r="F16" s="12">
        <f t="shared" si="4"/>
        <v>0</v>
      </c>
      <c r="H16" s="4">
        <f t="shared" si="9"/>
        <v>0</v>
      </c>
      <c r="I16" s="11">
        <f t="shared" si="5"/>
        <v>1.1230000000000001E-3</v>
      </c>
      <c r="J16" s="12">
        <f t="shared" si="6"/>
        <v>0</v>
      </c>
      <c r="K16" s="12"/>
      <c r="L16" s="4">
        <v>0</v>
      </c>
      <c r="M16" s="11">
        <f t="shared" si="7"/>
        <v>1.1230000000000001E-3</v>
      </c>
      <c r="N16" s="12">
        <f t="shared" si="8"/>
        <v>0</v>
      </c>
    </row>
    <row r="17" spans="1:14">
      <c r="A17" s="2">
        <f t="shared" si="0"/>
        <v>10</v>
      </c>
      <c r="B17" s="132" t="str">
        <f>'Sch 95'!B17</f>
        <v>26 &amp; 26P</v>
      </c>
      <c r="D17" s="116">
        <f>'Revenue by Sch RY#1'!D12</f>
        <v>2013891730.8000479</v>
      </c>
      <c r="E17" s="130">
        <f>+E16</f>
        <v>1.1230000000000001E-3</v>
      </c>
      <c r="F17" s="12">
        <f t="shared" si="4"/>
        <v>2261600.4136884538</v>
      </c>
      <c r="H17" s="4">
        <f t="shared" si="9"/>
        <v>2013891730.8000479</v>
      </c>
      <c r="I17" s="11">
        <f t="shared" si="5"/>
        <v>1.1230000000000001E-3</v>
      </c>
      <c r="J17" s="12">
        <f t="shared" si="6"/>
        <v>2261600.4136884538</v>
      </c>
      <c r="K17" s="12"/>
      <c r="L17" s="116">
        <f>'Revenue by Sch RY#2'!D12</f>
        <v>2056791563.2414525</v>
      </c>
      <c r="M17" s="11">
        <f t="shared" si="7"/>
        <v>1.1230000000000001E-3</v>
      </c>
      <c r="N17" s="12">
        <f t="shared" si="8"/>
        <v>2309776.9255201514</v>
      </c>
    </row>
    <row r="18" spans="1:14">
      <c r="A18" s="2">
        <f t="shared" si="0"/>
        <v>11</v>
      </c>
      <c r="B18" s="132">
        <f>'Sch 95'!B18</f>
        <v>29</v>
      </c>
      <c r="D18" s="116">
        <f>'Revenue by Sch RY#1'!D13</f>
        <v>14930059.630887466</v>
      </c>
      <c r="E18" s="129">
        <v>1.1540000000000001E-3</v>
      </c>
      <c r="F18" s="12">
        <f t="shared" si="4"/>
        <v>17229.288814044136</v>
      </c>
      <c r="H18" s="4">
        <f t="shared" si="9"/>
        <v>14930059.630887466</v>
      </c>
      <c r="I18" s="11">
        <f t="shared" si="5"/>
        <v>1.1540000000000001E-3</v>
      </c>
      <c r="J18" s="12">
        <f t="shared" si="6"/>
        <v>17229.288814044136</v>
      </c>
      <c r="K18" s="12"/>
      <c r="L18" s="116">
        <f>'Revenue by Sch RY#2'!D13</f>
        <v>14843026.361509496</v>
      </c>
      <c r="M18" s="11">
        <f t="shared" si="7"/>
        <v>1.1540000000000001E-3</v>
      </c>
      <c r="N18" s="12">
        <f t="shared" si="8"/>
        <v>17128.85242118196</v>
      </c>
    </row>
    <row r="19" spans="1:14">
      <c r="A19" s="2">
        <f t="shared" si="0"/>
        <v>12</v>
      </c>
      <c r="B19" s="2"/>
      <c r="C19" s="7" t="s">
        <v>6</v>
      </c>
      <c r="D19" s="6">
        <f>SUM(D12:D18)</f>
        <v>7751660031.4061041</v>
      </c>
      <c r="E19" s="130"/>
      <c r="F19" s="13">
        <f t="shared" ref="F19" si="10">SUM(F12:F18)</f>
        <v>9529063.1778279375</v>
      </c>
      <c r="H19" s="6">
        <f>SUM(H12:H18)</f>
        <v>7751660031.4061041</v>
      </c>
      <c r="I19" s="11"/>
      <c r="J19" s="13">
        <f t="shared" ref="J19" si="11">SUM(J12:J18)</f>
        <v>9529063.1778279375</v>
      </c>
      <c r="K19" s="12"/>
      <c r="L19" s="6">
        <f>SUM(L12:L18)</f>
        <v>7815322186.5097914</v>
      </c>
      <c r="M19" s="11"/>
      <c r="N19" s="13">
        <f t="shared" ref="N19" si="12">SUM(N12:N18)</f>
        <v>9603763.9916325323</v>
      </c>
    </row>
    <row r="20" spans="1:14">
      <c r="A20" s="2">
        <f t="shared" si="0"/>
        <v>13</v>
      </c>
      <c r="B20" s="2"/>
      <c r="D20" s="4"/>
      <c r="E20" s="130"/>
      <c r="F20" s="12"/>
      <c r="H20" s="4"/>
      <c r="I20" s="11"/>
      <c r="J20" s="12"/>
      <c r="K20" s="12"/>
      <c r="L20" s="4"/>
      <c r="M20" s="11"/>
      <c r="N20" s="12"/>
    </row>
    <row r="21" spans="1:14">
      <c r="A21" s="2">
        <f t="shared" si="0"/>
        <v>14</v>
      </c>
      <c r="B21" s="132">
        <f>'Sch 95'!B21</f>
        <v>10</v>
      </c>
      <c r="D21" s="4">
        <v>0</v>
      </c>
      <c r="E21" s="129">
        <v>1.101E-3</v>
      </c>
      <c r="F21" s="12">
        <f t="shared" ref="F21:F24" si="13">D21*E21</f>
        <v>0</v>
      </c>
      <c r="H21" s="4">
        <f t="shared" ref="H21:I24" si="14">D21</f>
        <v>0</v>
      </c>
      <c r="I21" s="11">
        <f t="shared" si="14"/>
        <v>1.101E-3</v>
      </c>
      <c r="J21" s="12">
        <f t="shared" ref="J21:J24" si="15">$I21*H21</f>
        <v>0</v>
      </c>
      <c r="K21" s="12"/>
      <c r="L21" s="4">
        <v>0</v>
      </c>
      <c r="M21" s="11">
        <f t="shared" ref="M21:M24" si="16">I21</f>
        <v>1.101E-3</v>
      </c>
      <c r="N21" s="12">
        <f t="shared" ref="N21:N24" si="17">$M21*L21</f>
        <v>0</v>
      </c>
    </row>
    <row r="22" spans="1:14">
      <c r="A22" s="2">
        <f t="shared" si="0"/>
        <v>15</v>
      </c>
      <c r="B22" s="132">
        <f>'Sch 95'!B22</f>
        <v>31</v>
      </c>
      <c r="D22" s="116">
        <f>'Revenue by Sch RY#1'!D14</f>
        <v>1423586019.4788036</v>
      </c>
      <c r="E22" s="130">
        <f>+E21</f>
        <v>1.101E-3</v>
      </c>
      <c r="F22" s="12">
        <f t="shared" si="13"/>
        <v>1567368.2074461628</v>
      </c>
      <c r="H22" s="4">
        <f t="shared" si="14"/>
        <v>1423586019.4788036</v>
      </c>
      <c r="I22" s="11">
        <f t="shared" si="14"/>
        <v>1.101E-3</v>
      </c>
      <c r="J22" s="12">
        <f t="shared" si="15"/>
        <v>1567368.2074461628</v>
      </c>
      <c r="K22" s="12"/>
      <c r="L22" s="116">
        <f>'Revenue by Sch RY#2'!D14</f>
        <v>1411297972.0883911</v>
      </c>
      <c r="M22" s="11">
        <f t="shared" si="16"/>
        <v>1.101E-3</v>
      </c>
      <c r="N22" s="12">
        <f t="shared" si="17"/>
        <v>1553839.0672693185</v>
      </c>
    </row>
    <row r="23" spans="1:14">
      <c r="A23" s="2">
        <f t="shared" si="0"/>
        <v>16</v>
      </c>
      <c r="B23" s="132">
        <f>'Sch 95'!B23</f>
        <v>35</v>
      </c>
      <c r="D23" s="116">
        <f>'Revenue by Sch RY#1'!D15</f>
        <v>4407260.1568774413</v>
      </c>
      <c r="E23" s="129">
        <v>9.1200000000000005E-4</v>
      </c>
      <c r="F23" s="12">
        <f t="shared" si="13"/>
        <v>4019.4212630722268</v>
      </c>
      <c r="H23" s="4">
        <f t="shared" si="14"/>
        <v>4407260.1568774413</v>
      </c>
      <c r="I23" s="11">
        <f t="shared" si="14"/>
        <v>9.1200000000000005E-4</v>
      </c>
      <c r="J23" s="12">
        <f t="shared" si="15"/>
        <v>4019.4212630722268</v>
      </c>
      <c r="K23" s="12"/>
      <c r="L23" s="116">
        <f>'Revenue by Sch RY#2'!D15</f>
        <v>4380281.1514552524</v>
      </c>
      <c r="M23" s="11">
        <f t="shared" si="16"/>
        <v>9.1200000000000005E-4</v>
      </c>
      <c r="N23" s="12">
        <f t="shared" si="17"/>
        <v>3994.8164101271905</v>
      </c>
    </row>
    <row r="24" spans="1:14">
      <c r="A24" s="2">
        <f t="shared" si="0"/>
        <v>17</v>
      </c>
      <c r="B24" s="132">
        <f>'Sch 95'!B24</f>
        <v>43</v>
      </c>
      <c r="D24" s="116">
        <f>'Revenue by Sch RY#1'!D16</f>
        <v>122267424.6450724</v>
      </c>
      <c r="E24" s="129">
        <v>1.127E-3</v>
      </c>
      <c r="F24" s="12">
        <f t="shared" si="13"/>
        <v>137795.3875749966</v>
      </c>
      <c r="H24" s="4">
        <f t="shared" si="14"/>
        <v>122267424.6450724</v>
      </c>
      <c r="I24" s="11">
        <f t="shared" si="14"/>
        <v>1.127E-3</v>
      </c>
      <c r="J24" s="12">
        <f t="shared" si="15"/>
        <v>137795.3875749966</v>
      </c>
      <c r="K24" s="12"/>
      <c r="L24" s="116">
        <f>'Revenue by Sch RY#2'!D16</f>
        <v>121633779.10385114</v>
      </c>
      <c r="M24" s="11">
        <f t="shared" si="16"/>
        <v>1.127E-3</v>
      </c>
      <c r="N24" s="12">
        <f t="shared" si="17"/>
        <v>137081.26905004022</v>
      </c>
    </row>
    <row r="25" spans="1:14">
      <c r="A25" s="2">
        <f t="shared" si="0"/>
        <v>18</v>
      </c>
      <c r="B25" s="2"/>
      <c r="C25" s="3" t="s">
        <v>7</v>
      </c>
      <c r="D25" s="6">
        <f>SUM(D21:D24)</f>
        <v>1550260704.2807536</v>
      </c>
      <c r="E25" s="130"/>
      <c r="F25" s="13">
        <f t="shared" ref="F25" si="18">SUM(F21:F24)</f>
        <v>1709183.0162842316</v>
      </c>
      <c r="H25" s="6">
        <f>SUM(H21:H24)</f>
        <v>1550260704.2807536</v>
      </c>
      <c r="I25" s="11"/>
      <c r="J25" s="13">
        <f t="shared" ref="J25" si="19">SUM(J21:J24)</f>
        <v>1709183.0162842316</v>
      </c>
      <c r="K25" s="12"/>
      <c r="L25" s="6">
        <f>SUM(L21:L24)</f>
        <v>1537312032.3436973</v>
      </c>
      <c r="M25" s="11"/>
      <c r="N25" s="13">
        <f t="shared" ref="N25" si="20">SUM(N21:N24)</f>
        <v>1694915.1527294859</v>
      </c>
    </row>
    <row r="26" spans="1:14">
      <c r="A26" s="2">
        <f t="shared" si="0"/>
        <v>19</v>
      </c>
      <c r="B26" s="2"/>
      <c r="D26" s="4"/>
      <c r="E26" s="130"/>
      <c r="F26" s="12"/>
      <c r="H26" s="4"/>
      <c r="I26" s="11"/>
      <c r="J26" s="12"/>
      <c r="K26" s="12"/>
      <c r="L26" s="4"/>
      <c r="M26" s="11"/>
      <c r="N26" s="12"/>
    </row>
    <row r="27" spans="1:14">
      <c r="A27" s="2">
        <f t="shared" si="0"/>
        <v>20</v>
      </c>
      <c r="B27" s="132">
        <f>'Sch 95'!B27</f>
        <v>46</v>
      </c>
      <c r="D27" s="116">
        <f>'Revenue by Sch RY#1'!D17</f>
        <v>96933187.043131709</v>
      </c>
      <c r="E27" s="129">
        <v>8.12E-4</v>
      </c>
      <c r="F27" s="12">
        <f t="shared" ref="F27:F28" si="21">D27*E27</f>
        <v>78709.747879022951</v>
      </c>
      <c r="H27" s="4">
        <f t="shared" ref="H27:I28" si="22">D27</f>
        <v>96933187.043131709</v>
      </c>
      <c r="I27" s="11">
        <f t="shared" si="22"/>
        <v>8.12E-4</v>
      </c>
      <c r="J27" s="12">
        <f t="shared" ref="J27:J28" si="23">$I27*H27</f>
        <v>78709.747879022951</v>
      </c>
      <c r="K27" s="12"/>
      <c r="L27" s="116">
        <f>'Revenue by Sch RY#2'!D17</f>
        <v>96918964.527943105</v>
      </c>
      <c r="M27" s="11">
        <f t="shared" ref="M27:M28" si="24">I27</f>
        <v>8.12E-4</v>
      </c>
      <c r="N27" s="12">
        <f t="shared" ref="N27:N28" si="25">$M27*L27</f>
        <v>78698.199196689806</v>
      </c>
    </row>
    <row r="28" spans="1:14">
      <c r="A28" s="2">
        <f t="shared" si="0"/>
        <v>21</v>
      </c>
      <c r="B28" s="132">
        <f>'Sch 95'!B28</f>
        <v>49</v>
      </c>
      <c r="D28" s="116">
        <f>'Revenue by Sch RY#1'!D18</f>
        <v>534843226.30681556</v>
      </c>
      <c r="E28" s="129">
        <v>8.3699999999999996E-4</v>
      </c>
      <c r="F28" s="12">
        <f t="shared" si="21"/>
        <v>447663.78041880461</v>
      </c>
      <c r="H28" s="4">
        <f t="shared" si="22"/>
        <v>534843226.30681556</v>
      </c>
      <c r="I28" s="11">
        <f t="shared" si="22"/>
        <v>8.3699999999999996E-4</v>
      </c>
      <c r="J28" s="12">
        <f t="shared" si="23"/>
        <v>447663.78041880461</v>
      </c>
      <c r="K28" s="12"/>
      <c r="L28" s="116">
        <f>'Revenue by Sch RY#2'!D18</f>
        <v>534899242.67952603</v>
      </c>
      <c r="M28" s="11">
        <f t="shared" si="24"/>
        <v>8.3699999999999996E-4</v>
      </c>
      <c r="N28" s="12">
        <f t="shared" si="25"/>
        <v>447710.66612276324</v>
      </c>
    </row>
    <row r="29" spans="1:14">
      <c r="A29" s="2">
        <f t="shared" si="0"/>
        <v>22</v>
      </c>
      <c r="B29" s="2"/>
      <c r="C29" s="3" t="s">
        <v>8</v>
      </c>
      <c r="D29" s="6">
        <f>SUM(D27:D28)</f>
        <v>631776413.34994721</v>
      </c>
      <c r="E29" s="11"/>
      <c r="F29" s="13">
        <f t="shared" ref="F29" si="26">SUM(F27:F28)</f>
        <v>526373.52829782758</v>
      </c>
      <c r="H29" s="6">
        <f>SUM(H27:H28)</f>
        <v>631776413.34994721</v>
      </c>
      <c r="I29" s="11"/>
      <c r="J29" s="13">
        <f t="shared" ref="J29" si="27">SUM(J27:J28)</f>
        <v>526373.52829782758</v>
      </c>
      <c r="K29" s="12"/>
      <c r="L29" s="6">
        <f>SUM(L27:L28)</f>
        <v>631818207.20746911</v>
      </c>
      <c r="M29" s="11"/>
      <c r="N29" s="13">
        <f t="shared" ref="N29" si="28">SUM(N27:N28)</f>
        <v>526408.86531945306</v>
      </c>
    </row>
    <row r="30" spans="1:14">
      <c r="A30" s="2">
        <f t="shared" si="0"/>
        <v>23</v>
      </c>
      <c r="B30" s="2"/>
      <c r="D30" s="4"/>
      <c r="E30" s="11"/>
      <c r="F30" s="12"/>
      <c r="H30" s="4"/>
      <c r="I30" s="11"/>
      <c r="J30" s="12"/>
      <c r="K30" s="12"/>
      <c r="L30" s="4"/>
      <c r="M30" s="11"/>
      <c r="N30" s="12"/>
    </row>
    <row r="31" spans="1:14">
      <c r="A31" s="2">
        <f t="shared" si="0"/>
        <v>24</v>
      </c>
      <c r="B31" s="132" t="str">
        <f>'Sch 95'!B31</f>
        <v>03, 50-59</v>
      </c>
      <c r="D31" s="122">
        <f>'Revenue by Sch RY#1'!D19</f>
        <v>67255417.982360825</v>
      </c>
      <c r="E31" s="117">
        <v>3.4740000000000001E-3</v>
      </c>
      <c r="F31" s="13">
        <f>D31*E31</f>
        <v>233645.32207072151</v>
      </c>
      <c r="H31" s="6">
        <f>D31</f>
        <v>67255417.982360825</v>
      </c>
      <c r="I31" s="11">
        <f>E31</f>
        <v>3.4740000000000001E-3</v>
      </c>
      <c r="J31" s="13">
        <f>$I31*H31</f>
        <v>233645.32207072151</v>
      </c>
      <c r="K31" s="12"/>
      <c r="L31" s="122">
        <f>'Revenue by Sch RY#2'!D19</f>
        <v>67027608.143863305</v>
      </c>
      <c r="M31" s="11">
        <f>I31</f>
        <v>3.4740000000000001E-3</v>
      </c>
      <c r="N31" s="13">
        <f>$M31*L31</f>
        <v>232853.91069178112</v>
      </c>
    </row>
    <row r="32" spans="1:14">
      <c r="A32" s="2">
        <f t="shared" si="0"/>
        <v>25</v>
      </c>
      <c r="B32" s="2"/>
      <c r="D32" s="4"/>
      <c r="E32" s="11"/>
      <c r="F32" s="12"/>
      <c r="H32" s="4"/>
      <c r="I32" s="11"/>
      <c r="J32" s="12"/>
      <c r="K32" s="12"/>
      <c r="L32" s="4"/>
      <c r="M32" s="11"/>
      <c r="N32" s="12"/>
    </row>
    <row r="33" spans="1:14">
      <c r="A33" s="2">
        <f t="shared" si="0"/>
        <v>26</v>
      </c>
      <c r="B33" s="132" t="str">
        <f>'Sch 95'!B33</f>
        <v>449-459</v>
      </c>
      <c r="D33" s="116">
        <f>'Revenue by Sch RY#1'!D20</f>
        <v>1967511960.3194919</v>
      </c>
      <c r="E33" s="117">
        <v>5.5000000000000002E-5</v>
      </c>
      <c r="F33" s="12">
        <f t="shared" ref="F33:F34" si="29">D33*E33</f>
        <v>108213.15781757205</v>
      </c>
      <c r="H33" s="4">
        <f t="shared" ref="H33:I34" si="30">D33</f>
        <v>1967511960.3194919</v>
      </c>
      <c r="I33" s="11">
        <f t="shared" si="30"/>
        <v>5.5000000000000002E-5</v>
      </c>
      <c r="J33" s="12">
        <f t="shared" ref="J33:J34" si="31">$I33*H33</f>
        <v>108213.15781757205</v>
      </c>
      <c r="K33" s="12"/>
      <c r="L33" s="116">
        <f>'Revenue by Sch RY#2'!D20</f>
        <v>1964993565.6779518</v>
      </c>
      <c r="M33" s="11">
        <f t="shared" ref="M33:M34" si="32">I33</f>
        <v>5.5000000000000002E-5</v>
      </c>
      <c r="N33" s="12">
        <f t="shared" ref="N33:N34" si="33">$M33*L33</f>
        <v>108074.64611228736</v>
      </c>
    </row>
    <row r="34" spans="1:14">
      <c r="A34" s="2">
        <f t="shared" si="0"/>
        <v>27</v>
      </c>
      <c r="B34" s="132" t="str">
        <f>'Sch 95'!B34</f>
        <v>Special Contract</v>
      </c>
      <c r="D34" s="116">
        <f>'Revenue by Sch RY#1'!D21</f>
        <v>304773055.46200001</v>
      </c>
      <c r="E34" s="117">
        <v>6.1399999999999996E-4</v>
      </c>
      <c r="F34" s="12">
        <f t="shared" si="29"/>
        <v>187130.656053668</v>
      </c>
      <c r="H34" s="4">
        <f t="shared" si="30"/>
        <v>304773055.46200001</v>
      </c>
      <c r="I34" s="11">
        <f t="shared" si="30"/>
        <v>6.1399999999999996E-4</v>
      </c>
      <c r="J34" s="12">
        <f t="shared" si="31"/>
        <v>187130.656053668</v>
      </c>
      <c r="K34" s="12"/>
      <c r="L34" s="116">
        <f>'Revenue by Sch RY#2'!D21</f>
        <v>304773055.46200001</v>
      </c>
      <c r="M34" s="11">
        <f t="shared" si="32"/>
        <v>6.1399999999999996E-4</v>
      </c>
      <c r="N34" s="12">
        <f t="shared" si="33"/>
        <v>187130.656053668</v>
      </c>
    </row>
    <row r="35" spans="1:14">
      <c r="A35" s="2">
        <f t="shared" si="0"/>
        <v>28</v>
      </c>
      <c r="B35" s="5"/>
      <c r="C35" s="3" t="s">
        <v>77</v>
      </c>
      <c r="D35" s="6">
        <f>SUM(D33:D34)</f>
        <v>2272285015.7814918</v>
      </c>
      <c r="E35" s="11"/>
      <c r="F35" s="13">
        <f t="shared" ref="F35" si="34">SUM(F33:F34)</f>
        <v>295343.81387124007</v>
      </c>
      <c r="H35" s="6">
        <f>SUM(H33:H34)</f>
        <v>2272285015.7814918</v>
      </c>
      <c r="J35" s="13">
        <f t="shared" ref="J35" si="35">SUM(J33:J34)</f>
        <v>295343.81387124007</v>
      </c>
      <c r="K35" s="12"/>
      <c r="L35" s="6">
        <f>SUM(L33:L34)</f>
        <v>2269766621.1399517</v>
      </c>
      <c r="N35" s="13">
        <f t="shared" ref="N35" si="36">SUM(N33:N34)</f>
        <v>295205.30216595536</v>
      </c>
    </row>
    <row r="36" spans="1:14">
      <c r="A36" s="2">
        <f t="shared" si="0"/>
        <v>29</v>
      </c>
      <c r="B36" s="2"/>
      <c r="D36" s="4"/>
      <c r="E36" s="11"/>
      <c r="F36" s="12"/>
      <c r="H36" s="4"/>
      <c r="J36" s="12"/>
      <c r="K36" s="12"/>
      <c r="L36" s="4"/>
      <c r="N36" s="12"/>
    </row>
    <row r="37" spans="1:14" ht="12" thickBot="1">
      <c r="A37" s="2">
        <f t="shared" si="0"/>
        <v>30</v>
      </c>
      <c r="B37" s="2"/>
      <c r="C37" s="7" t="s">
        <v>15</v>
      </c>
      <c r="D37" s="8">
        <f>SUM(D10,D19,D25,D29,D31,D35)</f>
        <v>23551443434.196022</v>
      </c>
      <c r="E37" s="11"/>
      <c r="F37" s="14">
        <f>SUM(F10,F19,F25,F29,F31,F35)</f>
        <v>28398886.814144537</v>
      </c>
      <c r="H37" s="8">
        <f>SUM(H10,H19,H25,H29,H31,H35)</f>
        <v>23551443434.196022</v>
      </c>
      <c r="J37" s="14">
        <f>SUM(J10,J19,J25,J29,J31,J35)</f>
        <v>28398886.814144537</v>
      </c>
      <c r="K37" s="12"/>
      <c r="L37" s="8">
        <f>SUM(L10,L19,L25,L29,L31,L35)</f>
        <v>23768895895.058746</v>
      </c>
      <c r="N37" s="14">
        <f>SUM(N10,N19,N25,N29,N31,N35)</f>
        <v>28700390.336850759</v>
      </c>
    </row>
    <row r="38" spans="1:14" ht="12" thickTop="1">
      <c r="A38" s="2">
        <f t="shared" si="0"/>
        <v>31</v>
      </c>
      <c r="B38" s="2"/>
      <c r="E38" s="11"/>
      <c r="F38" s="12"/>
      <c r="J38" s="12"/>
      <c r="K38" s="12"/>
      <c r="N38" s="12"/>
    </row>
    <row r="39" spans="1:14">
      <c r="A39" s="2">
        <f t="shared" si="0"/>
        <v>32</v>
      </c>
      <c r="B39" s="132">
        <f>'Sch 95'!B39</f>
        <v>5</v>
      </c>
      <c r="C39" s="3" t="s">
        <v>16</v>
      </c>
      <c r="D39" s="122">
        <f>'Revenue by Sch RY#1'!D22</f>
        <v>6714960.2368700616</v>
      </c>
      <c r="E39" s="117">
        <v>0</v>
      </c>
      <c r="F39" s="13">
        <f>D39*E39</f>
        <v>0</v>
      </c>
      <c r="H39" s="6">
        <f>D39</f>
        <v>6714960.2368700616</v>
      </c>
      <c r="I39" s="11">
        <f>E39</f>
        <v>0</v>
      </c>
      <c r="J39" s="13">
        <f>$I39*H39</f>
        <v>0</v>
      </c>
      <c r="K39" s="12"/>
      <c r="L39" s="122">
        <f>'Revenue by Sch RY#2'!D22</f>
        <v>6710049.8818741431</v>
      </c>
      <c r="M39" s="11">
        <f>I39</f>
        <v>0</v>
      </c>
      <c r="N39" s="12">
        <f>$M39*L39</f>
        <v>0</v>
      </c>
    </row>
    <row r="40" spans="1:14">
      <c r="A40" s="2">
        <f t="shared" si="0"/>
        <v>33</v>
      </c>
      <c r="B40" s="2"/>
      <c r="E40" s="11"/>
      <c r="F40" s="12"/>
      <c r="J40" s="12"/>
      <c r="K40" s="12"/>
      <c r="N40" s="12"/>
    </row>
    <row r="41" spans="1:14" ht="12" thickBot="1">
      <c r="A41" s="2">
        <f t="shared" si="0"/>
        <v>34</v>
      </c>
      <c r="B41" s="2"/>
      <c r="C41" s="110" t="s">
        <v>17</v>
      </c>
      <c r="D41" s="111">
        <f>SUM(D37,D39)</f>
        <v>23558158394.432892</v>
      </c>
      <c r="E41" s="112"/>
      <c r="F41" s="113">
        <f>SUM(F37,F39)</f>
        <v>28398886.814144537</v>
      </c>
      <c r="G41" s="15"/>
      <c r="H41" s="111">
        <f>SUM(H37,H39)</f>
        <v>23558158394.432892</v>
      </c>
      <c r="I41" s="15"/>
      <c r="J41" s="113">
        <f t="shared" ref="J41" si="37">SUM(J37,J39)</f>
        <v>28398886.814144537</v>
      </c>
      <c r="K41" s="114"/>
      <c r="L41" s="111">
        <f>SUM(L37,L39)</f>
        <v>23775605944.94062</v>
      </c>
      <c r="M41" s="15"/>
      <c r="N41" s="113">
        <f t="shared" ref="N41" si="38">SUM(N37,N39)</f>
        <v>28700390.336850759</v>
      </c>
    </row>
    <row r="42" spans="1:14" ht="12" thickTop="1">
      <c r="D42" s="123">
        <f>'Revenue by Sch RY#1'!D24</f>
        <v>23558158394.432896</v>
      </c>
      <c r="H42" s="162">
        <f>D41</f>
        <v>23558158394.432892</v>
      </c>
      <c r="L42" s="123">
        <f>'Revenue by Sch RY#2'!D24</f>
        <v>23775605944.94062</v>
      </c>
    </row>
    <row r="43" spans="1:14">
      <c r="C43" s="17" t="s">
        <v>168</v>
      </c>
      <c r="D43" s="124">
        <f>D41-D42</f>
        <v>0</v>
      </c>
      <c r="H43" s="124">
        <f>H41-H42</f>
        <v>0</v>
      </c>
      <c r="L43" s="124">
        <f>L41-L42</f>
        <v>0</v>
      </c>
    </row>
    <row r="44" spans="1:14">
      <c r="L44" s="4"/>
    </row>
    <row r="45" spans="1:14">
      <c r="B45" s="3" t="s">
        <v>257</v>
      </c>
      <c r="C45" s="101"/>
    </row>
  </sheetData>
  <mergeCells count="7">
    <mergeCell ref="H6:J6"/>
    <mergeCell ref="L6:N6"/>
    <mergeCell ref="A1:N1"/>
    <mergeCell ref="A2:N2"/>
    <mergeCell ref="A3:N3"/>
    <mergeCell ref="A4:N4"/>
    <mergeCell ref="A5:E5"/>
  </mergeCells>
  <pageMargins left="0.7" right="0.7" top="0.75" bottom="0.75" header="0.3" footer="0.3"/>
  <pageSetup scale="81" orientation="landscape" horizontalDpi="360" verticalDpi="360" r:id="rId1"/>
  <headerFooter>
    <oddFooter>&amp;R&amp;F
&amp;A
&amp;P of &amp;N</oddFooter>
  </headerFooter>
  <customProperties>
    <customPr name="_pios_id" r:id="rId2"/>
  </customPropertie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6" tint="0.79998168889431442"/>
    <pageSetUpPr fitToPage="1"/>
  </sheetPr>
  <dimension ref="A1:N45"/>
  <sheetViews>
    <sheetView zoomScaleNormal="100" zoomScaleSheetLayoutView="100" workbookViewId="0">
      <pane ySplit="7" topLeftCell="A8" activePane="bottomLeft" state="frozen"/>
      <selection activeCell="U42" sqref="U42"/>
      <selection pane="bottomLeft" activeCell="U42" sqref="U42"/>
    </sheetView>
  </sheetViews>
  <sheetFormatPr defaultColWidth="8.85546875" defaultRowHeight="11.25"/>
  <cols>
    <col min="1" max="1" width="4.42578125" style="3" bestFit="1" customWidth="1"/>
    <col min="2" max="2" width="14.85546875" style="3" bestFit="1" customWidth="1"/>
    <col min="3" max="3" width="21.7109375" style="3" bestFit="1" customWidth="1"/>
    <col min="4" max="4" width="15.140625" style="3" bestFit="1" customWidth="1"/>
    <col min="5" max="5" width="11" style="3" customWidth="1"/>
    <col min="6" max="6" width="11.85546875" style="3" customWidth="1"/>
    <col min="7" max="7" width="0.85546875" style="3" customWidth="1"/>
    <col min="8" max="8" width="12.85546875" style="3" bestFit="1" customWidth="1"/>
    <col min="9" max="9" width="9.42578125" style="3" bestFit="1" customWidth="1"/>
    <col min="10" max="10" width="11.5703125" style="3" bestFit="1" customWidth="1"/>
    <col min="11" max="11" width="1" style="3" customWidth="1"/>
    <col min="12" max="12" width="12.85546875" style="3" bestFit="1" customWidth="1"/>
    <col min="13" max="13" width="9.42578125" style="3" bestFit="1" customWidth="1"/>
    <col min="14" max="14" width="13.42578125" style="3" customWidth="1"/>
    <col min="15" max="16384" width="8.85546875" style="3"/>
  </cols>
  <sheetData>
    <row r="1" spans="1:14" s="15" customFormat="1" ht="12.75" customHeight="1">
      <c r="A1" s="459" t="str">
        <f>'Exh CTM-8 (Rate Impacts_RY#1)'!A1</f>
        <v>Puget Sound Energy</v>
      </c>
      <c r="B1" s="460"/>
      <c r="C1" s="460"/>
      <c r="D1" s="460"/>
      <c r="E1" s="460"/>
      <c r="F1" s="460"/>
      <c r="G1" s="460"/>
      <c r="H1" s="460"/>
      <c r="I1" s="460"/>
      <c r="J1" s="460"/>
      <c r="K1" s="460"/>
      <c r="L1" s="460"/>
      <c r="M1" s="460"/>
      <c r="N1" s="460"/>
    </row>
    <row r="2" spans="1:14" s="15" customFormat="1" ht="12.75">
      <c r="A2" s="459" t="str">
        <f>'Exh CTM-8 (Rate Impacts_RY#1)'!A2</f>
        <v>2024 General Rate Case Docket No. UE-240004 and UG-240005</v>
      </c>
      <c r="B2" s="460"/>
      <c r="C2" s="460"/>
      <c r="D2" s="460"/>
      <c r="E2" s="460"/>
      <c r="F2" s="460"/>
      <c r="G2" s="460"/>
      <c r="H2" s="460"/>
      <c r="I2" s="460"/>
      <c r="J2" s="460"/>
      <c r="K2" s="460"/>
      <c r="L2" s="460"/>
      <c r="M2" s="460"/>
      <c r="N2" s="460"/>
    </row>
    <row r="3" spans="1:14" s="15" customFormat="1" ht="12.75">
      <c r="A3" s="545" t="s">
        <v>197</v>
      </c>
      <c r="B3" s="470"/>
      <c r="C3" s="470"/>
      <c r="D3" s="470"/>
      <c r="E3" s="470"/>
      <c r="F3" s="471"/>
      <c r="G3" s="471"/>
      <c r="H3" s="471"/>
      <c r="I3" s="471"/>
      <c r="J3" s="471"/>
      <c r="K3" s="471"/>
      <c r="L3" s="471"/>
      <c r="M3" s="471"/>
      <c r="N3" s="471"/>
    </row>
    <row r="4" spans="1:14" s="15" customFormat="1" ht="12.75">
      <c r="A4" s="545" t="s">
        <v>177</v>
      </c>
      <c r="B4" s="470"/>
      <c r="C4" s="470"/>
      <c r="D4" s="470"/>
      <c r="E4" s="470"/>
      <c r="F4" s="471"/>
      <c r="G4" s="471"/>
      <c r="H4" s="471"/>
      <c r="I4" s="471"/>
      <c r="J4" s="471"/>
      <c r="K4" s="471"/>
      <c r="L4" s="471"/>
      <c r="M4" s="471"/>
      <c r="N4" s="471"/>
    </row>
    <row r="5" spans="1:14" s="15" customFormat="1">
      <c r="A5" s="456"/>
      <c r="B5" s="456"/>
      <c r="C5" s="456"/>
      <c r="D5" s="456"/>
      <c r="E5" s="456"/>
      <c r="F5" s="44"/>
    </row>
    <row r="6" spans="1:14" s="15" customFormat="1" ht="12.75">
      <c r="A6" s="45"/>
      <c r="B6" s="44"/>
      <c r="C6" s="44"/>
      <c r="D6" s="44"/>
      <c r="H6" s="546" t="str">
        <f>'Sch 95'!H6</f>
        <v>MYRP January 2025</v>
      </c>
      <c r="I6" s="494"/>
      <c r="J6" s="493"/>
      <c r="K6" s="132">
        <f>'Sch 95'!K6</f>
        <v>0</v>
      </c>
      <c r="L6" s="546" t="str">
        <f>'Sch 95'!L6</f>
        <v>MYRP January 2026</v>
      </c>
      <c r="M6" s="547"/>
      <c r="N6" s="548"/>
    </row>
    <row r="7" spans="1:14" s="15" customFormat="1" ht="45">
      <c r="A7" s="97" t="s">
        <v>2</v>
      </c>
      <c r="B7" s="97" t="s">
        <v>3</v>
      </c>
      <c r="C7" s="97" t="s">
        <v>14</v>
      </c>
      <c r="D7" s="133" t="str">
        <f>'Sch 95'!D7</f>
        <v>12 months ending December 2025 F23 Forecast KWh</v>
      </c>
      <c r="E7" s="133" t="str">
        <f>'Sch 95'!E7</f>
        <v>Current Rates as of January 2024 (1)</v>
      </c>
      <c r="F7" s="133" t="str">
        <f>'Sch 95'!F7</f>
        <v>Annual Delivered $</v>
      </c>
      <c r="G7" s="133">
        <f>'Sch 95'!G7</f>
        <v>0</v>
      </c>
      <c r="H7" s="133" t="str">
        <f>'Sch 95'!H7</f>
        <v>Annual Delivered KWh</v>
      </c>
      <c r="I7" s="133" t="str">
        <f>'Sch 95'!I7</f>
        <v>Rates Effective January 2025</v>
      </c>
      <c r="J7" s="133" t="str">
        <f>'Sch 95'!J7</f>
        <v>Annual Delivered $</v>
      </c>
      <c r="K7" s="133">
        <f>'Sch 95'!K7</f>
        <v>0</v>
      </c>
      <c r="L7" s="133" t="str">
        <f>'Sch 95'!L7</f>
        <v>Annual Delivered KWh</v>
      </c>
      <c r="M7" s="133" t="str">
        <f>'Sch 95'!M7</f>
        <v>Rates Effective January 2026</v>
      </c>
      <c r="N7" s="133" t="str">
        <f>'Sch 95'!N7</f>
        <v>Annual Delivered $</v>
      </c>
    </row>
    <row r="8" spans="1:14">
      <c r="A8" s="2">
        <v>1</v>
      </c>
      <c r="B8" s="132" t="str">
        <f>'Sch 95'!B8</f>
        <v xml:space="preserve"> 7 (307) (317) (327)</v>
      </c>
      <c r="D8" s="116">
        <f>'Revenue by Sch RY#1'!D9</f>
        <v>11278205851.395365</v>
      </c>
      <c r="E8" s="129">
        <v>6.0700000000000001E-4</v>
      </c>
      <c r="F8" s="12">
        <f>D8*E8</f>
        <v>6845870.9517969862</v>
      </c>
      <c r="H8" s="4">
        <f>D8</f>
        <v>11278205851.395365</v>
      </c>
      <c r="I8" s="11">
        <f>E8</f>
        <v>6.0700000000000001E-4</v>
      </c>
      <c r="J8" s="12">
        <f>$I8*H8</f>
        <v>6845870.9517969862</v>
      </c>
      <c r="K8" s="12"/>
      <c r="L8" s="116">
        <f>'Revenue by Sch RY#2'!D9</f>
        <v>11447649239.71397</v>
      </c>
      <c r="M8" s="11">
        <f>I8</f>
        <v>6.0700000000000001E-4</v>
      </c>
      <c r="N8" s="12">
        <f>$M8*L8</f>
        <v>6948723.0885063801</v>
      </c>
    </row>
    <row r="9" spans="1:14">
      <c r="A9" s="2">
        <f t="shared" ref="A9:A41" si="0">+A8+1</f>
        <v>2</v>
      </c>
      <c r="B9" s="132" t="str">
        <f>'Sch 95'!B9</f>
        <v xml:space="preserve">7A </v>
      </c>
      <c r="D9" s="4">
        <v>0</v>
      </c>
      <c r="E9" s="129">
        <v>5.1999999999999995E-4</v>
      </c>
      <c r="F9" s="12">
        <f>D9*E9</f>
        <v>0</v>
      </c>
      <c r="H9" s="4">
        <f>D9</f>
        <v>0</v>
      </c>
      <c r="I9" s="11">
        <f>E9</f>
        <v>5.1999999999999995E-4</v>
      </c>
      <c r="J9" s="12">
        <f>$I9*H9</f>
        <v>0</v>
      </c>
      <c r="K9" s="12"/>
      <c r="L9" s="4">
        <v>0</v>
      </c>
      <c r="M9" s="11">
        <f>I9</f>
        <v>5.1999999999999995E-4</v>
      </c>
      <c r="N9" s="12">
        <f>$M9*L9</f>
        <v>0</v>
      </c>
    </row>
    <row r="10" spans="1:14">
      <c r="A10" s="2">
        <f t="shared" si="0"/>
        <v>3</v>
      </c>
      <c r="B10" s="2"/>
      <c r="C10" s="3" t="s">
        <v>4</v>
      </c>
      <c r="D10" s="6">
        <f>SUM(D8:D9)</f>
        <v>11278205851.395365</v>
      </c>
      <c r="E10" s="130"/>
      <c r="F10" s="13">
        <f t="shared" ref="F10" si="1">SUM(F8:F9)</f>
        <v>6845870.9517969862</v>
      </c>
      <c r="H10" s="6">
        <f>SUM(H8:H9)</f>
        <v>11278205851.395365</v>
      </c>
      <c r="I10" s="11"/>
      <c r="J10" s="13">
        <f t="shared" ref="J10" si="2">SUM(J8:J9)</f>
        <v>6845870.9517969862</v>
      </c>
      <c r="K10" s="12"/>
      <c r="L10" s="6">
        <f>SUM(L8:L9)</f>
        <v>11447649239.71397</v>
      </c>
      <c r="M10" s="11"/>
      <c r="N10" s="13">
        <f t="shared" ref="N10" si="3">SUM(N8:N9)</f>
        <v>6948723.0885063801</v>
      </c>
    </row>
    <row r="11" spans="1:14">
      <c r="A11" s="2">
        <f t="shared" si="0"/>
        <v>4</v>
      </c>
      <c r="B11" s="2"/>
      <c r="D11" s="4"/>
      <c r="E11" s="130"/>
      <c r="F11" s="12"/>
      <c r="H11" s="4"/>
      <c r="I11" s="11"/>
      <c r="J11" s="12"/>
      <c r="K11" s="12"/>
      <c r="L11" s="4"/>
      <c r="M11" s="11"/>
      <c r="N11" s="12"/>
    </row>
    <row r="12" spans="1:14">
      <c r="A12" s="2">
        <f t="shared" si="0"/>
        <v>5</v>
      </c>
      <c r="B12" s="132">
        <f>'Sch 95'!B12</f>
        <v>8</v>
      </c>
      <c r="D12" s="4">
        <v>0</v>
      </c>
      <c r="E12" s="129">
        <v>5.5900000000000004E-4</v>
      </c>
      <c r="F12" s="12">
        <f t="shared" ref="F12:F18" si="4">D12*E12</f>
        <v>0</v>
      </c>
      <c r="H12" s="4">
        <f>D12</f>
        <v>0</v>
      </c>
      <c r="I12" s="11">
        <f t="shared" ref="I12:I18" si="5">E12</f>
        <v>5.5900000000000004E-4</v>
      </c>
      <c r="J12" s="12">
        <f t="shared" ref="J12:J18" si="6">$I12*H12</f>
        <v>0</v>
      </c>
      <c r="K12" s="12"/>
      <c r="L12" s="4">
        <v>0</v>
      </c>
      <c r="M12" s="11">
        <f t="shared" ref="M12:M18" si="7">I12</f>
        <v>5.5900000000000004E-4</v>
      </c>
      <c r="N12" s="12">
        <f t="shared" ref="N12:N18" si="8">$M12*L12</f>
        <v>0</v>
      </c>
    </row>
    <row r="13" spans="1:14">
      <c r="A13" s="2">
        <f t="shared" si="0"/>
        <v>6</v>
      </c>
      <c r="B13" s="132" t="str">
        <f>'Sch 95'!B13</f>
        <v>24 (324)</v>
      </c>
      <c r="D13" s="116">
        <f>'Revenue by Sch RY#1'!D10</f>
        <v>2762635966.1696987</v>
      </c>
      <c r="E13" s="130">
        <f>+E12</f>
        <v>5.5900000000000004E-4</v>
      </c>
      <c r="F13" s="12">
        <f t="shared" si="4"/>
        <v>1544313.5050888616</v>
      </c>
      <c r="H13" s="4">
        <f>D13</f>
        <v>2762635966.1696987</v>
      </c>
      <c r="I13" s="11">
        <f t="shared" si="5"/>
        <v>5.5900000000000004E-4</v>
      </c>
      <c r="J13" s="12">
        <f t="shared" si="6"/>
        <v>1544313.5050888616</v>
      </c>
      <c r="K13" s="12"/>
      <c r="L13" s="116">
        <f>'Revenue by Sch RY#2'!D10</f>
        <v>2774967422.2693906</v>
      </c>
      <c r="M13" s="11">
        <f t="shared" si="7"/>
        <v>5.5900000000000004E-4</v>
      </c>
      <c r="N13" s="12">
        <f t="shared" si="8"/>
        <v>1551206.7890485895</v>
      </c>
    </row>
    <row r="14" spans="1:14">
      <c r="A14" s="2">
        <f t="shared" si="0"/>
        <v>7</v>
      </c>
      <c r="B14" s="132">
        <f>'Sch 95'!B14</f>
        <v>11</v>
      </c>
      <c r="D14" s="4">
        <v>0</v>
      </c>
      <c r="E14" s="130">
        <f>E9</f>
        <v>5.1999999999999995E-4</v>
      </c>
      <c r="F14" s="12">
        <f t="shared" si="4"/>
        <v>0</v>
      </c>
      <c r="H14" s="4">
        <f t="shared" ref="H14:H18" si="9">D14</f>
        <v>0</v>
      </c>
      <c r="I14" s="11">
        <f t="shared" si="5"/>
        <v>5.1999999999999995E-4</v>
      </c>
      <c r="J14" s="12">
        <f t="shared" si="6"/>
        <v>0</v>
      </c>
      <c r="K14" s="12"/>
      <c r="L14" s="4">
        <v>0</v>
      </c>
      <c r="M14" s="11">
        <f t="shared" si="7"/>
        <v>5.1999999999999995E-4</v>
      </c>
      <c r="N14" s="12">
        <f t="shared" si="8"/>
        <v>0</v>
      </c>
    </row>
    <row r="15" spans="1:14">
      <c r="A15" s="2">
        <f t="shared" si="0"/>
        <v>8</v>
      </c>
      <c r="B15" s="132">
        <f>'Sch 95'!B15</f>
        <v>25</v>
      </c>
      <c r="D15" s="116">
        <f>'Revenue by Sch RY#1'!D11</f>
        <v>2960202274.8054705</v>
      </c>
      <c r="E15" s="130">
        <f>+E14</f>
        <v>5.1999999999999995E-4</v>
      </c>
      <c r="F15" s="12">
        <f t="shared" si="4"/>
        <v>1539305.1828988446</v>
      </c>
      <c r="H15" s="4">
        <f t="shared" si="9"/>
        <v>2960202274.8054705</v>
      </c>
      <c r="I15" s="11">
        <f t="shared" si="5"/>
        <v>5.1999999999999995E-4</v>
      </c>
      <c r="J15" s="12">
        <f t="shared" si="6"/>
        <v>1539305.1828988446</v>
      </c>
      <c r="K15" s="12"/>
      <c r="L15" s="116">
        <f>'Revenue by Sch RY#2'!D11</f>
        <v>2968720174.6374388</v>
      </c>
      <c r="M15" s="11">
        <f t="shared" si="7"/>
        <v>5.1999999999999995E-4</v>
      </c>
      <c r="N15" s="12">
        <f t="shared" si="8"/>
        <v>1543734.4908114681</v>
      </c>
    </row>
    <row r="16" spans="1:14">
      <c r="A16" s="2">
        <f t="shared" si="0"/>
        <v>9</v>
      </c>
      <c r="B16" s="132">
        <f>'Sch 95'!B16</f>
        <v>12</v>
      </c>
      <c r="D16" s="4">
        <v>0</v>
      </c>
      <c r="E16" s="129">
        <v>4.7800000000000002E-4</v>
      </c>
      <c r="F16" s="12">
        <f t="shared" si="4"/>
        <v>0</v>
      </c>
      <c r="H16" s="4">
        <f t="shared" si="9"/>
        <v>0</v>
      </c>
      <c r="I16" s="11">
        <f t="shared" si="5"/>
        <v>4.7800000000000002E-4</v>
      </c>
      <c r="J16" s="12">
        <f t="shared" si="6"/>
        <v>0</v>
      </c>
      <c r="K16" s="12"/>
      <c r="L16" s="4">
        <v>0</v>
      </c>
      <c r="M16" s="11">
        <f t="shared" si="7"/>
        <v>4.7800000000000002E-4</v>
      </c>
      <c r="N16" s="12">
        <f t="shared" si="8"/>
        <v>0</v>
      </c>
    </row>
    <row r="17" spans="1:14">
      <c r="A17" s="2">
        <f t="shared" si="0"/>
        <v>10</v>
      </c>
      <c r="B17" s="132" t="str">
        <f>'Sch 95'!B17</f>
        <v>26 &amp; 26P</v>
      </c>
      <c r="D17" s="116">
        <f>'Revenue by Sch RY#1'!D12</f>
        <v>2013891730.8000479</v>
      </c>
      <c r="E17" s="130">
        <f>+E16</f>
        <v>4.7800000000000002E-4</v>
      </c>
      <c r="F17" s="12">
        <f t="shared" si="4"/>
        <v>962640.24732242292</v>
      </c>
      <c r="H17" s="4">
        <f t="shared" si="9"/>
        <v>2013891730.8000479</v>
      </c>
      <c r="I17" s="11">
        <f t="shared" si="5"/>
        <v>4.7800000000000002E-4</v>
      </c>
      <c r="J17" s="12">
        <f t="shared" si="6"/>
        <v>962640.24732242292</v>
      </c>
      <c r="K17" s="12"/>
      <c r="L17" s="116">
        <f>'Revenue by Sch RY#2'!D12</f>
        <v>2056791563.2414525</v>
      </c>
      <c r="M17" s="11">
        <f t="shared" si="7"/>
        <v>4.7800000000000002E-4</v>
      </c>
      <c r="N17" s="12">
        <f t="shared" si="8"/>
        <v>983146.36722941429</v>
      </c>
    </row>
    <row r="18" spans="1:14">
      <c r="A18" s="2">
        <f t="shared" si="0"/>
        <v>11</v>
      </c>
      <c r="B18" s="132">
        <f>'Sch 95'!B18</f>
        <v>29</v>
      </c>
      <c r="D18" s="116">
        <f>'Revenue by Sch RY#1'!D13</f>
        <v>14930059.630887466</v>
      </c>
      <c r="E18" s="129">
        <v>4.9100000000000001E-4</v>
      </c>
      <c r="F18" s="12">
        <f t="shared" si="4"/>
        <v>7330.6592787657455</v>
      </c>
      <c r="H18" s="4">
        <f t="shared" si="9"/>
        <v>14930059.630887466</v>
      </c>
      <c r="I18" s="11">
        <f t="shared" si="5"/>
        <v>4.9100000000000001E-4</v>
      </c>
      <c r="J18" s="12">
        <f t="shared" si="6"/>
        <v>7330.6592787657455</v>
      </c>
      <c r="K18" s="12"/>
      <c r="L18" s="116">
        <f>'Revenue by Sch RY#2'!D13</f>
        <v>14843026.361509496</v>
      </c>
      <c r="M18" s="11">
        <f t="shared" si="7"/>
        <v>4.9100000000000001E-4</v>
      </c>
      <c r="N18" s="12">
        <f t="shared" si="8"/>
        <v>7287.9259435011627</v>
      </c>
    </row>
    <row r="19" spans="1:14">
      <c r="A19" s="2">
        <f t="shared" si="0"/>
        <v>12</v>
      </c>
      <c r="B19" s="2"/>
      <c r="C19" s="7" t="s">
        <v>6</v>
      </c>
      <c r="D19" s="6">
        <f>SUM(D12:D18)</f>
        <v>7751660031.4061041</v>
      </c>
      <c r="E19" s="130"/>
      <c r="F19" s="13">
        <f t="shared" ref="F19" si="10">SUM(F12:F18)</f>
        <v>4053589.5945888949</v>
      </c>
      <c r="H19" s="6">
        <f>SUM(H12:H18)</f>
        <v>7751660031.4061041</v>
      </c>
      <c r="I19" s="11"/>
      <c r="J19" s="13">
        <f t="shared" ref="J19" si="11">SUM(J12:J18)</f>
        <v>4053589.5945888949</v>
      </c>
      <c r="K19" s="12"/>
      <c r="L19" s="6">
        <f>SUM(L12:L18)</f>
        <v>7815322186.5097914</v>
      </c>
      <c r="M19" s="11"/>
      <c r="N19" s="13">
        <f t="shared" ref="N19" si="12">SUM(N12:N18)</f>
        <v>4085375.5730329733</v>
      </c>
    </row>
    <row r="20" spans="1:14">
      <c r="A20" s="2">
        <f t="shared" si="0"/>
        <v>13</v>
      </c>
      <c r="B20" s="2"/>
      <c r="D20" s="4"/>
      <c r="E20" s="130"/>
      <c r="F20" s="12"/>
      <c r="H20" s="4"/>
      <c r="I20" s="11"/>
      <c r="J20" s="12"/>
      <c r="K20" s="12"/>
      <c r="L20" s="4"/>
      <c r="M20" s="11"/>
      <c r="N20" s="12"/>
    </row>
    <row r="21" spans="1:14">
      <c r="A21" s="2">
        <f t="shared" si="0"/>
        <v>14</v>
      </c>
      <c r="B21" s="132">
        <f>'Sch 95'!B21</f>
        <v>10</v>
      </c>
      <c r="D21" s="4">
        <v>0</v>
      </c>
      <c r="E21" s="129">
        <v>4.6799999999999999E-4</v>
      </c>
      <c r="F21" s="12">
        <f t="shared" ref="F21:F24" si="13">D21*E21</f>
        <v>0</v>
      </c>
      <c r="H21" s="4">
        <f t="shared" ref="H21:I24" si="14">D21</f>
        <v>0</v>
      </c>
      <c r="I21" s="11">
        <f t="shared" si="14"/>
        <v>4.6799999999999999E-4</v>
      </c>
      <c r="J21" s="12">
        <f t="shared" ref="J21:J24" si="15">$I21*H21</f>
        <v>0</v>
      </c>
      <c r="K21" s="12"/>
      <c r="L21" s="4">
        <v>0</v>
      </c>
      <c r="M21" s="11">
        <f t="shared" ref="M21:M24" si="16">I21</f>
        <v>4.6799999999999999E-4</v>
      </c>
      <c r="N21" s="12">
        <f t="shared" ref="N21:N24" si="17">$M21*L21</f>
        <v>0</v>
      </c>
    </row>
    <row r="22" spans="1:14">
      <c r="A22" s="2">
        <f t="shared" si="0"/>
        <v>15</v>
      </c>
      <c r="B22" s="132">
        <f>'Sch 95'!B22</f>
        <v>31</v>
      </c>
      <c r="D22" s="116">
        <f>'Revenue by Sch RY#1'!D14</f>
        <v>1423586019.4788036</v>
      </c>
      <c r="E22" s="130">
        <f>+E21</f>
        <v>4.6799999999999999E-4</v>
      </c>
      <c r="F22" s="12">
        <f t="shared" si="13"/>
        <v>666238.25711608015</v>
      </c>
      <c r="H22" s="4">
        <f t="shared" si="14"/>
        <v>1423586019.4788036</v>
      </c>
      <c r="I22" s="11">
        <f t="shared" si="14"/>
        <v>4.6799999999999999E-4</v>
      </c>
      <c r="J22" s="12">
        <f t="shared" si="15"/>
        <v>666238.25711608015</v>
      </c>
      <c r="K22" s="12"/>
      <c r="L22" s="116">
        <f>'Revenue by Sch RY#2'!D14</f>
        <v>1411297972.0883911</v>
      </c>
      <c r="M22" s="11">
        <f t="shared" si="16"/>
        <v>4.6799999999999999E-4</v>
      </c>
      <c r="N22" s="12">
        <f t="shared" si="17"/>
        <v>660487.45093736704</v>
      </c>
    </row>
    <row r="23" spans="1:14">
      <c r="A23" s="2">
        <f t="shared" si="0"/>
        <v>16</v>
      </c>
      <c r="B23" s="132">
        <f>'Sch 95'!B23</f>
        <v>35</v>
      </c>
      <c r="D23" s="116">
        <f>'Revenue by Sch RY#1'!D15</f>
        <v>4407260.1568774413</v>
      </c>
      <c r="E23" s="129">
        <v>3.88E-4</v>
      </c>
      <c r="F23" s="12">
        <f t="shared" si="13"/>
        <v>1710.0169408684471</v>
      </c>
      <c r="H23" s="4">
        <f t="shared" si="14"/>
        <v>4407260.1568774413</v>
      </c>
      <c r="I23" s="11">
        <f t="shared" si="14"/>
        <v>3.88E-4</v>
      </c>
      <c r="J23" s="12">
        <f t="shared" si="15"/>
        <v>1710.0169408684471</v>
      </c>
      <c r="K23" s="12"/>
      <c r="L23" s="116">
        <f>'Revenue by Sch RY#2'!D15</f>
        <v>4380281.1514552524</v>
      </c>
      <c r="M23" s="11">
        <f t="shared" si="16"/>
        <v>3.88E-4</v>
      </c>
      <c r="N23" s="12">
        <f t="shared" si="17"/>
        <v>1699.5490867646379</v>
      </c>
    </row>
    <row r="24" spans="1:14">
      <c r="A24" s="2">
        <f t="shared" si="0"/>
        <v>17</v>
      </c>
      <c r="B24" s="132">
        <f>'Sch 95'!B24</f>
        <v>43</v>
      </c>
      <c r="D24" s="116">
        <f>'Revenue by Sch RY#1'!D16</f>
        <v>122267424.6450724</v>
      </c>
      <c r="E24" s="129">
        <v>4.7899999999999999E-4</v>
      </c>
      <c r="F24" s="12">
        <f t="shared" si="13"/>
        <v>58566.096404989679</v>
      </c>
      <c r="H24" s="4">
        <f t="shared" si="14"/>
        <v>122267424.6450724</v>
      </c>
      <c r="I24" s="11">
        <f t="shared" si="14"/>
        <v>4.7899999999999999E-4</v>
      </c>
      <c r="J24" s="12">
        <f t="shared" si="15"/>
        <v>58566.096404989679</v>
      </c>
      <c r="K24" s="12"/>
      <c r="L24" s="116">
        <f>'Revenue by Sch RY#2'!D16</f>
        <v>121633779.10385114</v>
      </c>
      <c r="M24" s="11">
        <f t="shared" si="16"/>
        <v>4.7899999999999999E-4</v>
      </c>
      <c r="N24" s="12">
        <f t="shared" si="17"/>
        <v>58262.580190744695</v>
      </c>
    </row>
    <row r="25" spans="1:14">
      <c r="A25" s="2">
        <f t="shared" si="0"/>
        <v>18</v>
      </c>
      <c r="B25" s="2"/>
      <c r="C25" s="3" t="s">
        <v>7</v>
      </c>
      <c r="D25" s="6">
        <f>SUM(D21:D24)</f>
        <v>1550260704.2807536</v>
      </c>
      <c r="E25" s="130"/>
      <c r="F25" s="13">
        <f t="shared" ref="F25" si="18">SUM(F21:F24)</f>
        <v>726514.37046193832</v>
      </c>
      <c r="H25" s="6">
        <f>SUM(H21:H24)</f>
        <v>1550260704.2807536</v>
      </c>
      <c r="I25" s="11"/>
      <c r="J25" s="13">
        <f t="shared" ref="J25" si="19">SUM(J21:J24)</f>
        <v>726514.37046193832</v>
      </c>
      <c r="K25" s="12"/>
      <c r="L25" s="6">
        <f>SUM(L21:L24)</f>
        <v>1537312032.3436973</v>
      </c>
      <c r="M25" s="11"/>
      <c r="N25" s="13">
        <f t="shared" ref="N25" si="20">SUM(N21:N24)</f>
        <v>720449.58021487645</v>
      </c>
    </row>
    <row r="26" spans="1:14">
      <c r="A26" s="2">
        <f t="shared" si="0"/>
        <v>19</v>
      </c>
      <c r="B26" s="2"/>
      <c r="D26" s="4"/>
      <c r="E26" s="130"/>
      <c r="F26" s="12"/>
      <c r="H26" s="4"/>
      <c r="I26" s="11"/>
      <c r="J26" s="12"/>
      <c r="K26" s="12"/>
      <c r="L26" s="4"/>
      <c r="M26" s="11"/>
      <c r="N26" s="12"/>
    </row>
    <row r="27" spans="1:14">
      <c r="A27" s="2">
        <f t="shared" si="0"/>
        <v>20</v>
      </c>
      <c r="B27" s="132">
        <f>'Sch 95'!B27</f>
        <v>46</v>
      </c>
      <c r="D27" s="116">
        <f>'Revenue by Sch RY#1'!D17</f>
        <v>96933187.043131709</v>
      </c>
      <c r="E27" s="129">
        <v>3.4499999999999998E-4</v>
      </c>
      <c r="F27" s="12">
        <f t="shared" ref="F27:F28" si="21">D27*E27</f>
        <v>33441.94952988044</v>
      </c>
      <c r="H27" s="4">
        <f t="shared" ref="H27:I28" si="22">D27</f>
        <v>96933187.043131709</v>
      </c>
      <c r="I27" s="11">
        <f t="shared" si="22"/>
        <v>3.4499999999999998E-4</v>
      </c>
      <c r="J27" s="12">
        <f t="shared" ref="J27:J28" si="23">$I27*H27</f>
        <v>33441.94952988044</v>
      </c>
      <c r="K27" s="12"/>
      <c r="L27" s="116">
        <f>'Revenue by Sch RY#2'!D17</f>
        <v>96918964.527943105</v>
      </c>
      <c r="M27" s="11">
        <f t="shared" ref="M27:M28" si="24">I27</f>
        <v>3.4499999999999998E-4</v>
      </c>
      <c r="N27" s="12">
        <f t="shared" ref="N27:N28" si="25">$M27*L27</f>
        <v>33437.042762140372</v>
      </c>
    </row>
    <row r="28" spans="1:14">
      <c r="A28" s="2">
        <f t="shared" si="0"/>
        <v>21</v>
      </c>
      <c r="B28" s="132">
        <f>'Sch 95'!B28</f>
        <v>49</v>
      </c>
      <c r="D28" s="116">
        <f>'Revenue by Sch RY#1'!D18</f>
        <v>534843226.30681556</v>
      </c>
      <c r="E28" s="129">
        <v>3.5599999999999998E-4</v>
      </c>
      <c r="F28" s="12">
        <f t="shared" si="21"/>
        <v>190404.18856522633</v>
      </c>
      <c r="H28" s="4">
        <f t="shared" si="22"/>
        <v>534843226.30681556</v>
      </c>
      <c r="I28" s="11">
        <f t="shared" si="22"/>
        <v>3.5599999999999998E-4</v>
      </c>
      <c r="J28" s="12">
        <f t="shared" si="23"/>
        <v>190404.18856522633</v>
      </c>
      <c r="K28" s="12"/>
      <c r="L28" s="116">
        <f>'Revenue by Sch RY#2'!D18</f>
        <v>534899242.67952603</v>
      </c>
      <c r="M28" s="11">
        <f t="shared" si="24"/>
        <v>3.5599999999999998E-4</v>
      </c>
      <c r="N28" s="12">
        <f t="shared" si="25"/>
        <v>190424.13039391127</v>
      </c>
    </row>
    <row r="29" spans="1:14">
      <c r="A29" s="2">
        <f t="shared" si="0"/>
        <v>22</v>
      </c>
      <c r="B29" s="2"/>
      <c r="C29" s="3" t="s">
        <v>8</v>
      </c>
      <c r="D29" s="6">
        <f>SUM(D27:D28)</f>
        <v>631776413.34994721</v>
      </c>
      <c r="E29" s="11"/>
      <c r="F29" s="13">
        <f t="shared" ref="F29" si="26">SUM(F27:F28)</f>
        <v>223846.13809510675</v>
      </c>
      <c r="H29" s="6">
        <f>SUM(H27:H28)</f>
        <v>631776413.34994721</v>
      </c>
      <c r="I29" s="11"/>
      <c r="J29" s="13">
        <f t="shared" ref="J29" si="27">SUM(J27:J28)</f>
        <v>223846.13809510675</v>
      </c>
      <c r="K29" s="12"/>
      <c r="L29" s="6">
        <f>SUM(L27:L28)</f>
        <v>631818207.20746911</v>
      </c>
      <c r="M29" s="11"/>
      <c r="N29" s="13">
        <f t="shared" ref="N29" si="28">SUM(N27:N28)</f>
        <v>223861.17315605163</v>
      </c>
    </row>
    <row r="30" spans="1:14">
      <c r="A30" s="2">
        <f t="shared" si="0"/>
        <v>23</v>
      </c>
      <c r="B30" s="2"/>
      <c r="D30" s="4"/>
      <c r="E30" s="11"/>
      <c r="F30" s="12"/>
      <c r="H30" s="4"/>
      <c r="I30" s="11"/>
      <c r="J30" s="12"/>
      <c r="K30" s="12"/>
      <c r="L30" s="4"/>
      <c r="M30" s="11"/>
      <c r="N30" s="12"/>
    </row>
    <row r="31" spans="1:14">
      <c r="A31" s="2">
        <f t="shared" si="0"/>
        <v>24</v>
      </c>
      <c r="B31" s="132" t="str">
        <f>'Sch 95'!B31</f>
        <v>03, 50-59</v>
      </c>
      <c r="D31" s="122">
        <f>'Revenue by Sch RY#1'!D19</f>
        <v>67255417.982360825</v>
      </c>
      <c r="E31" s="117">
        <v>1.477E-3</v>
      </c>
      <c r="F31" s="13">
        <f>D31*E31</f>
        <v>99336.252359946942</v>
      </c>
      <c r="H31" s="6">
        <f>D31</f>
        <v>67255417.982360825</v>
      </c>
      <c r="I31" s="11">
        <f>E31</f>
        <v>1.477E-3</v>
      </c>
      <c r="J31" s="13">
        <f>$I31*H31</f>
        <v>99336.252359946942</v>
      </c>
      <c r="K31" s="12"/>
      <c r="L31" s="122">
        <f>'Revenue by Sch RY#2'!D19</f>
        <v>67027608.143863305</v>
      </c>
      <c r="M31" s="11">
        <f>I31</f>
        <v>1.477E-3</v>
      </c>
      <c r="N31" s="13">
        <f>$M31*L31</f>
        <v>98999.777228486098</v>
      </c>
    </row>
    <row r="32" spans="1:14">
      <c r="A32" s="2">
        <f t="shared" si="0"/>
        <v>25</v>
      </c>
      <c r="B32" s="2"/>
      <c r="D32" s="4"/>
      <c r="E32" s="11"/>
      <c r="F32" s="12"/>
      <c r="H32" s="4"/>
      <c r="I32" s="11"/>
      <c r="J32" s="12"/>
      <c r="K32" s="12"/>
      <c r="L32" s="4"/>
      <c r="M32" s="11"/>
      <c r="N32" s="12"/>
    </row>
    <row r="33" spans="1:14">
      <c r="A33" s="2">
        <f t="shared" si="0"/>
        <v>26</v>
      </c>
      <c r="B33" s="132" t="str">
        <f>'Sch 95'!B33</f>
        <v>449-459</v>
      </c>
      <c r="D33" s="116">
        <f>'Revenue by Sch RY#1'!D20</f>
        <v>1967511960.3194919</v>
      </c>
      <c r="E33" s="117">
        <v>2.3E-5</v>
      </c>
      <c r="F33" s="12">
        <f t="shared" ref="F33:F34" si="29">D33*E33</f>
        <v>45252.775087348316</v>
      </c>
      <c r="H33" s="4">
        <f t="shared" ref="H33:I34" si="30">D33</f>
        <v>1967511960.3194919</v>
      </c>
      <c r="I33" s="11">
        <f t="shared" si="30"/>
        <v>2.3E-5</v>
      </c>
      <c r="J33" s="12">
        <f t="shared" ref="J33:J34" si="31">$I33*H33</f>
        <v>45252.775087348316</v>
      </c>
      <c r="K33" s="12"/>
      <c r="L33" s="116">
        <f>'Revenue by Sch RY#2'!D20</f>
        <v>1964993565.6779518</v>
      </c>
      <c r="M33" s="11">
        <f t="shared" ref="M33:M34" si="32">I33</f>
        <v>2.3E-5</v>
      </c>
      <c r="N33" s="12">
        <f t="shared" ref="N33:N34" si="33">$M33*L33</f>
        <v>45194.852010592891</v>
      </c>
    </row>
    <row r="34" spans="1:14">
      <c r="A34" s="2">
        <f t="shared" si="0"/>
        <v>27</v>
      </c>
      <c r="B34" s="132" t="str">
        <f>'Sch 95'!B34</f>
        <v>Special Contract</v>
      </c>
      <c r="D34" s="116">
        <f>'Revenue by Sch RY#1'!D21</f>
        <v>304773055.46200001</v>
      </c>
      <c r="E34" s="117">
        <v>6.4999999999999994E-5</v>
      </c>
      <c r="F34" s="12">
        <f t="shared" si="29"/>
        <v>19810.248605029999</v>
      </c>
      <c r="H34" s="4">
        <f t="shared" si="30"/>
        <v>304773055.46200001</v>
      </c>
      <c r="I34" s="11">
        <f t="shared" si="30"/>
        <v>6.4999999999999994E-5</v>
      </c>
      <c r="J34" s="12">
        <f t="shared" si="31"/>
        <v>19810.248605029999</v>
      </c>
      <c r="K34" s="12"/>
      <c r="L34" s="116">
        <f>'Revenue by Sch RY#2'!D21</f>
        <v>304773055.46200001</v>
      </c>
      <c r="M34" s="11">
        <f t="shared" si="32"/>
        <v>6.4999999999999994E-5</v>
      </c>
      <c r="N34" s="12">
        <f t="shared" si="33"/>
        <v>19810.248605029999</v>
      </c>
    </row>
    <row r="35" spans="1:14">
      <c r="A35" s="2">
        <f t="shared" si="0"/>
        <v>28</v>
      </c>
      <c r="B35" s="5"/>
      <c r="C35" s="3" t="s">
        <v>77</v>
      </c>
      <c r="D35" s="6">
        <f>SUM(D33:D34)</f>
        <v>2272285015.7814918</v>
      </c>
      <c r="E35" s="11"/>
      <c r="F35" s="13">
        <f t="shared" ref="F35" si="34">SUM(F33:F34)</f>
        <v>65063.023692378316</v>
      </c>
      <c r="H35" s="6">
        <f>SUM(H33:H34)</f>
        <v>2272285015.7814918</v>
      </c>
      <c r="J35" s="13">
        <f t="shared" ref="J35" si="35">SUM(J33:J34)</f>
        <v>65063.023692378316</v>
      </c>
      <c r="K35" s="12"/>
      <c r="L35" s="6">
        <f>SUM(L33:L34)</f>
        <v>2269766621.1399517</v>
      </c>
      <c r="N35" s="13">
        <f t="shared" ref="N35" si="36">SUM(N33:N34)</f>
        <v>65005.10061562289</v>
      </c>
    </row>
    <row r="36" spans="1:14">
      <c r="A36" s="2">
        <f t="shared" si="0"/>
        <v>29</v>
      </c>
      <c r="B36" s="2"/>
      <c r="D36" s="4"/>
      <c r="E36" s="11"/>
      <c r="F36" s="12"/>
      <c r="H36" s="4"/>
      <c r="J36" s="12"/>
      <c r="K36" s="12"/>
      <c r="L36" s="4"/>
      <c r="N36" s="12"/>
    </row>
    <row r="37" spans="1:14" ht="12" thickBot="1">
      <c r="A37" s="2">
        <f t="shared" si="0"/>
        <v>30</v>
      </c>
      <c r="B37" s="2"/>
      <c r="C37" s="7" t="s">
        <v>15</v>
      </c>
      <c r="D37" s="8">
        <f>SUM(D10,D19,D25,D29,D31,D35)</f>
        <v>23551443434.196022</v>
      </c>
      <c r="E37" s="11"/>
      <c r="F37" s="14">
        <f>SUM(F10,F19,F25,F29,F31,F35)</f>
        <v>12014220.330995252</v>
      </c>
      <c r="H37" s="8">
        <f>SUM(H10,H19,H25,H29,H31,H35)</f>
        <v>23551443434.196022</v>
      </c>
      <c r="J37" s="14">
        <f>SUM(J10,J19,J25,J29,J31,J35)</f>
        <v>12014220.330995252</v>
      </c>
      <c r="K37" s="12"/>
      <c r="L37" s="8">
        <f>SUM(L10,L19,L25,L29,L31,L35)</f>
        <v>23768895895.058746</v>
      </c>
      <c r="N37" s="14">
        <f>SUM(N10,N19,N25,N29,N31,N35)</f>
        <v>12142414.292754389</v>
      </c>
    </row>
    <row r="38" spans="1:14" ht="12" thickTop="1">
      <c r="A38" s="2">
        <f t="shared" si="0"/>
        <v>31</v>
      </c>
      <c r="B38" s="2"/>
      <c r="E38" s="11"/>
      <c r="F38" s="12"/>
      <c r="J38" s="12"/>
      <c r="K38" s="12"/>
      <c r="N38" s="12"/>
    </row>
    <row r="39" spans="1:14">
      <c r="A39" s="2">
        <f t="shared" si="0"/>
        <v>32</v>
      </c>
      <c r="B39" s="132">
        <f>'Sch 95'!B39</f>
        <v>5</v>
      </c>
      <c r="C39" s="3" t="s">
        <v>16</v>
      </c>
      <c r="D39" s="122">
        <f>'Revenue by Sch RY#1'!D22</f>
        <v>6714960.2368700616</v>
      </c>
      <c r="E39" s="117">
        <v>0</v>
      </c>
      <c r="F39" s="13">
        <f>D39*E39</f>
        <v>0</v>
      </c>
      <c r="H39" s="6">
        <f>D39</f>
        <v>6714960.2368700616</v>
      </c>
      <c r="I39" s="11">
        <f>E39</f>
        <v>0</v>
      </c>
      <c r="J39" s="13">
        <f>$I39*H39</f>
        <v>0</v>
      </c>
      <c r="K39" s="12"/>
      <c r="L39" s="122">
        <f>'Revenue by Sch RY#2'!D22</f>
        <v>6710049.8818741431</v>
      </c>
      <c r="M39" s="11">
        <f>I39</f>
        <v>0</v>
      </c>
      <c r="N39" s="12">
        <f>$M39*L39</f>
        <v>0</v>
      </c>
    </row>
    <row r="40" spans="1:14">
      <c r="A40" s="2">
        <f t="shared" si="0"/>
        <v>33</v>
      </c>
      <c r="B40" s="2"/>
      <c r="E40" s="11"/>
      <c r="F40" s="12"/>
      <c r="J40" s="12"/>
      <c r="K40" s="12"/>
      <c r="N40" s="12"/>
    </row>
    <row r="41" spans="1:14" ht="12" thickBot="1">
      <c r="A41" s="2">
        <f t="shared" si="0"/>
        <v>34</v>
      </c>
      <c r="B41" s="2"/>
      <c r="C41" s="110" t="s">
        <v>17</v>
      </c>
      <c r="D41" s="111">
        <f>SUM(D37,D39)</f>
        <v>23558158394.432892</v>
      </c>
      <c r="E41" s="112"/>
      <c r="F41" s="113">
        <f>SUM(F37,F39)</f>
        <v>12014220.330995252</v>
      </c>
      <c r="G41" s="15"/>
      <c r="H41" s="111">
        <f>SUM(H37,H39)</f>
        <v>23558158394.432892</v>
      </c>
      <c r="I41" s="15"/>
      <c r="J41" s="113">
        <f t="shared" ref="J41" si="37">SUM(J37,J39)</f>
        <v>12014220.330995252</v>
      </c>
      <c r="K41" s="114"/>
      <c r="L41" s="111">
        <f>SUM(L37,L39)</f>
        <v>23775605944.94062</v>
      </c>
      <c r="M41" s="15"/>
      <c r="N41" s="113">
        <f t="shared" ref="N41" si="38">SUM(N37,N39)</f>
        <v>12142414.292754389</v>
      </c>
    </row>
    <row r="42" spans="1:14" ht="12" thickTop="1">
      <c r="D42" s="123">
        <f>'Revenue by Sch RY#1'!D24</f>
        <v>23558158394.432896</v>
      </c>
      <c r="H42" s="162">
        <f>D41</f>
        <v>23558158394.432892</v>
      </c>
      <c r="L42" s="123">
        <f>'Revenue by Sch RY#2'!D24</f>
        <v>23775605944.94062</v>
      </c>
    </row>
    <row r="43" spans="1:14">
      <c r="C43" s="17" t="s">
        <v>168</v>
      </c>
      <c r="D43" s="124">
        <f>D41-D42</f>
        <v>0</v>
      </c>
      <c r="H43" s="124">
        <f>H41-H42</f>
        <v>0</v>
      </c>
      <c r="L43" s="124">
        <f>L41-L42</f>
        <v>0</v>
      </c>
    </row>
    <row r="44" spans="1:14">
      <c r="L44" s="4"/>
    </row>
    <row r="45" spans="1:14">
      <c r="B45" s="3" t="s">
        <v>256</v>
      </c>
      <c r="C45" s="101"/>
    </row>
  </sheetData>
  <mergeCells count="7">
    <mergeCell ref="H6:J6"/>
    <mergeCell ref="L6:N6"/>
    <mergeCell ref="A1:N1"/>
    <mergeCell ref="A2:N2"/>
    <mergeCell ref="A3:N3"/>
    <mergeCell ref="A4:N4"/>
    <mergeCell ref="A5:E5"/>
  </mergeCells>
  <pageMargins left="0.7" right="0.7" top="0.75" bottom="0.75" header="0.3" footer="0.3"/>
  <pageSetup scale="81" orientation="landscape" horizontalDpi="360" verticalDpi="360" r:id="rId1"/>
  <headerFooter>
    <oddFooter>&amp;R&amp;F
&amp;A
&amp;P of &amp;N</oddFooter>
  </headerFooter>
  <customProperties>
    <customPr name="_pios_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1"/>
  <sheetViews>
    <sheetView workbookViewId="0">
      <selection activeCell="F33" sqref="F33"/>
    </sheetView>
  </sheetViews>
  <sheetFormatPr defaultRowHeight="12.75"/>
  <sheetData/>
  <pageMargins left="0.7" right="0.7" top="0.75" bottom="0.75" header="0.3" footer="0.3"/>
  <customProperties>
    <customPr name="_pios_id" r:id="rId1"/>
  </customPropertie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6" tint="0.79998168889431442"/>
    <pageSetUpPr fitToPage="1"/>
  </sheetPr>
  <dimension ref="A1:N45"/>
  <sheetViews>
    <sheetView zoomScaleNormal="100" workbookViewId="0">
      <pane ySplit="7" topLeftCell="A8" activePane="bottomLeft" state="frozen"/>
      <selection activeCell="U42" sqref="U42"/>
      <selection pane="bottomLeft" activeCell="U42" sqref="U42"/>
    </sheetView>
  </sheetViews>
  <sheetFormatPr defaultColWidth="8.85546875" defaultRowHeight="11.25"/>
  <cols>
    <col min="1" max="1" width="4.42578125" style="3" bestFit="1" customWidth="1"/>
    <col min="2" max="2" width="14.85546875" style="3" bestFit="1" customWidth="1"/>
    <col min="3" max="3" width="21.7109375" style="3" bestFit="1" customWidth="1"/>
    <col min="4" max="4" width="15.140625" style="3" bestFit="1" customWidth="1"/>
    <col min="5" max="5" width="11" style="3" customWidth="1"/>
    <col min="6" max="6" width="11.85546875" style="3" customWidth="1"/>
    <col min="7" max="7" width="0.85546875" style="3" customWidth="1"/>
    <col min="8" max="8" width="12.85546875" style="3" bestFit="1" customWidth="1"/>
    <col min="9" max="9" width="9.42578125" style="3" bestFit="1" customWidth="1"/>
    <col min="10" max="10" width="11.5703125" style="3" bestFit="1" customWidth="1"/>
    <col min="11" max="11" width="1" style="3" customWidth="1"/>
    <col min="12" max="12" width="12.85546875" style="3" bestFit="1" customWidth="1"/>
    <col min="13" max="13" width="9.42578125" style="3" bestFit="1" customWidth="1"/>
    <col min="14" max="14" width="13.42578125" style="3" customWidth="1"/>
    <col min="15" max="16384" width="8.85546875" style="3"/>
  </cols>
  <sheetData>
    <row r="1" spans="1:14" s="15" customFormat="1" ht="12.75" customHeight="1">
      <c r="A1" s="459" t="str">
        <f>'Exh CTM-8 (Rate Impacts_RY#1)'!A1</f>
        <v>Puget Sound Energy</v>
      </c>
      <c r="B1" s="460"/>
      <c r="C1" s="460"/>
      <c r="D1" s="460"/>
      <c r="E1" s="460"/>
      <c r="F1" s="460"/>
      <c r="G1" s="460"/>
      <c r="H1" s="460"/>
      <c r="I1" s="460"/>
      <c r="J1" s="460"/>
      <c r="K1" s="460"/>
      <c r="L1" s="460"/>
      <c r="M1" s="460"/>
      <c r="N1" s="460"/>
    </row>
    <row r="2" spans="1:14" s="15" customFormat="1" ht="12.75">
      <c r="A2" s="459" t="str">
        <f>'Exh CTM-8 (Rate Impacts_RY#1)'!A2</f>
        <v>2024 General Rate Case Docket No. UE-240004 and UG-240005</v>
      </c>
      <c r="B2" s="460"/>
      <c r="C2" s="460"/>
      <c r="D2" s="460"/>
      <c r="E2" s="460"/>
      <c r="F2" s="460"/>
      <c r="G2" s="460"/>
      <c r="H2" s="460"/>
      <c r="I2" s="460"/>
      <c r="J2" s="460"/>
      <c r="K2" s="460"/>
      <c r="L2" s="460"/>
      <c r="M2" s="460"/>
      <c r="N2" s="460"/>
    </row>
    <row r="3" spans="1:14" s="15" customFormat="1" ht="12.75">
      <c r="A3" s="545" t="s">
        <v>209</v>
      </c>
      <c r="B3" s="470"/>
      <c r="C3" s="470"/>
      <c r="D3" s="470"/>
      <c r="E3" s="470"/>
      <c r="F3" s="471"/>
      <c r="G3" s="471"/>
      <c r="H3" s="471"/>
      <c r="I3" s="471"/>
      <c r="J3" s="471"/>
      <c r="K3" s="471"/>
      <c r="L3" s="471"/>
      <c r="M3" s="471"/>
      <c r="N3" s="471"/>
    </row>
    <row r="4" spans="1:14" s="15" customFormat="1" ht="12.75">
      <c r="A4" s="545" t="s">
        <v>177</v>
      </c>
      <c r="B4" s="470"/>
      <c r="C4" s="470"/>
      <c r="D4" s="470"/>
      <c r="E4" s="470"/>
      <c r="F4" s="471"/>
      <c r="G4" s="471"/>
      <c r="H4" s="471"/>
      <c r="I4" s="471"/>
      <c r="J4" s="471"/>
      <c r="K4" s="471"/>
      <c r="L4" s="471"/>
      <c r="M4" s="471"/>
      <c r="N4" s="471"/>
    </row>
    <row r="5" spans="1:14" s="15" customFormat="1">
      <c r="A5" s="456"/>
      <c r="B5" s="456"/>
      <c r="C5" s="456"/>
      <c r="D5" s="456"/>
      <c r="E5" s="456"/>
      <c r="F5" s="44"/>
    </row>
    <row r="6" spans="1:14" s="15" customFormat="1" ht="12.75">
      <c r="A6" s="45"/>
      <c r="B6" s="44"/>
      <c r="C6" s="44"/>
      <c r="D6" s="44"/>
      <c r="H6" s="546" t="str">
        <f>'Sch 95'!H6</f>
        <v>MYRP January 2025</v>
      </c>
      <c r="I6" s="494"/>
      <c r="J6" s="493"/>
      <c r="K6" s="132">
        <f>'Sch 95'!K6</f>
        <v>0</v>
      </c>
      <c r="L6" s="546" t="str">
        <f>'Sch 95'!L6</f>
        <v>MYRP January 2026</v>
      </c>
      <c r="M6" s="547"/>
      <c r="N6" s="548"/>
    </row>
    <row r="7" spans="1:14" s="15" customFormat="1" ht="45">
      <c r="A7" s="97" t="s">
        <v>2</v>
      </c>
      <c r="B7" s="97" t="s">
        <v>3</v>
      </c>
      <c r="C7" s="97" t="s">
        <v>14</v>
      </c>
      <c r="D7" s="133" t="str">
        <f>'Sch 95'!D7</f>
        <v>12 months ending December 2025 F23 Forecast KWh</v>
      </c>
      <c r="E7" s="133" t="str">
        <f>'Sch 95'!E7</f>
        <v>Current Rates as of January 2024 (1)</v>
      </c>
      <c r="F7" s="133" t="str">
        <f>'Sch 95'!F7</f>
        <v>Annual Delivered $</v>
      </c>
      <c r="G7" s="133">
        <f>'Sch 95'!G7</f>
        <v>0</v>
      </c>
      <c r="H7" s="133" t="str">
        <f>'Sch 95'!H7</f>
        <v>Annual Delivered KWh</v>
      </c>
      <c r="I7" s="133" t="str">
        <f>'Sch 95'!I7</f>
        <v>Rates Effective January 2025</v>
      </c>
      <c r="J7" s="133" t="str">
        <f>'Sch 95'!J7</f>
        <v>Annual Delivered $</v>
      </c>
      <c r="K7" s="133">
        <f>'Sch 95'!K7</f>
        <v>0</v>
      </c>
      <c r="L7" s="133" t="str">
        <f>'Sch 95'!L7</f>
        <v>Annual Delivered KWh</v>
      </c>
      <c r="M7" s="133" t="str">
        <f>'Sch 95'!M7</f>
        <v>Rates Effective January 2026</v>
      </c>
      <c r="N7" s="133" t="str">
        <f>'Sch 95'!N7</f>
        <v>Annual Delivered $</v>
      </c>
    </row>
    <row r="8" spans="1:14">
      <c r="A8" s="2">
        <v>1</v>
      </c>
      <c r="B8" s="132" t="str">
        <f>'Sch 95'!B8</f>
        <v xml:space="preserve"> 7 (307) (317) (327)</v>
      </c>
      <c r="D8" s="116">
        <f>'Revenue by Sch RY#1'!D9</f>
        <v>11278205851.395365</v>
      </c>
      <c r="E8" s="129">
        <v>6.9999999999999999E-6</v>
      </c>
      <c r="F8" s="12">
        <f>D8*E8</f>
        <v>78947.440959767555</v>
      </c>
      <c r="H8" s="4">
        <f>D8</f>
        <v>11278205851.395365</v>
      </c>
      <c r="I8" s="109">
        <v>0</v>
      </c>
      <c r="J8" s="12">
        <f>$I8*H8</f>
        <v>0</v>
      </c>
      <c r="K8" s="12"/>
      <c r="L8" s="116">
        <f>'Revenue by Sch RY#2'!D9</f>
        <v>11447649239.71397</v>
      </c>
      <c r="M8" s="11">
        <f>I8</f>
        <v>0</v>
      </c>
      <c r="N8" s="12">
        <f>$M8*L8</f>
        <v>0</v>
      </c>
    </row>
    <row r="9" spans="1:14">
      <c r="A9" s="2">
        <f t="shared" ref="A9:A41" si="0">+A8+1</f>
        <v>2</v>
      </c>
      <c r="B9" s="132" t="str">
        <f>'Sch 95'!B9</f>
        <v xml:space="preserve">7A </v>
      </c>
      <c r="D9" s="4">
        <v>0</v>
      </c>
      <c r="E9" s="129">
        <v>6.9999999999999999E-6</v>
      </c>
      <c r="F9" s="12">
        <f>D9*E9</f>
        <v>0</v>
      </c>
      <c r="H9" s="4">
        <f>D9</f>
        <v>0</v>
      </c>
      <c r="I9" s="109">
        <v>0</v>
      </c>
      <c r="J9" s="12">
        <f>$I9*H9</f>
        <v>0</v>
      </c>
      <c r="K9" s="12"/>
      <c r="L9" s="4">
        <v>0</v>
      </c>
      <c r="M9" s="11">
        <f>I9</f>
        <v>0</v>
      </c>
      <c r="N9" s="12">
        <f>$M9*L9</f>
        <v>0</v>
      </c>
    </row>
    <row r="10" spans="1:14">
      <c r="A10" s="2">
        <f t="shared" si="0"/>
        <v>3</v>
      </c>
      <c r="B10" s="2"/>
      <c r="C10" s="3" t="s">
        <v>4</v>
      </c>
      <c r="D10" s="6">
        <f>SUM(D8:D9)</f>
        <v>11278205851.395365</v>
      </c>
      <c r="E10" s="130"/>
      <c r="F10" s="13">
        <f t="shared" ref="F10" si="1">SUM(F8:F9)</f>
        <v>78947.440959767555</v>
      </c>
      <c r="H10" s="6">
        <f>SUM(H8:H9)</f>
        <v>11278205851.395365</v>
      </c>
      <c r="I10" s="11"/>
      <c r="J10" s="13">
        <f t="shared" ref="J10" si="2">SUM(J8:J9)</f>
        <v>0</v>
      </c>
      <c r="K10" s="12"/>
      <c r="L10" s="6">
        <f>SUM(L8:L9)</f>
        <v>11447649239.71397</v>
      </c>
      <c r="M10" s="11"/>
      <c r="N10" s="13">
        <f t="shared" ref="N10" si="3">SUM(N8:N9)</f>
        <v>0</v>
      </c>
    </row>
    <row r="11" spans="1:14">
      <c r="A11" s="2">
        <f t="shared" si="0"/>
        <v>4</v>
      </c>
      <c r="B11" s="2"/>
      <c r="D11" s="4"/>
      <c r="E11" s="130"/>
      <c r="F11" s="12"/>
      <c r="H11" s="4"/>
      <c r="I11" s="11"/>
      <c r="J11" s="12"/>
      <c r="K11" s="12"/>
      <c r="L11" s="4"/>
      <c r="M11" s="11"/>
      <c r="N11" s="12"/>
    </row>
    <row r="12" spans="1:14">
      <c r="A12" s="2">
        <f t="shared" si="0"/>
        <v>5</v>
      </c>
      <c r="B12" s="132">
        <f>'Sch 95'!B12</f>
        <v>8</v>
      </c>
      <c r="D12" s="4">
        <v>0</v>
      </c>
      <c r="E12" s="129">
        <v>6.9999999999999999E-6</v>
      </c>
      <c r="F12" s="12">
        <f t="shared" ref="F12:F18" si="4">D12*E12</f>
        <v>0</v>
      </c>
      <c r="H12" s="4">
        <f>D12</f>
        <v>0</v>
      </c>
      <c r="I12" s="109">
        <v>0</v>
      </c>
      <c r="J12" s="12">
        <f t="shared" ref="J12:J18" si="5">$I12*H12</f>
        <v>0</v>
      </c>
      <c r="K12" s="12"/>
      <c r="L12" s="4">
        <v>0</v>
      </c>
      <c r="M12" s="11">
        <f t="shared" ref="M12:M18" si="6">I12</f>
        <v>0</v>
      </c>
      <c r="N12" s="12">
        <f t="shared" ref="N12:N18" si="7">$M12*L12</f>
        <v>0</v>
      </c>
    </row>
    <row r="13" spans="1:14">
      <c r="A13" s="2">
        <f t="shared" si="0"/>
        <v>6</v>
      </c>
      <c r="B13" s="132" t="str">
        <f>'Sch 95'!B13</f>
        <v>24 (324)</v>
      </c>
      <c r="D13" s="116">
        <f>'Revenue by Sch RY#1'!D10</f>
        <v>2762635966.1696987</v>
      </c>
      <c r="E13" s="130">
        <f>+E12</f>
        <v>6.9999999999999999E-6</v>
      </c>
      <c r="F13" s="12">
        <f t="shared" si="4"/>
        <v>19338.451763187892</v>
      </c>
      <c r="H13" s="4">
        <f>D13</f>
        <v>2762635966.1696987</v>
      </c>
      <c r="I13" s="109">
        <v>0</v>
      </c>
      <c r="J13" s="12">
        <f t="shared" si="5"/>
        <v>0</v>
      </c>
      <c r="K13" s="12"/>
      <c r="L13" s="116">
        <f>'Revenue by Sch RY#2'!D10</f>
        <v>2774967422.2693906</v>
      </c>
      <c r="M13" s="11">
        <f t="shared" si="6"/>
        <v>0</v>
      </c>
      <c r="N13" s="12">
        <f t="shared" si="7"/>
        <v>0</v>
      </c>
    </row>
    <row r="14" spans="1:14">
      <c r="A14" s="2">
        <f t="shared" si="0"/>
        <v>7</v>
      </c>
      <c r="B14" s="132">
        <f>'Sch 95'!B14</f>
        <v>11</v>
      </c>
      <c r="D14" s="4">
        <v>0</v>
      </c>
      <c r="E14" s="130">
        <f>E9</f>
        <v>6.9999999999999999E-6</v>
      </c>
      <c r="F14" s="12">
        <f t="shared" si="4"/>
        <v>0</v>
      </c>
      <c r="H14" s="4">
        <f t="shared" ref="H14:H18" si="8">D14</f>
        <v>0</v>
      </c>
      <c r="I14" s="109">
        <v>0</v>
      </c>
      <c r="J14" s="12">
        <f t="shared" si="5"/>
        <v>0</v>
      </c>
      <c r="K14" s="12"/>
      <c r="L14" s="4">
        <v>0</v>
      </c>
      <c r="M14" s="11">
        <f t="shared" si="6"/>
        <v>0</v>
      </c>
      <c r="N14" s="12">
        <f t="shared" si="7"/>
        <v>0</v>
      </c>
    </row>
    <row r="15" spans="1:14">
      <c r="A15" s="2">
        <f t="shared" si="0"/>
        <v>8</v>
      </c>
      <c r="B15" s="132">
        <f>'Sch 95'!B15</f>
        <v>25</v>
      </c>
      <c r="D15" s="116">
        <f>'Revenue by Sch RY#1'!D11</f>
        <v>2960202274.8054705</v>
      </c>
      <c r="E15" s="130">
        <f>+E14</f>
        <v>6.9999999999999999E-6</v>
      </c>
      <c r="F15" s="12">
        <f t="shared" si="4"/>
        <v>20721.415923638295</v>
      </c>
      <c r="H15" s="4">
        <f t="shared" si="8"/>
        <v>2960202274.8054705</v>
      </c>
      <c r="I15" s="109">
        <v>0</v>
      </c>
      <c r="J15" s="12">
        <f t="shared" si="5"/>
        <v>0</v>
      </c>
      <c r="K15" s="12"/>
      <c r="L15" s="116">
        <f>'Revenue by Sch RY#2'!D11</f>
        <v>2968720174.6374388</v>
      </c>
      <c r="M15" s="11">
        <f t="shared" si="6"/>
        <v>0</v>
      </c>
      <c r="N15" s="12">
        <f t="shared" si="7"/>
        <v>0</v>
      </c>
    </row>
    <row r="16" spans="1:14">
      <c r="A16" s="2">
        <f t="shared" si="0"/>
        <v>9</v>
      </c>
      <c r="B16" s="132">
        <f>'Sch 95'!B16</f>
        <v>12</v>
      </c>
      <c r="D16" s="4">
        <v>0</v>
      </c>
      <c r="E16" s="129">
        <v>6.0000000000000002E-6</v>
      </c>
      <c r="F16" s="12">
        <f t="shared" si="4"/>
        <v>0</v>
      </c>
      <c r="H16" s="4">
        <f t="shared" si="8"/>
        <v>0</v>
      </c>
      <c r="I16" s="109">
        <v>0</v>
      </c>
      <c r="J16" s="12">
        <f t="shared" si="5"/>
        <v>0</v>
      </c>
      <c r="K16" s="12"/>
      <c r="L16" s="4">
        <v>0</v>
      </c>
      <c r="M16" s="11">
        <f t="shared" si="6"/>
        <v>0</v>
      </c>
      <c r="N16" s="12">
        <f t="shared" si="7"/>
        <v>0</v>
      </c>
    </row>
    <row r="17" spans="1:14">
      <c r="A17" s="2">
        <f t="shared" si="0"/>
        <v>10</v>
      </c>
      <c r="B17" s="132" t="str">
        <f>'Sch 95'!B17</f>
        <v>26 &amp; 26P</v>
      </c>
      <c r="D17" s="116">
        <f>'Revenue by Sch RY#1'!D12</f>
        <v>2013891730.8000479</v>
      </c>
      <c r="E17" s="130">
        <f>+E16</f>
        <v>6.0000000000000002E-6</v>
      </c>
      <c r="F17" s="12">
        <f t="shared" si="4"/>
        <v>12083.350384800287</v>
      </c>
      <c r="H17" s="4">
        <f t="shared" si="8"/>
        <v>2013891730.8000479</v>
      </c>
      <c r="I17" s="109">
        <v>0</v>
      </c>
      <c r="J17" s="12">
        <f t="shared" si="5"/>
        <v>0</v>
      </c>
      <c r="K17" s="12"/>
      <c r="L17" s="116">
        <f>'Revenue by Sch RY#2'!D12</f>
        <v>2056791563.2414525</v>
      </c>
      <c r="M17" s="11">
        <f t="shared" si="6"/>
        <v>0</v>
      </c>
      <c r="N17" s="12">
        <f t="shared" si="7"/>
        <v>0</v>
      </c>
    </row>
    <row r="18" spans="1:14">
      <c r="A18" s="2">
        <f t="shared" si="0"/>
        <v>11</v>
      </c>
      <c r="B18" s="132">
        <f>'Sch 95'!B18</f>
        <v>29</v>
      </c>
      <c r="D18" s="116">
        <f>'Revenue by Sch RY#1'!D13</f>
        <v>14930059.630887466</v>
      </c>
      <c r="E18" s="129">
        <v>6.9999999999999999E-6</v>
      </c>
      <c r="F18" s="12">
        <f t="shared" si="4"/>
        <v>104.51041741621226</v>
      </c>
      <c r="H18" s="4">
        <f t="shared" si="8"/>
        <v>14930059.630887466</v>
      </c>
      <c r="I18" s="109">
        <v>0</v>
      </c>
      <c r="J18" s="12">
        <f t="shared" si="5"/>
        <v>0</v>
      </c>
      <c r="K18" s="12"/>
      <c r="L18" s="116">
        <f>'Revenue by Sch RY#2'!D13</f>
        <v>14843026.361509496</v>
      </c>
      <c r="M18" s="11">
        <f t="shared" si="6"/>
        <v>0</v>
      </c>
      <c r="N18" s="12">
        <f t="shared" si="7"/>
        <v>0</v>
      </c>
    </row>
    <row r="19" spans="1:14">
      <c r="A19" s="2">
        <f t="shared" si="0"/>
        <v>12</v>
      </c>
      <c r="B19" s="2"/>
      <c r="C19" s="7" t="s">
        <v>6</v>
      </c>
      <c r="D19" s="6">
        <f>SUM(D12:D18)</f>
        <v>7751660031.4061041</v>
      </c>
      <c r="E19" s="130"/>
      <c r="F19" s="13">
        <f t="shared" ref="F19" si="9">SUM(F12:F18)</f>
        <v>52247.728489042682</v>
      </c>
      <c r="H19" s="6">
        <f>SUM(H12:H18)</f>
        <v>7751660031.4061041</v>
      </c>
      <c r="I19" s="11"/>
      <c r="J19" s="13">
        <f t="shared" ref="J19" si="10">SUM(J12:J18)</f>
        <v>0</v>
      </c>
      <c r="K19" s="12"/>
      <c r="L19" s="6">
        <f>SUM(L12:L18)</f>
        <v>7815322186.5097914</v>
      </c>
      <c r="M19" s="11"/>
      <c r="N19" s="13">
        <f t="shared" ref="N19" si="11">SUM(N12:N18)</f>
        <v>0</v>
      </c>
    </row>
    <row r="20" spans="1:14">
      <c r="A20" s="2">
        <f t="shared" si="0"/>
        <v>13</v>
      </c>
      <c r="B20" s="2"/>
      <c r="D20" s="4"/>
      <c r="E20" s="130"/>
      <c r="F20" s="12"/>
      <c r="H20" s="4"/>
      <c r="I20" s="11"/>
      <c r="J20" s="12"/>
      <c r="K20" s="12"/>
      <c r="L20" s="4"/>
      <c r="M20" s="11"/>
      <c r="N20" s="12"/>
    </row>
    <row r="21" spans="1:14">
      <c r="A21" s="2">
        <f t="shared" si="0"/>
        <v>14</v>
      </c>
      <c r="B21" s="132">
        <f>'Sch 95'!B21</f>
        <v>10</v>
      </c>
      <c r="D21" s="4">
        <v>0</v>
      </c>
      <c r="E21" s="129">
        <v>6.0000000000000002E-6</v>
      </c>
      <c r="F21" s="12">
        <f t="shared" ref="F21:F24" si="12">D21*E21</f>
        <v>0</v>
      </c>
      <c r="H21" s="4">
        <f t="shared" ref="H21:H24" si="13">D21</f>
        <v>0</v>
      </c>
      <c r="I21" s="109">
        <v>0</v>
      </c>
      <c r="J21" s="12">
        <f t="shared" ref="J21:J24" si="14">$I21*H21</f>
        <v>0</v>
      </c>
      <c r="K21" s="12"/>
      <c r="L21" s="4">
        <v>0</v>
      </c>
      <c r="M21" s="11">
        <f t="shared" ref="M21:M24" si="15">I21</f>
        <v>0</v>
      </c>
      <c r="N21" s="12">
        <f t="shared" ref="N21:N24" si="16">$M21*L21</f>
        <v>0</v>
      </c>
    </row>
    <row r="22" spans="1:14">
      <c r="A22" s="2">
        <f t="shared" si="0"/>
        <v>15</v>
      </c>
      <c r="B22" s="132">
        <f>'Sch 95'!B22</f>
        <v>31</v>
      </c>
      <c r="D22" s="116">
        <f>'Revenue by Sch RY#1'!D14</f>
        <v>1423586019.4788036</v>
      </c>
      <c r="E22" s="130">
        <f>+E21</f>
        <v>6.0000000000000002E-6</v>
      </c>
      <c r="F22" s="12">
        <f t="shared" si="12"/>
        <v>8541.5161168728227</v>
      </c>
      <c r="H22" s="4">
        <f t="shared" si="13"/>
        <v>1423586019.4788036</v>
      </c>
      <c r="I22" s="109">
        <v>0</v>
      </c>
      <c r="J22" s="12">
        <f t="shared" si="14"/>
        <v>0</v>
      </c>
      <c r="K22" s="12"/>
      <c r="L22" s="116">
        <f>'Revenue by Sch RY#2'!D14</f>
        <v>1411297972.0883911</v>
      </c>
      <c r="M22" s="11">
        <f t="shared" si="15"/>
        <v>0</v>
      </c>
      <c r="N22" s="12">
        <f t="shared" si="16"/>
        <v>0</v>
      </c>
    </row>
    <row r="23" spans="1:14">
      <c r="A23" s="2">
        <f t="shared" si="0"/>
        <v>16</v>
      </c>
      <c r="B23" s="132">
        <f>'Sch 95'!B23</f>
        <v>35</v>
      </c>
      <c r="D23" s="116">
        <f>'Revenue by Sch RY#1'!D15</f>
        <v>4407260.1568774413</v>
      </c>
      <c r="E23" s="129">
        <v>3.9999999999999998E-6</v>
      </c>
      <c r="F23" s="12">
        <f t="shared" si="12"/>
        <v>17.629040627509763</v>
      </c>
      <c r="H23" s="4">
        <f t="shared" si="13"/>
        <v>4407260.1568774413</v>
      </c>
      <c r="I23" s="109">
        <v>0</v>
      </c>
      <c r="J23" s="12">
        <f t="shared" si="14"/>
        <v>0</v>
      </c>
      <c r="K23" s="12"/>
      <c r="L23" s="116">
        <f>'Revenue by Sch RY#2'!D15</f>
        <v>4380281.1514552524</v>
      </c>
      <c r="M23" s="11">
        <f t="shared" si="15"/>
        <v>0</v>
      </c>
      <c r="N23" s="12">
        <f t="shared" si="16"/>
        <v>0</v>
      </c>
    </row>
    <row r="24" spans="1:14">
      <c r="A24" s="2">
        <f t="shared" si="0"/>
        <v>17</v>
      </c>
      <c r="B24" s="132">
        <f>'Sch 95'!B24</f>
        <v>43</v>
      </c>
      <c r="D24" s="116">
        <f>'Revenue by Sch RY#1'!D16</f>
        <v>122267424.6450724</v>
      </c>
      <c r="E24" s="129">
        <v>9.9999999999999995E-7</v>
      </c>
      <c r="F24" s="12">
        <f t="shared" si="12"/>
        <v>122.2674246450724</v>
      </c>
      <c r="H24" s="4">
        <f t="shared" si="13"/>
        <v>122267424.6450724</v>
      </c>
      <c r="I24" s="109">
        <v>0</v>
      </c>
      <c r="J24" s="12">
        <f t="shared" si="14"/>
        <v>0</v>
      </c>
      <c r="K24" s="12"/>
      <c r="L24" s="116">
        <f>'Revenue by Sch RY#2'!D16</f>
        <v>121633779.10385114</v>
      </c>
      <c r="M24" s="11">
        <f t="shared" si="15"/>
        <v>0</v>
      </c>
      <c r="N24" s="12">
        <f t="shared" si="16"/>
        <v>0</v>
      </c>
    </row>
    <row r="25" spans="1:14">
      <c r="A25" s="2">
        <f t="shared" si="0"/>
        <v>18</v>
      </c>
      <c r="B25" s="2"/>
      <c r="C25" s="3" t="s">
        <v>7</v>
      </c>
      <c r="D25" s="6">
        <f>SUM(D21:D24)</f>
        <v>1550260704.2807536</v>
      </c>
      <c r="E25" s="130"/>
      <c r="F25" s="13">
        <f t="shared" ref="F25" si="17">SUM(F21:F24)</f>
        <v>8681.4125821454036</v>
      </c>
      <c r="H25" s="6">
        <f>SUM(H21:H24)</f>
        <v>1550260704.2807536</v>
      </c>
      <c r="I25" s="11"/>
      <c r="J25" s="13">
        <f t="shared" ref="J25" si="18">SUM(J21:J24)</f>
        <v>0</v>
      </c>
      <c r="K25" s="12"/>
      <c r="L25" s="6">
        <f>SUM(L21:L24)</f>
        <v>1537312032.3436973</v>
      </c>
      <c r="M25" s="11"/>
      <c r="N25" s="13">
        <f t="shared" ref="N25" si="19">SUM(N21:N24)</f>
        <v>0</v>
      </c>
    </row>
    <row r="26" spans="1:14">
      <c r="A26" s="2">
        <f t="shared" si="0"/>
        <v>19</v>
      </c>
      <c r="B26" s="2"/>
      <c r="D26" s="4"/>
      <c r="E26" s="130"/>
      <c r="F26" s="12"/>
      <c r="H26" s="4"/>
      <c r="I26" s="11"/>
      <c r="J26" s="12"/>
      <c r="K26" s="12"/>
      <c r="L26" s="4"/>
      <c r="M26" s="11"/>
      <c r="N26" s="12"/>
    </row>
    <row r="27" spans="1:14">
      <c r="A27" s="2">
        <f t="shared" si="0"/>
        <v>20</v>
      </c>
      <c r="B27" s="132">
        <f>'Sch 95'!B27</f>
        <v>46</v>
      </c>
      <c r="D27" s="116">
        <f>'Revenue by Sch RY#1'!D17</f>
        <v>96933187.043131709</v>
      </c>
      <c r="E27" s="129">
        <v>9.9999999999999995E-7</v>
      </c>
      <c r="F27" s="12">
        <f t="shared" ref="F27:F28" si="20">D27*E27</f>
        <v>96.93318704313171</v>
      </c>
      <c r="H27" s="4">
        <f t="shared" ref="H27:H28" si="21">D27</f>
        <v>96933187.043131709</v>
      </c>
      <c r="I27" s="109">
        <v>0</v>
      </c>
      <c r="J27" s="12">
        <f t="shared" ref="J27:J28" si="22">$I27*H27</f>
        <v>0</v>
      </c>
      <c r="K27" s="12"/>
      <c r="L27" s="116">
        <f>'Revenue by Sch RY#2'!D17</f>
        <v>96918964.527943105</v>
      </c>
      <c r="M27" s="11">
        <f t="shared" ref="M27:M28" si="23">I27</f>
        <v>0</v>
      </c>
      <c r="N27" s="12">
        <f t="shared" ref="N27:N28" si="24">$M27*L27</f>
        <v>0</v>
      </c>
    </row>
    <row r="28" spans="1:14">
      <c r="A28" s="2">
        <f t="shared" si="0"/>
        <v>21</v>
      </c>
      <c r="B28" s="132">
        <f>'Sch 95'!B28</f>
        <v>49</v>
      </c>
      <c r="D28" s="116">
        <f>'Revenue by Sch RY#1'!D18</f>
        <v>534843226.30681556</v>
      </c>
      <c r="E28" s="129">
        <v>5.0000000000000004E-6</v>
      </c>
      <c r="F28" s="12">
        <f t="shared" si="20"/>
        <v>2674.2161315340782</v>
      </c>
      <c r="H28" s="4">
        <f t="shared" si="21"/>
        <v>534843226.30681556</v>
      </c>
      <c r="I28" s="109">
        <v>0</v>
      </c>
      <c r="J28" s="12">
        <f t="shared" si="22"/>
        <v>0</v>
      </c>
      <c r="K28" s="12"/>
      <c r="L28" s="116">
        <f>'Revenue by Sch RY#2'!D18</f>
        <v>534899242.67952603</v>
      </c>
      <c r="M28" s="11">
        <f t="shared" si="23"/>
        <v>0</v>
      </c>
      <c r="N28" s="12">
        <f t="shared" si="24"/>
        <v>0</v>
      </c>
    </row>
    <row r="29" spans="1:14">
      <c r="A29" s="2">
        <f t="shared" si="0"/>
        <v>22</v>
      </c>
      <c r="B29" s="2"/>
      <c r="C29" s="3" t="s">
        <v>8</v>
      </c>
      <c r="D29" s="6">
        <f>SUM(D27:D28)</f>
        <v>631776413.34994721</v>
      </c>
      <c r="E29" s="11"/>
      <c r="F29" s="13">
        <f t="shared" ref="F29" si="25">SUM(F27:F28)</f>
        <v>2771.1493185772097</v>
      </c>
      <c r="H29" s="6">
        <f>SUM(H27:H28)</f>
        <v>631776413.34994721</v>
      </c>
      <c r="I29" s="11"/>
      <c r="J29" s="13">
        <f t="shared" ref="J29" si="26">SUM(J27:J28)</f>
        <v>0</v>
      </c>
      <c r="K29" s="12"/>
      <c r="L29" s="6">
        <f>SUM(L27:L28)</f>
        <v>631818207.20746911</v>
      </c>
      <c r="M29" s="11"/>
      <c r="N29" s="13">
        <f t="shared" ref="N29" si="27">SUM(N27:N28)</f>
        <v>0</v>
      </c>
    </row>
    <row r="30" spans="1:14">
      <c r="A30" s="2">
        <f t="shared" si="0"/>
        <v>23</v>
      </c>
      <c r="B30" s="2"/>
      <c r="D30" s="4"/>
      <c r="E30" s="11"/>
      <c r="F30" s="12"/>
      <c r="H30" s="4"/>
      <c r="I30" s="11"/>
      <c r="J30" s="12"/>
      <c r="K30" s="12"/>
      <c r="L30" s="4"/>
      <c r="M30" s="11"/>
      <c r="N30" s="12"/>
    </row>
    <row r="31" spans="1:14">
      <c r="A31" s="2">
        <f t="shared" si="0"/>
        <v>24</v>
      </c>
      <c r="B31" s="132" t="str">
        <f>'Sch 95'!B31</f>
        <v>03, 50-59</v>
      </c>
      <c r="D31" s="122">
        <f>'Revenue by Sch RY#1'!D19</f>
        <v>67255417.982360825</v>
      </c>
      <c r="E31" s="117">
        <v>3.0000000000000001E-6</v>
      </c>
      <c r="F31" s="13">
        <f>D31*E31</f>
        <v>201.76625394708248</v>
      </c>
      <c r="H31" s="6">
        <f>D31</f>
        <v>67255417.982360825</v>
      </c>
      <c r="I31" s="109">
        <v>0</v>
      </c>
      <c r="J31" s="13">
        <f>$I31*H31</f>
        <v>0</v>
      </c>
      <c r="K31" s="12"/>
      <c r="L31" s="122">
        <f>'Revenue by Sch RY#2'!D19</f>
        <v>67027608.143863305</v>
      </c>
      <c r="M31" s="11">
        <f>I31</f>
        <v>0</v>
      </c>
      <c r="N31" s="13">
        <f>$M31*L31</f>
        <v>0</v>
      </c>
    </row>
    <row r="32" spans="1:14">
      <c r="A32" s="2">
        <f t="shared" si="0"/>
        <v>25</v>
      </c>
      <c r="B32" s="2"/>
      <c r="D32" s="4"/>
      <c r="E32" s="11"/>
      <c r="F32" s="12"/>
      <c r="H32" s="4"/>
      <c r="I32" s="11"/>
      <c r="J32" s="12"/>
      <c r="K32" s="12"/>
      <c r="L32" s="4"/>
      <c r="M32" s="11"/>
      <c r="N32" s="12"/>
    </row>
    <row r="33" spans="1:14">
      <c r="A33" s="2">
        <f t="shared" si="0"/>
        <v>26</v>
      </c>
      <c r="B33" s="132" t="str">
        <f>'Sch 95'!B33</f>
        <v>449-459</v>
      </c>
      <c r="D33" s="116">
        <f>'Revenue by Sch RY#1'!D20</f>
        <v>1967511960.3194919</v>
      </c>
      <c r="E33" s="117">
        <v>0</v>
      </c>
      <c r="F33" s="12">
        <f t="shared" ref="F33:F34" si="28">D33*E33</f>
        <v>0</v>
      </c>
      <c r="H33" s="4">
        <f t="shared" ref="H33:H34" si="29">D33</f>
        <v>1967511960.3194919</v>
      </c>
      <c r="I33" s="109">
        <v>0</v>
      </c>
      <c r="J33" s="12">
        <f t="shared" ref="J33:J34" si="30">$I33*H33</f>
        <v>0</v>
      </c>
      <c r="K33" s="12"/>
      <c r="L33" s="116">
        <f>'Revenue by Sch RY#2'!D20</f>
        <v>1964993565.6779518</v>
      </c>
      <c r="M33" s="11">
        <f t="shared" ref="M33:M34" si="31">I33</f>
        <v>0</v>
      </c>
      <c r="N33" s="12">
        <f t="shared" ref="N33:N34" si="32">$M33*L33</f>
        <v>0</v>
      </c>
    </row>
    <row r="34" spans="1:14">
      <c r="A34" s="2">
        <f t="shared" si="0"/>
        <v>27</v>
      </c>
      <c r="B34" s="132" t="str">
        <f>'Sch 95'!B34</f>
        <v>Special Contract</v>
      </c>
      <c r="D34" s="116">
        <f>'Revenue by Sch RY#1'!D21</f>
        <v>304773055.46200001</v>
      </c>
      <c r="E34" s="117">
        <v>0</v>
      </c>
      <c r="F34" s="12">
        <f t="shared" si="28"/>
        <v>0</v>
      </c>
      <c r="H34" s="4">
        <f t="shared" si="29"/>
        <v>304773055.46200001</v>
      </c>
      <c r="I34" s="109">
        <v>0</v>
      </c>
      <c r="J34" s="12">
        <f t="shared" si="30"/>
        <v>0</v>
      </c>
      <c r="K34" s="12"/>
      <c r="L34" s="116">
        <f>'Revenue by Sch RY#2'!D21</f>
        <v>304773055.46200001</v>
      </c>
      <c r="M34" s="11">
        <f t="shared" si="31"/>
        <v>0</v>
      </c>
      <c r="N34" s="12">
        <f t="shared" si="32"/>
        <v>0</v>
      </c>
    </row>
    <row r="35" spans="1:14">
      <c r="A35" s="2">
        <f t="shared" si="0"/>
        <v>28</v>
      </c>
      <c r="B35" s="5"/>
      <c r="C35" s="3" t="s">
        <v>77</v>
      </c>
      <c r="D35" s="6">
        <f>SUM(D33:D34)</f>
        <v>2272285015.7814918</v>
      </c>
      <c r="E35" s="11"/>
      <c r="F35" s="13">
        <f t="shared" ref="F35" si="33">SUM(F33:F34)</f>
        <v>0</v>
      </c>
      <c r="H35" s="6">
        <f>SUM(H33:H34)</f>
        <v>2272285015.7814918</v>
      </c>
      <c r="J35" s="13">
        <f t="shared" ref="J35" si="34">SUM(J33:J34)</f>
        <v>0</v>
      </c>
      <c r="K35" s="12"/>
      <c r="L35" s="6">
        <f>SUM(L33:L34)</f>
        <v>2269766621.1399517</v>
      </c>
      <c r="N35" s="13">
        <f t="shared" ref="N35" si="35">SUM(N33:N34)</f>
        <v>0</v>
      </c>
    </row>
    <row r="36" spans="1:14">
      <c r="A36" s="2">
        <f t="shared" si="0"/>
        <v>29</v>
      </c>
      <c r="B36" s="2"/>
      <c r="D36" s="4"/>
      <c r="E36" s="11"/>
      <c r="F36" s="12"/>
      <c r="H36" s="4"/>
      <c r="J36" s="12"/>
      <c r="K36" s="12"/>
      <c r="L36" s="4"/>
      <c r="N36" s="12"/>
    </row>
    <row r="37" spans="1:14" ht="12" thickBot="1">
      <c r="A37" s="2">
        <f t="shared" si="0"/>
        <v>30</v>
      </c>
      <c r="B37" s="2"/>
      <c r="C37" s="7" t="s">
        <v>15</v>
      </c>
      <c r="D37" s="8">
        <f>SUM(D10,D19,D25,D29,D31,D35)</f>
        <v>23551443434.196022</v>
      </c>
      <c r="E37" s="11"/>
      <c r="F37" s="14">
        <f>SUM(F10,F19,F25,F29,F31,F35)</f>
        <v>142849.49760347989</v>
      </c>
      <c r="H37" s="8">
        <f>SUM(H10,H19,H25,H29,H31,H35)</f>
        <v>23551443434.196022</v>
      </c>
      <c r="J37" s="14">
        <f>SUM(J10,J19,J25,J29,J31,J35)</f>
        <v>0</v>
      </c>
      <c r="K37" s="12"/>
      <c r="L37" s="8">
        <f>SUM(L10,L19,L25,L29,L31,L35)</f>
        <v>23768895895.058746</v>
      </c>
      <c r="N37" s="14">
        <f>SUM(N10,N19,N25,N29,N31,N35)</f>
        <v>0</v>
      </c>
    </row>
    <row r="38" spans="1:14" ht="12" thickTop="1">
      <c r="A38" s="2">
        <f t="shared" si="0"/>
        <v>31</v>
      </c>
      <c r="B38" s="2"/>
      <c r="E38" s="11"/>
      <c r="F38" s="12"/>
      <c r="J38" s="12"/>
      <c r="K38" s="12"/>
      <c r="N38" s="12"/>
    </row>
    <row r="39" spans="1:14">
      <c r="A39" s="2">
        <f t="shared" si="0"/>
        <v>32</v>
      </c>
      <c r="B39" s="132">
        <f>'Sch 95'!B39</f>
        <v>5</v>
      </c>
      <c r="C39" s="3" t="s">
        <v>16</v>
      </c>
      <c r="D39" s="122">
        <f>'Revenue by Sch RY#1'!D22</f>
        <v>6714960.2368700616</v>
      </c>
      <c r="E39" s="117">
        <v>6.0000000000000002E-6</v>
      </c>
      <c r="F39" s="13">
        <f>D39*E39</f>
        <v>40.289761421220369</v>
      </c>
      <c r="H39" s="6">
        <f>D39</f>
        <v>6714960.2368700616</v>
      </c>
      <c r="I39" s="109">
        <v>0</v>
      </c>
      <c r="J39" s="13">
        <f>$I39*H39</f>
        <v>0</v>
      </c>
      <c r="K39" s="12"/>
      <c r="L39" s="122">
        <f>'Revenue by Sch RY#2'!D22</f>
        <v>6710049.8818741431</v>
      </c>
      <c r="M39" s="11">
        <f>I39</f>
        <v>0</v>
      </c>
      <c r="N39" s="12">
        <f>$M39*L39</f>
        <v>0</v>
      </c>
    </row>
    <row r="40" spans="1:14">
      <c r="A40" s="2">
        <f t="shared" si="0"/>
        <v>33</v>
      </c>
      <c r="B40" s="2"/>
      <c r="E40" s="11"/>
      <c r="F40" s="12"/>
      <c r="J40" s="12"/>
      <c r="K40" s="12"/>
      <c r="N40" s="12"/>
    </row>
    <row r="41" spans="1:14" ht="12" thickBot="1">
      <c r="A41" s="2">
        <f t="shared" si="0"/>
        <v>34</v>
      </c>
      <c r="B41" s="2"/>
      <c r="C41" s="110" t="s">
        <v>17</v>
      </c>
      <c r="D41" s="111">
        <f>SUM(D37,D39)</f>
        <v>23558158394.432892</v>
      </c>
      <c r="E41" s="112"/>
      <c r="F41" s="113">
        <f>SUM(F37,F39)</f>
        <v>142889.7873649011</v>
      </c>
      <c r="G41" s="15"/>
      <c r="H41" s="111">
        <f>SUM(H37,H39)</f>
        <v>23558158394.432892</v>
      </c>
      <c r="I41" s="15"/>
      <c r="J41" s="113">
        <f t="shared" ref="J41" si="36">SUM(J37,J39)</f>
        <v>0</v>
      </c>
      <c r="K41" s="114"/>
      <c r="L41" s="111">
        <f>SUM(L37,L39)</f>
        <v>23775605944.94062</v>
      </c>
      <c r="M41" s="15"/>
      <c r="N41" s="113">
        <f t="shared" ref="N41" si="37">SUM(N37,N39)</f>
        <v>0</v>
      </c>
    </row>
    <row r="42" spans="1:14" ht="12" thickTop="1">
      <c r="D42" s="123">
        <f>'Revenue by Sch RY#1'!D24</f>
        <v>23558158394.432896</v>
      </c>
      <c r="H42" s="162">
        <f>D41</f>
        <v>23558158394.432892</v>
      </c>
      <c r="L42" s="123">
        <f>'Revenue by Sch RY#2'!D24</f>
        <v>23775605944.94062</v>
      </c>
    </row>
    <row r="43" spans="1:14">
      <c r="C43" s="17" t="s">
        <v>168</v>
      </c>
      <c r="D43" s="124">
        <f>D41-D42</f>
        <v>0</v>
      </c>
      <c r="H43" s="124">
        <f>H41-H42</f>
        <v>0</v>
      </c>
      <c r="L43" s="124">
        <f>L41-L42</f>
        <v>0</v>
      </c>
    </row>
    <row r="44" spans="1:14">
      <c r="L44" s="4"/>
    </row>
    <row r="45" spans="1:14">
      <c r="B45" s="3" t="s">
        <v>255</v>
      </c>
      <c r="C45" s="101"/>
    </row>
  </sheetData>
  <mergeCells count="7">
    <mergeCell ref="H6:J6"/>
    <mergeCell ref="L6:N6"/>
    <mergeCell ref="A1:N1"/>
    <mergeCell ref="A2:N2"/>
    <mergeCell ref="A3:N3"/>
    <mergeCell ref="A4:N4"/>
    <mergeCell ref="A5:E5"/>
  </mergeCells>
  <pageMargins left="0.7" right="0.7" top="0.75" bottom="0.75" header="0.3" footer="0.3"/>
  <pageSetup scale="81" orientation="landscape" horizontalDpi="360" verticalDpi="360" r:id="rId1"/>
  <headerFooter>
    <oddFooter>&amp;R&amp;F
&amp;A
&amp;P of &amp;N</oddFooter>
  </headerFooter>
  <customProperties>
    <customPr name="_pios_id" r:id="rId2"/>
  </customProperties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6" tint="0.79998168889431442"/>
    <pageSetUpPr fitToPage="1"/>
  </sheetPr>
  <dimension ref="A1:AK42"/>
  <sheetViews>
    <sheetView zoomScaleNormal="100" workbookViewId="0">
      <pane xSplit="3" ySplit="6" topLeftCell="H7" activePane="bottomRight" state="frozen"/>
      <selection activeCell="U42" sqref="U42"/>
      <selection pane="topRight" activeCell="U42" sqref="U42"/>
      <selection pane="bottomLeft" activeCell="U42" sqref="U42"/>
      <selection pane="bottomRight" activeCell="U42" sqref="U42"/>
    </sheetView>
  </sheetViews>
  <sheetFormatPr defaultColWidth="15.5703125" defaultRowHeight="11.25"/>
  <cols>
    <col min="1" max="1" width="4.42578125" style="142" bestFit="1" customWidth="1"/>
    <col min="2" max="2" width="17" style="142" bestFit="1" customWidth="1"/>
    <col min="3" max="3" width="18.42578125" style="142" bestFit="1" customWidth="1"/>
    <col min="4" max="4" width="10.5703125" style="142" bestFit="1" customWidth="1"/>
    <col min="5" max="5" width="9.85546875" style="142" bestFit="1" customWidth="1"/>
    <col min="6" max="6" width="10.5703125" style="142" bestFit="1" customWidth="1"/>
    <col min="7" max="9" width="10.5703125" style="142" customWidth="1"/>
    <col min="10" max="10" width="11.85546875" style="142" customWidth="1"/>
    <col min="11" max="11" width="0.5703125" style="142" customWidth="1"/>
    <col min="12" max="14" width="9.42578125" style="142" bestFit="1" customWidth="1"/>
    <col min="15" max="17" width="9.42578125" style="142" customWidth="1"/>
    <col min="18" max="18" width="11.42578125" style="142" bestFit="1" customWidth="1"/>
    <col min="19" max="19" width="10.85546875" style="142" bestFit="1" customWidth="1"/>
    <col min="20" max="20" width="0.5703125" style="142" customWidth="1"/>
    <col min="21" max="23" width="9.42578125" style="142" bestFit="1" customWidth="1"/>
    <col min="24" max="26" width="9.42578125" style="142" customWidth="1"/>
    <col min="27" max="27" width="12" style="142" bestFit="1" customWidth="1"/>
    <col min="28" max="28" width="15.5703125" style="142"/>
    <col min="29" max="29" width="0.5703125" style="142" customWidth="1"/>
    <col min="30" max="32" width="9.42578125" style="142" bestFit="1" customWidth="1"/>
    <col min="33" max="35" width="9.42578125" style="142" customWidth="1"/>
    <col min="36" max="36" width="12" style="142" bestFit="1" customWidth="1"/>
    <col min="37" max="16384" width="15.5703125" style="142"/>
  </cols>
  <sheetData>
    <row r="1" spans="1:37" s="136" customFormat="1" ht="12.75">
      <c r="A1" s="459" t="str">
        <f>'Exh CTM-8 (Rate Impacts_RY#1)'!A1</f>
        <v>Puget Sound Energy</v>
      </c>
      <c r="B1" s="460"/>
      <c r="C1" s="460"/>
      <c r="D1" s="460"/>
      <c r="E1" s="460"/>
      <c r="F1" s="460"/>
      <c r="G1" s="460"/>
      <c r="H1" s="460"/>
      <c r="I1" s="460"/>
      <c r="J1" s="460"/>
      <c r="K1" s="460"/>
      <c r="L1" s="460"/>
      <c r="M1" s="460"/>
      <c r="N1" s="460"/>
      <c r="O1" s="135"/>
      <c r="P1" s="135"/>
      <c r="Q1" s="135"/>
      <c r="R1" s="135"/>
      <c r="S1" s="135"/>
      <c r="T1" s="135"/>
      <c r="AC1" s="135"/>
    </row>
    <row r="2" spans="1:37" s="136" customFormat="1" ht="12.75">
      <c r="A2" s="459" t="str">
        <f>'Exh CTM-8 (Rate Impacts_RY#1)'!A2</f>
        <v>2024 General Rate Case Docket No. UE-240004 and UG-240005</v>
      </c>
      <c r="B2" s="460"/>
      <c r="C2" s="460"/>
      <c r="D2" s="460"/>
      <c r="E2" s="460"/>
      <c r="F2" s="460"/>
      <c r="G2" s="460"/>
      <c r="H2" s="460"/>
      <c r="I2" s="460"/>
      <c r="J2" s="460"/>
      <c r="K2" s="460"/>
      <c r="L2" s="460"/>
      <c r="M2" s="460"/>
      <c r="N2" s="460"/>
      <c r="O2" s="135"/>
      <c r="P2" s="135"/>
      <c r="Q2" s="135"/>
      <c r="R2" s="135"/>
      <c r="S2" s="135"/>
      <c r="T2" s="135"/>
      <c r="AC2" s="135"/>
    </row>
    <row r="3" spans="1:37" s="136" customFormat="1" ht="12.75">
      <c r="A3" s="545" t="s">
        <v>208</v>
      </c>
      <c r="B3" s="470"/>
      <c r="C3" s="470"/>
      <c r="D3" s="470"/>
      <c r="E3" s="470"/>
      <c r="F3" s="471"/>
      <c r="G3" s="471"/>
      <c r="H3" s="471"/>
      <c r="I3" s="471"/>
      <c r="J3" s="471"/>
      <c r="K3" s="471"/>
      <c r="L3" s="471"/>
      <c r="M3" s="471"/>
      <c r="N3" s="471"/>
      <c r="O3" s="135"/>
      <c r="P3" s="135"/>
      <c r="Q3" s="135"/>
      <c r="R3" s="135"/>
      <c r="S3" s="135"/>
      <c r="T3" s="135"/>
      <c r="AC3" s="135"/>
    </row>
    <row r="4" spans="1:37" s="136" customFormat="1" ht="12.75">
      <c r="A4" s="545" t="s">
        <v>177</v>
      </c>
      <c r="B4" s="470"/>
      <c r="C4" s="470"/>
      <c r="D4" s="470"/>
      <c r="E4" s="470"/>
      <c r="F4" s="471"/>
      <c r="G4" s="471"/>
      <c r="H4" s="471"/>
      <c r="I4" s="471"/>
      <c r="J4" s="471"/>
      <c r="K4" s="471"/>
      <c r="L4" s="471"/>
      <c r="M4" s="471"/>
      <c r="N4" s="471"/>
      <c r="O4" s="135"/>
      <c r="P4" s="135"/>
      <c r="Q4" s="135"/>
      <c r="R4" s="135"/>
      <c r="S4" s="135"/>
      <c r="T4" s="135"/>
      <c r="AC4" s="135"/>
    </row>
    <row r="5" spans="1:37" s="136" customFormat="1" ht="12.75">
      <c r="A5" s="137"/>
      <c r="B5" s="135"/>
      <c r="C5" s="135"/>
      <c r="D5" s="135"/>
      <c r="E5" s="135"/>
      <c r="F5" s="135"/>
      <c r="G5" s="135"/>
      <c r="H5" s="135"/>
      <c r="I5" s="135"/>
      <c r="J5" s="135"/>
      <c r="K5" s="135"/>
      <c r="L5" s="509" t="s">
        <v>198</v>
      </c>
      <c r="M5" s="549"/>
      <c r="N5" s="549"/>
      <c r="O5" s="549"/>
      <c r="P5" s="549"/>
      <c r="Q5" s="549"/>
      <c r="R5" s="549"/>
      <c r="S5" s="550"/>
      <c r="T5" s="135"/>
      <c r="U5" s="509" t="s">
        <v>210</v>
      </c>
      <c r="V5" s="549"/>
      <c r="W5" s="549"/>
      <c r="X5" s="549"/>
      <c r="Y5" s="549"/>
      <c r="Z5" s="549"/>
      <c r="AA5" s="549"/>
      <c r="AB5" s="550"/>
      <c r="AC5" s="135"/>
      <c r="AD5" s="509" t="s">
        <v>211</v>
      </c>
      <c r="AE5" s="549"/>
      <c r="AF5" s="549"/>
      <c r="AG5" s="549"/>
      <c r="AH5" s="549"/>
      <c r="AI5" s="549"/>
      <c r="AJ5" s="549"/>
      <c r="AK5" s="550"/>
    </row>
    <row r="6" spans="1:37" s="136" customFormat="1" ht="56.25">
      <c r="A6" s="138" t="s">
        <v>2</v>
      </c>
      <c r="B6" s="138" t="s">
        <v>3</v>
      </c>
      <c r="C6" s="138" t="s">
        <v>14</v>
      </c>
      <c r="D6" s="139" t="s">
        <v>199</v>
      </c>
      <c r="E6" s="139" t="s">
        <v>200</v>
      </c>
      <c r="F6" s="139" t="s">
        <v>201</v>
      </c>
      <c r="G6" s="139" t="s">
        <v>202</v>
      </c>
      <c r="H6" s="139" t="s">
        <v>203</v>
      </c>
      <c r="I6" s="139" t="s">
        <v>204</v>
      </c>
      <c r="J6" s="140" t="s">
        <v>215</v>
      </c>
      <c r="K6" s="139"/>
      <c r="L6" s="139" t="str">
        <f t="shared" ref="L6:Q6" si="0">D6</f>
        <v>Resource
13902SW10 kWh</v>
      </c>
      <c r="M6" s="139" t="str">
        <f t="shared" si="0"/>
        <v>Resource
13902SW15
kWh</v>
      </c>
      <c r="N6" s="139" t="str">
        <f t="shared" si="0"/>
        <v>Resource
13902SW20
kWh</v>
      </c>
      <c r="O6" s="139" t="str">
        <f t="shared" si="0"/>
        <v>Resource 13903SW10 kWh</v>
      </c>
      <c r="P6" s="139" t="str">
        <f t="shared" si="0"/>
        <v>Resource 13903SW15 kWh</v>
      </c>
      <c r="Q6" s="139" t="str">
        <f t="shared" si="0"/>
        <v>Resources 13903SW18 kWh</v>
      </c>
      <c r="R6" s="139" t="s">
        <v>212</v>
      </c>
      <c r="S6" s="139" t="s">
        <v>205</v>
      </c>
      <c r="T6" s="139"/>
      <c r="U6" s="139" t="str">
        <f t="shared" ref="U6:AA6" si="1">L6</f>
        <v>Resource
13902SW10 kWh</v>
      </c>
      <c r="V6" s="139" t="str">
        <f t="shared" si="1"/>
        <v>Resource
13902SW15
kWh</v>
      </c>
      <c r="W6" s="139" t="str">
        <f t="shared" si="1"/>
        <v>Resource
13902SW20
kWh</v>
      </c>
      <c r="X6" s="139" t="str">
        <f t="shared" si="1"/>
        <v>Resource 13903SW10 kWh</v>
      </c>
      <c r="Y6" s="139" t="str">
        <f t="shared" si="1"/>
        <v>Resource 13903SW15 kWh</v>
      </c>
      <c r="Z6" s="139" t="str">
        <f t="shared" si="1"/>
        <v>Resources 13903SW18 kWh</v>
      </c>
      <c r="AA6" s="139" t="str">
        <f t="shared" si="1"/>
        <v>Schedule 139
Rate Energy Charge Credit</v>
      </c>
      <c r="AB6" s="139" t="s">
        <v>206</v>
      </c>
      <c r="AC6" s="139"/>
      <c r="AD6" s="139" t="str">
        <f t="shared" ref="AD6:AJ6" si="2">U6</f>
        <v>Resource
13902SW10 kWh</v>
      </c>
      <c r="AE6" s="139" t="str">
        <f t="shared" si="2"/>
        <v>Resource
13902SW15
kWh</v>
      </c>
      <c r="AF6" s="139" t="str">
        <f t="shared" si="2"/>
        <v>Resource
13902SW20
kWh</v>
      </c>
      <c r="AG6" s="139" t="str">
        <f t="shared" si="2"/>
        <v>Resource 13903SW10 kWh</v>
      </c>
      <c r="AH6" s="139" t="str">
        <f t="shared" si="2"/>
        <v>Resource 13903SW15 kWh</v>
      </c>
      <c r="AI6" s="139" t="str">
        <f t="shared" si="2"/>
        <v>Resources 13903SW18 kWh</v>
      </c>
      <c r="AJ6" s="139" t="str">
        <f t="shared" si="2"/>
        <v>Schedule 139
Rate Energy Charge Credit</v>
      </c>
      <c r="AK6" s="139" t="s">
        <v>206</v>
      </c>
    </row>
    <row r="7" spans="1:37">
      <c r="A7" s="141">
        <v>1</v>
      </c>
      <c r="B7" s="158" t="str">
        <f>'Sch 137'!B8</f>
        <v xml:space="preserve"> 7 (307) (317) (327)</v>
      </c>
      <c r="D7" s="143"/>
      <c r="E7" s="143"/>
      <c r="F7" s="143"/>
      <c r="G7" s="143"/>
      <c r="H7" s="143"/>
      <c r="I7" s="143"/>
      <c r="J7" s="143">
        <f>SUM(D7:I7)</f>
        <v>0</v>
      </c>
      <c r="K7" s="143"/>
      <c r="L7" s="143"/>
      <c r="M7" s="143"/>
      <c r="N7" s="143"/>
      <c r="O7" s="143"/>
      <c r="P7" s="143"/>
      <c r="Q7" s="143"/>
      <c r="R7" s="143"/>
      <c r="S7" s="144">
        <f>D7*L7+E7*M7+F7*N7+G7*O7+H7*P7+I7*Q7+J7*R7</f>
        <v>0</v>
      </c>
      <c r="T7" s="143"/>
      <c r="U7" s="143"/>
      <c r="V7" s="143"/>
      <c r="W7" s="143"/>
      <c r="X7" s="143"/>
      <c r="Y7" s="143"/>
      <c r="Z7" s="143"/>
      <c r="AA7" s="143"/>
      <c r="AB7" s="144">
        <f>D7*U7+E7*V7+F7*W7+G7*X7+H7*Y7+I7*Z7+J7*AA7</f>
        <v>0</v>
      </c>
      <c r="AC7" s="143"/>
      <c r="AD7" s="143"/>
      <c r="AE7" s="143"/>
      <c r="AF7" s="143"/>
      <c r="AG7" s="143"/>
      <c r="AH7" s="143"/>
      <c r="AI7" s="143"/>
      <c r="AJ7" s="143"/>
      <c r="AK7" s="144">
        <f>D7*AD7+E7*AE7+F7*AF7+G7*AG7+H7*AH7+I7*AI7+J7*AJ7</f>
        <v>0</v>
      </c>
    </row>
    <row r="8" spans="1:37">
      <c r="A8" s="141">
        <f t="shared" ref="A8:A40" si="3">+A7+1</f>
        <v>2</v>
      </c>
      <c r="B8" s="158" t="str">
        <f>'Sch 137'!B9</f>
        <v xml:space="preserve">7A </v>
      </c>
      <c r="D8" s="143"/>
      <c r="E8" s="143"/>
      <c r="F8" s="143"/>
      <c r="G8" s="143"/>
      <c r="H8" s="143"/>
      <c r="I8" s="143"/>
      <c r="J8" s="143">
        <f>SUM(D8:I8)</f>
        <v>0</v>
      </c>
      <c r="K8" s="143"/>
      <c r="L8" s="143"/>
      <c r="M8" s="143"/>
      <c r="N8" s="143"/>
      <c r="O8" s="143"/>
      <c r="P8" s="143"/>
      <c r="Q8" s="143"/>
      <c r="R8" s="143"/>
      <c r="S8" s="144">
        <f>D8*L8+E8*M8+F8*N8+G8*O8+H8*P8+I8*Q8+J8*R8</f>
        <v>0</v>
      </c>
      <c r="T8" s="143"/>
      <c r="U8" s="143"/>
      <c r="V8" s="143"/>
      <c r="W8" s="143"/>
      <c r="X8" s="143"/>
      <c r="Y8" s="143"/>
      <c r="Z8" s="143"/>
      <c r="AA8" s="143"/>
      <c r="AB8" s="144">
        <f>D8*U8+E8*V8+F8*W8+G8*X8+H8*Y8+I8*Z8+J8*AA8</f>
        <v>0</v>
      </c>
      <c r="AC8" s="143"/>
      <c r="AD8" s="143"/>
      <c r="AE8" s="143"/>
      <c r="AF8" s="143"/>
      <c r="AG8" s="143"/>
      <c r="AH8" s="143"/>
      <c r="AI8" s="143"/>
      <c r="AJ8" s="143"/>
      <c r="AK8" s="144">
        <f>D8*AD8+E8*AE8+F8*AF8+G8*AG8+H8*AH8+I8*AI8+J8*AJ8</f>
        <v>0</v>
      </c>
    </row>
    <row r="9" spans="1:37">
      <c r="A9" s="141">
        <f t="shared" si="3"/>
        <v>3</v>
      </c>
      <c r="B9" s="156"/>
      <c r="C9" s="142" t="s">
        <v>4</v>
      </c>
      <c r="D9" s="145">
        <f t="shared" ref="D9:J9" si="4">SUM(D7:D8)</f>
        <v>0</v>
      </c>
      <c r="E9" s="145">
        <f t="shared" si="4"/>
        <v>0</v>
      </c>
      <c r="F9" s="145">
        <f t="shared" si="4"/>
        <v>0</v>
      </c>
      <c r="G9" s="145">
        <f t="shared" si="4"/>
        <v>0</v>
      </c>
      <c r="H9" s="145">
        <f t="shared" si="4"/>
        <v>0</v>
      </c>
      <c r="I9" s="145">
        <f t="shared" si="4"/>
        <v>0</v>
      </c>
      <c r="J9" s="145">
        <f t="shared" si="4"/>
        <v>0</v>
      </c>
      <c r="K9" s="145"/>
      <c r="L9" s="145"/>
      <c r="M9" s="145"/>
      <c r="N9" s="145"/>
      <c r="O9" s="145"/>
      <c r="P9" s="145"/>
      <c r="Q9" s="145"/>
      <c r="R9" s="145"/>
      <c r="S9" s="146">
        <f>SUM(S7:S8)</f>
        <v>0</v>
      </c>
      <c r="T9" s="145"/>
      <c r="U9" s="145"/>
      <c r="V9" s="145"/>
      <c r="W9" s="145"/>
      <c r="X9" s="145"/>
      <c r="Y9" s="145"/>
      <c r="Z9" s="145"/>
      <c r="AA9" s="145"/>
      <c r="AB9" s="146">
        <f>SUM(AB7:AB8)</f>
        <v>0</v>
      </c>
      <c r="AC9" s="145"/>
      <c r="AD9" s="145"/>
      <c r="AE9" s="145"/>
      <c r="AF9" s="145"/>
      <c r="AG9" s="145"/>
      <c r="AH9" s="145"/>
      <c r="AI9" s="145"/>
      <c r="AJ9" s="145"/>
      <c r="AK9" s="146">
        <f>SUM(AK7:AK8)</f>
        <v>0</v>
      </c>
    </row>
    <row r="10" spans="1:37">
      <c r="A10" s="141">
        <f t="shared" si="3"/>
        <v>4</v>
      </c>
      <c r="B10" s="156"/>
      <c r="D10" s="143"/>
      <c r="E10" s="143"/>
      <c r="F10" s="143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4"/>
      <c r="T10" s="143"/>
      <c r="U10" s="143"/>
      <c r="V10" s="143"/>
      <c r="W10" s="143"/>
      <c r="X10" s="143"/>
      <c r="Y10" s="143"/>
      <c r="Z10" s="143"/>
      <c r="AA10" s="143"/>
      <c r="AB10" s="144"/>
      <c r="AC10" s="143"/>
      <c r="AD10" s="143"/>
      <c r="AE10" s="143"/>
      <c r="AF10" s="143"/>
      <c r="AG10" s="143"/>
      <c r="AH10" s="143"/>
      <c r="AI10" s="143"/>
      <c r="AJ10" s="143"/>
      <c r="AK10" s="144"/>
    </row>
    <row r="11" spans="1:37">
      <c r="A11" s="141">
        <f t="shared" si="3"/>
        <v>5</v>
      </c>
      <c r="B11" s="158">
        <f>'Sch 137'!B12</f>
        <v>8</v>
      </c>
      <c r="D11" s="143"/>
      <c r="E11" s="143"/>
      <c r="F11" s="143"/>
      <c r="G11" s="143"/>
      <c r="H11" s="143"/>
      <c r="I11" s="143"/>
      <c r="J11" s="143">
        <f t="shared" ref="J11:J17" si="5">SUM(D11:I11)</f>
        <v>0</v>
      </c>
      <c r="K11" s="143"/>
      <c r="L11" s="143"/>
      <c r="M11" s="143"/>
      <c r="N11" s="143"/>
      <c r="O11" s="143"/>
      <c r="P11" s="143"/>
      <c r="Q11" s="143"/>
      <c r="R11" s="143"/>
      <c r="S11" s="144">
        <f t="shared" ref="S11:S17" si="6">D11*L11+E11*M11+F11*N11+G11*O11+H11*P11+I11*Q11+J11*R11</f>
        <v>0</v>
      </c>
      <c r="T11" s="143"/>
      <c r="U11" s="143"/>
      <c r="V11" s="143"/>
      <c r="W11" s="143"/>
      <c r="X11" s="143"/>
      <c r="Y11" s="143"/>
      <c r="Z11" s="143"/>
      <c r="AA11" s="143"/>
      <c r="AB11" s="144">
        <f t="shared" ref="AB11:AB17" si="7">D11*U11+E11*V11+F11*W11+G11*X11+H11*Y11+I11*Z11+J11*AA11</f>
        <v>0</v>
      </c>
      <c r="AC11" s="143"/>
      <c r="AD11" s="143"/>
      <c r="AE11" s="143"/>
      <c r="AF11" s="143"/>
      <c r="AG11" s="143"/>
      <c r="AH11" s="143"/>
      <c r="AI11" s="143"/>
      <c r="AJ11" s="143"/>
      <c r="AK11" s="144">
        <f t="shared" ref="AK11:AK17" si="8">D11*AD11+E11*AE11+F11*AF11+G11*AG11+H11*AH11+I11*AI11+J11*AJ11</f>
        <v>0</v>
      </c>
    </row>
    <row r="12" spans="1:37">
      <c r="A12" s="141">
        <f t="shared" si="3"/>
        <v>6</v>
      </c>
      <c r="B12" s="158" t="str">
        <f>'Sch 137'!B13</f>
        <v>24 (324)</v>
      </c>
      <c r="D12" s="147">
        <v>21962</v>
      </c>
      <c r="E12" s="143"/>
      <c r="F12" s="147">
        <v>1313324</v>
      </c>
      <c r="G12" s="147">
        <v>35060302.712000005</v>
      </c>
      <c r="H12" s="147">
        <v>3311589.264</v>
      </c>
      <c r="I12" s="147">
        <v>54470070.558999985</v>
      </c>
      <c r="J12" s="143">
        <f t="shared" si="5"/>
        <v>94177248.534999996</v>
      </c>
      <c r="K12" s="143"/>
      <c r="L12" s="159">
        <v>4.7268999999999999E-2</v>
      </c>
      <c r="M12" s="159">
        <v>4.6982000000000003E-2</v>
      </c>
      <c r="N12" s="159">
        <v>4.6788999999999997E-2</v>
      </c>
      <c r="O12" s="159">
        <v>4.7268999999999999E-2</v>
      </c>
      <c r="P12" s="159">
        <v>4.6982000000000003E-2</v>
      </c>
      <c r="Q12" s="159">
        <v>4.6788999999999997E-2</v>
      </c>
      <c r="R12" s="148">
        <v>-4.8783E-2</v>
      </c>
      <c r="S12" s="144">
        <f t="shared" si="6"/>
        <v>-170310.80978907831</v>
      </c>
      <c r="T12" s="143"/>
      <c r="U12" s="161">
        <f t="shared" ref="U12:Z12" si="9">L12</f>
        <v>4.7268999999999999E-2</v>
      </c>
      <c r="V12" s="161">
        <f t="shared" si="9"/>
        <v>4.6982000000000003E-2</v>
      </c>
      <c r="W12" s="161">
        <f t="shared" si="9"/>
        <v>4.6788999999999997E-2</v>
      </c>
      <c r="X12" s="161">
        <f t="shared" si="9"/>
        <v>4.7268999999999999E-2</v>
      </c>
      <c r="Y12" s="161">
        <f t="shared" si="9"/>
        <v>4.6982000000000003E-2</v>
      </c>
      <c r="Z12" s="161">
        <f t="shared" si="9"/>
        <v>4.6788999999999997E-2</v>
      </c>
      <c r="AA12" s="161">
        <f>R12</f>
        <v>-4.8783E-2</v>
      </c>
      <c r="AB12" s="144">
        <f>D12*U12+E12*V12+F12*W12+G12*X12+H12*Y12+I12*Z12+J12*AA12</f>
        <v>-170310.80978907831</v>
      </c>
      <c r="AC12" s="143"/>
      <c r="AD12" s="161">
        <f t="shared" ref="AD12" si="10">U12</f>
        <v>4.7268999999999999E-2</v>
      </c>
      <c r="AE12" s="161">
        <f t="shared" ref="AE12" si="11">V12</f>
        <v>4.6982000000000003E-2</v>
      </c>
      <c r="AF12" s="161">
        <f t="shared" ref="AF12" si="12">W12</f>
        <v>4.6788999999999997E-2</v>
      </c>
      <c r="AG12" s="161">
        <f t="shared" ref="AG12" si="13">X12</f>
        <v>4.7268999999999999E-2</v>
      </c>
      <c r="AH12" s="161">
        <f t="shared" ref="AH12" si="14">Y12</f>
        <v>4.6982000000000003E-2</v>
      </c>
      <c r="AI12" s="161">
        <f t="shared" ref="AI12" si="15">Z12</f>
        <v>4.6788999999999997E-2</v>
      </c>
      <c r="AJ12" s="161">
        <f>AA12</f>
        <v>-4.8783E-2</v>
      </c>
      <c r="AK12" s="144">
        <f t="shared" si="8"/>
        <v>-170310.80978907831</v>
      </c>
    </row>
    <row r="13" spans="1:37">
      <c r="A13" s="141">
        <f t="shared" si="3"/>
        <v>7</v>
      </c>
      <c r="B13" s="158">
        <f>'Sch 137'!B14</f>
        <v>11</v>
      </c>
      <c r="D13" s="147"/>
      <c r="E13" s="143"/>
      <c r="F13" s="147"/>
      <c r="G13" s="147"/>
      <c r="H13" s="147"/>
      <c r="I13" s="147"/>
      <c r="J13" s="143">
        <f t="shared" si="5"/>
        <v>0</v>
      </c>
      <c r="K13" s="143"/>
      <c r="L13" s="130"/>
      <c r="M13" s="130"/>
      <c r="N13" s="130"/>
      <c r="O13" s="130"/>
      <c r="P13" s="130"/>
      <c r="Q13" s="130"/>
      <c r="R13" s="130"/>
      <c r="S13" s="144">
        <f t="shared" si="6"/>
        <v>0</v>
      </c>
      <c r="T13" s="143"/>
      <c r="U13" s="130"/>
      <c r="V13" s="130"/>
      <c r="W13" s="130"/>
      <c r="X13" s="130"/>
      <c r="Y13" s="130"/>
      <c r="Z13" s="130"/>
      <c r="AA13" s="130"/>
      <c r="AB13" s="144">
        <f t="shared" si="7"/>
        <v>0</v>
      </c>
      <c r="AC13" s="143"/>
      <c r="AD13" s="130"/>
      <c r="AE13" s="130"/>
      <c r="AF13" s="130"/>
      <c r="AG13" s="130"/>
      <c r="AH13" s="130"/>
      <c r="AI13" s="130"/>
      <c r="AJ13" s="130"/>
      <c r="AK13" s="144">
        <f t="shared" si="8"/>
        <v>0</v>
      </c>
    </row>
    <row r="14" spans="1:37">
      <c r="A14" s="141">
        <f t="shared" si="3"/>
        <v>8</v>
      </c>
      <c r="B14" s="158">
        <f>'Sch 137'!B15</f>
        <v>25</v>
      </c>
      <c r="D14" s="147"/>
      <c r="E14" s="147"/>
      <c r="F14" s="147">
        <v>1794164</v>
      </c>
      <c r="G14" s="147">
        <v>60511546.285999998</v>
      </c>
      <c r="H14" s="147">
        <v>23813651.602000006</v>
      </c>
      <c r="I14" s="147">
        <v>56556177.745000005</v>
      </c>
      <c r="J14" s="143">
        <f t="shared" si="5"/>
        <v>142675539.63300002</v>
      </c>
      <c r="K14" s="143"/>
      <c r="L14" s="130">
        <f>$L$12</f>
        <v>4.7268999999999999E-2</v>
      </c>
      <c r="M14" s="130">
        <f>$M$12</f>
        <v>4.6982000000000003E-2</v>
      </c>
      <c r="N14" s="130">
        <f>$N$12</f>
        <v>4.6788999999999997E-2</v>
      </c>
      <c r="O14" s="130">
        <f>$O$12</f>
        <v>4.7268999999999999E-2</v>
      </c>
      <c r="P14" s="130">
        <f>$P$12</f>
        <v>4.6982000000000003E-2</v>
      </c>
      <c r="Q14" s="130">
        <f>$Q$12</f>
        <v>4.6788999999999997E-2</v>
      </c>
      <c r="R14" s="130">
        <f>$R$12</f>
        <v>-4.8783E-2</v>
      </c>
      <c r="S14" s="144">
        <f t="shared" si="6"/>
        <v>-250853.44905173592</v>
      </c>
      <c r="T14" s="143"/>
      <c r="U14" s="130">
        <f>$L$12</f>
        <v>4.7268999999999999E-2</v>
      </c>
      <c r="V14" s="130">
        <f>$M$12</f>
        <v>4.6982000000000003E-2</v>
      </c>
      <c r="W14" s="130">
        <f>$N$12</f>
        <v>4.6788999999999997E-2</v>
      </c>
      <c r="X14" s="130">
        <f>$O$12</f>
        <v>4.7268999999999999E-2</v>
      </c>
      <c r="Y14" s="130">
        <f>$P$12</f>
        <v>4.6982000000000003E-2</v>
      </c>
      <c r="Z14" s="130">
        <f>$Q$12</f>
        <v>4.6788999999999997E-2</v>
      </c>
      <c r="AA14" s="130">
        <f>$R$12</f>
        <v>-4.8783E-2</v>
      </c>
      <c r="AB14" s="144">
        <f t="shared" si="7"/>
        <v>-250853.44905173592</v>
      </c>
      <c r="AC14" s="143"/>
      <c r="AD14" s="130">
        <f>$L$12</f>
        <v>4.7268999999999999E-2</v>
      </c>
      <c r="AE14" s="130">
        <f>$M$12</f>
        <v>4.6982000000000003E-2</v>
      </c>
      <c r="AF14" s="130">
        <f>$N$12</f>
        <v>4.6788999999999997E-2</v>
      </c>
      <c r="AG14" s="130">
        <f>$O$12</f>
        <v>4.7268999999999999E-2</v>
      </c>
      <c r="AH14" s="130">
        <f>$P$12</f>
        <v>4.6982000000000003E-2</v>
      </c>
      <c r="AI14" s="130">
        <f>$Q$12</f>
        <v>4.6788999999999997E-2</v>
      </c>
      <c r="AJ14" s="130">
        <f>$R$12</f>
        <v>-4.8783E-2</v>
      </c>
      <c r="AK14" s="144">
        <f t="shared" si="8"/>
        <v>-250853.44905173592</v>
      </c>
    </row>
    <row r="15" spans="1:37">
      <c r="A15" s="141">
        <f t="shared" si="3"/>
        <v>9</v>
      </c>
      <c r="B15" s="158">
        <f>'Sch 137'!B16</f>
        <v>12</v>
      </c>
      <c r="D15" s="147"/>
      <c r="E15" s="147"/>
      <c r="F15" s="147"/>
      <c r="G15" s="147"/>
      <c r="H15" s="147"/>
      <c r="I15" s="147"/>
      <c r="J15" s="143">
        <f t="shared" si="5"/>
        <v>0</v>
      </c>
      <c r="K15" s="143"/>
      <c r="L15" s="130"/>
      <c r="M15" s="130"/>
      <c r="N15" s="130"/>
      <c r="O15" s="130"/>
      <c r="P15" s="130"/>
      <c r="Q15" s="130"/>
      <c r="R15" s="130"/>
      <c r="S15" s="144">
        <f t="shared" si="6"/>
        <v>0</v>
      </c>
      <c r="T15" s="143"/>
      <c r="U15" s="130"/>
      <c r="V15" s="130"/>
      <c r="W15" s="130"/>
      <c r="X15" s="130"/>
      <c r="Y15" s="130"/>
      <c r="Z15" s="130"/>
      <c r="AA15" s="130"/>
      <c r="AB15" s="144">
        <f t="shared" si="7"/>
        <v>0</v>
      </c>
      <c r="AC15" s="143"/>
      <c r="AD15" s="130"/>
      <c r="AE15" s="130"/>
      <c r="AF15" s="130"/>
      <c r="AG15" s="130"/>
      <c r="AH15" s="130"/>
      <c r="AI15" s="130"/>
      <c r="AJ15" s="130"/>
      <c r="AK15" s="144">
        <f t="shared" si="8"/>
        <v>0</v>
      </c>
    </row>
    <row r="16" spans="1:37">
      <c r="A16" s="141">
        <f t="shared" si="3"/>
        <v>10</v>
      </c>
      <c r="B16" s="158" t="str">
        <f>'Sch 137'!B17</f>
        <v>26 &amp; 26P</v>
      </c>
      <c r="D16" s="147"/>
      <c r="E16" s="147"/>
      <c r="F16" s="147">
        <v>1237800</v>
      </c>
      <c r="G16" s="147">
        <v>153623453.32099998</v>
      </c>
      <c r="H16" s="147">
        <v>28460340</v>
      </c>
      <c r="I16" s="147">
        <v>45320549.100000001</v>
      </c>
      <c r="J16" s="143">
        <f t="shared" si="5"/>
        <v>228642142.42099997</v>
      </c>
      <c r="K16" s="143"/>
      <c r="L16" s="130">
        <f>$L$12</f>
        <v>4.7268999999999999E-2</v>
      </c>
      <c r="M16" s="130">
        <f>$M$12</f>
        <v>4.6982000000000003E-2</v>
      </c>
      <c r="N16" s="130">
        <f>$N$12</f>
        <v>4.6788999999999997E-2</v>
      </c>
      <c r="O16" s="130">
        <f>$O$12</f>
        <v>4.7268999999999999E-2</v>
      </c>
      <c r="P16" s="130">
        <f>$P$12</f>
        <v>4.6982000000000003E-2</v>
      </c>
      <c r="Q16" s="130">
        <f>$Q$12</f>
        <v>4.6788999999999997E-2</v>
      </c>
      <c r="R16" s="130">
        <f>$R$12</f>
        <v>-4.8783E-2</v>
      </c>
      <c r="S16" s="144">
        <f t="shared" si="6"/>
        <v>-376680.32877339236</v>
      </c>
      <c r="T16" s="143"/>
      <c r="U16" s="130">
        <f>$L$12</f>
        <v>4.7268999999999999E-2</v>
      </c>
      <c r="V16" s="130">
        <f>$M$12</f>
        <v>4.6982000000000003E-2</v>
      </c>
      <c r="W16" s="130">
        <f>$N$12</f>
        <v>4.6788999999999997E-2</v>
      </c>
      <c r="X16" s="130">
        <f>$O$12</f>
        <v>4.7268999999999999E-2</v>
      </c>
      <c r="Y16" s="130">
        <f>$P$12</f>
        <v>4.6982000000000003E-2</v>
      </c>
      <c r="Z16" s="130">
        <f>$Q$12</f>
        <v>4.6788999999999997E-2</v>
      </c>
      <c r="AA16" s="130">
        <f>$R$12</f>
        <v>-4.8783E-2</v>
      </c>
      <c r="AB16" s="144">
        <f t="shared" si="7"/>
        <v>-376680.32877339236</v>
      </c>
      <c r="AC16" s="143"/>
      <c r="AD16" s="130">
        <f>$L$12</f>
        <v>4.7268999999999999E-2</v>
      </c>
      <c r="AE16" s="130">
        <f>$M$12</f>
        <v>4.6982000000000003E-2</v>
      </c>
      <c r="AF16" s="130">
        <f>$N$12</f>
        <v>4.6788999999999997E-2</v>
      </c>
      <c r="AG16" s="130">
        <f>$O$12</f>
        <v>4.7268999999999999E-2</v>
      </c>
      <c r="AH16" s="130">
        <f>$P$12</f>
        <v>4.6982000000000003E-2</v>
      </c>
      <c r="AI16" s="130">
        <f>$Q$12</f>
        <v>4.6788999999999997E-2</v>
      </c>
      <c r="AJ16" s="130">
        <f>$R$12</f>
        <v>-4.8783E-2</v>
      </c>
      <c r="AK16" s="144">
        <f t="shared" si="8"/>
        <v>-376680.32877339236</v>
      </c>
    </row>
    <row r="17" spans="1:37">
      <c r="A17" s="141">
        <f t="shared" si="3"/>
        <v>11</v>
      </c>
      <c r="B17" s="158">
        <f>'Sch 137'!B18</f>
        <v>29</v>
      </c>
      <c r="D17" s="143"/>
      <c r="E17" s="143"/>
      <c r="F17" s="143"/>
      <c r="G17" s="143"/>
      <c r="H17" s="143"/>
      <c r="I17" s="143"/>
      <c r="J17" s="143">
        <f t="shared" si="5"/>
        <v>0</v>
      </c>
      <c r="K17" s="143"/>
      <c r="L17" s="130"/>
      <c r="M17" s="130"/>
      <c r="N17" s="130"/>
      <c r="O17" s="130"/>
      <c r="P17" s="130"/>
      <c r="Q17" s="130"/>
      <c r="R17" s="130"/>
      <c r="S17" s="144">
        <f t="shared" si="6"/>
        <v>0</v>
      </c>
      <c r="T17" s="143"/>
      <c r="U17" s="130"/>
      <c r="V17" s="130"/>
      <c r="W17" s="130"/>
      <c r="X17" s="130"/>
      <c r="Y17" s="130"/>
      <c r="Z17" s="130"/>
      <c r="AA17" s="130"/>
      <c r="AB17" s="144">
        <f t="shared" si="7"/>
        <v>0</v>
      </c>
      <c r="AC17" s="143"/>
      <c r="AD17" s="130"/>
      <c r="AE17" s="130"/>
      <c r="AF17" s="130"/>
      <c r="AG17" s="130"/>
      <c r="AH17" s="130"/>
      <c r="AI17" s="130"/>
      <c r="AJ17" s="130"/>
      <c r="AK17" s="144">
        <f t="shared" si="8"/>
        <v>0</v>
      </c>
    </row>
    <row r="18" spans="1:37">
      <c r="A18" s="141">
        <f t="shared" si="3"/>
        <v>12</v>
      </c>
      <c r="B18" s="156"/>
      <c r="C18" s="149" t="s">
        <v>6</v>
      </c>
      <c r="D18" s="145">
        <f t="shared" ref="D18:J18" si="16">SUM(D11:D17)</f>
        <v>21962</v>
      </c>
      <c r="E18" s="145">
        <f t="shared" si="16"/>
        <v>0</v>
      </c>
      <c r="F18" s="145">
        <f t="shared" si="16"/>
        <v>4345288</v>
      </c>
      <c r="G18" s="145">
        <f t="shared" si="16"/>
        <v>249195302.31899998</v>
      </c>
      <c r="H18" s="145">
        <f t="shared" si="16"/>
        <v>55585580.866000004</v>
      </c>
      <c r="I18" s="145">
        <f t="shared" si="16"/>
        <v>156346797.40399998</v>
      </c>
      <c r="J18" s="145">
        <f t="shared" si="16"/>
        <v>465494930.58899999</v>
      </c>
      <c r="K18" s="145"/>
      <c r="L18" s="150"/>
      <c r="M18" s="150"/>
      <c r="N18" s="150"/>
      <c r="O18" s="150"/>
      <c r="P18" s="150"/>
      <c r="Q18" s="150"/>
      <c r="R18" s="150"/>
      <c r="S18" s="146">
        <f>SUM(S11:S17)</f>
        <v>-797844.5876142066</v>
      </c>
      <c r="T18" s="145"/>
      <c r="U18" s="150"/>
      <c r="V18" s="150"/>
      <c r="W18" s="150"/>
      <c r="X18" s="150"/>
      <c r="Y18" s="150"/>
      <c r="Z18" s="150"/>
      <c r="AA18" s="150"/>
      <c r="AB18" s="146">
        <f>SUM(AB11:AB17)</f>
        <v>-797844.5876142066</v>
      </c>
      <c r="AC18" s="145"/>
      <c r="AD18" s="150"/>
      <c r="AE18" s="150"/>
      <c r="AF18" s="150"/>
      <c r="AG18" s="150"/>
      <c r="AH18" s="150"/>
      <c r="AI18" s="150"/>
      <c r="AJ18" s="150"/>
      <c r="AK18" s="146">
        <f>SUM(AK11:AK17)</f>
        <v>-797844.5876142066</v>
      </c>
    </row>
    <row r="19" spans="1:37">
      <c r="A19" s="141">
        <f t="shared" si="3"/>
        <v>13</v>
      </c>
      <c r="B19" s="156"/>
      <c r="D19" s="143"/>
      <c r="E19" s="143"/>
      <c r="F19" s="143"/>
      <c r="G19" s="143"/>
      <c r="H19" s="143"/>
      <c r="I19" s="143"/>
      <c r="J19" s="143"/>
      <c r="K19" s="143"/>
      <c r="L19" s="130"/>
      <c r="M19" s="130"/>
      <c r="N19" s="130"/>
      <c r="O19" s="130"/>
      <c r="P19" s="130"/>
      <c r="Q19" s="130"/>
      <c r="R19" s="130"/>
      <c r="S19" s="144"/>
      <c r="T19" s="143"/>
      <c r="U19" s="130"/>
      <c r="V19" s="130"/>
      <c r="W19" s="130"/>
      <c r="X19" s="130"/>
      <c r="Y19" s="130"/>
      <c r="Z19" s="130"/>
      <c r="AA19" s="130"/>
      <c r="AB19" s="144"/>
      <c r="AC19" s="143"/>
      <c r="AD19" s="130"/>
      <c r="AE19" s="130"/>
      <c r="AF19" s="130"/>
      <c r="AG19" s="130"/>
      <c r="AH19" s="130"/>
      <c r="AI19" s="130"/>
      <c r="AJ19" s="130"/>
      <c r="AK19" s="144"/>
    </row>
    <row r="20" spans="1:37">
      <c r="A20" s="141">
        <f t="shared" si="3"/>
        <v>14</v>
      </c>
      <c r="B20" s="158">
        <f>'Sch 137'!B21</f>
        <v>10</v>
      </c>
      <c r="D20" s="143"/>
      <c r="E20" s="143"/>
      <c r="F20" s="143"/>
      <c r="G20" s="143"/>
      <c r="H20" s="143"/>
      <c r="I20" s="143"/>
      <c r="J20" s="143">
        <f>SUM(D20:I20)</f>
        <v>0</v>
      </c>
      <c r="K20" s="143"/>
      <c r="L20" s="130"/>
      <c r="M20" s="130"/>
      <c r="N20" s="130"/>
      <c r="O20" s="130"/>
      <c r="P20" s="130"/>
      <c r="Q20" s="130"/>
      <c r="R20" s="130"/>
      <c r="S20" s="144">
        <f>D20*L20+E20*M20+F20*N20+G20*O20+H20*P20+I20*Q20+J20*R20</f>
        <v>0</v>
      </c>
      <c r="T20" s="143"/>
      <c r="U20" s="130"/>
      <c r="V20" s="130"/>
      <c r="W20" s="130"/>
      <c r="X20" s="130"/>
      <c r="Y20" s="130"/>
      <c r="Z20" s="130"/>
      <c r="AA20" s="130"/>
      <c r="AB20" s="144">
        <f>D20*U20+E20*V20+F20*W20+G20*X20+H20*Y20+I20*Z20+J20*AA20</f>
        <v>0</v>
      </c>
      <c r="AC20" s="143"/>
      <c r="AD20" s="130"/>
      <c r="AE20" s="130"/>
      <c r="AF20" s="130"/>
      <c r="AG20" s="130"/>
      <c r="AH20" s="130"/>
      <c r="AI20" s="130"/>
      <c r="AJ20" s="130"/>
      <c r="AK20" s="144">
        <f t="shared" ref="AK20:AK23" si="17">D20*AD20+E20*AE20+F20*AF20+G20*AG20+H20*AH20+I20*AI20+J20*AJ20</f>
        <v>0</v>
      </c>
    </row>
    <row r="21" spans="1:37">
      <c r="A21" s="141">
        <f t="shared" si="3"/>
        <v>15</v>
      </c>
      <c r="B21" s="158">
        <f>'Sch 137'!B22</f>
        <v>31</v>
      </c>
      <c r="D21" s="147"/>
      <c r="E21" s="147"/>
      <c r="F21" s="147"/>
      <c r="G21" s="147">
        <v>93435011.239999995</v>
      </c>
      <c r="H21" s="147">
        <v>6713100</v>
      </c>
      <c r="I21" s="147">
        <v>25818512.299999997</v>
      </c>
      <c r="J21" s="143">
        <f>SUM(D21:I21)</f>
        <v>125966623.53999999</v>
      </c>
      <c r="K21" s="143"/>
      <c r="L21" s="130">
        <f>$L$12</f>
        <v>4.7268999999999999E-2</v>
      </c>
      <c r="M21" s="130">
        <f>$M$12</f>
        <v>4.6982000000000003E-2</v>
      </c>
      <c r="N21" s="130">
        <f>$N$12</f>
        <v>4.6788999999999997E-2</v>
      </c>
      <c r="O21" s="130">
        <f>$O$12</f>
        <v>4.7268999999999999E-2</v>
      </c>
      <c r="P21" s="130">
        <f>$P$12</f>
        <v>4.6982000000000003E-2</v>
      </c>
      <c r="Q21" s="130">
        <f>$Q$12</f>
        <v>4.6788999999999997E-2</v>
      </c>
      <c r="R21" s="130">
        <f>$R$12</f>
        <v>-4.8783E-2</v>
      </c>
      <c r="S21" s="144">
        <f>D21*L21+E21*M21+F21*N21+G21*O21+H21*P21+I21*Q21+J21*R21</f>
        <v>-205033.01364356</v>
      </c>
      <c r="T21" s="143"/>
      <c r="U21" s="130">
        <f>$L$12</f>
        <v>4.7268999999999999E-2</v>
      </c>
      <c r="V21" s="130">
        <f>$M$12</f>
        <v>4.6982000000000003E-2</v>
      </c>
      <c r="W21" s="130">
        <f>$N$12</f>
        <v>4.6788999999999997E-2</v>
      </c>
      <c r="X21" s="130">
        <f>$O$12</f>
        <v>4.7268999999999999E-2</v>
      </c>
      <c r="Y21" s="130">
        <f>$P$12</f>
        <v>4.6982000000000003E-2</v>
      </c>
      <c r="Z21" s="130">
        <f>$Q$12</f>
        <v>4.6788999999999997E-2</v>
      </c>
      <c r="AA21" s="130">
        <f>$R$12</f>
        <v>-4.8783E-2</v>
      </c>
      <c r="AB21" s="144">
        <f>D21*U21+E21*V21+F21*W21+G21*X21+H21*Y21+I21*Z21+J21*AA21</f>
        <v>-205033.01364356</v>
      </c>
      <c r="AC21" s="143"/>
      <c r="AD21" s="130">
        <f>$L$12</f>
        <v>4.7268999999999999E-2</v>
      </c>
      <c r="AE21" s="130">
        <f>$M$12</f>
        <v>4.6982000000000003E-2</v>
      </c>
      <c r="AF21" s="130">
        <f>$N$12</f>
        <v>4.6788999999999997E-2</v>
      </c>
      <c r="AG21" s="130">
        <f>$O$12</f>
        <v>4.7268999999999999E-2</v>
      </c>
      <c r="AH21" s="130">
        <f>$P$12</f>
        <v>4.6982000000000003E-2</v>
      </c>
      <c r="AI21" s="130">
        <f>$Q$12</f>
        <v>4.6788999999999997E-2</v>
      </c>
      <c r="AJ21" s="130">
        <f>$R$12</f>
        <v>-4.8783E-2</v>
      </c>
      <c r="AK21" s="144">
        <f t="shared" si="17"/>
        <v>-205033.01364356</v>
      </c>
    </row>
    <row r="22" spans="1:37">
      <c r="A22" s="141">
        <f t="shared" si="3"/>
        <v>16</v>
      </c>
      <c r="B22" s="158">
        <f>'Sch 137'!B23</f>
        <v>35</v>
      </c>
      <c r="D22" s="147"/>
      <c r="E22" s="147"/>
      <c r="F22" s="147"/>
      <c r="G22" s="147"/>
      <c r="H22" s="147"/>
      <c r="I22" s="147"/>
      <c r="J22" s="143">
        <f>SUM(D22:I22)</f>
        <v>0</v>
      </c>
      <c r="K22" s="143"/>
      <c r="L22" s="130"/>
      <c r="M22" s="130"/>
      <c r="N22" s="130"/>
      <c r="O22" s="130"/>
      <c r="P22" s="130"/>
      <c r="Q22" s="130"/>
      <c r="R22" s="130"/>
      <c r="S22" s="144">
        <f>D22*L22+E22*M22+F22*N22+G22*O22+H22*P22+I22*Q22+J22*R22</f>
        <v>0</v>
      </c>
      <c r="T22" s="143"/>
      <c r="U22" s="130"/>
      <c r="V22" s="130"/>
      <c r="W22" s="130"/>
      <c r="X22" s="130"/>
      <c r="Y22" s="130"/>
      <c r="Z22" s="130"/>
      <c r="AA22" s="130"/>
      <c r="AB22" s="144">
        <f>D22*U22+E22*V22+F22*W22+G22*X22+H22*Y22+I22*Z22+J22*AA22</f>
        <v>0</v>
      </c>
      <c r="AC22" s="143"/>
      <c r="AD22" s="130"/>
      <c r="AE22" s="130"/>
      <c r="AF22" s="130"/>
      <c r="AG22" s="130"/>
      <c r="AH22" s="130"/>
      <c r="AI22" s="130"/>
      <c r="AJ22" s="130"/>
      <c r="AK22" s="144">
        <f t="shared" si="17"/>
        <v>0</v>
      </c>
    </row>
    <row r="23" spans="1:37">
      <c r="A23" s="141">
        <f t="shared" si="3"/>
        <v>17</v>
      </c>
      <c r="B23" s="158">
        <f>'Sch 137'!B24</f>
        <v>43</v>
      </c>
      <c r="D23" s="147"/>
      <c r="E23" s="147"/>
      <c r="F23" s="147"/>
      <c r="G23" s="147">
        <v>8246400</v>
      </c>
      <c r="H23" s="147"/>
      <c r="I23" s="147"/>
      <c r="J23" s="143">
        <f>SUM(D23:I23)</f>
        <v>8246400</v>
      </c>
      <c r="K23" s="143"/>
      <c r="L23" s="130">
        <f>$L$12</f>
        <v>4.7268999999999999E-2</v>
      </c>
      <c r="M23" s="130">
        <f>$M$12</f>
        <v>4.6982000000000003E-2</v>
      </c>
      <c r="N23" s="130">
        <f>$N$12</f>
        <v>4.6788999999999997E-2</v>
      </c>
      <c r="O23" s="130">
        <f>$O$12</f>
        <v>4.7268999999999999E-2</v>
      </c>
      <c r="P23" s="130">
        <f>$P$12</f>
        <v>4.6982000000000003E-2</v>
      </c>
      <c r="Q23" s="130">
        <f>$Q$12</f>
        <v>4.6788999999999997E-2</v>
      </c>
      <c r="R23" s="130">
        <f>$R$12</f>
        <v>-4.8783E-2</v>
      </c>
      <c r="S23" s="144">
        <f>D23*L23+E23*M23+F23*N23+G23*O23+H23*P23+I23*Q23+J23*R23</f>
        <v>-12485.049600000028</v>
      </c>
      <c r="T23" s="143"/>
      <c r="U23" s="130">
        <f>$L$12</f>
        <v>4.7268999999999999E-2</v>
      </c>
      <c r="V23" s="130">
        <f>$M$12</f>
        <v>4.6982000000000003E-2</v>
      </c>
      <c r="W23" s="130">
        <f>$N$12</f>
        <v>4.6788999999999997E-2</v>
      </c>
      <c r="X23" s="130">
        <f>$O$12</f>
        <v>4.7268999999999999E-2</v>
      </c>
      <c r="Y23" s="130">
        <f>$P$12</f>
        <v>4.6982000000000003E-2</v>
      </c>
      <c r="Z23" s="130">
        <f>$Q$12</f>
        <v>4.6788999999999997E-2</v>
      </c>
      <c r="AA23" s="130">
        <f>$R$12</f>
        <v>-4.8783E-2</v>
      </c>
      <c r="AB23" s="144">
        <f>D23*U23+E23*V23+F23*W23+G23*X23+H23*Y23+I23*Z23+J23*AA23</f>
        <v>-12485.049600000028</v>
      </c>
      <c r="AC23" s="143"/>
      <c r="AD23" s="130">
        <f>$L$12</f>
        <v>4.7268999999999999E-2</v>
      </c>
      <c r="AE23" s="130">
        <f>$M$12</f>
        <v>4.6982000000000003E-2</v>
      </c>
      <c r="AF23" s="130">
        <f>$N$12</f>
        <v>4.6788999999999997E-2</v>
      </c>
      <c r="AG23" s="130">
        <f>$O$12</f>
        <v>4.7268999999999999E-2</v>
      </c>
      <c r="AH23" s="130">
        <f>$P$12</f>
        <v>4.6982000000000003E-2</v>
      </c>
      <c r="AI23" s="130">
        <f>$Q$12</f>
        <v>4.6788999999999997E-2</v>
      </c>
      <c r="AJ23" s="130">
        <f>$R$12</f>
        <v>-4.8783E-2</v>
      </c>
      <c r="AK23" s="144">
        <f t="shared" si="17"/>
        <v>-12485.049600000028</v>
      </c>
    </row>
    <row r="24" spans="1:37">
      <c r="A24" s="141">
        <f t="shared" si="3"/>
        <v>18</v>
      </c>
      <c r="B24" s="156"/>
      <c r="C24" s="142" t="s">
        <v>7</v>
      </c>
      <c r="D24" s="145">
        <f t="shared" ref="D24:J24" si="18">SUM(D20:D23)</f>
        <v>0</v>
      </c>
      <c r="E24" s="145">
        <f t="shared" si="18"/>
        <v>0</v>
      </c>
      <c r="F24" s="145">
        <f t="shared" si="18"/>
        <v>0</v>
      </c>
      <c r="G24" s="145">
        <f t="shared" si="18"/>
        <v>101681411.23999999</v>
      </c>
      <c r="H24" s="145">
        <f t="shared" si="18"/>
        <v>6713100</v>
      </c>
      <c r="I24" s="145">
        <f t="shared" si="18"/>
        <v>25818512.299999997</v>
      </c>
      <c r="J24" s="145">
        <f t="shared" si="18"/>
        <v>134213023.53999999</v>
      </c>
      <c r="K24" s="145"/>
      <c r="L24" s="150"/>
      <c r="M24" s="150"/>
      <c r="N24" s="150"/>
      <c r="O24" s="150"/>
      <c r="P24" s="150"/>
      <c r="Q24" s="150"/>
      <c r="R24" s="150"/>
      <c r="S24" s="146">
        <f>SUM(S20:S23)</f>
        <v>-217518.06324356003</v>
      </c>
      <c r="T24" s="145"/>
      <c r="U24" s="150"/>
      <c r="V24" s="150"/>
      <c r="W24" s="150"/>
      <c r="X24" s="150"/>
      <c r="Y24" s="150"/>
      <c r="Z24" s="150"/>
      <c r="AA24" s="150"/>
      <c r="AB24" s="146">
        <f>SUM(AB20:AB23)</f>
        <v>-217518.06324356003</v>
      </c>
      <c r="AC24" s="145"/>
      <c r="AD24" s="150"/>
      <c r="AE24" s="150"/>
      <c r="AF24" s="150"/>
      <c r="AG24" s="150"/>
      <c r="AH24" s="150"/>
      <c r="AI24" s="150"/>
      <c r="AJ24" s="150"/>
      <c r="AK24" s="146">
        <f>SUM(AK20:AK23)</f>
        <v>-217518.06324356003</v>
      </c>
    </row>
    <row r="25" spans="1:37">
      <c r="A25" s="141">
        <f t="shared" si="3"/>
        <v>19</v>
      </c>
      <c r="B25" s="156"/>
      <c r="D25" s="143"/>
      <c r="E25" s="143"/>
      <c r="F25" s="143"/>
      <c r="G25" s="143"/>
      <c r="H25" s="143"/>
      <c r="I25" s="143"/>
      <c r="J25" s="143"/>
      <c r="K25" s="143"/>
      <c r="L25" s="130"/>
      <c r="M25" s="130"/>
      <c r="N25" s="130"/>
      <c r="O25" s="130"/>
      <c r="P25" s="130"/>
      <c r="Q25" s="130"/>
      <c r="R25" s="130"/>
      <c r="S25" s="144"/>
      <c r="T25" s="143"/>
      <c r="U25" s="130"/>
      <c r="V25" s="130"/>
      <c r="W25" s="130"/>
      <c r="X25" s="130"/>
      <c r="Y25" s="130"/>
      <c r="Z25" s="130"/>
      <c r="AA25" s="130"/>
      <c r="AB25" s="144"/>
      <c r="AC25" s="143"/>
      <c r="AD25" s="130"/>
      <c r="AE25" s="130"/>
      <c r="AF25" s="130"/>
      <c r="AG25" s="130"/>
      <c r="AH25" s="130"/>
      <c r="AI25" s="130"/>
      <c r="AJ25" s="130"/>
      <c r="AK25" s="144"/>
    </row>
    <row r="26" spans="1:37">
      <c r="A26" s="141">
        <f t="shared" si="3"/>
        <v>20</v>
      </c>
      <c r="B26" s="158">
        <f>'Sch 137'!B27</f>
        <v>46</v>
      </c>
      <c r="D26" s="147"/>
      <c r="E26" s="147"/>
      <c r="F26" s="147"/>
      <c r="G26" s="147"/>
      <c r="H26" s="147"/>
      <c r="I26" s="147">
        <v>11887060.560000001</v>
      </c>
      <c r="J26" s="143">
        <f>SUM(D26:I26)</f>
        <v>11887060.560000001</v>
      </c>
      <c r="K26" s="143"/>
      <c r="L26" s="130">
        <f>$L$12</f>
        <v>4.7268999999999999E-2</v>
      </c>
      <c r="M26" s="130">
        <f>$M$12</f>
        <v>4.6982000000000003E-2</v>
      </c>
      <c r="N26" s="130">
        <f>$N$12</f>
        <v>4.6788999999999997E-2</v>
      </c>
      <c r="O26" s="130">
        <f>$O$12</f>
        <v>4.7268999999999999E-2</v>
      </c>
      <c r="P26" s="130">
        <f>$P$12</f>
        <v>4.6982000000000003E-2</v>
      </c>
      <c r="Q26" s="130">
        <f>$Q$12</f>
        <v>4.6788999999999997E-2</v>
      </c>
      <c r="R26" s="130">
        <f>$R$12</f>
        <v>-4.8783E-2</v>
      </c>
      <c r="S26" s="144">
        <f>D26*L26+E26*M26+F26*N26+G26*O26+H26*P26+I26*Q26+J26*R26</f>
        <v>-23702.798756640055</v>
      </c>
      <c r="T26" s="143"/>
      <c r="U26" s="130">
        <f>$L$12</f>
        <v>4.7268999999999999E-2</v>
      </c>
      <c r="V26" s="130">
        <f>$M$12</f>
        <v>4.6982000000000003E-2</v>
      </c>
      <c r="W26" s="130">
        <f>$N$12</f>
        <v>4.6788999999999997E-2</v>
      </c>
      <c r="X26" s="130">
        <f>$O$12</f>
        <v>4.7268999999999999E-2</v>
      </c>
      <c r="Y26" s="130">
        <f>$P$12</f>
        <v>4.6982000000000003E-2</v>
      </c>
      <c r="Z26" s="130">
        <f>$Q$12</f>
        <v>4.6788999999999997E-2</v>
      </c>
      <c r="AA26" s="130">
        <f>$R$12</f>
        <v>-4.8783E-2</v>
      </c>
      <c r="AB26" s="144">
        <f>D26*U26+E26*V26+F26*W26+G26*X26+H26*Y26+I26*Z26+J26*AA26</f>
        <v>-23702.798756640055</v>
      </c>
      <c r="AC26" s="143"/>
      <c r="AD26" s="130">
        <f>$L$12</f>
        <v>4.7268999999999999E-2</v>
      </c>
      <c r="AE26" s="130">
        <f>$M$12</f>
        <v>4.6982000000000003E-2</v>
      </c>
      <c r="AF26" s="130">
        <f>$N$12</f>
        <v>4.6788999999999997E-2</v>
      </c>
      <c r="AG26" s="130">
        <f>$O$12</f>
        <v>4.7268999999999999E-2</v>
      </c>
      <c r="AH26" s="130">
        <f>$P$12</f>
        <v>4.6982000000000003E-2</v>
      </c>
      <c r="AI26" s="130">
        <f>$Q$12</f>
        <v>4.6788999999999997E-2</v>
      </c>
      <c r="AJ26" s="130">
        <f>$R$12</f>
        <v>-4.8783E-2</v>
      </c>
      <c r="AK26" s="144">
        <f t="shared" ref="AK26:AK27" si="19">D26*AD26+E26*AE26+F26*AF26+G26*AG26+H26*AH26+I26*AI26+J26*AJ26</f>
        <v>-23702.798756640055</v>
      </c>
    </row>
    <row r="27" spans="1:37">
      <c r="A27" s="141">
        <f t="shared" si="3"/>
        <v>21</v>
      </c>
      <c r="B27" s="158">
        <f>'Sch 137'!B28</f>
        <v>49</v>
      </c>
      <c r="D27" s="147"/>
      <c r="E27" s="147"/>
      <c r="F27" s="147"/>
      <c r="G27" s="147">
        <v>106253480.19200002</v>
      </c>
      <c r="H27" s="147"/>
      <c r="I27" s="147">
        <v>30678217.984000001</v>
      </c>
      <c r="J27" s="143">
        <f>SUM(D27:I27)</f>
        <v>136931698.17600003</v>
      </c>
      <c r="K27" s="143"/>
      <c r="L27" s="130">
        <f>$L$12</f>
        <v>4.7268999999999999E-2</v>
      </c>
      <c r="M27" s="130">
        <f>$M$12</f>
        <v>4.6982000000000003E-2</v>
      </c>
      <c r="N27" s="130">
        <f>$N$12</f>
        <v>4.6788999999999997E-2</v>
      </c>
      <c r="O27" s="130">
        <f>$O$12</f>
        <v>4.7268999999999999E-2</v>
      </c>
      <c r="P27" s="130">
        <f>$P$12</f>
        <v>4.6982000000000003E-2</v>
      </c>
      <c r="Q27" s="130">
        <f>$Q$12</f>
        <v>4.6788999999999997E-2</v>
      </c>
      <c r="R27" s="130">
        <f>$R$12</f>
        <v>-4.8783E-2</v>
      </c>
      <c r="S27" s="144">
        <f>D27*L27+E27*M27+F27*N27+G27*O27+H27*P27+I27*Q27+J27*R27</f>
        <v>-222040.13567078579</v>
      </c>
      <c r="T27" s="143"/>
      <c r="U27" s="130">
        <f>$L$12</f>
        <v>4.7268999999999999E-2</v>
      </c>
      <c r="V27" s="130">
        <f>$M$12</f>
        <v>4.6982000000000003E-2</v>
      </c>
      <c r="W27" s="130">
        <f>$N$12</f>
        <v>4.6788999999999997E-2</v>
      </c>
      <c r="X27" s="130">
        <f>$O$12</f>
        <v>4.7268999999999999E-2</v>
      </c>
      <c r="Y27" s="130">
        <f>$P$12</f>
        <v>4.6982000000000003E-2</v>
      </c>
      <c r="Z27" s="130">
        <f>$Q$12</f>
        <v>4.6788999999999997E-2</v>
      </c>
      <c r="AA27" s="130">
        <f>$R$12</f>
        <v>-4.8783E-2</v>
      </c>
      <c r="AB27" s="144">
        <f>D27*U27+E27*V27+F27*W27+G27*X27+H27*Y27+I27*Z27+J27*AA27</f>
        <v>-222040.13567078579</v>
      </c>
      <c r="AC27" s="143"/>
      <c r="AD27" s="130">
        <f>$L$12</f>
        <v>4.7268999999999999E-2</v>
      </c>
      <c r="AE27" s="130">
        <f>$M$12</f>
        <v>4.6982000000000003E-2</v>
      </c>
      <c r="AF27" s="130">
        <f>$N$12</f>
        <v>4.6788999999999997E-2</v>
      </c>
      <c r="AG27" s="130">
        <f>$O$12</f>
        <v>4.7268999999999999E-2</v>
      </c>
      <c r="AH27" s="130">
        <f>$P$12</f>
        <v>4.6982000000000003E-2</v>
      </c>
      <c r="AI27" s="130">
        <f>$Q$12</f>
        <v>4.6788999999999997E-2</v>
      </c>
      <c r="AJ27" s="130">
        <f>$R$12</f>
        <v>-4.8783E-2</v>
      </c>
      <c r="AK27" s="144">
        <f t="shared" si="19"/>
        <v>-222040.13567078579</v>
      </c>
    </row>
    <row r="28" spans="1:37">
      <c r="A28" s="141">
        <f t="shared" si="3"/>
        <v>22</v>
      </c>
      <c r="B28" s="156"/>
      <c r="C28" s="142" t="s">
        <v>8</v>
      </c>
      <c r="D28" s="145">
        <f t="shared" ref="D28:J28" si="20">SUM(D26:D27)</f>
        <v>0</v>
      </c>
      <c r="E28" s="145">
        <f t="shared" si="20"/>
        <v>0</v>
      </c>
      <c r="F28" s="145">
        <f t="shared" si="20"/>
        <v>0</v>
      </c>
      <c r="G28" s="145">
        <f t="shared" si="20"/>
        <v>106253480.19200002</v>
      </c>
      <c r="H28" s="145">
        <f t="shared" si="20"/>
        <v>0</v>
      </c>
      <c r="I28" s="145">
        <f t="shared" si="20"/>
        <v>42565278.544</v>
      </c>
      <c r="J28" s="145">
        <f t="shared" si="20"/>
        <v>148818758.73600003</v>
      </c>
      <c r="K28" s="145"/>
      <c r="L28" s="150"/>
      <c r="M28" s="150"/>
      <c r="N28" s="150"/>
      <c r="O28" s="150"/>
      <c r="P28" s="150"/>
      <c r="Q28" s="150"/>
      <c r="R28" s="150"/>
      <c r="S28" s="146">
        <f>SUM(S26:S27)</f>
        <v>-245742.93442742585</v>
      </c>
      <c r="T28" s="145"/>
      <c r="U28" s="150"/>
      <c r="V28" s="150"/>
      <c r="W28" s="150"/>
      <c r="X28" s="150"/>
      <c r="Y28" s="150"/>
      <c r="Z28" s="150"/>
      <c r="AA28" s="150"/>
      <c r="AB28" s="146">
        <f>SUM(AB26:AB27)</f>
        <v>-245742.93442742585</v>
      </c>
      <c r="AC28" s="145"/>
      <c r="AD28" s="150"/>
      <c r="AE28" s="150"/>
      <c r="AF28" s="150"/>
      <c r="AG28" s="150"/>
      <c r="AH28" s="150"/>
      <c r="AI28" s="150"/>
      <c r="AJ28" s="150"/>
      <c r="AK28" s="146">
        <f>SUM(AK26:AK27)</f>
        <v>-245742.93442742585</v>
      </c>
    </row>
    <row r="29" spans="1:37">
      <c r="A29" s="141">
        <f t="shared" si="3"/>
        <v>23</v>
      </c>
      <c r="B29" s="156"/>
      <c r="D29" s="143"/>
      <c r="E29" s="143"/>
      <c r="F29" s="143"/>
      <c r="G29" s="143"/>
      <c r="H29" s="143"/>
      <c r="I29" s="143"/>
      <c r="J29" s="143"/>
      <c r="K29" s="143"/>
      <c r="L29" s="143"/>
      <c r="M29" s="143"/>
      <c r="N29" s="143"/>
      <c r="O29" s="143"/>
      <c r="P29" s="143"/>
      <c r="Q29" s="143"/>
      <c r="R29" s="143"/>
      <c r="S29" s="144"/>
      <c r="T29" s="143"/>
      <c r="U29" s="143"/>
      <c r="V29" s="143"/>
      <c r="W29" s="143"/>
      <c r="X29" s="143"/>
      <c r="Y29" s="143"/>
      <c r="Z29" s="143"/>
      <c r="AA29" s="143"/>
      <c r="AB29" s="144"/>
      <c r="AC29" s="143"/>
      <c r="AD29" s="143"/>
      <c r="AE29" s="143"/>
      <c r="AF29" s="143"/>
      <c r="AG29" s="143"/>
      <c r="AH29" s="143"/>
      <c r="AI29" s="143"/>
      <c r="AJ29" s="143"/>
      <c r="AK29" s="144"/>
    </row>
    <row r="30" spans="1:37">
      <c r="A30" s="141">
        <f t="shared" si="3"/>
        <v>24</v>
      </c>
      <c r="B30" s="158" t="str">
        <f>'Sch 137'!B31</f>
        <v>03, 50-59</v>
      </c>
      <c r="D30" s="145"/>
      <c r="E30" s="145"/>
      <c r="F30" s="145"/>
      <c r="G30" s="145"/>
      <c r="H30" s="145"/>
      <c r="I30" s="145"/>
      <c r="J30" s="145">
        <f>SUM(D30:I30)</f>
        <v>0</v>
      </c>
      <c r="K30" s="145"/>
      <c r="L30" s="145"/>
      <c r="M30" s="145"/>
      <c r="N30" s="145"/>
      <c r="O30" s="145"/>
      <c r="P30" s="145"/>
      <c r="Q30" s="145"/>
      <c r="R30" s="145"/>
      <c r="S30" s="146">
        <f>D30*L30+E30*M30+F30*N30+G30*O30+H30*P30+I30*Q30+J30*R30</f>
        <v>0</v>
      </c>
      <c r="T30" s="145"/>
      <c r="U30" s="145"/>
      <c r="V30" s="145"/>
      <c r="W30" s="145"/>
      <c r="X30" s="145"/>
      <c r="Y30" s="145"/>
      <c r="Z30" s="145"/>
      <c r="AA30" s="145"/>
      <c r="AB30" s="146">
        <f>D30*U30+E30*V30+F30*W30+G30*X30+H30*Y30+I30*Z30+J30*AA30</f>
        <v>0</v>
      </c>
      <c r="AC30" s="145"/>
      <c r="AD30" s="145"/>
      <c r="AE30" s="145"/>
      <c r="AF30" s="145"/>
      <c r="AG30" s="145"/>
      <c r="AH30" s="145"/>
      <c r="AI30" s="145"/>
      <c r="AJ30" s="145"/>
      <c r="AK30" s="146">
        <f>D30*AD30+E30*AE30+F30*AF30+G30*AG30+H30*AH30+I30*AI30+J30*AJ30</f>
        <v>0</v>
      </c>
    </row>
    <row r="31" spans="1:37">
      <c r="A31" s="141">
        <f t="shared" si="3"/>
        <v>25</v>
      </c>
      <c r="B31" s="156"/>
      <c r="D31" s="143"/>
      <c r="E31" s="143"/>
      <c r="F31" s="143"/>
      <c r="G31" s="143"/>
      <c r="H31" s="143"/>
      <c r="I31" s="143"/>
      <c r="J31" s="143"/>
      <c r="K31" s="143"/>
      <c r="L31" s="143"/>
      <c r="M31" s="143"/>
      <c r="N31" s="143"/>
      <c r="O31" s="143"/>
      <c r="P31" s="143"/>
      <c r="Q31" s="143"/>
      <c r="R31" s="143"/>
      <c r="S31" s="144"/>
      <c r="T31" s="143"/>
      <c r="U31" s="143"/>
      <c r="V31" s="143"/>
      <c r="W31" s="143"/>
      <c r="X31" s="143"/>
      <c r="Y31" s="143"/>
      <c r="Z31" s="143"/>
      <c r="AA31" s="143"/>
      <c r="AB31" s="144"/>
      <c r="AC31" s="143"/>
      <c r="AD31" s="143"/>
      <c r="AE31" s="143"/>
      <c r="AF31" s="143"/>
      <c r="AG31" s="143"/>
      <c r="AH31" s="143"/>
      <c r="AI31" s="143"/>
      <c r="AJ31" s="143"/>
      <c r="AK31" s="144"/>
    </row>
    <row r="32" spans="1:37">
      <c r="A32" s="141">
        <f t="shared" si="3"/>
        <v>26</v>
      </c>
      <c r="B32" s="158" t="str">
        <f>'Sch 137'!B33</f>
        <v>449-459</v>
      </c>
      <c r="D32" s="143"/>
      <c r="E32" s="143"/>
      <c r="F32" s="143"/>
      <c r="G32" s="143"/>
      <c r="H32" s="143"/>
      <c r="I32" s="143"/>
      <c r="J32" s="143">
        <f>SUM(D32:I32)</f>
        <v>0</v>
      </c>
      <c r="K32" s="143"/>
      <c r="L32" s="143"/>
      <c r="M32" s="143"/>
      <c r="N32" s="143"/>
      <c r="O32" s="143"/>
      <c r="P32" s="143"/>
      <c r="Q32" s="143"/>
      <c r="R32" s="143"/>
      <c r="S32" s="144">
        <f>D32*L32+E32*M32+F32*N32+G32*O32+H32*P32+I32*Q32+J32*R32</f>
        <v>0</v>
      </c>
      <c r="T32" s="143"/>
      <c r="U32" s="143"/>
      <c r="V32" s="143"/>
      <c r="W32" s="143"/>
      <c r="X32" s="143"/>
      <c r="Y32" s="143"/>
      <c r="Z32" s="143"/>
      <c r="AA32" s="143"/>
      <c r="AB32" s="144">
        <f>D32*U32+E32*V32+F32*W32+G32*X32+H32*Y32+I32*Z32+J32*AA32</f>
        <v>0</v>
      </c>
      <c r="AC32" s="143"/>
      <c r="AD32" s="143"/>
      <c r="AE32" s="143"/>
      <c r="AF32" s="143"/>
      <c r="AG32" s="143"/>
      <c r="AH32" s="143"/>
      <c r="AI32" s="143"/>
      <c r="AJ32" s="143"/>
      <c r="AK32" s="144">
        <f t="shared" ref="AK32:AK33" si="21">D32*AD32+E32*AE32+F32*AF32+G32*AG32+H32*AH32+I32*AI32+J32*AJ32</f>
        <v>0</v>
      </c>
    </row>
    <row r="33" spans="1:37">
      <c r="A33" s="141">
        <f t="shared" si="3"/>
        <v>27</v>
      </c>
      <c r="B33" s="158" t="str">
        <f>'Sch 137'!B34</f>
        <v>Special Contract</v>
      </c>
      <c r="D33" s="143"/>
      <c r="E33" s="143"/>
      <c r="F33" s="143"/>
      <c r="G33" s="143"/>
      <c r="H33" s="143"/>
      <c r="I33" s="143"/>
      <c r="J33" s="143">
        <f>SUM(D33:I33)</f>
        <v>0</v>
      </c>
      <c r="K33" s="143"/>
      <c r="L33" s="143"/>
      <c r="M33" s="143"/>
      <c r="N33" s="143"/>
      <c r="O33" s="143"/>
      <c r="P33" s="143"/>
      <c r="Q33" s="143"/>
      <c r="R33" s="143"/>
      <c r="S33" s="144">
        <f>D33*L33+E33*M33+F33*N33+G33*O33+H33*P33+I33*Q33+J33*R33</f>
        <v>0</v>
      </c>
      <c r="T33" s="143"/>
      <c r="U33" s="143"/>
      <c r="V33" s="143"/>
      <c r="W33" s="143"/>
      <c r="X33" s="143"/>
      <c r="Y33" s="143"/>
      <c r="Z33" s="143"/>
      <c r="AA33" s="143"/>
      <c r="AB33" s="144">
        <f>D33*U33+E33*V33+F33*W33+G33*X33+H33*Y33+I33*Z33+J33*AA33</f>
        <v>0</v>
      </c>
      <c r="AC33" s="143"/>
      <c r="AD33" s="143"/>
      <c r="AE33" s="143"/>
      <c r="AF33" s="143"/>
      <c r="AG33" s="143"/>
      <c r="AH33" s="143"/>
      <c r="AI33" s="143"/>
      <c r="AJ33" s="143"/>
      <c r="AK33" s="144">
        <f t="shared" si="21"/>
        <v>0</v>
      </c>
    </row>
    <row r="34" spans="1:37">
      <c r="A34" s="141">
        <f t="shared" si="3"/>
        <v>28</v>
      </c>
      <c r="B34" s="157"/>
      <c r="C34" s="142" t="s">
        <v>77</v>
      </c>
      <c r="D34" s="145">
        <f t="shared" ref="D34:J34" si="22">SUM(D32:D33)</f>
        <v>0</v>
      </c>
      <c r="E34" s="145">
        <f t="shared" si="22"/>
        <v>0</v>
      </c>
      <c r="F34" s="145">
        <f t="shared" si="22"/>
        <v>0</v>
      </c>
      <c r="G34" s="145">
        <f t="shared" si="22"/>
        <v>0</v>
      </c>
      <c r="H34" s="145">
        <f t="shared" si="22"/>
        <v>0</v>
      </c>
      <c r="I34" s="145">
        <f t="shared" si="22"/>
        <v>0</v>
      </c>
      <c r="J34" s="145">
        <f t="shared" si="22"/>
        <v>0</v>
      </c>
      <c r="K34" s="145"/>
      <c r="L34" s="145"/>
      <c r="M34" s="145"/>
      <c r="N34" s="145"/>
      <c r="O34" s="145"/>
      <c r="P34" s="145"/>
      <c r="Q34" s="145"/>
      <c r="R34" s="145"/>
      <c r="S34" s="146">
        <f>SUM(S32:S33)</f>
        <v>0</v>
      </c>
      <c r="T34" s="145"/>
      <c r="U34" s="145"/>
      <c r="V34" s="145"/>
      <c r="W34" s="145"/>
      <c r="X34" s="145"/>
      <c r="Y34" s="145"/>
      <c r="Z34" s="145"/>
      <c r="AA34" s="145"/>
      <c r="AB34" s="146">
        <f>SUM(AB32:AB33)</f>
        <v>0</v>
      </c>
      <c r="AC34" s="145"/>
      <c r="AD34" s="145"/>
      <c r="AE34" s="145"/>
      <c r="AF34" s="145"/>
      <c r="AG34" s="145"/>
      <c r="AH34" s="145"/>
      <c r="AI34" s="145"/>
      <c r="AJ34" s="145"/>
      <c r="AK34" s="146">
        <f>SUM(AK32:AK33)</f>
        <v>0</v>
      </c>
    </row>
    <row r="35" spans="1:37">
      <c r="A35" s="141">
        <f t="shared" si="3"/>
        <v>29</v>
      </c>
      <c r="B35" s="156"/>
      <c r="D35" s="143"/>
      <c r="E35" s="143"/>
      <c r="F35" s="143"/>
      <c r="G35" s="143"/>
      <c r="H35" s="143"/>
      <c r="I35" s="143"/>
      <c r="J35" s="143"/>
      <c r="K35" s="143"/>
      <c r="L35" s="143"/>
      <c r="M35" s="143"/>
      <c r="N35" s="143"/>
      <c r="O35" s="143"/>
      <c r="P35" s="143"/>
      <c r="Q35" s="143"/>
      <c r="R35" s="143"/>
      <c r="S35" s="144"/>
      <c r="T35" s="143"/>
      <c r="U35" s="143"/>
      <c r="V35" s="143"/>
      <c r="W35" s="143"/>
      <c r="X35" s="143"/>
      <c r="Y35" s="143"/>
      <c r="Z35" s="143"/>
      <c r="AA35" s="143"/>
      <c r="AB35" s="144"/>
      <c r="AC35" s="143"/>
      <c r="AD35" s="143"/>
      <c r="AE35" s="143"/>
      <c r="AF35" s="143"/>
      <c r="AG35" s="143"/>
      <c r="AH35" s="143"/>
      <c r="AI35" s="143"/>
      <c r="AJ35" s="143"/>
      <c r="AK35" s="144"/>
    </row>
    <row r="36" spans="1:37" ht="12" thickBot="1">
      <c r="A36" s="141">
        <f t="shared" si="3"/>
        <v>30</v>
      </c>
      <c r="B36" s="156"/>
      <c r="C36" s="149" t="s">
        <v>15</v>
      </c>
      <c r="D36" s="151">
        <f t="shared" ref="D36:J36" si="23">SUM(D9,D18,D24,D28,D30,D34)</f>
        <v>21962</v>
      </c>
      <c r="E36" s="151">
        <f t="shared" si="23"/>
        <v>0</v>
      </c>
      <c r="F36" s="151">
        <f t="shared" si="23"/>
        <v>4345288</v>
      </c>
      <c r="G36" s="151">
        <f t="shared" si="23"/>
        <v>457130193.75099999</v>
      </c>
      <c r="H36" s="151">
        <f t="shared" si="23"/>
        <v>62298680.866000004</v>
      </c>
      <c r="I36" s="151">
        <f t="shared" si="23"/>
        <v>224730588.248</v>
      </c>
      <c r="J36" s="151">
        <f t="shared" si="23"/>
        <v>748526712.86500001</v>
      </c>
      <c r="K36" s="151"/>
      <c r="L36" s="151"/>
      <c r="M36" s="151"/>
      <c r="N36" s="151"/>
      <c r="O36" s="151"/>
      <c r="P36" s="151"/>
      <c r="Q36" s="151"/>
      <c r="R36" s="151"/>
      <c r="S36" s="152">
        <f>SUM(S9,S18,S24,S28,S30,S34)</f>
        <v>-1261105.5852851924</v>
      </c>
      <c r="T36" s="151"/>
      <c r="U36" s="151"/>
      <c r="V36" s="151"/>
      <c r="W36" s="151"/>
      <c r="X36" s="151"/>
      <c r="Y36" s="151"/>
      <c r="Z36" s="151"/>
      <c r="AA36" s="151"/>
      <c r="AB36" s="152">
        <f>SUM(AB9,AB18,AB24,AB28,AB30,AB34)</f>
        <v>-1261105.5852851924</v>
      </c>
      <c r="AC36" s="151"/>
      <c r="AD36" s="151"/>
      <c r="AE36" s="151"/>
      <c r="AF36" s="151"/>
      <c r="AG36" s="151"/>
      <c r="AH36" s="151"/>
      <c r="AI36" s="151"/>
      <c r="AJ36" s="151"/>
      <c r="AK36" s="152">
        <f>SUM(AK9,AK18,AK24,AK28,AK30,AK34)</f>
        <v>-1261105.5852851924</v>
      </c>
    </row>
    <row r="37" spans="1:37" ht="12" thickTop="1">
      <c r="A37" s="141">
        <f t="shared" si="3"/>
        <v>31</v>
      </c>
      <c r="B37" s="156"/>
      <c r="S37" s="144"/>
      <c r="AB37" s="144"/>
      <c r="AK37" s="144"/>
    </row>
    <row r="38" spans="1:37">
      <c r="A38" s="141">
        <f t="shared" si="3"/>
        <v>32</v>
      </c>
      <c r="B38" s="158">
        <f>'Sch 137'!B39</f>
        <v>5</v>
      </c>
      <c r="C38" s="142" t="s">
        <v>16</v>
      </c>
      <c r="D38" s="143"/>
      <c r="E38" s="143"/>
      <c r="F38" s="143"/>
      <c r="G38" s="143"/>
      <c r="H38" s="143"/>
      <c r="I38" s="143"/>
      <c r="J38" s="143">
        <f>SUM(D38:F38)</f>
        <v>0</v>
      </c>
      <c r="K38" s="143"/>
      <c r="L38" s="143"/>
      <c r="M38" s="143"/>
      <c r="N38" s="143"/>
      <c r="O38" s="143"/>
      <c r="P38" s="143"/>
      <c r="Q38" s="143"/>
      <c r="R38" s="143"/>
      <c r="S38" s="144">
        <f>D38*L38+E38*M38+F38*N38+G38*O38+H38*P38+I38*Q38+J38*R38</f>
        <v>0</v>
      </c>
      <c r="T38" s="143"/>
      <c r="U38" s="143"/>
      <c r="V38" s="143"/>
      <c r="W38" s="143"/>
      <c r="X38" s="143"/>
      <c r="Y38" s="143"/>
      <c r="Z38" s="143"/>
      <c r="AA38" s="143"/>
      <c r="AB38" s="144">
        <f>D38*U38+E38*V38+F38*W38+G38*X38+H38*Y38+I38*Z38+J38*AA38</f>
        <v>0</v>
      </c>
      <c r="AC38" s="143"/>
      <c r="AD38" s="143"/>
      <c r="AE38" s="143"/>
      <c r="AF38" s="143"/>
      <c r="AG38" s="143"/>
      <c r="AH38" s="143"/>
      <c r="AI38" s="143"/>
      <c r="AJ38" s="143"/>
      <c r="AK38" s="144">
        <f t="shared" ref="AK38" si="24">D38*AD38+E38*AE38+F38*AF38+G38*AG38+H38*AH38+I38*AI38+J38*AJ38</f>
        <v>0</v>
      </c>
    </row>
    <row r="39" spans="1:37">
      <c r="A39" s="141">
        <f t="shared" si="3"/>
        <v>33</v>
      </c>
      <c r="B39" s="156"/>
      <c r="S39" s="144"/>
      <c r="AB39" s="144"/>
      <c r="AK39" s="144"/>
    </row>
    <row r="40" spans="1:37" ht="12" thickBot="1">
      <c r="A40" s="141">
        <f t="shared" si="3"/>
        <v>34</v>
      </c>
      <c r="B40" s="156"/>
      <c r="C40" s="149" t="s">
        <v>17</v>
      </c>
      <c r="D40" s="151">
        <f t="shared" ref="D40:J40" si="25">SUM(D36,D38)</f>
        <v>21962</v>
      </c>
      <c r="E40" s="151">
        <f t="shared" si="25"/>
        <v>0</v>
      </c>
      <c r="F40" s="151">
        <f t="shared" si="25"/>
        <v>4345288</v>
      </c>
      <c r="G40" s="151">
        <f t="shared" si="25"/>
        <v>457130193.75099999</v>
      </c>
      <c r="H40" s="151">
        <f t="shared" si="25"/>
        <v>62298680.866000004</v>
      </c>
      <c r="I40" s="151">
        <f t="shared" si="25"/>
        <v>224730588.248</v>
      </c>
      <c r="J40" s="151">
        <f t="shared" si="25"/>
        <v>748526712.86500001</v>
      </c>
      <c r="K40" s="143"/>
      <c r="L40" s="143"/>
      <c r="M40" s="143"/>
      <c r="N40" s="143"/>
      <c r="O40" s="143"/>
      <c r="P40" s="143"/>
      <c r="Q40" s="143"/>
      <c r="S40" s="152">
        <f>SUM(S36,S38)</f>
        <v>-1261105.5852851924</v>
      </c>
      <c r="T40" s="143"/>
      <c r="U40" s="143"/>
      <c r="V40" s="143"/>
      <c r="W40" s="143"/>
      <c r="X40" s="143"/>
      <c r="Y40" s="143"/>
      <c r="Z40" s="143"/>
      <c r="AB40" s="152">
        <f>SUM(AB36,AB38)</f>
        <v>-1261105.5852851924</v>
      </c>
      <c r="AC40" s="143"/>
      <c r="AD40" s="143"/>
      <c r="AE40" s="143"/>
      <c r="AF40" s="143"/>
      <c r="AG40" s="143"/>
      <c r="AH40" s="143"/>
      <c r="AI40" s="143"/>
      <c r="AK40" s="152">
        <f>SUM(AK36,AK38)</f>
        <v>-1261105.5852851924</v>
      </c>
    </row>
    <row r="41" spans="1:37" ht="12" thickTop="1">
      <c r="F41" s="153"/>
      <c r="G41" s="153"/>
      <c r="H41" s="153"/>
      <c r="I41" s="153"/>
      <c r="J41" s="155">
        <v>0</v>
      </c>
    </row>
    <row r="42" spans="1:37">
      <c r="F42" s="154"/>
      <c r="G42" s="154"/>
      <c r="H42" s="154"/>
      <c r="I42" s="154"/>
      <c r="J42" s="154" t="s">
        <v>207</v>
      </c>
    </row>
  </sheetData>
  <mergeCells count="7">
    <mergeCell ref="L5:S5"/>
    <mergeCell ref="U5:AB5"/>
    <mergeCell ref="AD5:AK5"/>
    <mergeCell ref="A1:N1"/>
    <mergeCell ref="A2:N2"/>
    <mergeCell ref="A3:N3"/>
    <mergeCell ref="A4:N4"/>
  </mergeCells>
  <pageMargins left="0.7" right="0.7" top="0.75" bottom="0.75" header="0.3" footer="0.3"/>
  <pageSetup scale="33" orientation="landscape" horizontalDpi="360" verticalDpi="360" r:id="rId1"/>
  <headerFooter>
    <oddFooter>&amp;R&amp;F
&amp;A
&amp;P of &amp;N</oddFooter>
  </headerFooter>
  <customProperties>
    <customPr name="_pios_id" r:id="rId2"/>
  </customProperties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6" tint="0.79998168889431442"/>
    <pageSetUpPr fitToPage="1"/>
  </sheetPr>
  <dimension ref="A1:N45"/>
  <sheetViews>
    <sheetView workbookViewId="0">
      <pane ySplit="7" topLeftCell="A8" activePane="bottomLeft" state="frozen"/>
      <selection activeCell="U42" sqref="U42"/>
      <selection pane="bottomLeft" activeCell="U42" sqref="U42"/>
    </sheetView>
  </sheetViews>
  <sheetFormatPr defaultColWidth="8.85546875" defaultRowHeight="11.25"/>
  <cols>
    <col min="1" max="1" width="4.42578125" style="3" bestFit="1" customWidth="1"/>
    <col min="2" max="2" width="14.85546875" style="3" bestFit="1" customWidth="1"/>
    <col min="3" max="3" width="21.7109375" style="3" bestFit="1" customWidth="1"/>
    <col min="4" max="4" width="15.140625" style="3" bestFit="1" customWidth="1"/>
    <col min="5" max="5" width="11" style="3" customWidth="1"/>
    <col min="6" max="6" width="11.85546875" style="3" customWidth="1"/>
    <col min="7" max="7" width="0.85546875" style="3" customWidth="1"/>
    <col min="8" max="8" width="12.85546875" style="3" bestFit="1" customWidth="1"/>
    <col min="9" max="9" width="10" style="3" bestFit="1" customWidth="1"/>
    <col min="10" max="10" width="11.5703125" style="3" bestFit="1" customWidth="1"/>
    <col min="11" max="11" width="1" style="3" customWidth="1"/>
    <col min="12" max="12" width="12.85546875" style="3" bestFit="1" customWidth="1"/>
    <col min="13" max="13" width="10" style="3" bestFit="1" customWidth="1"/>
    <col min="14" max="14" width="13.42578125" style="3" customWidth="1"/>
    <col min="15" max="16384" width="8.85546875" style="3"/>
  </cols>
  <sheetData>
    <row r="1" spans="1:14" s="15" customFormat="1" ht="12.75" customHeight="1">
      <c r="A1" s="459" t="str">
        <f>'Exh CTM-8 (Rate Impacts_RY#1)'!A1</f>
        <v>Puget Sound Energy</v>
      </c>
      <c r="B1" s="460"/>
      <c r="C1" s="460"/>
      <c r="D1" s="460"/>
      <c r="E1" s="460"/>
      <c r="F1" s="460"/>
      <c r="G1" s="460"/>
      <c r="H1" s="460"/>
      <c r="I1" s="460"/>
      <c r="J1" s="460"/>
      <c r="K1" s="460"/>
      <c r="L1" s="460"/>
      <c r="M1" s="460"/>
      <c r="N1" s="460"/>
    </row>
    <row r="2" spans="1:14" s="15" customFormat="1" ht="12.75">
      <c r="A2" s="459" t="str">
        <f>'Exh CTM-8 (Rate Impacts_RY#1)'!A2</f>
        <v>2024 General Rate Case Docket No. UE-240004 and UG-240005</v>
      </c>
      <c r="B2" s="460"/>
      <c r="C2" s="460"/>
      <c r="D2" s="460"/>
      <c r="E2" s="460"/>
      <c r="F2" s="460"/>
      <c r="G2" s="460"/>
      <c r="H2" s="460"/>
      <c r="I2" s="460"/>
      <c r="J2" s="460"/>
      <c r="K2" s="460"/>
      <c r="L2" s="460"/>
      <c r="M2" s="460"/>
      <c r="N2" s="460"/>
    </row>
    <row r="3" spans="1:14" s="15" customFormat="1" ht="12.75">
      <c r="A3" s="545" t="s">
        <v>213</v>
      </c>
      <c r="B3" s="470"/>
      <c r="C3" s="470"/>
      <c r="D3" s="470"/>
      <c r="E3" s="470"/>
      <c r="F3" s="471"/>
      <c r="G3" s="471"/>
      <c r="H3" s="471"/>
      <c r="I3" s="471"/>
      <c r="J3" s="471"/>
      <c r="K3" s="471"/>
      <c r="L3" s="471"/>
      <c r="M3" s="471"/>
      <c r="N3" s="471"/>
    </row>
    <row r="4" spans="1:14" s="15" customFormat="1" ht="12.75">
      <c r="A4" s="545" t="s">
        <v>177</v>
      </c>
      <c r="B4" s="470"/>
      <c r="C4" s="470"/>
      <c r="D4" s="470"/>
      <c r="E4" s="470"/>
      <c r="F4" s="471"/>
      <c r="G4" s="471"/>
      <c r="H4" s="471"/>
      <c r="I4" s="471"/>
      <c r="J4" s="471"/>
      <c r="K4" s="471"/>
      <c r="L4" s="471"/>
      <c r="M4" s="471"/>
      <c r="N4" s="471"/>
    </row>
    <row r="5" spans="1:14" s="15" customFormat="1">
      <c r="A5" s="456"/>
      <c r="B5" s="456"/>
      <c r="C5" s="456"/>
      <c r="D5" s="456"/>
      <c r="E5" s="456"/>
      <c r="F5" s="44"/>
    </row>
    <row r="6" spans="1:14" s="15" customFormat="1" ht="12.75">
      <c r="A6" s="45"/>
      <c r="B6" s="44"/>
      <c r="C6" s="44"/>
      <c r="D6" s="44"/>
      <c r="H6" s="546" t="str">
        <f>'Sch 95'!H6</f>
        <v>MYRP January 2025</v>
      </c>
      <c r="I6" s="494"/>
      <c r="J6" s="493"/>
      <c r="K6" s="132">
        <f>'Sch 95'!K6</f>
        <v>0</v>
      </c>
      <c r="L6" s="546" t="str">
        <f>'Sch 95'!L6</f>
        <v>MYRP January 2026</v>
      </c>
      <c r="M6" s="547"/>
      <c r="N6" s="548"/>
    </row>
    <row r="7" spans="1:14" s="15" customFormat="1" ht="45">
      <c r="A7" s="97" t="s">
        <v>2</v>
      </c>
      <c r="B7" s="97" t="s">
        <v>3</v>
      </c>
      <c r="C7" s="97" t="s">
        <v>14</v>
      </c>
      <c r="D7" s="133" t="str">
        <f>'Sch 139'!J6</f>
        <v>GD Actual Loads for the Test Year ending June 30, 2023</v>
      </c>
      <c r="E7" s="133" t="str">
        <f>'Sch 95'!E7</f>
        <v>Current Rates as of January 2024 (1)</v>
      </c>
      <c r="F7" s="133" t="str">
        <f>'Sch 95'!F7</f>
        <v>Annual Delivered $</v>
      </c>
      <c r="G7" s="133">
        <f>'Sch 95'!G7</f>
        <v>0</v>
      </c>
      <c r="H7" s="133" t="str">
        <f>'Sch 95'!H7</f>
        <v>Annual Delivered KWh</v>
      </c>
      <c r="I7" s="133" t="str">
        <f>'Sch 95'!I7</f>
        <v>Rates Effective January 2025</v>
      </c>
      <c r="J7" s="133" t="str">
        <f>'Sch 95'!J7</f>
        <v>Annual Delivered $</v>
      </c>
      <c r="K7" s="133">
        <f>'Sch 95'!K7</f>
        <v>0</v>
      </c>
      <c r="L7" s="133" t="str">
        <f>'Sch 95'!L7</f>
        <v>Annual Delivered KWh</v>
      </c>
      <c r="M7" s="133" t="str">
        <f>'Sch 95'!M7</f>
        <v>Rates Effective January 2026</v>
      </c>
      <c r="N7" s="133" t="str">
        <f>'Sch 95'!N7</f>
        <v>Annual Delivered $</v>
      </c>
    </row>
    <row r="8" spans="1:14">
      <c r="A8" s="2">
        <v>1</v>
      </c>
      <c r="B8" s="132" t="str">
        <f>'Sch 95'!B8</f>
        <v xml:space="preserve"> 7 (307) (317) (327)</v>
      </c>
      <c r="D8" s="116">
        <f>'Sch 139'!J7</f>
        <v>0</v>
      </c>
      <c r="E8" s="164">
        <v>0</v>
      </c>
      <c r="F8" s="12">
        <f>D8*E8</f>
        <v>0</v>
      </c>
      <c r="H8" s="4">
        <f>D8</f>
        <v>0</v>
      </c>
      <c r="I8" s="11">
        <f>E8</f>
        <v>0</v>
      </c>
      <c r="J8" s="12">
        <f>$I8*H8</f>
        <v>0</v>
      </c>
      <c r="K8" s="12"/>
      <c r="L8" s="4">
        <f>H8</f>
        <v>0</v>
      </c>
      <c r="M8" s="11">
        <f>I8</f>
        <v>0</v>
      </c>
      <c r="N8" s="12">
        <f>$M8*L8</f>
        <v>0</v>
      </c>
    </row>
    <row r="9" spans="1:14">
      <c r="A9" s="2">
        <f t="shared" ref="A9:A41" si="0">+A8+1</f>
        <v>2</v>
      </c>
      <c r="B9" s="132" t="str">
        <f>'Sch 95'!B9</f>
        <v xml:space="preserve">7A </v>
      </c>
      <c r="D9" s="116">
        <f>'Sch 139'!J8</f>
        <v>0</v>
      </c>
      <c r="E9" s="164">
        <v>0</v>
      </c>
      <c r="F9" s="12">
        <f>D9*E9</f>
        <v>0</v>
      </c>
      <c r="H9" s="4">
        <f>D9</f>
        <v>0</v>
      </c>
      <c r="I9" s="11">
        <f>E9</f>
        <v>0</v>
      </c>
      <c r="J9" s="12">
        <f>$I9*H9</f>
        <v>0</v>
      </c>
      <c r="K9" s="12"/>
      <c r="L9" s="4">
        <f>H9</f>
        <v>0</v>
      </c>
      <c r="M9" s="11">
        <f>I9</f>
        <v>0</v>
      </c>
      <c r="N9" s="12">
        <f>$M9*L9</f>
        <v>0</v>
      </c>
    </row>
    <row r="10" spans="1:14">
      <c r="A10" s="2">
        <f t="shared" si="0"/>
        <v>3</v>
      </c>
      <c r="B10" s="2"/>
      <c r="C10" s="3" t="s">
        <v>4</v>
      </c>
      <c r="D10" s="6">
        <f>SUM(D8:D9)</f>
        <v>0</v>
      </c>
      <c r="E10" s="130"/>
      <c r="F10" s="13">
        <f t="shared" ref="F10" si="1">SUM(F8:F9)</f>
        <v>0</v>
      </c>
      <c r="H10" s="6">
        <f>SUM(H8:H9)</f>
        <v>0</v>
      </c>
      <c r="I10" s="11"/>
      <c r="J10" s="13">
        <f t="shared" ref="J10" si="2">SUM(J8:J9)</f>
        <v>0</v>
      </c>
      <c r="K10" s="12"/>
      <c r="L10" s="6">
        <f>SUM(L8:L9)</f>
        <v>0</v>
      </c>
      <c r="M10" s="11"/>
      <c r="N10" s="13">
        <f t="shared" ref="N10" si="3">SUM(N8:N9)</f>
        <v>0</v>
      </c>
    </row>
    <row r="11" spans="1:14">
      <c r="A11" s="2">
        <f t="shared" si="0"/>
        <v>4</v>
      </c>
      <c r="B11" s="2"/>
      <c r="D11" s="4"/>
      <c r="E11" s="130"/>
      <c r="F11" s="12"/>
      <c r="H11" s="4"/>
      <c r="I11" s="11"/>
      <c r="J11" s="12"/>
      <c r="K11" s="12"/>
      <c r="L11" s="4"/>
      <c r="M11" s="11"/>
      <c r="N11" s="12"/>
    </row>
    <row r="12" spans="1:14">
      <c r="A12" s="2">
        <f t="shared" si="0"/>
        <v>5</v>
      </c>
      <c r="B12" s="132">
        <f>'Sch 95'!B12</f>
        <v>8</v>
      </c>
      <c r="D12" s="116">
        <f>'Sch 139'!J11</f>
        <v>0</v>
      </c>
      <c r="E12" s="164">
        <v>0</v>
      </c>
      <c r="F12" s="12">
        <f t="shared" ref="F12:F18" si="4">D12*E12</f>
        <v>0</v>
      </c>
      <c r="H12" s="4">
        <f>D12</f>
        <v>0</v>
      </c>
      <c r="I12" s="11">
        <f t="shared" ref="I12:I18" si="5">E12</f>
        <v>0</v>
      </c>
      <c r="J12" s="12">
        <f t="shared" ref="J12:J18" si="6">$I12*H12</f>
        <v>0</v>
      </c>
      <c r="K12" s="12"/>
      <c r="L12" s="4">
        <f>H12</f>
        <v>0</v>
      </c>
      <c r="M12" s="11">
        <f t="shared" ref="M12:M18" si="7">I12</f>
        <v>0</v>
      </c>
      <c r="N12" s="12">
        <f t="shared" ref="N12:N18" si="8">$M12*L12</f>
        <v>0</v>
      </c>
    </row>
    <row r="13" spans="1:14">
      <c r="A13" s="2">
        <f t="shared" si="0"/>
        <v>6</v>
      </c>
      <c r="B13" s="132" t="str">
        <f>'Sch 95'!B13</f>
        <v>24 (324)</v>
      </c>
      <c r="D13" s="116">
        <f>'Sch 139'!J12</f>
        <v>94177248.534999996</v>
      </c>
      <c r="E13" s="129">
        <v>-3.2320000000000001E-3</v>
      </c>
      <c r="F13" s="12">
        <f t="shared" si="4"/>
        <v>-304380.86726511997</v>
      </c>
      <c r="H13" s="4">
        <f>D13</f>
        <v>94177248.534999996</v>
      </c>
      <c r="I13" s="11">
        <f t="shared" si="5"/>
        <v>-3.2320000000000001E-3</v>
      </c>
      <c r="J13" s="12">
        <f t="shared" si="6"/>
        <v>-304380.86726511997</v>
      </c>
      <c r="K13" s="12"/>
      <c r="L13" s="4">
        <f>H13</f>
        <v>94177248.534999996</v>
      </c>
      <c r="M13" s="11">
        <f t="shared" si="7"/>
        <v>-3.2320000000000001E-3</v>
      </c>
      <c r="N13" s="12">
        <f t="shared" si="8"/>
        <v>-304380.86726511997</v>
      </c>
    </row>
    <row r="14" spans="1:14">
      <c r="A14" s="2">
        <f t="shared" si="0"/>
        <v>7</v>
      </c>
      <c r="B14" s="132">
        <f>'Sch 95'!B14</f>
        <v>11</v>
      </c>
      <c r="D14" s="116">
        <f>'Sch 139'!J13</f>
        <v>0</v>
      </c>
      <c r="E14" s="164">
        <v>0</v>
      </c>
      <c r="F14" s="12">
        <f t="shared" si="4"/>
        <v>0</v>
      </c>
      <c r="H14" s="4">
        <f t="shared" ref="H14:H18" si="9">D14</f>
        <v>0</v>
      </c>
      <c r="I14" s="11">
        <f t="shared" si="5"/>
        <v>0</v>
      </c>
      <c r="J14" s="12">
        <f t="shared" si="6"/>
        <v>0</v>
      </c>
      <c r="K14" s="12"/>
      <c r="L14" s="4">
        <f t="shared" ref="L14:L18" si="10">H14</f>
        <v>0</v>
      </c>
      <c r="M14" s="11">
        <f t="shared" si="7"/>
        <v>0</v>
      </c>
      <c r="N14" s="12">
        <f t="shared" si="8"/>
        <v>0</v>
      </c>
    </row>
    <row r="15" spans="1:14">
      <c r="A15" s="2">
        <f t="shared" si="0"/>
        <v>8</v>
      </c>
      <c r="B15" s="132">
        <f>'Sch 95'!B15</f>
        <v>25</v>
      </c>
      <c r="D15" s="116">
        <f>'Sch 139'!J14</f>
        <v>142675539.63300002</v>
      </c>
      <c r="E15" s="163">
        <f>$E$13</f>
        <v>-3.2320000000000001E-3</v>
      </c>
      <c r="F15" s="12">
        <f t="shared" si="4"/>
        <v>-461127.34409385605</v>
      </c>
      <c r="H15" s="4">
        <f t="shared" si="9"/>
        <v>142675539.63300002</v>
      </c>
      <c r="I15" s="11">
        <f t="shared" si="5"/>
        <v>-3.2320000000000001E-3</v>
      </c>
      <c r="J15" s="12">
        <f t="shared" si="6"/>
        <v>-461127.34409385605</v>
      </c>
      <c r="K15" s="12"/>
      <c r="L15" s="4">
        <f t="shared" si="10"/>
        <v>142675539.63300002</v>
      </c>
      <c r="M15" s="11">
        <f t="shared" si="7"/>
        <v>-3.2320000000000001E-3</v>
      </c>
      <c r="N15" s="12">
        <f t="shared" si="8"/>
        <v>-461127.34409385605</v>
      </c>
    </row>
    <row r="16" spans="1:14">
      <c r="A16" s="2">
        <f t="shared" si="0"/>
        <v>9</v>
      </c>
      <c r="B16" s="132">
        <f>'Sch 95'!B16</f>
        <v>12</v>
      </c>
      <c r="D16" s="116">
        <f>'Sch 139'!J15</f>
        <v>0</v>
      </c>
      <c r="E16" s="164">
        <v>0</v>
      </c>
      <c r="F16" s="12">
        <f t="shared" si="4"/>
        <v>0</v>
      </c>
      <c r="H16" s="4">
        <f t="shared" si="9"/>
        <v>0</v>
      </c>
      <c r="I16" s="11">
        <f t="shared" si="5"/>
        <v>0</v>
      </c>
      <c r="J16" s="12">
        <f t="shared" si="6"/>
        <v>0</v>
      </c>
      <c r="K16" s="12"/>
      <c r="L16" s="4">
        <f t="shared" si="10"/>
        <v>0</v>
      </c>
      <c r="M16" s="11">
        <f t="shared" si="7"/>
        <v>0</v>
      </c>
      <c r="N16" s="12">
        <f t="shared" si="8"/>
        <v>0</v>
      </c>
    </row>
    <row r="17" spans="1:14">
      <c r="A17" s="2">
        <f t="shared" si="0"/>
        <v>10</v>
      </c>
      <c r="B17" s="132" t="str">
        <f>'Sch 95'!B17</f>
        <v>26 &amp; 26P</v>
      </c>
      <c r="D17" s="116">
        <f>'Sch 139'!J16</f>
        <v>228642142.42099997</v>
      </c>
      <c r="E17" s="163">
        <f t="shared" ref="E17" si="11">$E$8</f>
        <v>0</v>
      </c>
      <c r="F17" s="12">
        <f t="shared" si="4"/>
        <v>0</v>
      </c>
      <c r="H17" s="4">
        <f t="shared" si="9"/>
        <v>228642142.42099997</v>
      </c>
      <c r="I17" s="11">
        <f t="shared" si="5"/>
        <v>0</v>
      </c>
      <c r="J17" s="12">
        <f t="shared" si="6"/>
        <v>0</v>
      </c>
      <c r="K17" s="12"/>
      <c r="L17" s="4">
        <f t="shared" si="10"/>
        <v>228642142.42099997</v>
      </c>
      <c r="M17" s="11">
        <f t="shared" si="7"/>
        <v>0</v>
      </c>
      <c r="N17" s="12">
        <f t="shared" si="8"/>
        <v>0</v>
      </c>
    </row>
    <row r="18" spans="1:14">
      <c r="A18" s="2">
        <f t="shared" si="0"/>
        <v>11</v>
      </c>
      <c r="B18" s="132">
        <f>'Sch 95'!B18</f>
        <v>29</v>
      </c>
      <c r="D18" s="116">
        <f>'Sch 139'!J17</f>
        <v>0</v>
      </c>
      <c r="E18" s="164">
        <v>0</v>
      </c>
      <c r="F18" s="12">
        <f t="shared" si="4"/>
        <v>0</v>
      </c>
      <c r="H18" s="4">
        <f t="shared" si="9"/>
        <v>0</v>
      </c>
      <c r="I18" s="11">
        <f t="shared" si="5"/>
        <v>0</v>
      </c>
      <c r="J18" s="12">
        <f t="shared" si="6"/>
        <v>0</v>
      </c>
      <c r="K18" s="12"/>
      <c r="L18" s="4">
        <f t="shared" si="10"/>
        <v>0</v>
      </c>
      <c r="M18" s="11">
        <f t="shared" si="7"/>
        <v>0</v>
      </c>
      <c r="N18" s="12">
        <f t="shared" si="8"/>
        <v>0</v>
      </c>
    </row>
    <row r="19" spans="1:14">
      <c r="A19" s="2">
        <f t="shared" si="0"/>
        <v>12</v>
      </c>
      <c r="B19" s="2"/>
      <c r="C19" s="7" t="s">
        <v>6</v>
      </c>
      <c r="D19" s="6">
        <f>SUM(D12:D18)</f>
        <v>465494930.58899999</v>
      </c>
      <c r="E19" s="130"/>
      <c r="F19" s="13">
        <f t="shared" ref="F19" si="12">SUM(F12:F18)</f>
        <v>-765508.21135897608</v>
      </c>
      <c r="H19" s="6">
        <f>SUM(H12:H18)</f>
        <v>465494930.58899999</v>
      </c>
      <c r="I19" s="11"/>
      <c r="J19" s="13">
        <f t="shared" ref="J19" si="13">SUM(J12:J18)</f>
        <v>-765508.21135897608</v>
      </c>
      <c r="K19" s="12"/>
      <c r="L19" s="6">
        <f>SUM(L12:L18)</f>
        <v>465494930.58899999</v>
      </c>
      <c r="M19" s="11"/>
      <c r="N19" s="13">
        <f t="shared" ref="N19" si="14">SUM(N12:N18)</f>
        <v>-765508.21135897608</v>
      </c>
    </row>
    <row r="20" spans="1:14">
      <c r="A20" s="2">
        <f t="shared" si="0"/>
        <v>13</v>
      </c>
      <c r="B20" s="2"/>
      <c r="D20" s="4"/>
      <c r="E20" s="130"/>
      <c r="F20" s="12"/>
      <c r="H20" s="4"/>
      <c r="I20" s="11"/>
      <c r="J20" s="12"/>
      <c r="K20" s="12"/>
      <c r="L20" s="4"/>
      <c r="M20" s="11"/>
      <c r="N20" s="12"/>
    </row>
    <row r="21" spans="1:14">
      <c r="A21" s="2">
        <f t="shared" si="0"/>
        <v>14</v>
      </c>
      <c r="B21" s="132">
        <f>'Sch 95'!B21</f>
        <v>10</v>
      </c>
      <c r="D21" s="116">
        <f>'Sch 139'!J20</f>
        <v>0</v>
      </c>
      <c r="E21" s="164">
        <v>0</v>
      </c>
      <c r="F21" s="12">
        <f t="shared" ref="F21:F24" si="15">D21*E21</f>
        <v>0</v>
      </c>
      <c r="H21" s="4">
        <f t="shared" ref="H21:I24" si="16">D21</f>
        <v>0</v>
      </c>
      <c r="I21" s="11">
        <f t="shared" si="16"/>
        <v>0</v>
      </c>
      <c r="J21" s="12">
        <f t="shared" ref="J21:J24" si="17">$I21*H21</f>
        <v>0</v>
      </c>
      <c r="K21" s="12"/>
      <c r="L21" s="4">
        <f t="shared" ref="L21:L24" si="18">H21</f>
        <v>0</v>
      </c>
      <c r="M21" s="11">
        <f t="shared" ref="M21:M24" si="19">I21</f>
        <v>0</v>
      </c>
      <c r="N21" s="12">
        <f t="shared" ref="N21:N24" si="20">$M21*L21</f>
        <v>0</v>
      </c>
    </row>
    <row r="22" spans="1:14">
      <c r="A22" s="2">
        <f t="shared" si="0"/>
        <v>15</v>
      </c>
      <c r="B22" s="132">
        <f>'Sch 95'!B22</f>
        <v>31</v>
      </c>
      <c r="D22" s="116">
        <f>'Sch 139'!J21</f>
        <v>125966623.53999999</v>
      </c>
      <c r="E22" s="163">
        <f>$E$13</f>
        <v>-3.2320000000000001E-3</v>
      </c>
      <c r="F22" s="12">
        <f t="shared" si="15"/>
        <v>-407124.12728128</v>
      </c>
      <c r="H22" s="4">
        <f t="shared" si="16"/>
        <v>125966623.53999999</v>
      </c>
      <c r="I22" s="11">
        <f t="shared" si="16"/>
        <v>-3.2320000000000001E-3</v>
      </c>
      <c r="J22" s="12">
        <f t="shared" si="17"/>
        <v>-407124.12728128</v>
      </c>
      <c r="K22" s="12"/>
      <c r="L22" s="4">
        <f t="shared" si="18"/>
        <v>125966623.53999999</v>
      </c>
      <c r="M22" s="11">
        <f t="shared" si="19"/>
        <v>-3.2320000000000001E-3</v>
      </c>
      <c r="N22" s="12">
        <f t="shared" si="20"/>
        <v>-407124.12728128</v>
      </c>
    </row>
    <row r="23" spans="1:14">
      <c r="A23" s="2">
        <f t="shared" si="0"/>
        <v>16</v>
      </c>
      <c r="B23" s="132">
        <f>'Sch 95'!B23</f>
        <v>35</v>
      </c>
      <c r="D23" s="116">
        <f>'Sch 139'!J22</f>
        <v>0</v>
      </c>
      <c r="E23" s="164">
        <v>0</v>
      </c>
      <c r="F23" s="12">
        <f t="shared" si="15"/>
        <v>0</v>
      </c>
      <c r="H23" s="4">
        <f t="shared" si="16"/>
        <v>0</v>
      </c>
      <c r="I23" s="11">
        <f t="shared" si="16"/>
        <v>0</v>
      </c>
      <c r="J23" s="12">
        <f t="shared" si="17"/>
        <v>0</v>
      </c>
      <c r="K23" s="12"/>
      <c r="L23" s="4">
        <f t="shared" si="18"/>
        <v>0</v>
      </c>
      <c r="M23" s="11">
        <f t="shared" si="19"/>
        <v>0</v>
      </c>
      <c r="N23" s="12">
        <f t="shared" si="20"/>
        <v>0</v>
      </c>
    </row>
    <row r="24" spans="1:14">
      <c r="A24" s="2">
        <f t="shared" si="0"/>
        <v>17</v>
      </c>
      <c r="B24" s="132">
        <f>'Sch 95'!B24</f>
        <v>43</v>
      </c>
      <c r="D24" s="116">
        <f>'Sch 139'!J23</f>
        <v>8246400</v>
      </c>
      <c r="E24" s="163">
        <f>$E$13</f>
        <v>-3.2320000000000001E-3</v>
      </c>
      <c r="F24" s="12">
        <f t="shared" si="15"/>
        <v>-26652.364799999999</v>
      </c>
      <c r="H24" s="4">
        <f t="shared" si="16"/>
        <v>8246400</v>
      </c>
      <c r="I24" s="11">
        <f t="shared" si="16"/>
        <v>-3.2320000000000001E-3</v>
      </c>
      <c r="J24" s="12">
        <f t="shared" si="17"/>
        <v>-26652.364799999999</v>
      </c>
      <c r="K24" s="12"/>
      <c r="L24" s="4">
        <f t="shared" si="18"/>
        <v>8246400</v>
      </c>
      <c r="M24" s="11">
        <f t="shared" si="19"/>
        <v>-3.2320000000000001E-3</v>
      </c>
      <c r="N24" s="12">
        <f t="shared" si="20"/>
        <v>-26652.364799999999</v>
      </c>
    </row>
    <row r="25" spans="1:14">
      <c r="A25" s="2">
        <f t="shared" si="0"/>
        <v>18</v>
      </c>
      <c r="B25" s="2"/>
      <c r="C25" s="3" t="s">
        <v>7</v>
      </c>
      <c r="D25" s="6">
        <f>SUM(D21:D24)</f>
        <v>134213023.53999999</v>
      </c>
      <c r="E25" s="130"/>
      <c r="F25" s="13">
        <f t="shared" ref="F25" si="21">SUM(F21:F24)</f>
        <v>-433776.49208127998</v>
      </c>
      <c r="H25" s="6">
        <f>SUM(H21:H24)</f>
        <v>134213023.53999999</v>
      </c>
      <c r="I25" s="11"/>
      <c r="J25" s="13">
        <f t="shared" ref="J25" si="22">SUM(J21:J24)</f>
        <v>-433776.49208127998</v>
      </c>
      <c r="K25" s="12"/>
      <c r="L25" s="6">
        <f>SUM(L21:L24)</f>
        <v>134213023.53999999</v>
      </c>
      <c r="M25" s="11"/>
      <c r="N25" s="13">
        <f t="shared" ref="N25" si="23">SUM(N21:N24)</f>
        <v>-433776.49208127998</v>
      </c>
    </row>
    <row r="26" spans="1:14">
      <c r="A26" s="2">
        <f t="shared" si="0"/>
        <v>19</v>
      </c>
      <c r="B26" s="2"/>
      <c r="D26" s="4"/>
      <c r="E26" s="130"/>
      <c r="F26" s="12"/>
      <c r="H26" s="4"/>
      <c r="I26" s="11"/>
      <c r="J26" s="12"/>
      <c r="K26" s="12"/>
      <c r="L26" s="4"/>
      <c r="M26" s="11"/>
      <c r="N26" s="12"/>
    </row>
    <row r="27" spans="1:14">
      <c r="A27" s="2">
        <f t="shared" si="0"/>
        <v>20</v>
      </c>
      <c r="B27" s="132">
        <f>'Sch 95'!B27</f>
        <v>46</v>
      </c>
      <c r="D27" s="116">
        <f>'Sch 139'!J26</f>
        <v>11887060.560000001</v>
      </c>
      <c r="E27" s="163">
        <f>$E$13</f>
        <v>-3.2320000000000001E-3</v>
      </c>
      <c r="F27" s="12">
        <f t="shared" ref="F27:F28" si="24">D27*E27</f>
        <v>-38418.97972992</v>
      </c>
      <c r="H27" s="4">
        <f t="shared" ref="H27:I28" si="25">D27</f>
        <v>11887060.560000001</v>
      </c>
      <c r="I27" s="11">
        <f t="shared" si="25"/>
        <v>-3.2320000000000001E-3</v>
      </c>
      <c r="J27" s="12">
        <f t="shared" ref="J27:J28" si="26">$I27*H27</f>
        <v>-38418.97972992</v>
      </c>
      <c r="K27" s="12"/>
      <c r="L27" s="4">
        <f t="shared" ref="L27:L28" si="27">H27</f>
        <v>11887060.560000001</v>
      </c>
      <c r="M27" s="11">
        <f t="shared" ref="M27:M28" si="28">I27</f>
        <v>-3.2320000000000001E-3</v>
      </c>
      <c r="N27" s="12">
        <f t="shared" ref="N27:N28" si="29">$M27*L27</f>
        <v>-38418.97972992</v>
      </c>
    </row>
    <row r="28" spans="1:14">
      <c r="A28" s="2">
        <f t="shared" si="0"/>
        <v>21</v>
      </c>
      <c r="B28" s="132">
        <f>'Sch 95'!B28</f>
        <v>49</v>
      </c>
      <c r="D28" s="116">
        <f>'Sch 139'!J27</f>
        <v>136931698.17600003</v>
      </c>
      <c r="E28" s="163">
        <f>$E$13</f>
        <v>-3.2320000000000001E-3</v>
      </c>
      <c r="F28" s="12">
        <f t="shared" si="24"/>
        <v>-442563.2485048321</v>
      </c>
      <c r="H28" s="4">
        <f t="shared" si="25"/>
        <v>136931698.17600003</v>
      </c>
      <c r="I28" s="11">
        <f t="shared" si="25"/>
        <v>-3.2320000000000001E-3</v>
      </c>
      <c r="J28" s="12">
        <f t="shared" si="26"/>
        <v>-442563.2485048321</v>
      </c>
      <c r="K28" s="12"/>
      <c r="L28" s="4">
        <f t="shared" si="27"/>
        <v>136931698.17600003</v>
      </c>
      <c r="M28" s="11">
        <f t="shared" si="28"/>
        <v>-3.2320000000000001E-3</v>
      </c>
      <c r="N28" s="12">
        <f t="shared" si="29"/>
        <v>-442563.2485048321</v>
      </c>
    </row>
    <row r="29" spans="1:14">
      <c r="A29" s="2">
        <f t="shared" si="0"/>
        <v>22</v>
      </c>
      <c r="B29" s="2"/>
      <c r="C29" s="3" t="s">
        <v>8</v>
      </c>
      <c r="D29" s="6">
        <f>SUM(D27:D28)</f>
        <v>148818758.73600003</v>
      </c>
      <c r="E29" s="11"/>
      <c r="F29" s="13">
        <f t="shared" ref="F29" si="30">SUM(F27:F28)</f>
        <v>-480982.22823475208</v>
      </c>
      <c r="H29" s="6">
        <f>SUM(H27:H28)</f>
        <v>148818758.73600003</v>
      </c>
      <c r="I29" s="11"/>
      <c r="J29" s="13">
        <f t="shared" ref="J29" si="31">SUM(J27:J28)</f>
        <v>-480982.22823475208</v>
      </c>
      <c r="K29" s="12"/>
      <c r="L29" s="6">
        <f>SUM(L27:L28)</f>
        <v>148818758.73600003</v>
      </c>
      <c r="M29" s="11"/>
      <c r="N29" s="13">
        <f t="shared" ref="N29" si="32">SUM(N27:N28)</f>
        <v>-480982.22823475208</v>
      </c>
    </row>
    <row r="30" spans="1:14">
      <c r="A30" s="2">
        <f t="shared" si="0"/>
        <v>23</v>
      </c>
      <c r="B30" s="2"/>
      <c r="D30" s="4"/>
      <c r="E30" s="11"/>
      <c r="F30" s="12"/>
      <c r="H30" s="4"/>
      <c r="I30" s="11"/>
      <c r="J30" s="12"/>
      <c r="K30" s="12"/>
      <c r="L30" s="4"/>
      <c r="M30" s="11"/>
      <c r="N30" s="12"/>
    </row>
    <row r="31" spans="1:14">
      <c r="A31" s="2">
        <f t="shared" si="0"/>
        <v>24</v>
      </c>
      <c r="B31" s="132" t="str">
        <f>'Sch 95'!B31</f>
        <v>03, 50-59</v>
      </c>
      <c r="D31" s="116">
        <f>'Sch 139'!J30</f>
        <v>0</v>
      </c>
      <c r="E31" s="164">
        <v>0</v>
      </c>
      <c r="F31" s="13">
        <f>D31*E31</f>
        <v>0</v>
      </c>
      <c r="H31" s="6">
        <f>D31</f>
        <v>0</v>
      </c>
      <c r="I31" s="11">
        <f>E31</f>
        <v>0</v>
      </c>
      <c r="J31" s="13">
        <f>$I31*H31</f>
        <v>0</v>
      </c>
      <c r="K31" s="12"/>
      <c r="L31" s="6">
        <f>H31</f>
        <v>0</v>
      </c>
      <c r="M31" s="11">
        <f>I31</f>
        <v>0</v>
      </c>
      <c r="N31" s="13">
        <f>$M31*L31</f>
        <v>0</v>
      </c>
    </row>
    <row r="32" spans="1:14">
      <c r="A32" s="2">
        <f t="shared" si="0"/>
        <v>25</v>
      </c>
      <c r="B32" s="2"/>
      <c r="D32" s="4"/>
      <c r="E32" s="11"/>
      <c r="F32" s="12"/>
      <c r="H32" s="4"/>
      <c r="I32" s="11"/>
      <c r="J32" s="12"/>
      <c r="K32" s="12"/>
      <c r="L32" s="4"/>
      <c r="M32" s="11"/>
      <c r="N32" s="12"/>
    </row>
    <row r="33" spans="1:14">
      <c r="A33" s="2">
        <f t="shared" si="0"/>
        <v>26</v>
      </c>
      <c r="B33" s="132" t="str">
        <f>'Sch 95'!B33</f>
        <v>449-459</v>
      </c>
      <c r="D33" s="116">
        <f>'Sch 139'!J32</f>
        <v>0</v>
      </c>
      <c r="E33" s="164">
        <v>0</v>
      </c>
      <c r="F33" s="12">
        <f t="shared" ref="F33:F34" si="33">D33*E33</f>
        <v>0</v>
      </c>
      <c r="H33" s="4">
        <f t="shared" ref="H33:I34" si="34">D33</f>
        <v>0</v>
      </c>
      <c r="I33" s="11">
        <f t="shared" si="34"/>
        <v>0</v>
      </c>
      <c r="J33" s="12">
        <f t="shared" ref="J33:J34" si="35">$I33*H33</f>
        <v>0</v>
      </c>
      <c r="K33" s="12"/>
      <c r="L33" s="4">
        <f t="shared" ref="L33:L34" si="36">H33</f>
        <v>0</v>
      </c>
      <c r="M33" s="11">
        <f t="shared" ref="M33:M34" si="37">I33</f>
        <v>0</v>
      </c>
      <c r="N33" s="12">
        <f t="shared" ref="N33:N34" si="38">$M33*L33</f>
        <v>0</v>
      </c>
    </row>
    <row r="34" spans="1:14">
      <c r="A34" s="2">
        <f t="shared" si="0"/>
        <v>27</v>
      </c>
      <c r="B34" s="132" t="str">
        <f>'Sch 95'!B34</f>
        <v>Special Contract</v>
      </c>
      <c r="D34" s="116">
        <f>'Sch 139'!J33</f>
        <v>0</v>
      </c>
      <c r="E34" s="164">
        <v>0</v>
      </c>
      <c r="F34" s="12">
        <f t="shared" si="33"/>
        <v>0</v>
      </c>
      <c r="H34" s="4">
        <f t="shared" si="34"/>
        <v>0</v>
      </c>
      <c r="I34" s="11">
        <f t="shared" si="34"/>
        <v>0</v>
      </c>
      <c r="J34" s="12">
        <f t="shared" si="35"/>
        <v>0</v>
      </c>
      <c r="K34" s="12"/>
      <c r="L34" s="4">
        <f t="shared" si="36"/>
        <v>0</v>
      </c>
      <c r="M34" s="11">
        <f t="shared" si="37"/>
        <v>0</v>
      </c>
      <c r="N34" s="12">
        <f t="shared" si="38"/>
        <v>0</v>
      </c>
    </row>
    <row r="35" spans="1:14">
      <c r="A35" s="2">
        <f t="shared" si="0"/>
        <v>28</v>
      </c>
      <c r="B35" s="5"/>
      <c r="C35" s="3" t="s">
        <v>77</v>
      </c>
      <c r="D35" s="6">
        <f>SUM(D33:D34)</f>
        <v>0</v>
      </c>
      <c r="E35" s="11"/>
      <c r="F35" s="13">
        <f t="shared" ref="F35" si="39">SUM(F33:F34)</f>
        <v>0</v>
      </c>
      <c r="H35" s="6">
        <f>SUM(H33:H34)</f>
        <v>0</v>
      </c>
      <c r="J35" s="13">
        <f t="shared" ref="J35" si="40">SUM(J33:J34)</f>
        <v>0</v>
      </c>
      <c r="K35" s="12"/>
      <c r="L35" s="6">
        <f>SUM(L33:L34)</f>
        <v>0</v>
      </c>
      <c r="N35" s="13">
        <f t="shared" ref="N35" si="41">SUM(N33:N34)</f>
        <v>0</v>
      </c>
    </row>
    <row r="36" spans="1:14">
      <c r="A36" s="2">
        <f t="shared" si="0"/>
        <v>29</v>
      </c>
      <c r="B36" s="2"/>
      <c r="D36" s="4"/>
      <c r="E36" s="11"/>
      <c r="F36" s="12"/>
      <c r="H36" s="4"/>
      <c r="J36" s="12"/>
      <c r="K36" s="12"/>
      <c r="L36" s="4"/>
      <c r="N36" s="12"/>
    </row>
    <row r="37" spans="1:14" ht="12" thickBot="1">
      <c r="A37" s="2">
        <f t="shared" si="0"/>
        <v>30</v>
      </c>
      <c r="B37" s="2"/>
      <c r="C37" s="7" t="s">
        <v>15</v>
      </c>
      <c r="D37" s="8">
        <f>SUM(D10,D19,D25,D29,D31,D35)</f>
        <v>748526712.86500001</v>
      </c>
      <c r="E37" s="11"/>
      <c r="F37" s="14">
        <f>SUM(F10,F19,F25,F29,F31,F35)</f>
        <v>-1680266.931675008</v>
      </c>
      <c r="H37" s="8">
        <f>SUM(H10,H19,H25,H29,H31,H35)</f>
        <v>748526712.86500001</v>
      </c>
      <c r="J37" s="14">
        <f>SUM(J10,J19,J25,J29,J31,J35)</f>
        <v>-1680266.931675008</v>
      </c>
      <c r="K37" s="12"/>
      <c r="L37" s="8">
        <f>SUM(L10,L19,L25,L29,L31,L35)</f>
        <v>748526712.86500001</v>
      </c>
      <c r="N37" s="14">
        <f>SUM(N10,N19,N25,N29,N31,N35)</f>
        <v>-1680266.931675008</v>
      </c>
    </row>
    <row r="38" spans="1:14" ht="12" thickTop="1">
      <c r="A38" s="2">
        <f t="shared" si="0"/>
        <v>31</v>
      </c>
      <c r="B38" s="2"/>
      <c r="E38" s="11"/>
      <c r="F38" s="12"/>
      <c r="J38" s="12"/>
      <c r="K38" s="12"/>
      <c r="N38" s="12"/>
    </row>
    <row r="39" spans="1:14">
      <c r="A39" s="2">
        <f t="shared" si="0"/>
        <v>32</v>
      </c>
      <c r="B39" s="132">
        <f>'Sch 95'!B39</f>
        <v>5</v>
      </c>
      <c r="C39" s="3" t="s">
        <v>16</v>
      </c>
      <c r="D39" s="122">
        <f>'Sch 139'!J38</f>
        <v>0</v>
      </c>
      <c r="E39" s="164">
        <v>0</v>
      </c>
      <c r="F39" s="13">
        <f>D39*E39</f>
        <v>0</v>
      </c>
      <c r="H39" s="6">
        <f>D39</f>
        <v>0</v>
      </c>
      <c r="I39" s="11">
        <f>E39</f>
        <v>0</v>
      </c>
      <c r="J39" s="13">
        <f>$I39*H39</f>
        <v>0</v>
      </c>
      <c r="K39" s="12"/>
      <c r="L39" s="6">
        <f>H39</f>
        <v>0</v>
      </c>
      <c r="M39" s="11">
        <f>I39</f>
        <v>0</v>
      </c>
      <c r="N39" s="12">
        <f>$M39*L39</f>
        <v>0</v>
      </c>
    </row>
    <row r="40" spans="1:14">
      <c r="A40" s="2">
        <f t="shared" si="0"/>
        <v>33</v>
      </c>
      <c r="B40" s="2"/>
      <c r="E40" s="11"/>
      <c r="F40" s="12"/>
      <c r="J40" s="12"/>
      <c r="K40" s="12"/>
      <c r="N40" s="12"/>
    </row>
    <row r="41" spans="1:14" ht="12" thickBot="1">
      <c r="A41" s="2">
        <f t="shared" si="0"/>
        <v>34</v>
      </c>
      <c r="B41" s="2"/>
      <c r="C41" s="110" t="s">
        <v>17</v>
      </c>
      <c r="D41" s="111">
        <f>SUM(D37,D39)</f>
        <v>748526712.86500001</v>
      </c>
      <c r="E41" s="112"/>
      <c r="F41" s="113">
        <f>SUM(F37,F39)</f>
        <v>-1680266.931675008</v>
      </c>
      <c r="G41" s="15"/>
      <c r="H41" s="111">
        <f>SUM(H37,H39)</f>
        <v>748526712.86500001</v>
      </c>
      <c r="I41" s="15"/>
      <c r="J41" s="113">
        <f t="shared" ref="J41" si="42">SUM(J37,J39)</f>
        <v>-1680266.931675008</v>
      </c>
      <c r="K41" s="114"/>
      <c r="L41" s="111">
        <f>SUM(L37,L39)</f>
        <v>748526712.86500001</v>
      </c>
      <c r="M41" s="15"/>
      <c r="N41" s="113">
        <f t="shared" ref="N41" si="43">SUM(N37,N39)</f>
        <v>-1680266.931675008</v>
      </c>
    </row>
    <row r="42" spans="1:14" ht="12" thickTop="1">
      <c r="D42" s="123">
        <f>'Sch 139'!J40</f>
        <v>748526712.86500001</v>
      </c>
      <c r="H42" s="162">
        <f>D41</f>
        <v>748526712.86500001</v>
      </c>
      <c r="L42" s="162">
        <f>H41</f>
        <v>748526712.86500001</v>
      </c>
    </row>
    <row r="43" spans="1:14">
      <c r="C43" s="17" t="s">
        <v>168</v>
      </c>
      <c r="D43" s="124">
        <f>D41-D42</f>
        <v>0</v>
      </c>
      <c r="H43" s="124">
        <f>H41-H42</f>
        <v>0</v>
      </c>
      <c r="L43" s="124">
        <f>L41-L42</f>
        <v>0</v>
      </c>
    </row>
    <row r="44" spans="1:14">
      <c r="L44" s="4"/>
    </row>
    <row r="45" spans="1:14">
      <c r="B45" s="3" t="s">
        <v>254</v>
      </c>
      <c r="C45" s="101"/>
    </row>
  </sheetData>
  <mergeCells count="7">
    <mergeCell ref="A5:E5"/>
    <mergeCell ref="H6:J6"/>
    <mergeCell ref="L6:N6"/>
    <mergeCell ref="A1:N1"/>
    <mergeCell ref="A2:N2"/>
    <mergeCell ref="A3:N3"/>
    <mergeCell ref="A4:N4"/>
  </mergeCells>
  <pageMargins left="0.7" right="0.7" top="0.75" bottom="0.75" header="0.3" footer="0.3"/>
  <pageSetup scale="81" orientation="landscape" horizontalDpi="360" verticalDpi="360" r:id="rId1"/>
  <headerFooter>
    <oddFooter>&amp;R&amp;F
&amp;A
&amp;P of &amp;N</oddFooter>
  </headerFooter>
  <customProperties>
    <customPr name="_pios_id" r:id="rId2"/>
  </customPropertie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6" tint="0.79998168889431442"/>
    <pageSetUpPr fitToPage="1"/>
  </sheetPr>
  <dimension ref="A1:N45"/>
  <sheetViews>
    <sheetView zoomScaleNormal="100" workbookViewId="0">
      <pane ySplit="7" topLeftCell="A8" activePane="bottomLeft" state="frozen"/>
      <selection activeCell="U42" sqref="U42"/>
      <selection pane="bottomLeft" activeCell="U42" sqref="U42"/>
    </sheetView>
  </sheetViews>
  <sheetFormatPr defaultColWidth="8.85546875" defaultRowHeight="11.25"/>
  <cols>
    <col min="1" max="1" width="4.42578125" style="3" bestFit="1" customWidth="1"/>
    <col min="2" max="2" width="14.85546875" style="3" bestFit="1" customWidth="1"/>
    <col min="3" max="3" width="21.7109375" style="3" bestFit="1" customWidth="1"/>
    <col min="4" max="4" width="15.140625" style="3" bestFit="1" customWidth="1"/>
    <col min="5" max="5" width="11" style="3" customWidth="1"/>
    <col min="6" max="6" width="11.85546875" style="3" customWidth="1"/>
    <col min="7" max="7" width="0.85546875" style="3" customWidth="1"/>
    <col min="8" max="8" width="12.85546875" style="3" bestFit="1" customWidth="1"/>
    <col min="9" max="9" width="9.42578125" style="3" bestFit="1" customWidth="1"/>
    <col min="10" max="10" width="11.5703125" style="3" bestFit="1" customWidth="1"/>
    <col min="11" max="11" width="1" style="3" customWidth="1"/>
    <col min="12" max="12" width="12.85546875" style="3" bestFit="1" customWidth="1"/>
    <col min="13" max="13" width="9.42578125" style="3" bestFit="1" customWidth="1"/>
    <col min="14" max="14" width="13.42578125" style="3" customWidth="1"/>
    <col min="15" max="16384" width="8.85546875" style="3"/>
  </cols>
  <sheetData>
    <row r="1" spans="1:14" s="15" customFormat="1" ht="12.75" customHeight="1">
      <c r="A1" s="459" t="str">
        <f>'Exh CTM-8 (Rate Impacts_RY#1)'!A1</f>
        <v>Puget Sound Energy</v>
      </c>
      <c r="B1" s="460"/>
      <c r="C1" s="460"/>
      <c r="D1" s="460"/>
      <c r="E1" s="460"/>
      <c r="F1" s="460"/>
      <c r="G1" s="460"/>
      <c r="H1" s="460"/>
      <c r="I1" s="460"/>
      <c r="J1" s="460"/>
      <c r="K1" s="460"/>
      <c r="L1" s="460"/>
      <c r="M1" s="460"/>
      <c r="N1" s="460"/>
    </row>
    <row r="2" spans="1:14" s="15" customFormat="1" ht="12.75">
      <c r="A2" s="459" t="str">
        <f>'Exh CTM-8 (Rate Impacts_RY#1)'!A2</f>
        <v>2024 General Rate Case Docket No. UE-240004 and UG-240005</v>
      </c>
      <c r="B2" s="460"/>
      <c r="C2" s="460"/>
      <c r="D2" s="460"/>
      <c r="E2" s="460"/>
      <c r="F2" s="460"/>
      <c r="G2" s="460"/>
      <c r="H2" s="460"/>
      <c r="I2" s="460"/>
      <c r="J2" s="460"/>
      <c r="K2" s="460"/>
      <c r="L2" s="460"/>
      <c r="M2" s="460"/>
      <c r="N2" s="460"/>
    </row>
    <row r="3" spans="1:14" s="15" customFormat="1" ht="12.75">
      <c r="A3" s="545" t="s">
        <v>224</v>
      </c>
      <c r="B3" s="470"/>
      <c r="C3" s="470"/>
      <c r="D3" s="470"/>
      <c r="E3" s="470"/>
      <c r="F3" s="471"/>
      <c r="G3" s="471"/>
      <c r="H3" s="471"/>
      <c r="I3" s="471"/>
      <c r="J3" s="471"/>
      <c r="K3" s="471"/>
      <c r="L3" s="471"/>
      <c r="M3" s="471"/>
      <c r="N3" s="471"/>
    </row>
    <row r="4" spans="1:14" s="15" customFormat="1" ht="12.75">
      <c r="A4" s="545" t="s">
        <v>177</v>
      </c>
      <c r="B4" s="470"/>
      <c r="C4" s="470"/>
      <c r="D4" s="470"/>
      <c r="E4" s="470"/>
      <c r="F4" s="471"/>
      <c r="G4" s="471"/>
      <c r="H4" s="471"/>
      <c r="I4" s="471"/>
      <c r="J4" s="471"/>
      <c r="K4" s="471"/>
      <c r="L4" s="471"/>
      <c r="M4" s="471"/>
      <c r="N4" s="471"/>
    </row>
    <row r="5" spans="1:14" s="15" customFormat="1">
      <c r="A5" s="456"/>
      <c r="B5" s="456"/>
      <c r="C5" s="456"/>
      <c r="D5" s="456"/>
      <c r="E5" s="456"/>
      <c r="F5" s="44"/>
    </row>
    <row r="6" spans="1:14" s="15" customFormat="1" ht="12.75">
      <c r="A6" s="45"/>
      <c r="B6" s="44"/>
      <c r="C6" s="44"/>
      <c r="D6" s="44"/>
      <c r="H6" s="546" t="str">
        <f>'Sch 95'!H6</f>
        <v>MYRP January 2025</v>
      </c>
      <c r="I6" s="494"/>
      <c r="J6" s="493"/>
      <c r="K6" s="132">
        <f>'Sch 95'!K6</f>
        <v>0</v>
      </c>
      <c r="L6" s="546" t="str">
        <f>'Sch 95'!L6</f>
        <v>MYRP January 2026</v>
      </c>
      <c r="M6" s="547"/>
      <c r="N6" s="548"/>
    </row>
    <row r="7" spans="1:14" s="15" customFormat="1" ht="45">
      <c r="A7" s="97" t="s">
        <v>2</v>
      </c>
      <c r="B7" s="97" t="s">
        <v>3</v>
      </c>
      <c r="C7" s="97" t="s">
        <v>14</v>
      </c>
      <c r="D7" s="133" t="str">
        <f>'Sch 95'!D7</f>
        <v>12 months ending December 2025 F23 Forecast KWh</v>
      </c>
      <c r="E7" s="133" t="str">
        <f>'Sch 95'!E7</f>
        <v>Current Rates as of January 2024 (1)</v>
      </c>
      <c r="F7" s="133" t="str">
        <f>'Sch 95'!F7</f>
        <v>Annual Delivered $</v>
      </c>
      <c r="G7" s="133">
        <f>'Sch 95'!G7</f>
        <v>0</v>
      </c>
      <c r="H7" s="133" t="str">
        <f>'Sch 95'!H7</f>
        <v>Annual Delivered KWh</v>
      </c>
      <c r="I7" s="133" t="str">
        <f>'Sch 95'!I7</f>
        <v>Rates Effective January 2025</v>
      </c>
      <c r="J7" s="133" t="str">
        <f>'Sch 95'!J7</f>
        <v>Annual Delivered $</v>
      </c>
      <c r="K7" s="133">
        <f>'Sch 95'!K7</f>
        <v>0</v>
      </c>
      <c r="L7" s="133" t="str">
        <f>'Sch 95'!L7</f>
        <v>Annual Delivered KWh</v>
      </c>
      <c r="M7" s="133" t="str">
        <f>'Sch 95'!M7</f>
        <v>Rates Effective January 2026</v>
      </c>
      <c r="N7" s="133" t="str">
        <f>'Sch 95'!N7</f>
        <v>Annual Delivered $</v>
      </c>
    </row>
    <row r="8" spans="1:14">
      <c r="A8" s="2">
        <v>1</v>
      </c>
      <c r="B8" s="132" t="str">
        <f>'Sch 95'!B8</f>
        <v xml:space="preserve"> 7 (307) (317) (327)</v>
      </c>
      <c r="D8" s="116">
        <f>'Revenue by Sch RY#1'!D9</f>
        <v>11278205851.395365</v>
      </c>
      <c r="E8" s="129">
        <v>2.6120000000000002E-3</v>
      </c>
      <c r="F8" s="12">
        <f>D8*E8</f>
        <v>29458673.683844693</v>
      </c>
      <c r="H8" s="4">
        <f>D8</f>
        <v>11278205851.395365</v>
      </c>
      <c r="I8" s="11">
        <f>E8</f>
        <v>2.6120000000000002E-3</v>
      </c>
      <c r="J8" s="12">
        <f>$I8*H8</f>
        <v>29458673.683844693</v>
      </c>
      <c r="K8" s="12"/>
      <c r="L8" s="116">
        <f>'Revenue by Sch RY#2'!D9</f>
        <v>11447649239.71397</v>
      </c>
      <c r="M8" s="11">
        <f>I8</f>
        <v>2.6120000000000002E-3</v>
      </c>
      <c r="N8" s="12">
        <f>$M8*L8</f>
        <v>29901259.814132892</v>
      </c>
    </row>
    <row r="9" spans="1:14">
      <c r="A9" s="2">
        <f t="shared" ref="A9:A41" si="0">+A8+1</f>
        <v>2</v>
      </c>
      <c r="B9" s="132" t="str">
        <f>'Sch 95'!B9</f>
        <v xml:space="preserve">7A </v>
      </c>
      <c r="D9" s="4">
        <v>0</v>
      </c>
      <c r="E9" s="129">
        <v>1.98E-3</v>
      </c>
      <c r="F9" s="12">
        <f>D9*E9</f>
        <v>0</v>
      </c>
      <c r="H9" s="4">
        <f>D9</f>
        <v>0</v>
      </c>
      <c r="I9" s="11">
        <f>E9</f>
        <v>1.98E-3</v>
      </c>
      <c r="J9" s="12">
        <f>$I9*H9</f>
        <v>0</v>
      </c>
      <c r="K9" s="12"/>
      <c r="L9" s="4">
        <v>0</v>
      </c>
      <c r="M9" s="11">
        <f>I9</f>
        <v>1.98E-3</v>
      </c>
      <c r="N9" s="12">
        <f>$M9*L9</f>
        <v>0</v>
      </c>
    </row>
    <row r="10" spans="1:14">
      <c r="A10" s="2">
        <f t="shared" si="0"/>
        <v>3</v>
      </c>
      <c r="B10" s="2"/>
      <c r="C10" s="3" t="s">
        <v>4</v>
      </c>
      <c r="D10" s="6">
        <f>SUM(D8:D9)</f>
        <v>11278205851.395365</v>
      </c>
      <c r="E10" s="130"/>
      <c r="F10" s="13">
        <f t="shared" ref="F10" si="1">SUM(F8:F9)</f>
        <v>29458673.683844693</v>
      </c>
      <c r="H10" s="6">
        <f>SUM(H8:H9)</f>
        <v>11278205851.395365</v>
      </c>
      <c r="I10" s="11"/>
      <c r="J10" s="13">
        <f t="shared" ref="J10" si="2">SUM(J8:J9)</f>
        <v>29458673.683844693</v>
      </c>
      <c r="K10" s="12"/>
      <c r="L10" s="6">
        <f>SUM(L8:L9)</f>
        <v>11447649239.71397</v>
      </c>
      <c r="M10" s="11"/>
      <c r="N10" s="13">
        <f t="shared" ref="N10" si="3">SUM(N8:N9)</f>
        <v>29901259.814132892</v>
      </c>
    </row>
    <row r="11" spans="1:14">
      <c r="A11" s="2">
        <f t="shared" si="0"/>
        <v>4</v>
      </c>
      <c r="B11" s="2"/>
      <c r="D11" s="4"/>
      <c r="E11" s="130"/>
      <c r="F11" s="12"/>
      <c r="H11" s="4"/>
      <c r="I11" s="11"/>
      <c r="J11" s="12"/>
      <c r="K11" s="12"/>
      <c r="L11" s="4"/>
      <c r="M11" s="11"/>
      <c r="N11" s="12"/>
    </row>
    <row r="12" spans="1:14">
      <c r="A12" s="2">
        <f t="shared" si="0"/>
        <v>5</v>
      </c>
      <c r="B12" s="132">
        <f>'Sch 95'!B12</f>
        <v>8</v>
      </c>
      <c r="D12" s="4">
        <v>0</v>
      </c>
      <c r="E12" s="129">
        <v>2.0930000000000002E-3</v>
      </c>
      <c r="F12" s="12">
        <f t="shared" ref="F12:F18" si="4">D12*E12</f>
        <v>0</v>
      </c>
      <c r="H12" s="4">
        <f>D12</f>
        <v>0</v>
      </c>
      <c r="I12" s="11">
        <f t="shared" ref="I12:I18" si="5">E12</f>
        <v>2.0930000000000002E-3</v>
      </c>
      <c r="J12" s="12">
        <f t="shared" ref="J12:J18" si="6">$I12*H12</f>
        <v>0</v>
      </c>
      <c r="K12" s="12"/>
      <c r="L12" s="4">
        <v>0</v>
      </c>
      <c r="M12" s="11">
        <f t="shared" ref="M12:M18" si="7">I12</f>
        <v>2.0930000000000002E-3</v>
      </c>
      <c r="N12" s="12">
        <f t="shared" ref="N12:N18" si="8">$M12*L12</f>
        <v>0</v>
      </c>
    </row>
    <row r="13" spans="1:14">
      <c r="A13" s="2">
        <f t="shared" si="0"/>
        <v>6</v>
      </c>
      <c r="B13" s="132" t="str">
        <f>'Sch 95'!B13</f>
        <v>24 (324)</v>
      </c>
      <c r="D13" s="116">
        <f>'Revenue by Sch RY#1'!D10</f>
        <v>2762635966.1696987</v>
      </c>
      <c r="E13" s="130">
        <f>+E12</f>
        <v>2.0930000000000002E-3</v>
      </c>
      <c r="F13" s="12">
        <f t="shared" si="4"/>
        <v>5782197.0771931801</v>
      </c>
      <c r="H13" s="4">
        <f>D13</f>
        <v>2762635966.1696987</v>
      </c>
      <c r="I13" s="11">
        <f t="shared" si="5"/>
        <v>2.0930000000000002E-3</v>
      </c>
      <c r="J13" s="12">
        <f t="shared" si="6"/>
        <v>5782197.0771931801</v>
      </c>
      <c r="K13" s="12"/>
      <c r="L13" s="116">
        <f>'Revenue by Sch RY#2'!D10</f>
        <v>2774967422.2693906</v>
      </c>
      <c r="M13" s="11">
        <f t="shared" si="7"/>
        <v>2.0930000000000002E-3</v>
      </c>
      <c r="N13" s="12">
        <f t="shared" si="8"/>
        <v>5808006.8148098355</v>
      </c>
    </row>
    <row r="14" spans="1:14">
      <c r="A14" s="2">
        <f t="shared" si="0"/>
        <v>7</v>
      </c>
      <c r="B14" s="132">
        <f>'Sch 95'!B14</f>
        <v>11</v>
      </c>
      <c r="D14" s="4">
        <v>0</v>
      </c>
      <c r="E14" s="130">
        <f>E9</f>
        <v>1.98E-3</v>
      </c>
      <c r="F14" s="12">
        <f t="shared" si="4"/>
        <v>0</v>
      </c>
      <c r="H14" s="4">
        <f t="shared" ref="H14:H18" si="9">D14</f>
        <v>0</v>
      </c>
      <c r="I14" s="11">
        <f t="shared" si="5"/>
        <v>1.98E-3</v>
      </c>
      <c r="J14" s="12">
        <f t="shared" si="6"/>
        <v>0</v>
      </c>
      <c r="K14" s="12"/>
      <c r="L14" s="4">
        <v>0</v>
      </c>
      <c r="M14" s="11">
        <f t="shared" si="7"/>
        <v>1.98E-3</v>
      </c>
      <c r="N14" s="12">
        <f t="shared" si="8"/>
        <v>0</v>
      </c>
    </row>
    <row r="15" spans="1:14">
      <c r="A15" s="2">
        <f t="shared" si="0"/>
        <v>8</v>
      </c>
      <c r="B15" s="132">
        <f>'Sch 95'!B15</f>
        <v>25</v>
      </c>
      <c r="D15" s="116">
        <f>'Revenue by Sch RY#1'!D11</f>
        <v>2960202274.8054705</v>
      </c>
      <c r="E15" s="130">
        <f>+E14</f>
        <v>1.98E-3</v>
      </c>
      <c r="F15" s="12">
        <f t="shared" si="4"/>
        <v>5861200.5041148318</v>
      </c>
      <c r="H15" s="4">
        <f t="shared" si="9"/>
        <v>2960202274.8054705</v>
      </c>
      <c r="I15" s="11">
        <f t="shared" si="5"/>
        <v>1.98E-3</v>
      </c>
      <c r="J15" s="12">
        <f t="shared" si="6"/>
        <v>5861200.5041148318</v>
      </c>
      <c r="K15" s="12"/>
      <c r="L15" s="116">
        <f>'Revenue by Sch RY#2'!D11</f>
        <v>2968720174.6374388</v>
      </c>
      <c r="M15" s="11">
        <f t="shared" si="7"/>
        <v>1.98E-3</v>
      </c>
      <c r="N15" s="12">
        <f t="shared" si="8"/>
        <v>5878065.9457821287</v>
      </c>
    </row>
    <row r="16" spans="1:14">
      <c r="A16" s="2">
        <f t="shared" si="0"/>
        <v>9</v>
      </c>
      <c r="B16" s="132">
        <f>'Sch 95'!B16</f>
        <v>12</v>
      </c>
      <c r="D16" s="4">
        <v>0</v>
      </c>
      <c r="E16" s="129">
        <v>1.7149999999999999E-3</v>
      </c>
      <c r="F16" s="12">
        <f t="shared" si="4"/>
        <v>0</v>
      </c>
      <c r="H16" s="4">
        <f t="shared" si="9"/>
        <v>0</v>
      </c>
      <c r="I16" s="11">
        <f t="shared" si="5"/>
        <v>1.7149999999999999E-3</v>
      </c>
      <c r="J16" s="12">
        <f t="shared" si="6"/>
        <v>0</v>
      </c>
      <c r="K16" s="12"/>
      <c r="L16" s="4">
        <v>0</v>
      </c>
      <c r="M16" s="11">
        <f t="shared" si="7"/>
        <v>1.7149999999999999E-3</v>
      </c>
      <c r="N16" s="12">
        <f t="shared" si="8"/>
        <v>0</v>
      </c>
    </row>
    <row r="17" spans="1:14">
      <c r="A17" s="2">
        <f t="shared" si="0"/>
        <v>10</v>
      </c>
      <c r="B17" s="132" t="str">
        <f>'Sch 95'!B17</f>
        <v>26 &amp; 26P</v>
      </c>
      <c r="D17" s="116">
        <f>'Revenue by Sch RY#1'!D12</f>
        <v>2013891730.8000479</v>
      </c>
      <c r="E17" s="130">
        <f>+E16</f>
        <v>1.7149999999999999E-3</v>
      </c>
      <c r="F17" s="12">
        <f t="shared" si="4"/>
        <v>3453824.3183220821</v>
      </c>
      <c r="H17" s="4">
        <f t="shared" si="9"/>
        <v>2013891730.8000479</v>
      </c>
      <c r="I17" s="11">
        <f t="shared" si="5"/>
        <v>1.7149999999999999E-3</v>
      </c>
      <c r="J17" s="12">
        <f t="shared" si="6"/>
        <v>3453824.3183220821</v>
      </c>
      <c r="K17" s="12"/>
      <c r="L17" s="116">
        <f>'Revenue by Sch RY#2'!D12</f>
        <v>2056791563.2414525</v>
      </c>
      <c r="M17" s="11">
        <f t="shared" si="7"/>
        <v>1.7149999999999999E-3</v>
      </c>
      <c r="N17" s="12">
        <f t="shared" si="8"/>
        <v>3527397.5309590907</v>
      </c>
    </row>
    <row r="18" spans="1:14">
      <c r="A18" s="2">
        <f t="shared" si="0"/>
        <v>11</v>
      </c>
      <c r="B18" s="132">
        <f>'Sch 95'!B18</f>
        <v>29</v>
      </c>
      <c r="D18" s="116">
        <f>'Revenue by Sch RY#1'!D13</f>
        <v>14930059.630887466</v>
      </c>
      <c r="E18" s="129">
        <v>1.98E-3</v>
      </c>
      <c r="F18" s="12">
        <f t="shared" si="4"/>
        <v>29561.51806915718</v>
      </c>
      <c r="H18" s="4">
        <f t="shared" si="9"/>
        <v>14930059.630887466</v>
      </c>
      <c r="I18" s="11">
        <f t="shared" si="5"/>
        <v>1.98E-3</v>
      </c>
      <c r="J18" s="12">
        <f t="shared" si="6"/>
        <v>29561.51806915718</v>
      </c>
      <c r="K18" s="12"/>
      <c r="L18" s="116">
        <f>'Revenue by Sch RY#2'!D13</f>
        <v>14843026.361509496</v>
      </c>
      <c r="M18" s="11">
        <f t="shared" si="7"/>
        <v>1.98E-3</v>
      </c>
      <c r="N18" s="12">
        <f t="shared" si="8"/>
        <v>29389.192195788804</v>
      </c>
    </row>
    <row r="19" spans="1:14">
      <c r="A19" s="2">
        <f t="shared" si="0"/>
        <v>12</v>
      </c>
      <c r="B19" s="2"/>
      <c r="C19" s="7" t="s">
        <v>6</v>
      </c>
      <c r="D19" s="6">
        <f>SUM(D12:D18)</f>
        <v>7751660031.4061041</v>
      </c>
      <c r="E19" s="130"/>
      <c r="F19" s="13">
        <f t="shared" ref="F19" si="10">SUM(F12:F18)</f>
        <v>15126783.417699249</v>
      </c>
      <c r="H19" s="6">
        <f>SUM(H12:H18)</f>
        <v>7751660031.4061041</v>
      </c>
      <c r="I19" s="11"/>
      <c r="J19" s="13">
        <f t="shared" ref="J19" si="11">SUM(J12:J18)</f>
        <v>15126783.417699249</v>
      </c>
      <c r="K19" s="12"/>
      <c r="L19" s="6">
        <f>SUM(L12:L18)</f>
        <v>7815322186.5097914</v>
      </c>
      <c r="M19" s="11"/>
      <c r="N19" s="13">
        <f t="shared" ref="N19" si="12">SUM(N12:N18)</f>
        <v>15242859.483746843</v>
      </c>
    </row>
    <row r="20" spans="1:14">
      <c r="A20" s="2">
        <f t="shared" si="0"/>
        <v>13</v>
      </c>
      <c r="B20" s="2"/>
      <c r="D20" s="4"/>
      <c r="E20" s="130"/>
      <c r="F20" s="12"/>
      <c r="H20" s="4"/>
      <c r="I20" s="11"/>
      <c r="J20" s="12"/>
      <c r="K20" s="12"/>
      <c r="L20" s="4"/>
      <c r="M20" s="11"/>
      <c r="N20" s="12"/>
    </row>
    <row r="21" spans="1:14">
      <c r="A21" s="2">
        <f t="shared" si="0"/>
        <v>14</v>
      </c>
      <c r="B21" s="132">
        <f>'Sch 95'!B21</f>
        <v>10</v>
      </c>
      <c r="D21" s="4">
        <v>0</v>
      </c>
      <c r="E21" s="129">
        <v>1.7260000000000001E-3</v>
      </c>
      <c r="F21" s="12">
        <f t="shared" ref="F21:F24" si="13">D21*E21</f>
        <v>0</v>
      </c>
      <c r="H21" s="4">
        <f t="shared" ref="H21:I24" si="14">D21</f>
        <v>0</v>
      </c>
      <c r="I21" s="11">
        <f t="shared" si="14"/>
        <v>1.7260000000000001E-3</v>
      </c>
      <c r="J21" s="12">
        <f t="shared" ref="J21:J24" si="15">$I21*H21</f>
        <v>0</v>
      </c>
      <c r="K21" s="12"/>
      <c r="L21" s="4">
        <v>0</v>
      </c>
      <c r="M21" s="11">
        <f t="shared" ref="M21:M24" si="16">I21</f>
        <v>1.7260000000000001E-3</v>
      </c>
      <c r="N21" s="12">
        <f t="shared" ref="N21:N24" si="17">$M21*L21</f>
        <v>0</v>
      </c>
    </row>
    <row r="22" spans="1:14">
      <c r="A22" s="2">
        <f t="shared" si="0"/>
        <v>15</v>
      </c>
      <c r="B22" s="132">
        <f>'Sch 95'!B22</f>
        <v>31</v>
      </c>
      <c r="D22" s="116">
        <f>'Revenue by Sch RY#1'!D14</f>
        <v>1423586019.4788036</v>
      </c>
      <c r="E22" s="130">
        <f>+E21</f>
        <v>1.7260000000000001E-3</v>
      </c>
      <c r="F22" s="12">
        <f t="shared" si="13"/>
        <v>2457109.469620415</v>
      </c>
      <c r="H22" s="4">
        <f t="shared" si="14"/>
        <v>1423586019.4788036</v>
      </c>
      <c r="I22" s="11">
        <f t="shared" si="14"/>
        <v>1.7260000000000001E-3</v>
      </c>
      <c r="J22" s="12">
        <f t="shared" si="15"/>
        <v>2457109.469620415</v>
      </c>
      <c r="K22" s="12"/>
      <c r="L22" s="116">
        <f>'Revenue by Sch RY#2'!D14</f>
        <v>1411297972.0883911</v>
      </c>
      <c r="M22" s="11">
        <f t="shared" si="16"/>
        <v>1.7260000000000001E-3</v>
      </c>
      <c r="N22" s="12">
        <f t="shared" si="17"/>
        <v>2435900.2998245633</v>
      </c>
    </row>
    <row r="23" spans="1:14">
      <c r="A23" s="2">
        <f t="shared" si="0"/>
        <v>16</v>
      </c>
      <c r="B23" s="132">
        <f>'Sch 95'!B23</f>
        <v>35</v>
      </c>
      <c r="D23" s="116">
        <f>'Revenue by Sch RY#1'!D15</f>
        <v>4407260.1568774413</v>
      </c>
      <c r="E23" s="129">
        <v>1.7260000000000001E-3</v>
      </c>
      <c r="F23" s="12">
        <f t="shared" si="13"/>
        <v>7606.9310307704645</v>
      </c>
      <c r="H23" s="4">
        <f t="shared" si="14"/>
        <v>4407260.1568774413</v>
      </c>
      <c r="I23" s="11">
        <f t="shared" si="14"/>
        <v>1.7260000000000001E-3</v>
      </c>
      <c r="J23" s="12">
        <f t="shared" si="15"/>
        <v>7606.9310307704645</v>
      </c>
      <c r="K23" s="12"/>
      <c r="L23" s="116">
        <f>'Revenue by Sch RY#2'!D15</f>
        <v>4380281.1514552524</v>
      </c>
      <c r="M23" s="11">
        <f t="shared" si="16"/>
        <v>1.7260000000000001E-3</v>
      </c>
      <c r="N23" s="12">
        <f t="shared" si="17"/>
        <v>7560.3652674117666</v>
      </c>
    </row>
    <row r="24" spans="1:14">
      <c r="A24" s="2">
        <f t="shared" si="0"/>
        <v>17</v>
      </c>
      <c r="B24" s="132">
        <f>'Sch 95'!B24</f>
        <v>43</v>
      </c>
      <c r="D24" s="116">
        <f>'Revenue by Sch RY#1'!D16</f>
        <v>122267424.6450724</v>
      </c>
      <c r="E24" s="129">
        <v>1.529E-3</v>
      </c>
      <c r="F24" s="12">
        <f t="shared" si="13"/>
        <v>186946.8922823157</v>
      </c>
      <c r="H24" s="4">
        <f t="shared" si="14"/>
        <v>122267424.6450724</v>
      </c>
      <c r="I24" s="11">
        <f t="shared" si="14"/>
        <v>1.529E-3</v>
      </c>
      <c r="J24" s="12">
        <f t="shared" si="15"/>
        <v>186946.8922823157</v>
      </c>
      <c r="K24" s="12"/>
      <c r="L24" s="116">
        <f>'Revenue by Sch RY#2'!D16</f>
        <v>121633779.10385114</v>
      </c>
      <c r="M24" s="11">
        <f t="shared" si="16"/>
        <v>1.529E-3</v>
      </c>
      <c r="N24" s="12">
        <f t="shared" si="17"/>
        <v>185978.04824978838</v>
      </c>
    </row>
    <row r="25" spans="1:14">
      <c r="A25" s="2">
        <f t="shared" si="0"/>
        <v>18</v>
      </c>
      <c r="B25" s="2"/>
      <c r="C25" s="3" t="s">
        <v>7</v>
      </c>
      <c r="D25" s="6">
        <f>SUM(D21:D24)</f>
        <v>1550260704.2807536</v>
      </c>
      <c r="E25" s="130"/>
      <c r="F25" s="13">
        <f t="shared" ref="F25" si="18">SUM(F21:F24)</f>
        <v>2651663.2929335008</v>
      </c>
      <c r="H25" s="6">
        <f>SUM(H21:H24)</f>
        <v>1550260704.2807536</v>
      </c>
      <c r="I25" s="11"/>
      <c r="J25" s="13">
        <f t="shared" ref="J25" si="19">SUM(J21:J24)</f>
        <v>2651663.2929335008</v>
      </c>
      <c r="K25" s="12"/>
      <c r="L25" s="6">
        <f>SUM(L21:L24)</f>
        <v>1537312032.3436973</v>
      </c>
      <c r="M25" s="11"/>
      <c r="N25" s="13">
        <f t="shared" ref="N25" si="20">SUM(N21:N24)</f>
        <v>2629438.7133417637</v>
      </c>
    </row>
    <row r="26" spans="1:14">
      <c r="A26" s="2">
        <f t="shared" si="0"/>
        <v>19</v>
      </c>
      <c r="B26" s="2"/>
      <c r="D26" s="4"/>
      <c r="E26" s="130"/>
      <c r="F26" s="12"/>
      <c r="H26" s="4"/>
      <c r="I26" s="11"/>
      <c r="J26" s="12"/>
      <c r="K26" s="12"/>
      <c r="L26" s="4"/>
      <c r="M26" s="11"/>
      <c r="N26" s="12"/>
    </row>
    <row r="27" spans="1:14">
      <c r="A27" s="2">
        <f t="shared" si="0"/>
        <v>20</v>
      </c>
      <c r="B27" s="132">
        <f>'Sch 95'!B27</f>
        <v>46</v>
      </c>
      <c r="D27" s="116">
        <f>'Revenue by Sch RY#1'!D17</f>
        <v>96933187.043131709</v>
      </c>
      <c r="E27" s="129">
        <v>9.5E-4</v>
      </c>
      <c r="F27" s="12">
        <f t="shared" ref="F27:F28" si="21">D27*E27</f>
        <v>92086.527690975126</v>
      </c>
      <c r="H27" s="4">
        <f t="shared" ref="H27:I28" si="22">D27</f>
        <v>96933187.043131709</v>
      </c>
      <c r="I27" s="11">
        <f t="shared" si="22"/>
        <v>9.5E-4</v>
      </c>
      <c r="J27" s="12">
        <f t="shared" ref="J27:J28" si="23">$I27*H27</f>
        <v>92086.527690975126</v>
      </c>
      <c r="K27" s="12"/>
      <c r="L27" s="116">
        <f>'Revenue by Sch RY#2'!D17</f>
        <v>96918964.527943105</v>
      </c>
      <c r="M27" s="11">
        <f t="shared" ref="M27:M28" si="24">I27</f>
        <v>9.5E-4</v>
      </c>
      <c r="N27" s="12">
        <f t="shared" ref="N27:N28" si="25">$M27*L27</f>
        <v>92073.016301545955</v>
      </c>
    </row>
    <row r="28" spans="1:14">
      <c r="A28" s="2">
        <f t="shared" si="0"/>
        <v>21</v>
      </c>
      <c r="B28" s="132">
        <f>'Sch 95'!B28</f>
        <v>49</v>
      </c>
      <c r="D28" s="116">
        <f>'Revenue by Sch RY#1'!D18</f>
        <v>534843226.30681556</v>
      </c>
      <c r="E28" s="129">
        <v>9.5E-4</v>
      </c>
      <c r="F28" s="12">
        <f t="shared" si="21"/>
        <v>508101.06499147479</v>
      </c>
      <c r="H28" s="4">
        <f t="shared" si="22"/>
        <v>534843226.30681556</v>
      </c>
      <c r="I28" s="11">
        <f t="shared" si="22"/>
        <v>9.5E-4</v>
      </c>
      <c r="J28" s="12">
        <f t="shared" si="23"/>
        <v>508101.06499147479</v>
      </c>
      <c r="K28" s="12"/>
      <c r="L28" s="116">
        <f>'Revenue by Sch RY#2'!D18</f>
        <v>534899242.67952603</v>
      </c>
      <c r="M28" s="11">
        <f t="shared" si="24"/>
        <v>9.5E-4</v>
      </c>
      <c r="N28" s="12">
        <f t="shared" si="25"/>
        <v>508154.2805455497</v>
      </c>
    </row>
    <row r="29" spans="1:14">
      <c r="A29" s="2">
        <f t="shared" si="0"/>
        <v>22</v>
      </c>
      <c r="B29" s="2"/>
      <c r="C29" s="3" t="s">
        <v>8</v>
      </c>
      <c r="D29" s="6">
        <f>SUM(D27:D28)</f>
        <v>631776413.34994721</v>
      </c>
      <c r="E29" s="11"/>
      <c r="F29" s="13">
        <f t="shared" ref="F29" si="26">SUM(F27:F28)</f>
        <v>600187.59268244996</v>
      </c>
      <c r="H29" s="6">
        <f>SUM(H27:H28)</f>
        <v>631776413.34994721</v>
      </c>
      <c r="I29" s="11"/>
      <c r="J29" s="13">
        <f t="shared" ref="J29" si="27">SUM(J27:J28)</f>
        <v>600187.59268244996</v>
      </c>
      <c r="K29" s="12"/>
      <c r="L29" s="6">
        <f>SUM(L27:L28)</f>
        <v>631818207.20746911</v>
      </c>
      <c r="M29" s="11"/>
      <c r="N29" s="13">
        <f t="shared" ref="N29" si="28">SUM(N27:N28)</f>
        <v>600227.29684709571</v>
      </c>
    </row>
    <row r="30" spans="1:14">
      <c r="A30" s="2">
        <f t="shared" si="0"/>
        <v>23</v>
      </c>
      <c r="B30" s="2"/>
      <c r="D30" s="4"/>
      <c r="E30" s="11"/>
      <c r="F30" s="12"/>
      <c r="H30" s="4"/>
      <c r="I30" s="11"/>
      <c r="J30" s="12"/>
      <c r="K30" s="12"/>
      <c r="L30" s="4"/>
      <c r="M30" s="11"/>
      <c r="N30" s="12"/>
    </row>
    <row r="31" spans="1:14">
      <c r="A31" s="2">
        <f t="shared" si="0"/>
        <v>24</v>
      </c>
      <c r="B31" s="132" t="str">
        <f>'Sch 95'!B31</f>
        <v>03, 50-59</v>
      </c>
      <c r="D31" s="122">
        <f>'Revenue by Sch RY#1'!D19</f>
        <v>67255417.982360825</v>
      </c>
      <c r="E31" s="117">
        <v>8.5870000000000009E-3</v>
      </c>
      <c r="F31" s="13">
        <f>D31*E31</f>
        <v>577522.27421453246</v>
      </c>
      <c r="H31" s="6">
        <f>D31</f>
        <v>67255417.982360825</v>
      </c>
      <c r="I31" s="11">
        <f>E31</f>
        <v>8.5870000000000009E-3</v>
      </c>
      <c r="J31" s="13">
        <f>$I31*H31</f>
        <v>577522.27421453246</v>
      </c>
      <c r="K31" s="12"/>
      <c r="L31" s="122">
        <f>'Revenue by Sch RY#2'!D19</f>
        <v>67027608.143863305</v>
      </c>
      <c r="M31" s="11">
        <f>I31</f>
        <v>8.5870000000000009E-3</v>
      </c>
      <c r="N31" s="13">
        <f>$M31*L31</f>
        <v>575566.07113135431</v>
      </c>
    </row>
    <row r="32" spans="1:14">
      <c r="A32" s="2">
        <f t="shared" si="0"/>
        <v>25</v>
      </c>
      <c r="B32" s="2"/>
      <c r="D32" s="4"/>
      <c r="E32" s="11"/>
      <c r="F32" s="12"/>
      <c r="H32" s="4"/>
      <c r="I32" s="11"/>
      <c r="J32" s="12"/>
      <c r="K32" s="12"/>
      <c r="L32" s="4"/>
      <c r="M32" s="11"/>
      <c r="N32" s="12"/>
    </row>
    <row r="33" spans="1:14">
      <c r="A33" s="2">
        <f t="shared" si="0"/>
        <v>26</v>
      </c>
      <c r="B33" s="132" t="str">
        <f>'Sch 95'!B33</f>
        <v>449-459</v>
      </c>
      <c r="D33" s="116">
        <f>'Revenue by Sch RY#1'!D20</f>
        <v>1967511960.3194919</v>
      </c>
      <c r="E33" s="117">
        <v>1.7E-5</v>
      </c>
      <c r="F33" s="12">
        <f t="shared" ref="F33:F34" si="29">D33*E33</f>
        <v>33447.703325431365</v>
      </c>
      <c r="H33" s="4">
        <f t="shared" ref="H33:I34" si="30">D33</f>
        <v>1967511960.3194919</v>
      </c>
      <c r="I33" s="11">
        <f t="shared" si="30"/>
        <v>1.7E-5</v>
      </c>
      <c r="J33" s="12">
        <f t="shared" ref="J33:J34" si="31">$I33*H33</f>
        <v>33447.703325431365</v>
      </c>
      <c r="K33" s="12"/>
      <c r="L33" s="116">
        <f>'Revenue by Sch RY#2'!D20</f>
        <v>1964993565.6779518</v>
      </c>
      <c r="M33" s="11">
        <f t="shared" ref="M33:M34" si="32">I33</f>
        <v>1.7E-5</v>
      </c>
      <c r="N33" s="12">
        <f t="shared" ref="N33:N34" si="33">$M33*L33</f>
        <v>33404.890616525183</v>
      </c>
    </row>
    <row r="34" spans="1:14">
      <c r="A34" s="2">
        <f t="shared" si="0"/>
        <v>27</v>
      </c>
      <c r="B34" s="132" t="str">
        <f>'Sch 95'!B34</f>
        <v>Special Contract</v>
      </c>
      <c r="D34" s="116">
        <f>'Revenue by Sch RY#1'!D21</f>
        <v>304773055.46200001</v>
      </c>
      <c r="E34" s="117">
        <v>5.1500000000000005E-4</v>
      </c>
      <c r="F34" s="12">
        <f t="shared" si="29"/>
        <v>156958.12356293004</v>
      </c>
      <c r="H34" s="4">
        <f t="shared" si="30"/>
        <v>304773055.46200001</v>
      </c>
      <c r="I34" s="11">
        <f t="shared" si="30"/>
        <v>5.1500000000000005E-4</v>
      </c>
      <c r="J34" s="12">
        <f t="shared" si="31"/>
        <v>156958.12356293004</v>
      </c>
      <c r="K34" s="12"/>
      <c r="L34" s="116">
        <f>'Revenue by Sch RY#2'!D21</f>
        <v>304773055.46200001</v>
      </c>
      <c r="M34" s="11">
        <f t="shared" si="32"/>
        <v>5.1500000000000005E-4</v>
      </c>
      <c r="N34" s="12">
        <f t="shared" si="33"/>
        <v>156958.12356293004</v>
      </c>
    </row>
    <row r="35" spans="1:14">
      <c r="A35" s="2">
        <f t="shared" si="0"/>
        <v>28</v>
      </c>
      <c r="B35" s="5"/>
      <c r="C35" s="3" t="s">
        <v>77</v>
      </c>
      <c r="D35" s="6">
        <f>SUM(D33:D34)</f>
        <v>2272285015.7814918</v>
      </c>
      <c r="E35" s="11"/>
      <c r="F35" s="13">
        <f t="shared" ref="F35" si="34">SUM(F33:F34)</f>
        <v>190405.82688836139</v>
      </c>
      <c r="H35" s="6">
        <f>SUM(H33:H34)</f>
        <v>2272285015.7814918</v>
      </c>
      <c r="J35" s="13">
        <f t="shared" ref="J35" si="35">SUM(J33:J34)</f>
        <v>190405.82688836139</v>
      </c>
      <c r="K35" s="12"/>
      <c r="L35" s="6">
        <f>SUM(L33:L34)</f>
        <v>2269766621.1399517</v>
      </c>
      <c r="N35" s="13">
        <f t="shared" ref="N35" si="36">SUM(N33:N34)</f>
        <v>190363.01417945523</v>
      </c>
    </row>
    <row r="36" spans="1:14">
      <c r="A36" s="2">
        <f t="shared" si="0"/>
        <v>29</v>
      </c>
      <c r="B36" s="2"/>
      <c r="D36" s="4"/>
      <c r="E36" s="11"/>
      <c r="F36" s="12"/>
      <c r="H36" s="4"/>
      <c r="J36" s="12"/>
      <c r="K36" s="12"/>
      <c r="L36" s="4"/>
      <c r="N36" s="12"/>
    </row>
    <row r="37" spans="1:14" ht="12" thickBot="1">
      <c r="A37" s="2">
        <f t="shared" si="0"/>
        <v>30</v>
      </c>
      <c r="B37" s="2"/>
      <c r="C37" s="7" t="s">
        <v>15</v>
      </c>
      <c r="D37" s="8">
        <f>SUM(D10,D19,D25,D29,D31,D35)</f>
        <v>23551443434.196022</v>
      </c>
      <c r="E37" s="11"/>
      <c r="F37" s="14">
        <f>SUM(F10,F19,F25,F29,F31,F35)</f>
        <v>48605236.088262789</v>
      </c>
      <c r="H37" s="8">
        <f>SUM(H10,H19,H25,H29,H31,H35)</f>
        <v>23551443434.196022</v>
      </c>
      <c r="J37" s="14">
        <f>SUM(J10,J19,J25,J29,J31,J35)</f>
        <v>48605236.088262789</v>
      </c>
      <c r="K37" s="12"/>
      <c r="L37" s="8">
        <f>SUM(L10,L19,L25,L29,L31,L35)</f>
        <v>23768895895.058746</v>
      </c>
      <c r="N37" s="14">
        <f>SUM(N10,N19,N25,N29,N31,N35)</f>
        <v>49139714.393379405</v>
      </c>
    </row>
    <row r="38" spans="1:14" ht="12" thickTop="1">
      <c r="A38" s="2">
        <f t="shared" si="0"/>
        <v>31</v>
      </c>
      <c r="B38" s="2"/>
      <c r="E38" s="11"/>
      <c r="F38" s="12"/>
      <c r="J38" s="12"/>
      <c r="K38" s="12"/>
      <c r="N38" s="12"/>
    </row>
    <row r="39" spans="1:14">
      <c r="A39" s="2">
        <f t="shared" si="0"/>
        <v>32</v>
      </c>
      <c r="B39" s="132">
        <f>'Sch 95'!B39</f>
        <v>5</v>
      </c>
      <c r="C39" s="3" t="s">
        <v>16</v>
      </c>
      <c r="D39" s="122">
        <f>'Revenue by Sch RY#1'!D22</f>
        <v>6714960.2368700616</v>
      </c>
      <c r="E39" s="117">
        <v>0</v>
      </c>
      <c r="F39" s="13">
        <f>D39*E39</f>
        <v>0</v>
      </c>
      <c r="H39" s="6">
        <f>D39</f>
        <v>6714960.2368700616</v>
      </c>
      <c r="I39" s="11">
        <f>E39</f>
        <v>0</v>
      </c>
      <c r="J39" s="13">
        <f>$I39*H39</f>
        <v>0</v>
      </c>
      <c r="K39" s="12"/>
      <c r="L39" s="122">
        <f>'Revenue by Sch RY#2'!D22</f>
        <v>6710049.8818741431</v>
      </c>
      <c r="M39" s="11">
        <f>I39</f>
        <v>0</v>
      </c>
      <c r="N39" s="12">
        <f>$M39*L39</f>
        <v>0</v>
      </c>
    </row>
    <row r="40" spans="1:14">
      <c r="A40" s="2">
        <f t="shared" si="0"/>
        <v>33</v>
      </c>
      <c r="B40" s="2"/>
      <c r="E40" s="11"/>
      <c r="F40" s="12"/>
      <c r="J40" s="12"/>
      <c r="K40" s="12"/>
      <c r="N40" s="12"/>
    </row>
    <row r="41" spans="1:14" ht="12" thickBot="1">
      <c r="A41" s="2">
        <f t="shared" si="0"/>
        <v>34</v>
      </c>
      <c r="B41" s="2"/>
      <c r="C41" s="110" t="s">
        <v>17</v>
      </c>
      <c r="D41" s="111">
        <f>SUM(D37,D39)</f>
        <v>23558158394.432892</v>
      </c>
      <c r="E41" s="112"/>
      <c r="F41" s="113">
        <f>SUM(F37,F39)</f>
        <v>48605236.088262789</v>
      </c>
      <c r="G41" s="15"/>
      <c r="H41" s="111">
        <f>SUM(H37,H39)</f>
        <v>23558158394.432892</v>
      </c>
      <c r="I41" s="15"/>
      <c r="J41" s="113">
        <f t="shared" ref="J41" si="37">SUM(J37,J39)</f>
        <v>48605236.088262789</v>
      </c>
      <c r="K41" s="114"/>
      <c r="L41" s="111">
        <f>SUM(L37,L39)</f>
        <v>23775605944.94062</v>
      </c>
      <c r="M41" s="15"/>
      <c r="N41" s="113">
        <f t="shared" ref="N41" si="38">SUM(N37,N39)</f>
        <v>49139714.393379405</v>
      </c>
    </row>
    <row r="42" spans="1:14" ht="12" thickTop="1">
      <c r="D42" s="123">
        <f>'Revenue by Sch RY#1'!D24</f>
        <v>23558158394.432896</v>
      </c>
      <c r="H42" s="162">
        <f>D41</f>
        <v>23558158394.432892</v>
      </c>
      <c r="L42" s="123">
        <f>'Revenue by Sch RY#2'!D24</f>
        <v>23775605944.94062</v>
      </c>
    </row>
    <row r="43" spans="1:14">
      <c r="C43" s="17" t="s">
        <v>168</v>
      </c>
      <c r="D43" s="124">
        <f>D41-D42</f>
        <v>0</v>
      </c>
      <c r="H43" s="124">
        <f>H41-H42</f>
        <v>0</v>
      </c>
      <c r="L43" s="124">
        <f>L41-L42</f>
        <v>0</v>
      </c>
    </row>
    <row r="44" spans="1:14">
      <c r="L44" s="4"/>
    </row>
    <row r="45" spans="1:14">
      <c r="B45" s="3" t="s">
        <v>253</v>
      </c>
      <c r="C45" s="101"/>
    </row>
  </sheetData>
  <mergeCells count="7">
    <mergeCell ref="H6:J6"/>
    <mergeCell ref="L6:N6"/>
    <mergeCell ref="A1:N1"/>
    <mergeCell ref="A2:N2"/>
    <mergeCell ref="A3:N3"/>
    <mergeCell ref="A4:N4"/>
    <mergeCell ref="A5:E5"/>
  </mergeCells>
  <pageMargins left="0.7" right="0.7" top="0.75" bottom="0.75" header="0.3" footer="0.3"/>
  <pageSetup scale="81" orientation="landscape" horizontalDpi="360" verticalDpi="360" r:id="rId1"/>
  <headerFooter>
    <oddFooter>&amp;R&amp;F
&amp;A
&amp;P of &amp;N</oddFooter>
  </headerFooter>
  <customProperties>
    <customPr name="_pios_id" r:id="rId2"/>
  </customPropertie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6" tint="0.79998168889431442"/>
    <pageSetUpPr fitToPage="1"/>
  </sheetPr>
  <dimension ref="A1:N45"/>
  <sheetViews>
    <sheetView zoomScaleNormal="100" workbookViewId="0">
      <pane ySplit="7" topLeftCell="A8" activePane="bottomLeft" state="frozen"/>
      <selection activeCell="U42" sqref="U42"/>
      <selection pane="bottomLeft" activeCell="U42" sqref="U42"/>
    </sheetView>
  </sheetViews>
  <sheetFormatPr defaultColWidth="8.85546875" defaultRowHeight="11.25"/>
  <cols>
    <col min="1" max="1" width="4.42578125" style="3" bestFit="1" customWidth="1"/>
    <col min="2" max="2" width="14.85546875" style="3" bestFit="1" customWidth="1"/>
    <col min="3" max="3" width="21.7109375" style="3" bestFit="1" customWidth="1"/>
    <col min="4" max="4" width="15.140625" style="3" bestFit="1" customWidth="1"/>
    <col min="5" max="5" width="11" style="3" customWidth="1"/>
    <col min="6" max="6" width="11.85546875" style="3" customWidth="1"/>
    <col min="7" max="7" width="0.85546875" style="3" customWidth="1"/>
    <col min="8" max="8" width="12.85546875" style="3" bestFit="1" customWidth="1"/>
    <col min="9" max="9" width="9.42578125" style="3" bestFit="1" customWidth="1"/>
    <col min="10" max="10" width="11.5703125" style="3" bestFit="1" customWidth="1"/>
    <col min="11" max="11" width="1" style="3" customWidth="1"/>
    <col min="12" max="12" width="12.85546875" style="3" bestFit="1" customWidth="1"/>
    <col min="13" max="13" width="9.42578125" style="3" bestFit="1" customWidth="1"/>
    <col min="14" max="14" width="13.42578125" style="3" customWidth="1"/>
    <col min="15" max="16384" width="8.85546875" style="3"/>
  </cols>
  <sheetData>
    <row r="1" spans="1:14" s="15" customFormat="1" ht="12.75" customHeight="1">
      <c r="A1" s="459" t="str">
        <f>'Exh CTM-8 (Rate Impacts_RY#1)'!A1</f>
        <v>Puget Sound Energy</v>
      </c>
      <c r="B1" s="460"/>
      <c r="C1" s="460"/>
      <c r="D1" s="460"/>
      <c r="E1" s="460"/>
      <c r="F1" s="460"/>
      <c r="G1" s="460"/>
      <c r="H1" s="460"/>
      <c r="I1" s="460"/>
      <c r="J1" s="460"/>
      <c r="K1" s="460"/>
      <c r="L1" s="460"/>
      <c r="M1" s="460"/>
      <c r="N1" s="460"/>
    </row>
    <row r="2" spans="1:14" s="15" customFormat="1" ht="12.75">
      <c r="A2" s="459" t="str">
        <f>'Exh CTM-8 (Rate Impacts_RY#1)'!A2</f>
        <v>2024 General Rate Case Docket No. UE-240004 and UG-240005</v>
      </c>
      <c r="B2" s="460"/>
      <c r="C2" s="460"/>
      <c r="D2" s="460"/>
      <c r="E2" s="460"/>
      <c r="F2" s="460"/>
      <c r="G2" s="460"/>
      <c r="H2" s="460"/>
      <c r="I2" s="460"/>
      <c r="J2" s="460"/>
      <c r="K2" s="460"/>
      <c r="L2" s="460"/>
      <c r="M2" s="460"/>
      <c r="N2" s="460"/>
    </row>
    <row r="3" spans="1:14" s="15" customFormat="1" ht="12.75">
      <c r="A3" s="545" t="s">
        <v>226</v>
      </c>
      <c r="B3" s="470"/>
      <c r="C3" s="470"/>
      <c r="D3" s="470"/>
      <c r="E3" s="470"/>
      <c r="F3" s="471"/>
      <c r="G3" s="471"/>
      <c r="H3" s="471"/>
      <c r="I3" s="471"/>
      <c r="J3" s="471"/>
      <c r="K3" s="471"/>
      <c r="L3" s="471"/>
      <c r="M3" s="471"/>
      <c r="N3" s="471"/>
    </row>
    <row r="4" spans="1:14" s="15" customFormat="1" ht="12.75">
      <c r="A4" s="545" t="s">
        <v>177</v>
      </c>
      <c r="B4" s="470"/>
      <c r="C4" s="470"/>
      <c r="D4" s="470"/>
      <c r="E4" s="470"/>
      <c r="F4" s="471"/>
      <c r="G4" s="471"/>
      <c r="H4" s="471"/>
      <c r="I4" s="471"/>
      <c r="J4" s="471"/>
      <c r="K4" s="471"/>
      <c r="L4" s="471"/>
      <c r="M4" s="471"/>
      <c r="N4" s="471"/>
    </row>
    <row r="5" spans="1:14" s="15" customFormat="1">
      <c r="A5" s="456"/>
      <c r="B5" s="456"/>
      <c r="C5" s="456"/>
      <c r="D5" s="456"/>
      <c r="E5" s="456"/>
      <c r="F5" s="44"/>
    </row>
    <row r="6" spans="1:14" s="15" customFormat="1" ht="12.75">
      <c r="A6" s="45"/>
      <c r="B6" s="44"/>
      <c r="C6" s="44"/>
      <c r="D6" s="44"/>
      <c r="H6" s="546" t="str">
        <f>'Sch 95'!H6</f>
        <v>MYRP January 2025</v>
      </c>
      <c r="I6" s="494"/>
      <c r="J6" s="493"/>
      <c r="K6" s="132">
        <f>'Sch 95'!K6</f>
        <v>0</v>
      </c>
      <c r="L6" s="546" t="str">
        <f>'Sch 95'!L6</f>
        <v>MYRP January 2026</v>
      </c>
      <c r="M6" s="547"/>
      <c r="N6" s="548"/>
    </row>
    <row r="7" spans="1:14" s="15" customFormat="1" ht="45">
      <c r="A7" s="97" t="s">
        <v>2</v>
      </c>
      <c r="B7" s="97" t="s">
        <v>3</v>
      </c>
      <c r="C7" s="97" t="s">
        <v>14</v>
      </c>
      <c r="D7" s="133" t="str">
        <f>'Sch 95'!D7</f>
        <v>12 months ending December 2025 F23 Forecast KWh</v>
      </c>
      <c r="E7" s="133" t="str">
        <f>'Sch 95'!E7</f>
        <v>Current Rates as of January 2024 (1)</v>
      </c>
      <c r="F7" s="133" t="str">
        <f>'Sch 95'!F7</f>
        <v>Annual Delivered $</v>
      </c>
      <c r="G7" s="133">
        <f>'Sch 95'!G7</f>
        <v>0</v>
      </c>
      <c r="H7" s="133" t="str">
        <f>'Sch 95'!H7</f>
        <v>Annual Delivered KWh</v>
      </c>
      <c r="I7" s="133" t="str">
        <f>'Sch 95'!I7</f>
        <v>Rates Effective January 2025</v>
      </c>
      <c r="J7" s="133" t="str">
        <f>'Sch 95'!J7</f>
        <v>Annual Delivered $</v>
      </c>
      <c r="K7" s="133">
        <f>'Sch 95'!K7</f>
        <v>0</v>
      </c>
      <c r="L7" s="133" t="str">
        <f>'Sch 95'!L7</f>
        <v>Annual Delivered KWh</v>
      </c>
      <c r="M7" s="133" t="str">
        <f>'Sch 95'!M7</f>
        <v>Rates Effective January 2026</v>
      </c>
      <c r="N7" s="133" t="str">
        <f>'Sch 95'!N7</f>
        <v>Annual Delivered $</v>
      </c>
    </row>
    <row r="8" spans="1:14">
      <c r="A8" s="2">
        <v>1</v>
      </c>
      <c r="B8" s="132" t="str">
        <f>'Sch 95'!B8</f>
        <v xml:space="preserve"> 7 (307) (317) (327)</v>
      </c>
      <c r="D8" s="116">
        <f>'Revenue by Sch RY#1'!D9</f>
        <v>11278205851.395365</v>
      </c>
      <c r="E8" s="164">
        <v>0</v>
      </c>
      <c r="F8" s="12">
        <f>D8*E8</f>
        <v>0</v>
      </c>
      <c r="H8" s="4">
        <f>D8</f>
        <v>11278205851.395365</v>
      </c>
      <c r="I8" s="11">
        <f>E8</f>
        <v>0</v>
      </c>
      <c r="J8" s="12">
        <f>$I8*H8</f>
        <v>0</v>
      </c>
      <c r="K8" s="12"/>
      <c r="L8" s="116">
        <f>'Revenue by Sch RY#2'!D9</f>
        <v>11447649239.71397</v>
      </c>
      <c r="M8" s="11">
        <f>I8</f>
        <v>0</v>
      </c>
      <c r="N8" s="12">
        <f>$M8*L8</f>
        <v>0</v>
      </c>
    </row>
    <row r="9" spans="1:14">
      <c r="A9" s="2">
        <f t="shared" ref="A9:A41" si="0">+A8+1</f>
        <v>2</v>
      </c>
      <c r="B9" s="132" t="str">
        <f>'Sch 95'!B9</f>
        <v xml:space="preserve">7A </v>
      </c>
      <c r="D9" s="4">
        <v>0</v>
      </c>
      <c r="E9" s="164">
        <v>0</v>
      </c>
      <c r="F9" s="12">
        <f>D9*E9</f>
        <v>0</v>
      </c>
      <c r="H9" s="4">
        <f>D9</f>
        <v>0</v>
      </c>
      <c r="I9" s="11">
        <f>E9</f>
        <v>0</v>
      </c>
      <c r="J9" s="12">
        <f>$I9*H9</f>
        <v>0</v>
      </c>
      <c r="K9" s="12"/>
      <c r="L9" s="4">
        <v>0</v>
      </c>
      <c r="M9" s="11">
        <f>I9</f>
        <v>0</v>
      </c>
      <c r="N9" s="12">
        <f>$M9*L9</f>
        <v>0</v>
      </c>
    </row>
    <row r="10" spans="1:14">
      <c r="A10" s="2">
        <f t="shared" si="0"/>
        <v>3</v>
      </c>
      <c r="B10" s="2"/>
      <c r="C10" s="3" t="s">
        <v>4</v>
      </c>
      <c r="D10" s="6">
        <f>SUM(D8:D9)</f>
        <v>11278205851.395365</v>
      </c>
      <c r="E10" s="130"/>
      <c r="F10" s="13">
        <f t="shared" ref="F10" si="1">SUM(F8:F9)</f>
        <v>0</v>
      </c>
      <c r="H10" s="6">
        <f>SUM(H8:H9)</f>
        <v>11278205851.395365</v>
      </c>
      <c r="I10" s="11"/>
      <c r="J10" s="13">
        <f t="shared" ref="J10" si="2">SUM(J8:J9)</f>
        <v>0</v>
      </c>
      <c r="K10" s="12"/>
      <c r="L10" s="6">
        <f>SUM(L8:L9)</f>
        <v>11447649239.71397</v>
      </c>
      <c r="M10" s="11"/>
      <c r="N10" s="13">
        <f t="shared" ref="N10" si="3">SUM(N8:N9)</f>
        <v>0</v>
      </c>
    </row>
    <row r="11" spans="1:14">
      <c r="A11" s="2">
        <f t="shared" si="0"/>
        <v>4</v>
      </c>
      <c r="B11" s="2"/>
      <c r="D11" s="4"/>
      <c r="E11" s="130"/>
      <c r="F11" s="12"/>
      <c r="H11" s="4"/>
      <c r="I11" s="11"/>
      <c r="J11" s="12"/>
      <c r="K11" s="12"/>
      <c r="L11" s="4"/>
      <c r="M11" s="11"/>
      <c r="N11" s="12"/>
    </row>
    <row r="12" spans="1:14">
      <c r="A12" s="2">
        <f t="shared" si="0"/>
        <v>5</v>
      </c>
      <c r="B12" s="132">
        <f>'Sch 95'!B12</f>
        <v>8</v>
      </c>
      <c r="D12" s="4">
        <v>0</v>
      </c>
      <c r="E12" s="164">
        <v>0</v>
      </c>
      <c r="F12" s="12">
        <f t="shared" ref="F12:F18" si="4">D12*E12</f>
        <v>0</v>
      </c>
      <c r="H12" s="4">
        <f>D12</f>
        <v>0</v>
      </c>
      <c r="I12" s="11">
        <f t="shared" ref="I12:I18" si="5">E12</f>
        <v>0</v>
      </c>
      <c r="J12" s="12">
        <f t="shared" ref="J12:J18" si="6">$I12*H12</f>
        <v>0</v>
      </c>
      <c r="K12" s="12"/>
      <c r="L12" s="4">
        <v>0</v>
      </c>
      <c r="M12" s="11">
        <f t="shared" ref="M12:M18" si="7">I12</f>
        <v>0</v>
      </c>
      <c r="N12" s="12">
        <f t="shared" ref="N12:N18" si="8">$M12*L12</f>
        <v>0</v>
      </c>
    </row>
    <row r="13" spans="1:14">
      <c r="A13" s="2">
        <f t="shared" si="0"/>
        <v>6</v>
      </c>
      <c r="B13" s="132" t="str">
        <f>'Sch 95'!B13</f>
        <v>24 (324)</v>
      </c>
      <c r="D13" s="116">
        <f>'Revenue by Sch RY#1'!D10</f>
        <v>2762635966.1696987</v>
      </c>
      <c r="E13" s="130">
        <f>+E12</f>
        <v>0</v>
      </c>
      <c r="F13" s="12">
        <f t="shared" si="4"/>
        <v>0</v>
      </c>
      <c r="H13" s="4">
        <f>D13</f>
        <v>2762635966.1696987</v>
      </c>
      <c r="I13" s="11">
        <f t="shared" si="5"/>
        <v>0</v>
      </c>
      <c r="J13" s="12">
        <f t="shared" si="6"/>
        <v>0</v>
      </c>
      <c r="K13" s="12"/>
      <c r="L13" s="116">
        <f>'Revenue by Sch RY#2'!D10</f>
        <v>2774967422.2693906</v>
      </c>
      <c r="M13" s="11">
        <f t="shared" si="7"/>
        <v>0</v>
      </c>
      <c r="N13" s="12">
        <f t="shared" si="8"/>
        <v>0</v>
      </c>
    </row>
    <row r="14" spans="1:14">
      <c r="A14" s="2">
        <f t="shared" si="0"/>
        <v>7</v>
      </c>
      <c r="B14" s="132">
        <f>'Sch 95'!B14</f>
        <v>11</v>
      </c>
      <c r="D14" s="4">
        <v>0</v>
      </c>
      <c r="E14" s="130">
        <f>E9</f>
        <v>0</v>
      </c>
      <c r="F14" s="12">
        <f t="shared" si="4"/>
        <v>0</v>
      </c>
      <c r="H14" s="4">
        <f t="shared" ref="H14:H18" si="9">D14</f>
        <v>0</v>
      </c>
      <c r="I14" s="11">
        <f t="shared" si="5"/>
        <v>0</v>
      </c>
      <c r="J14" s="12">
        <f t="shared" si="6"/>
        <v>0</v>
      </c>
      <c r="K14" s="12"/>
      <c r="L14" s="4">
        <v>0</v>
      </c>
      <c r="M14" s="11">
        <f t="shared" si="7"/>
        <v>0</v>
      </c>
      <c r="N14" s="12">
        <f t="shared" si="8"/>
        <v>0</v>
      </c>
    </row>
    <row r="15" spans="1:14">
      <c r="A15" s="2">
        <f t="shared" si="0"/>
        <v>8</v>
      </c>
      <c r="B15" s="132">
        <f>'Sch 95'!B15</f>
        <v>25</v>
      </c>
      <c r="D15" s="116">
        <f>'Revenue by Sch RY#1'!D11</f>
        <v>2960202274.8054705</v>
      </c>
      <c r="E15" s="130">
        <f>+E14</f>
        <v>0</v>
      </c>
      <c r="F15" s="12">
        <f t="shared" si="4"/>
        <v>0</v>
      </c>
      <c r="H15" s="4">
        <f t="shared" si="9"/>
        <v>2960202274.8054705</v>
      </c>
      <c r="I15" s="11">
        <f t="shared" si="5"/>
        <v>0</v>
      </c>
      <c r="J15" s="12">
        <f t="shared" si="6"/>
        <v>0</v>
      </c>
      <c r="K15" s="12"/>
      <c r="L15" s="116">
        <f>'Revenue by Sch RY#2'!D11</f>
        <v>2968720174.6374388</v>
      </c>
      <c r="M15" s="11">
        <f t="shared" si="7"/>
        <v>0</v>
      </c>
      <c r="N15" s="12">
        <f t="shared" si="8"/>
        <v>0</v>
      </c>
    </row>
    <row r="16" spans="1:14">
      <c r="A16" s="2">
        <f t="shared" si="0"/>
        <v>9</v>
      </c>
      <c r="B16" s="132">
        <f>'Sch 95'!B16</f>
        <v>12</v>
      </c>
      <c r="D16" s="4">
        <v>0</v>
      </c>
      <c r="E16" s="164">
        <v>0</v>
      </c>
      <c r="F16" s="12">
        <f t="shared" si="4"/>
        <v>0</v>
      </c>
      <c r="H16" s="4">
        <f t="shared" si="9"/>
        <v>0</v>
      </c>
      <c r="I16" s="11">
        <f t="shared" si="5"/>
        <v>0</v>
      </c>
      <c r="J16" s="12">
        <f t="shared" si="6"/>
        <v>0</v>
      </c>
      <c r="K16" s="12"/>
      <c r="L16" s="4">
        <v>0</v>
      </c>
      <c r="M16" s="11">
        <f t="shared" si="7"/>
        <v>0</v>
      </c>
      <c r="N16" s="12">
        <f t="shared" si="8"/>
        <v>0</v>
      </c>
    </row>
    <row r="17" spans="1:14">
      <c r="A17" s="2">
        <f t="shared" si="0"/>
        <v>10</v>
      </c>
      <c r="B17" s="132" t="str">
        <f>'Sch 95'!B17</f>
        <v>26 &amp; 26P</v>
      </c>
      <c r="D17" s="116">
        <f>'Revenue by Sch RY#1'!D12</f>
        <v>2013891730.8000479</v>
      </c>
      <c r="E17" s="130">
        <f>+E16</f>
        <v>0</v>
      </c>
      <c r="F17" s="12">
        <f t="shared" si="4"/>
        <v>0</v>
      </c>
      <c r="H17" s="4">
        <f t="shared" si="9"/>
        <v>2013891730.8000479</v>
      </c>
      <c r="I17" s="11">
        <f t="shared" si="5"/>
        <v>0</v>
      </c>
      <c r="J17" s="12">
        <f t="shared" si="6"/>
        <v>0</v>
      </c>
      <c r="K17" s="12"/>
      <c r="L17" s="116">
        <f>'Revenue by Sch RY#2'!D12</f>
        <v>2056791563.2414525</v>
      </c>
      <c r="M17" s="11">
        <f t="shared" si="7"/>
        <v>0</v>
      </c>
      <c r="N17" s="12">
        <f t="shared" si="8"/>
        <v>0</v>
      </c>
    </row>
    <row r="18" spans="1:14">
      <c r="A18" s="2">
        <f t="shared" si="0"/>
        <v>11</v>
      </c>
      <c r="B18" s="132">
        <f>'Sch 95'!B18</f>
        <v>29</v>
      </c>
      <c r="D18" s="116">
        <f>'Revenue by Sch RY#1'!D13</f>
        <v>14930059.630887466</v>
      </c>
      <c r="E18" s="164">
        <v>0</v>
      </c>
      <c r="F18" s="12">
        <f t="shared" si="4"/>
        <v>0</v>
      </c>
      <c r="H18" s="4">
        <f t="shared" si="9"/>
        <v>14930059.630887466</v>
      </c>
      <c r="I18" s="11">
        <f t="shared" si="5"/>
        <v>0</v>
      </c>
      <c r="J18" s="12">
        <f t="shared" si="6"/>
        <v>0</v>
      </c>
      <c r="K18" s="12"/>
      <c r="L18" s="116">
        <f>'Revenue by Sch RY#2'!D13</f>
        <v>14843026.361509496</v>
      </c>
      <c r="M18" s="11">
        <f t="shared" si="7"/>
        <v>0</v>
      </c>
      <c r="N18" s="12">
        <f t="shared" si="8"/>
        <v>0</v>
      </c>
    </row>
    <row r="19" spans="1:14">
      <c r="A19" s="2">
        <f t="shared" si="0"/>
        <v>12</v>
      </c>
      <c r="B19" s="2"/>
      <c r="C19" s="7" t="s">
        <v>6</v>
      </c>
      <c r="D19" s="6">
        <f>SUM(D12:D18)</f>
        <v>7751660031.4061041</v>
      </c>
      <c r="E19" s="130"/>
      <c r="F19" s="13">
        <f t="shared" ref="F19" si="10">SUM(F12:F18)</f>
        <v>0</v>
      </c>
      <c r="H19" s="6">
        <f>SUM(H12:H18)</f>
        <v>7751660031.4061041</v>
      </c>
      <c r="I19" s="11"/>
      <c r="J19" s="13">
        <f t="shared" ref="J19" si="11">SUM(J12:J18)</f>
        <v>0</v>
      </c>
      <c r="K19" s="12"/>
      <c r="L19" s="6">
        <f>SUM(L12:L18)</f>
        <v>7815322186.5097914</v>
      </c>
      <c r="M19" s="11"/>
      <c r="N19" s="13">
        <f t="shared" ref="N19" si="12">SUM(N12:N18)</f>
        <v>0</v>
      </c>
    </row>
    <row r="20" spans="1:14">
      <c r="A20" s="2">
        <f t="shared" si="0"/>
        <v>13</v>
      </c>
      <c r="B20" s="2"/>
      <c r="D20" s="4"/>
      <c r="E20" s="130"/>
      <c r="F20" s="12"/>
      <c r="H20" s="4"/>
      <c r="I20" s="11"/>
      <c r="J20" s="12"/>
      <c r="K20" s="12"/>
      <c r="L20" s="4"/>
      <c r="M20" s="11"/>
      <c r="N20" s="12"/>
    </row>
    <row r="21" spans="1:14">
      <c r="A21" s="2">
        <f t="shared" si="0"/>
        <v>14</v>
      </c>
      <c r="B21" s="132">
        <f>'Sch 95'!B21</f>
        <v>10</v>
      </c>
      <c r="D21" s="4">
        <v>0</v>
      </c>
      <c r="E21" s="164">
        <v>0</v>
      </c>
      <c r="F21" s="12">
        <f t="shared" ref="F21:F24" si="13">D21*E21</f>
        <v>0</v>
      </c>
      <c r="H21" s="4">
        <f t="shared" ref="H21:I24" si="14">D21</f>
        <v>0</v>
      </c>
      <c r="I21" s="11">
        <f t="shared" si="14"/>
        <v>0</v>
      </c>
      <c r="J21" s="12">
        <f t="shared" ref="J21:J24" si="15">$I21*H21</f>
        <v>0</v>
      </c>
      <c r="K21" s="12"/>
      <c r="L21" s="4">
        <v>0</v>
      </c>
      <c r="M21" s="11">
        <f t="shared" ref="M21:M24" si="16">I21</f>
        <v>0</v>
      </c>
      <c r="N21" s="12">
        <f t="shared" ref="N21:N24" si="17">$M21*L21</f>
        <v>0</v>
      </c>
    </row>
    <row r="22" spans="1:14">
      <c r="A22" s="2">
        <f t="shared" si="0"/>
        <v>15</v>
      </c>
      <c r="B22" s="132">
        <f>'Sch 95'!B22</f>
        <v>31</v>
      </c>
      <c r="D22" s="116">
        <f>'Revenue by Sch RY#1'!D14</f>
        <v>1423586019.4788036</v>
      </c>
      <c r="E22" s="130">
        <f>+E21</f>
        <v>0</v>
      </c>
      <c r="F22" s="12">
        <f t="shared" si="13"/>
        <v>0</v>
      </c>
      <c r="H22" s="4">
        <f t="shared" si="14"/>
        <v>1423586019.4788036</v>
      </c>
      <c r="I22" s="11">
        <f t="shared" si="14"/>
        <v>0</v>
      </c>
      <c r="J22" s="12">
        <f t="shared" si="15"/>
        <v>0</v>
      </c>
      <c r="K22" s="12"/>
      <c r="L22" s="116">
        <f>'Revenue by Sch RY#2'!D14</f>
        <v>1411297972.0883911</v>
      </c>
      <c r="M22" s="11">
        <f t="shared" si="16"/>
        <v>0</v>
      </c>
      <c r="N22" s="12">
        <f t="shared" si="17"/>
        <v>0</v>
      </c>
    </row>
    <row r="23" spans="1:14">
      <c r="A23" s="2">
        <f t="shared" si="0"/>
        <v>16</v>
      </c>
      <c r="B23" s="132">
        <f>'Sch 95'!B23</f>
        <v>35</v>
      </c>
      <c r="D23" s="116">
        <f>'Revenue by Sch RY#1'!D15</f>
        <v>4407260.1568774413</v>
      </c>
      <c r="E23" s="164">
        <v>0</v>
      </c>
      <c r="F23" s="12">
        <f t="shared" si="13"/>
        <v>0</v>
      </c>
      <c r="H23" s="4">
        <f t="shared" si="14"/>
        <v>4407260.1568774413</v>
      </c>
      <c r="I23" s="11">
        <f t="shared" si="14"/>
        <v>0</v>
      </c>
      <c r="J23" s="12">
        <f t="shared" si="15"/>
        <v>0</v>
      </c>
      <c r="K23" s="12"/>
      <c r="L23" s="116">
        <f>'Revenue by Sch RY#2'!D15</f>
        <v>4380281.1514552524</v>
      </c>
      <c r="M23" s="11">
        <f t="shared" si="16"/>
        <v>0</v>
      </c>
      <c r="N23" s="12">
        <f t="shared" si="17"/>
        <v>0</v>
      </c>
    </row>
    <row r="24" spans="1:14">
      <c r="A24" s="2">
        <f t="shared" si="0"/>
        <v>17</v>
      </c>
      <c r="B24" s="132">
        <f>'Sch 95'!B24</f>
        <v>43</v>
      </c>
      <c r="D24" s="116">
        <f>'Revenue by Sch RY#1'!D16</f>
        <v>122267424.6450724</v>
      </c>
      <c r="E24" s="164">
        <v>0</v>
      </c>
      <c r="F24" s="12">
        <f t="shared" si="13"/>
        <v>0</v>
      </c>
      <c r="H24" s="4">
        <f t="shared" si="14"/>
        <v>122267424.6450724</v>
      </c>
      <c r="I24" s="11">
        <f t="shared" si="14"/>
        <v>0</v>
      </c>
      <c r="J24" s="12">
        <f t="shared" si="15"/>
        <v>0</v>
      </c>
      <c r="K24" s="12"/>
      <c r="L24" s="116">
        <f>'Revenue by Sch RY#2'!D16</f>
        <v>121633779.10385114</v>
      </c>
      <c r="M24" s="11">
        <f t="shared" si="16"/>
        <v>0</v>
      </c>
      <c r="N24" s="12">
        <f t="shared" si="17"/>
        <v>0</v>
      </c>
    </row>
    <row r="25" spans="1:14">
      <c r="A25" s="2">
        <f t="shared" si="0"/>
        <v>18</v>
      </c>
      <c r="B25" s="2"/>
      <c r="C25" s="3" t="s">
        <v>7</v>
      </c>
      <c r="D25" s="6">
        <f>SUM(D21:D24)</f>
        <v>1550260704.2807536</v>
      </c>
      <c r="E25" s="130"/>
      <c r="F25" s="13">
        <f t="shared" ref="F25" si="18">SUM(F21:F24)</f>
        <v>0</v>
      </c>
      <c r="H25" s="6">
        <f>SUM(H21:H24)</f>
        <v>1550260704.2807536</v>
      </c>
      <c r="I25" s="11"/>
      <c r="J25" s="13">
        <f t="shared" ref="J25" si="19">SUM(J21:J24)</f>
        <v>0</v>
      </c>
      <c r="K25" s="12"/>
      <c r="L25" s="6">
        <f>SUM(L21:L24)</f>
        <v>1537312032.3436973</v>
      </c>
      <c r="M25" s="11"/>
      <c r="N25" s="13">
        <f t="shared" ref="N25" si="20">SUM(N21:N24)</f>
        <v>0</v>
      </c>
    </row>
    <row r="26" spans="1:14">
      <c r="A26" s="2">
        <f t="shared" si="0"/>
        <v>19</v>
      </c>
      <c r="B26" s="2"/>
      <c r="D26" s="4"/>
      <c r="E26" s="130"/>
      <c r="F26" s="12"/>
      <c r="H26" s="4"/>
      <c r="I26" s="11"/>
      <c r="J26" s="12"/>
      <c r="K26" s="12"/>
      <c r="L26" s="4"/>
      <c r="M26" s="11"/>
      <c r="N26" s="12"/>
    </row>
    <row r="27" spans="1:14">
      <c r="A27" s="2">
        <f t="shared" si="0"/>
        <v>20</v>
      </c>
      <c r="B27" s="132">
        <f>'Sch 95'!B27</f>
        <v>46</v>
      </c>
      <c r="D27" s="116">
        <f>'Revenue by Sch RY#1'!D17</f>
        <v>96933187.043131709</v>
      </c>
      <c r="E27" s="164">
        <v>0</v>
      </c>
      <c r="F27" s="12">
        <f t="shared" ref="F27:F28" si="21">D27*E27</f>
        <v>0</v>
      </c>
      <c r="H27" s="4">
        <f t="shared" ref="H27:I28" si="22">D27</f>
        <v>96933187.043131709</v>
      </c>
      <c r="I27" s="11">
        <f t="shared" si="22"/>
        <v>0</v>
      </c>
      <c r="J27" s="12">
        <f t="shared" ref="J27:J28" si="23">$I27*H27</f>
        <v>0</v>
      </c>
      <c r="K27" s="12"/>
      <c r="L27" s="116">
        <f>'Revenue by Sch RY#2'!D17</f>
        <v>96918964.527943105</v>
      </c>
      <c r="M27" s="11">
        <f t="shared" ref="M27:M28" si="24">I27</f>
        <v>0</v>
      </c>
      <c r="N27" s="12">
        <f t="shared" ref="N27:N28" si="25">$M27*L27</f>
        <v>0</v>
      </c>
    </row>
    <row r="28" spans="1:14">
      <c r="A28" s="2">
        <f t="shared" si="0"/>
        <v>21</v>
      </c>
      <c r="B28" s="132">
        <f>'Sch 95'!B28</f>
        <v>49</v>
      </c>
      <c r="D28" s="116">
        <f>'Revenue by Sch RY#1'!D18</f>
        <v>534843226.30681556</v>
      </c>
      <c r="E28" s="164">
        <v>0</v>
      </c>
      <c r="F28" s="12">
        <f t="shared" si="21"/>
        <v>0</v>
      </c>
      <c r="H28" s="4">
        <f t="shared" si="22"/>
        <v>534843226.30681556</v>
      </c>
      <c r="I28" s="11">
        <f t="shared" si="22"/>
        <v>0</v>
      </c>
      <c r="J28" s="12">
        <f t="shared" si="23"/>
        <v>0</v>
      </c>
      <c r="K28" s="12"/>
      <c r="L28" s="116">
        <f>'Revenue by Sch RY#2'!D18</f>
        <v>534899242.67952603</v>
      </c>
      <c r="M28" s="11">
        <f t="shared" si="24"/>
        <v>0</v>
      </c>
      <c r="N28" s="12">
        <f t="shared" si="25"/>
        <v>0</v>
      </c>
    </row>
    <row r="29" spans="1:14">
      <c r="A29" s="2">
        <f t="shared" si="0"/>
        <v>22</v>
      </c>
      <c r="B29" s="2"/>
      <c r="C29" s="3" t="s">
        <v>8</v>
      </c>
      <c r="D29" s="6">
        <f>SUM(D27:D28)</f>
        <v>631776413.34994721</v>
      </c>
      <c r="E29" s="11"/>
      <c r="F29" s="13">
        <f t="shared" ref="F29" si="26">SUM(F27:F28)</f>
        <v>0</v>
      </c>
      <c r="H29" s="6">
        <f>SUM(H27:H28)</f>
        <v>631776413.34994721</v>
      </c>
      <c r="I29" s="11"/>
      <c r="J29" s="13">
        <f t="shared" ref="J29" si="27">SUM(J27:J28)</f>
        <v>0</v>
      </c>
      <c r="K29" s="12"/>
      <c r="L29" s="6">
        <f>SUM(L27:L28)</f>
        <v>631818207.20746911</v>
      </c>
      <c r="M29" s="11"/>
      <c r="N29" s="13">
        <f t="shared" ref="N29" si="28">SUM(N27:N28)</f>
        <v>0</v>
      </c>
    </row>
    <row r="30" spans="1:14">
      <c r="A30" s="2">
        <f t="shared" si="0"/>
        <v>23</v>
      </c>
      <c r="B30" s="2"/>
      <c r="D30" s="4"/>
      <c r="E30" s="11"/>
      <c r="F30" s="12"/>
      <c r="H30" s="4"/>
      <c r="I30" s="11"/>
      <c r="J30" s="12"/>
      <c r="K30" s="12"/>
      <c r="L30" s="4"/>
      <c r="M30" s="11"/>
      <c r="N30" s="12"/>
    </row>
    <row r="31" spans="1:14">
      <c r="A31" s="2">
        <f t="shared" si="0"/>
        <v>24</v>
      </c>
      <c r="B31" s="132" t="str">
        <f>'Sch 95'!B31</f>
        <v>03, 50-59</v>
      </c>
      <c r="D31" s="122">
        <f>'Revenue by Sch RY#1'!D19</f>
        <v>67255417.982360825</v>
      </c>
      <c r="E31" s="164">
        <v>0</v>
      </c>
      <c r="F31" s="13">
        <f>D31*E31</f>
        <v>0</v>
      </c>
      <c r="H31" s="6">
        <f>D31</f>
        <v>67255417.982360825</v>
      </c>
      <c r="I31" s="11">
        <f>E31</f>
        <v>0</v>
      </c>
      <c r="J31" s="13">
        <f>$I31*H31</f>
        <v>0</v>
      </c>
      <c r="K31" s="12"/>
      <c r="L31" s="122">
        <f>'Revenue by Sch RY#2'!D19</f>
        <v>67027608.143863305</v>
      </c>
      <c r="M31" s="11">
        <f>I31</f>
        <v>0</v>
      </c>
      <c r="N31" s="13">
        <f>$M31*L31</f>
        <v>0</v>
      </c>
    </row>
    <row r="32" spans="1:14">
      <c r="A32" s="2">
        <f t="shared" si="0"/>
        <v>25</v>
      </c>
      <c r="B32" s="2"/>
      <c r="D32" s="4"/>
      <c r="E32" s="11"/>
      <c r="F32" s="12"/>
      <c r="H32" s="4"/>
      <c r="I32" s="11"/>
      <c r="J32" s="12"/>
      <c r="K32" s="12"/>
      <c r="L32" s="4"/>
      <c r="M32" s="11"/>
      <c r="N32" s="12"/>
    </row>
    <row r="33" spans="1:14">
      <c r="A33" s="2">
        <f t="shared" si="0"/>
        <v>26</v>
      </c>
      <c r="B33" s="132" t="str">
        <f>'Sch 95'!B33</f>
        <v>449-459</v>
      </c>
      <c r="D33" s="116">
        <f>'Revenue by Sch RY#1'!D20</f>
        <v>1967511960.3194919</v>
      </c>
      <c r="E33" s="164">
        <v>0</v>
      </c>
      <c r="F33" s="12">
        <f t="shared" ref="F33:F34" si="29">D33*E33</f>
        <v>0</v>
      </c>
      <c r="H33" s="4">
        <f t="shared" ref="H33:I34" si="30">D33</f>
        <v>1967511960.3194919</v>
      </c>
      <c r="I33" s="11">
        <f t="shared" si="30"/>
        <v>0</v>
      </c>
      <c r="J33" s="12">
        <f t="shared" ref="J33:J34" si="31">$I33*H33</f>
        <v>0</v>
      </c>
      <c r="K33" s="12"/>
      <c r="L33" s="116">
        <f>'Revenue by Sch RY#2'!D20</f>
        <v>1964993565.6779518</v>
      </c>
      <c r="M33" s="11">
        <f t="shared" ref="M33:M34" si="32">I33</f>
        <v>0</v>
      </c>
      <c r="N33" s="12">
        <f t="shared" ref="N33:N34" si="33">$M33*L33</f>
        <v>0</v>
      </c>
    </row>
    <row r="34" spans="1:14">
      <c r="A34" s="2">
        <f t="shared" si="0"/>
        <v>27</v>
      </c>
      <c r="B34" s="132" t="str">
        <f>'Sch 95'!B34</f>
        <v>Special Contract</v>
      </c>
      <c r="D34" s="116">
        <f>'Revenue by Sch RY#1'!D21</f>
        <v>304773055.46200001</v>
      </c>
      <c r="E34" s="164">
        <v>0</v>
      </c>
      <c r="F34" s="12">
        <f t="shared" si="29"/>
        <v>0</v>
      </c>
      <c r="H34" s="4">
        <f t="shared" si="30"/>
        <v>304773055.46200001</v>
      </c>
      <c r="I34" s="11">
        <f t="shared" si="30"/>
        <v>0</v>
      </c>
      <c r="J34" s="12">
        <f t="shared" si="31"/>
        <v>0</v>
      </c>
      <c r="K34" s="12"/>
      <c r="L34" s="116">
        <f>'Revenue by Sch RY#2'!D21</f>
        <v>304773055.46200001</v>
      </c>
      <c r="M34" s="11">
        <f t="shared" si="32"/>
        <v>0</v>
      </c>
      <c r="N34" s="12">
        <f t="shared" si="33"/>
        <v>0</v>
      </c>
    </row>
    <row r="35" spans="1:14">
      <c r="A35" s="2">
        <f t="shared" si="0"/>
        <v>28</v>
      </c>
      <c r="B35" s="5"/>
      <c r="C35" s="3" t="s">
        <v>77</v>
      </c>
      <c r="D35" s="6">
        <f>SUM(D33:D34)</f>
        <v>2272285015.7814918</v>
      </c>
      <c r="E35" s="11"/>
      <c r="F35" s="13">
        <f t="shared" ref="F35" si="34">SUM(F33:F34)</f>
        <v>0</v>
      </c>
      <c r="H35" s="6">
        <f>SUM(H33:H34)</f>
        <v>2272285015.7814918</v>
      </c>
      <c r="J35" s="13">
        <f t="shared" ref="J35" si="35">SUM(J33:J34)</f>
        <v>0</v>
      </c>
      <c r="K35" s="12"/>
      <c r="L35" s="6">
        <f>SUM(L33:L34)</f>
        <v>2269766621.1399517</v>
      </c>
      <c r="N35" s="13">
        <f t="shared" ref="N35" si="36">SUM(N33:N34)</f>
        <v>0</v>
      </c>
    </row>
    <row r="36" spans="1:14">
      <c r="A36" s="2">
        <f t="shared" si="0"/>
        <v>29</v>
      </c>
      <c r="B36" s="2"/>
      <c r="D36" s="4"/>
      <c r="E36" s="11"/>
      <c r="F36" s="12"/>
      <c r="H36" s="4"/>
      <c r="J36" s="12"/>
      <c r="K36" s="12"/>
      <c r="L36" s="4"/>
      <c r="N36" s="12"/>
    </row>
    <row r="37" spans="1:14" ht="12" thickBot="1">
      <c r="A37" s="2">
        <f t="shared" si="0"/>
        <v>30</v>
      </c>
      <c r="B37" s="2"/>
      <c r="C37" s="7" t="s">
        <v>15</v>
      </c>
      <c r="D37" s="8">
        <f>SUM(D10,D19,D25,D29,D31,D35)</f>
        <v>23551443434.196022</v>
      </c>
      <c r="E37" s="11"/>
      <c r="F37" s="14">
        <f>SUM(F10,F19,F25,F29,F31,F35)</f>
        <v>0</v>
      </c>
      <c r="H37" s="8">
        <f>SUM(H10,H19,H25,H29,H31,H35)</f>
        <v>23551443434.196022</v>
      </c>
      <c r="J37" s="14">
        <f>SUM(J10,J19,J25,J29,J31,J35)</f>
        <v>0</v>
      </c>
      <c r="K37" s="12"/>
      <c r="L37" s="8">
        <f>SUM(L10,L19,L25,L29,L31,L35)</f>
        <v>23768895895.058746</v>
      </c>
      <c r="N37" s="14">
        <f>SUM(N10,N19,N25,N29,N31,N35)</f>
        <v>0</v>
      </c>
    </row>
    <row r="38" spans="1:14" ht="12" thickTop="1">
      <c r="A38" s="2">
        <f t="shared" si="0"/>
        <v>31</v>
      </c>
      <c r="B38" s="2"/>
      <c r="E38" s="11"/>
      <c r="F38" s="12"/>
      <c r="J38" s="12"/>
      <c r="K38" s="12"/>
      <c r="N38" s="12"/>
    </row>
    <row r="39" spans="1:14">
      <c r="A39" s="2">
        <f t="shared" si="0"/>
        <v>32</v>
      </c>
      <c r="B39" s="132">
        <f>'Sch 95'!B39</f>
        <v>5</v>
      </c>
      <c r="C39" s="3" t="s">
        <v>16</v>
      </c>
      <c r="D39" s="122">
        <f>'Revenue by Sch RY#1'!D22</f>
        <v>6714960.2368700616</v>
      </c>
      <c r="E39" s="164">
        <v>0</v>
      </c>
      <c r="F39" s="13">
        <f>D39*E39</f>
        <v>0</v>
      </c>
      <c r="H39" s="6">
        <f>D39</f>
        <v>6714960.2368700616</v>
      </c>
      <c r="I39" s="11">
        <f>E39</f>
        <v>0</v>
      </c>
      <c r="J39" s="13">
        <f>$I39*H39</f>
        <v>0</v>
      </c>
      <c r="K39" s="12"/>
      <c r="L39" s="122">
        <f>'Revenue by Sch RY#2'!D22</f>
        <v>6710049.8818741431</v>
      </c>
      <c r="M39" s="11">
        <f>I39</f>
        <v>0</v>
      </c>
      <c r="N39" s="12">
        <f>$M39*L39</f>
        <v>0</v>
      </c>
    </row>
    <row r="40" spans="1:14">
      <c r="A40" s="2">
        <f t="shared" si="0"/>
        <v>33</v>
      </c>
      <c r="B40" s="2"/>
      <c r="E40" s="11"/>
      <c r="F40" s="12"/>
      <c r="J40" s="12"/>
      <c r="K40" s="12"/>
      <c r="N40" s="12"/>
    </row>
    <row r="41" spans="1:14" ht="12" thickBot="1">
      <c r="A41" s="2">
        <f t="shared" si="0"/>
        <v>34</v>
      </c>
      <c r="B41" s="2"/>
      <c r="C41" s="110" t="s">
        <v>17</v>
      </c>
      <c r="D41" s="111">
        <f>SUM(D37,D39)</f>
        <v>23558158394.432892</v>
      </c>
      <c r="E41" s="112"/>
      <c r="F41" s="113">
        <f>SUM(F37,F39)</f>
        <v>0</v>
      </c>
      <c r="G41" s="15"/>
      <c r="H41" s="111">
        <f>SUM(H37,H39)</f>
        <v>23558158394.432892</v>
      </c>
      <c r="I41" s="15"/>
      <c r="J41" s="113">
        <f t="shared" ref="J41" si="37">SUM(J37,J39)</f>
        <v>0</v>
      </c>
      <c r="K41" s="114"/>
      <c r="L41" s="111">
        <f>SUM(L37,L39)</f>
        <v>23775605944.94062</v>
      </c>
      <c r="M41" s="15"/>
      <c r="N41" s="113">
        <f t="shared" ref="N41" si="38">SUM(N37,N39)</f>
        <v>0</v>
      </c>
    </row>
    <row r="42" spans="1:14" ht="12" thickTop="1">
      <c r="D42" s="123">
        <f>'Revenue by Sch RY#1'!D24</f>
        <v>23558158394.432896</v>
      </c>
      <c r="H42" s="162">
        <f>D41</f>
        <v>23558158394.432892</v>
      </c>
      <c r="L42" s="123">
        <f>'Revenue by Sch RY#2'!D24</f>
        <v>23775605944.94062</v>
      </c>
    </row>
    <row r="43" spans="1:14">
      <c r="C43" s="17" t="s">
        <v>168</v>
      </c>
      <c r="D43" s="124">
        <f>D41-D42</f>
        <v>0</v>
      </c>
      <c r="H43" s="124">
        <f>H41-H42</f>
        <v>0</v>
      </c>
      <c r="L43" s="124">
        <f>L41-L42</f>
        <v>0</v>
      </c>
    </row>
    <row r="44" spans="1:14">
      <c r="L44" s="4"/>
    </row>
    <row r="45" spans="1:14">
      <c r="B45" s="3" t="s">
        <v>252</v>
      </c>
      <c r="C45" s="101"/>
    </row>
  </sheetData>
  <mergeCells count="7">
    <mergeCell ref="H6:J6"/>
    <mergeCell ref="L6:N6"/>
    <mergeCell ref="A1:N1"/>
    <mergeCell ref="A2:N2"/>
    <mergeCell ref="A3:N3"/>
    <mergeCell ref="A4:N4"/>
    <mergeCell ref="A5:E5"/>
  </mergeCells>
  <pageMargins left="0.7" right="0.7" top="0.75" bottom="0.75" header="0.3" footer="0.3"/>
  <pageSetup scale="81" orientation="landscape" horizontalDpi="360" verticalDpi="360" r:id="rId1"/>
  <headerFooter>
    <oddFooter>&amp;R&amp;F
&amp;A
&amp;P of &amp;N</oddFooter>
  </headerFooter>
  <customProperties>
    <customPr name="_pios_id" r:id="rId2"/>
  </customPropertie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6" tint="0.79998168889431442"/>
    <pageSetUpPr fitToPage="1"/>
  </sheetPr>
  <dimension ref="A1:Q45"/>
  <sheetViews>
    <sheetView zoomScaleNormal="100" workbookViewId="0">
      <pane ySplit="7" topLeftCell="A8" activePane="bottomLeft" state="frozen"/>
      <selection activeCell="U42" sqref="U42"/>
      <selection pane="bottomLeft" activeCell="U42" sqref="U42"/>
    </sheetView>
  </sheetViews>
  <sheetFormatPr defaultColWidth="8.85546875" defaultRowHeight="11.25"/>
  <cols>
    <col min="1" max="1" width="4.42578125" style="3" bestFit="1" customWidth="1"/>
    <col min="2" max="2" width="14.85546875" style="3" bestFit="1" customWidth="1"/>
    <col min="3" max="3" width="21.7109375" style="3" bestFit="1" customWidth="1"/>
    <col min="4" max="4" width="16.140625" style="3" bestFit="1" customWidth="1"/>
    <col min="5" max="5" width="15.140625" style="3" bestFit="1" customWidth="1"/>
    <col min="6" max="6" width="11" style="3" customWidth="1"/>
    <col min="7" max="7" width="11.85546875" style="3" customWidth="1"/>
    <col min="8" max="8" width="0.85546875" style="3" customWidth="1"/>
    <col min="9" max="9" width="12.85546875" style="3" bestFit="1" customWidth="1"/>
    <col min="10" max="10" width="9.42578125" style="3" bestFit="1" customWidth="1"/>
    <col min="11" max="11" width="11.5703125" style="3" bestFit="1" customWidth="1"/>
    <col min="12" max="12" width="1" style="3" customWidth="1"/>
    <col min="13" max="13" width="12.85546875" style="3" bestFit="1" customWidth="1"/>
    <col min="14" max="14" width="9.42578125" style="3" bestFit="1" customWidth="1"/>
    <col min="15" max="15" width="13.42578125" style="3" customWidth="1"/>
    <col min="16" max="16" width="8.85546875" style="3"/>
    <col min="17" max="17" width="9.42578125" style="3" bestFit="1" customWidth="1"/>
    <col min="18" max="16384" width="8.85546875" style="3"/>
  </cols>
  <sheetData>
    <row r="1" spans="1:17" s="15" customFormat="1" ht="12.75" customHeight="1">
      <c r="A1" s="459" t="str">
        <f>'Exh CTM-8 (Rate Impacts_RY#1)'!A1</f>
        <v>Puget Sound Energy</v>
      </c>
      <c r="B1" s="460"/>
      <c r="C1" s="460"/>
      <c r="D1" s="460"/>
      <c r="E1" s="460"/>
      <c r="F1" s="460"/>
      <c r="G1" s="460"/>
      <c r="H1" s="460"/>
      <c r="I1" s="460"/>
      <c r="J1" s="460"/>
      <c r="K1" s="460"/>
      <c r="L1" s="460"/>
      <c r="M1" s="460"/>
      <c r="N1" s="460"/>
      <c r="O1" s="460"/>
    </row>
    <row r="2" spans="1:17" s="15" customFormat="1" ht="12.75">
      <c r="A2" s="459" t="str">
        <f>'Exh CTM-8 (Rate Impacts_RY#1)'!A2</f>
        <v>2024 General Rate Case Docket No. UE-240004 and UG-240005</v>
      </c>
      <c r="B2" s="460"/>
      <c r="C2" s="460"/>
      <c r="D2" s="460"/>
      <c r="E2" s="460"/>
      <c r="F2" s="460"/>
      <c r="G2" s="460"/>
      <c r="H2" s="460"/>
      <c r="I2" s="460"/>
      <c r="J2" s="460"/>
      <c r="K2" s="460"/>
      <c r="L2" s="460"/>
      <c r="M2" s="460"/>
      <c r="N2" s="460"/>
      <c r="O2" s="460"/>
    </row>
    <row r="3" spans="1:17" s="15" customFormat="1" ht="12.75">
      <c r="A3" s="545" t="s">
        <v>228</v>
      </c>
      <c r="B3" s="470"/>
      <c r="C3" s="470"/>
      <c r="D3" s="470"/>
      <c r="E3" s="470"/>
      <c r="F3" s="470"/>
      <c r="G3" s="471"/>
      <c r="H3" s="471"/>
      <c r="I3" s="471"/>
      <c r="J3" s="471"/>
      <c r="K3" s="471"/>
      <c r="L3" s="471"/>
      <c r="M3" s="471"/>
      <c r="N3" s="471"/>
      <c r="O3" s="471"/>
    </row>
    <row r="4" spans="1:17" s="15" customFormat="1" ht="12.75">
      <c r="A4" s="545" t="s">
        <v>177</v>
      </c>
      <c r="B4" s="470"/>
      <c r="C4" s="470"/>
      <c r="D4" s="470"/>
      <c r="E4" s="470"/>
      <c r="F4" s="470"/>
      <c r="G4" s="471"/>
      <c r="H4" s="471"/>
      <c r="I4" s="471"/>
      <c r="J4" s="471"/>
      <c r="K4" s="471"/>
      <c r="L4" s="471"/>
      <c r="M4" s="471"/>
      <c r="N4" s="471"/>
      <c r="O4" s="471"/>
    </row>
    <row r="5" spans="1:17" s="15" customFormat="1">
      <c r="A5" s="456"/>
      <c r="B5" s="456"/>
      <c r="C5" s="456"/>
      <c r="D5" s="456"/>
      <c r="E5" s="456"/>
      <c r="F5" s="456"/>
      <c r="G5" s="44"/>
    </row>
    <row r="6" spans="1:17" s="15" customFormat="1" ht="12.75">
      <c r="A6" s="45"/>
      <c r="B6" s="44"/>
      <c r="C6" s="44"/>
      <c r="D6" s="44"/>
      <c r="E6" s="44"/>
      <c r="I6" s="546" t="str">
        <f>'Sch 95'!H6</f>
        <v>MYRP January 2025</v>
      </c>
      <c r="J6" s="494"/>
      <c r="K6" s="493"/>
      <c r="L6" s="132">
        <f>'Sch 95'!K6</f>
        <v>0</v>
      </c>
      <c r="M6" s="546" t="str">
        <f>'Sch 95'!L6</f>
        <v>MYRP January 2026</v>
      </c>
      <c r="N6" s="547"/>
      <c r="O6" s="548"/>
    </row>
    <row r="7" spans="1:17" s="15" customFormat="1" ht="45">
      <c r="A7" s="97" t="s">
        <v>2</v>
      </c>
      <c r="B7" s="97" t="s">
        <v>3</v>
      </c>
      <c r="C7" s="97" t="s">
        <v>14</v>
      </c>
      <c r="D7" s="133" t="str">
        <f>'Sch 95'!D7</f>
        <v>12 months ending December 2025 F23 Forecast KWh</v>
      </c>
      <c r="E7" s="133" t="str">
        <f>'Sch 139'!J6</f>
        <v>GD Actual Loads for the Test Year ending June 30, 2023</v>
      </c>
      <c r="F7" s="133" t="str">
        <f>'Sch 95'!E7</f>
        <v>Current Rates as of January 2024 (1)</v>
      </c>
      <c r="G7" s="133" t="str">
        <f>'Sch 95'!F7</f>
        <v>Annual Delivered $</v>
      </c>
      <c r="H7" s="133">
        <f>'Sch 95'!G7</f>
        <v>0</v>
      </c>
      <c r="I7" s="133" t="str">
        <f>'Sch 95'!H7</f>
        <v>Annual Delivered KWh</v>
      </c>
      <c r="J7" s="133" t="str">
        <f>'Sch 95'!I7</f>
        <v>Rates Effective January 2025</v>
      </c>
      <c r="K7" s="133" t="str">
        <f>'Sch 95'!J7</f>
        <v>Annual Delivered $</v>
      </c>
      <c r="L7" s="133">
        <f>'Sch 95'!K7</f>
        <v>0</v>
      </c>
      <c r="M7" s="133" t="str">
        <f>'Sch 95'!L7</f>
        <v>Annual Delivered KWh</v>
      </c>
      <c r="N7" s="133" t="str">
        <f>'Sch 95'!M7</f>
        <v>Rates Effective January 2026</v>
      </c>
      <c r="O7" s="133" t="str">
        <f>'Sch 95'!N7</f>
        <v>Annual Delivered $</v>
      </c>
    </row>
    <row r="8" spans="1:17">
      <c r="A8" s="2">
        <v>1</v>
      </c>
      <c r="B8" s="132" t="str">
        <f>'Sch 95'!B8</f>
        <v xml:space="preserve"> 7 (307) (317) (327)</v>
      </c>
      <c r="D8" s="116">
        <f>'Revenue by Sch RY#1'!D9</f>
        <v>11278205851.395365</v>
      </c>
      <c r="E8" s="116">
        <f>'Sch 139'!J7</f>
        <v>0</v>
      </c>
      <c r="F8" s="129">
        <v>1.7420000000000001E-3</v>
      </c>
      <c r="G8" s="12">
        <f>(D8-E8)*F8</f>
        <v>19646634.593130726</v>
      </c>
      <c r="I8" s="4">
        <f>D8</f>
        <v>11278205851.395365</v>
      </c>
      <c r="J8" s="11">
        <f>F8</f>
        <v>1.7420000000000001E-3</v>
      </c>
      <c r="K8" s="12">
        <f>$J8*(I8-E8)</f>
        <v>19646634.593130726</v>
      </c>
      <c r="L8" s="12"/>
      <c r="M8" s="116">
        <f>'Revenue by Sch RY#2'!D9</f>
        <v>11447649239.71397</v>
      </c>
      <c r="N8" s="11">
        <f>J8</f>
        <v>1.7420000000000001E-3</v>
      </c>
      <c r="O8" s="12">
        <f>$N8*(M8-E8)</f>
        <v>19941804.975581735</v>
      </c>
      <c r="Q8" s="11"/>
    </row>
    <row r="9" spans="1:17">
      <c r="A9" s="2">
        <f t="shared" ref="A9:A41" si="0">+A8+1</f>
        <v>2</v>
      </c>
      <c r="B9" s="132" t="str">
        <f>'Sch 95'!B9</f>
        <v xml:space="preserve">7A </v>
      </c>
      <c r="D9" s="4">
        <v>0</v>
      </c>
      <c r="E9" s="116">
        <f>'Sch 139'!J8</f>
        <v>0</v>
      </c>
      <c r="F9" s="129">
        <v>1.6720000000000001E-3</v>
      </c>
      <c r="G9" s="12">
        <f>(D9-E9)*F9</f>
        <v>0</v>
      </c>
      <c r="I9" s="4">
        <f>D9</f>
        <v>0</v>
      </c>
      <c r="J9" s="11">
        <f>F9</f>
        <v>1.6720000000000001E-3</v>
      </c>
      <c r="K9" s="12">
        <f>$J9*(I9-E9)</f>
        <v>0</v>
      </c>
      <c r="L9" s="12"/>
      <c r="M9" s="4">
        <v>0</v>
      </c>
      <c r="N9" s="11">
        <f>J9</f>
        <v>1.6720000000000001E-3</v>
      </c>
      <c r="O9" s="12">
        <f>$N9*(M9-E9)</f>
        <v>0</v>
      </c>
      <c r="Q9" s="11"/>
    </row>
    <row r="10" spans="1:17">
      <c r="A10" s="2">
        <f t="shared" si="0"/>
        <v>3</v>
      </c>
      <c r="B10" s="2"/>
      <c r="C10" s="3" t="s">
        <v>4</v>
      </c>
      <c r="D10" s="6">
        <f>SUM(D8:D9)</f>
        <v>11278205851.395365</v>
      </c>
      <c r="E10" s="6">
        <f>SUM(E8:E9)</f>
        <v>0</v>
      </c>
      <c r="F10" s="130"/>
      <c r="G10" s="13">
        <f t="shared" ref="G10" si="1">SUM(G8:G9)</f>
        <v>19646634.593130726</v>
      </c>
      <c r="I10" s="6">
        <f>SUM(I8:I9)</f>
        <v>11278205851.395365</v>
      </c>
      <c r="J10" s="11"/>
      <c r="K10" s="13">
        <f t="shared" ref="K10" si="2">SUM(K8:K9)</f>
        <v>19646634.593130726</v>
      </c>
      <c r="L10" s="12"/>
      <c r="M10" s="6">
        <f>SUM(M8:M9)</f>
        <v>11447649239.71397</v>
      </c>
      <c r="N10" s="11"/>
      <c r="O10" s="13">
        <f t="shared" ref="O10" si="3">SUM(O8:O9)</f>
        <v>19941804.975581735</v>
      </c>
    </row>
    <row r="11" spans="1:17">
      <c r="A11" s="2">
        <f t="shared" si="0"/>
        <v>4</v>
      </c>
      <c r="B11" s="2"/>
      <c r="D11" s="4"/>
      <c r="E11" s="4"/>
      <c r="F11" s="130"/>
      <c r="G11" s="12"/>
      <c r="I11" s="4"/>
      <c r="J11" s="11"/>
      <c r="K11" s="12"/>
      <c r="L11" s="12"/>
      <c r="M11" s="4"/>
      <c r="N11" s="11"/>
      <c r="O11" s="12"/>
    </row>
    <row r="12" spans="1:17">
      <c r="A12" s="2">
        <f t="shared" si="0"/>
        <v>5</v>
      </c>
      <c r="B12" s="132">
        <f>'Sch 95'!B12</f>
        <v>8</v>
      </c>
      <c r="D12" s="4">
        <v>0</v>
      </c>
      <c r="E12" s="116">
        <f>'Sch 139'!J11</f>
        <v>0</v>
      </c>
      <c r="F12" s="129">
        <v>1.6659999999999999E-3</v>
      </c>
      <c r="G12" s="12">
        <f t="shared" ref="G12:G18" si="4">(D12-E12)*F12</f>
        <v>0</v>
      </c>
      <c r="I12" s="4">
        <f t="shared" ref="I12:I18" si="5">D12</f>
        <v>0</v>
      </c>
      <c r="J12" s="11">
        <f t="shared" ref="J12:J18" si="6">F12</f>
        <v>1.6659999999999999E-3</v>
      </c>
      <c r="K12" s="12">
        <f t="shared" ref="K12:K18" si="7">$J12*(I12-E12)</f>
        <v>0</v>
      </c>
      <c r="L12" s="12"/>
      <c r="M12" s="4">
        <v>0</v>
      </c>
      <c r="N12" s="11">
        <f t="shared" ref="N12:N18" si="8">J12</f>
        <v>1.6659999999999999E-3</v>
      </c>
      <c r="O12" s="12">
        <f t="shared" ref="O12:O18" si="9">$N12*(M12-E12)</f>
        <v>0</v>
      </c>
    </row>
    <row r="13" spans="1:17">
      <c r="A13" s="2">
        <f t="shared" si="0"/>
        <v>6</v>
      </c>
      <c r="B13" s="132" t="str">
        <f>'Sch 95'!B13</f>
        <v>24 (324)</v>
      </c>
      <c r="D13" s="116">
        <f>'Revenue by Sch RY#1'!D10</f>
        <v>2762635966.1696987</v>
      </c>
      <c r="E13" s="116">
        <f>'Sch 139'!J12</f>
        <v>94177248.534999996</v>
      </c>
      <c r="F13" s="130">
        <f>+F12</f>
        <v>1.6659999999999999E-3</v>
      </c>
      <c r="G13" s="12">
        <f t="shared" si="4"/>
        <v>4445652.2235794086</v>
      </c>
      <c r="I13" s="4">
        <f t="shared" si="5"/>
        <v>2762635966.1696987</v>
      </c>
      <c r="J13" s="11">
        <f t="shared" si="6"/>
        <v>1.6659999999999999E-3</v>
      </c>
      <c r="K13" s="12">
        <f t="shared" si="7"/>
        <v>4445652.2235794086</v>
      </c>
      <c r="L13" s="12"/>
      <c r="M13" s="116">
        <f>'Revenue by Sch RY#2'!D10</f>
        <v>2774967422.2693906</v>
      </c>
      <c r="N13" s="11">
        <f t="shared" si="8"/>
        <v>1.6659999999999999E-3</v>
      </c>
      <c r="O13" s="12">
        <f t="shared" si="9"/>
        <v>4466196.4294414949</v>
      </c>
    </row>
    <row r="14" spans="1:17">
      <c r="A14" s="2">
        <f t="shared" si="0"/>
        <v>7</v>
      </c>
      <c r="B14" s="132">
        <f>'Sch 95'!B14</f>
        <v>11</v>
      </c>
      <c r="D14" s="4">
        <v>0</v>
      </c>
      <c r="E14" s="116">
        <f>'Sch 139'!J13</f>
        <v>0</v>
      </c>
      <c r="F14" s="130">
        <f>F9</f>
        <v>1.6720000000000001E-3</v>
      </c>
      <c r="G14" s="12">
        <f t="shared" si="4"/>
        <v>0</v>
      </c>
      <c r="I14" s="4">
        <f t="shared" si="5"/>
        <v>0</v>
      </c>
      <c r="J14" s="11">
        <f t="shared" si="6"/>
        <v>1.6720000000000001E-3</v>
      </c>
      <c r="K14" s="12">
        <f t="shared" si="7"/>
        <v>0</v>
      </c>
      <c r="L14" s="12"/>
      <c r="M14" s="4">
        <v>0</v>
      </c>
      <c r="N14" s="11">
        <f t="shared" si="8"/>
        <v>1.6720000000000001E-3</v>
      </c>
      <c r="O14" s="12">
        <f t="shared" si="9"/>
        <v>0</v>
      </c>
    </row>
    <row r="15" spans="1:17">
      <c r="A15" s="2">
        <f t="shared" si="0"/>
        <v>8</v>
      </c>
      <c r="B15" s="132">
        <f>'Sch 95'!B15</f>
        <v>25</v>
      </c>
      <c r="D15" s="116">
        <f>'Revenue by Sch RY#1'!D11</f>
        <v>2960202274.8054705</v>
      </c>
      <c r="E15" s="116">
        <f>'Sch 139'!J14</f>
        <v>142675539.63300002</v>
      </c>
      <c r="F15" s="130">
        <f>+F14</f>
        <v>1.6720000000000001E-3</v>
      </c>
      <c r="G15" s="12">
        <f t="shared" si="4"/>
        <v>4710904.7012083707</v>
      </c>
      <c r="I15" s="4">
        <f t="shared" si="5"/>
        <v>2960202274.8054705</v>
      </c>
      <c r="J15" s="11">
        <f t="shared" si="6"/>
        <v>1.6720000000000001E-3</v>
      </c>
      <c r="K15" s="12">
        <f t="shared" si="7"/>
        <v>4710904.7012083707</v>
      </c>
      <c r="L15" s="12"/>
      <c r="M15" s="116">
        <f>'Revenue by Sch RY#2'!D11</f>
        <v>2968720174.6374388</v>
      </c>
      <c r="N15" s="11">
        <f t="shared" si="8"/>
        <v>1.6720000000000001E-3</v>
      </c>
      <c r="O15" s="12">
        <f t="shared" si="9"/>
        <v>4725146.6297274223</v>
      </c>
    </row>
    <row r="16" spans="1:17">
      <c r="A16" s="2">
        <f t="shared" si="0"/>
        <v>9</v>
      </c>
      <c r="B16" s="132">
        <f>'Sch 95'!B16</f>
        <v>12</v>
      </c>
      <c r="D16" s="4">
        <v>0</v>
      </c>
      <c r="E16" s="116">
        <f>'Sch 139'!J15</f>
        <v>0</v>
      </c>
      <c r="F16" s="129">
        <v>1.549E-3</v>
      </c>
      <c r="G16" s="12">
        <f t="shared" si="4"/>
        <v>0</v>
      </c>
      <c r="I16" s="4">
        <f t="shared" si="5"/>
        <v>0</v>
      </c>
      <c r="J16" s="11">
        <f t="shared" si="6"/>
        <v>1.549E-3</v>
      </c>
      <c r="K16" s="12">
        <f t="shared" si="7"/>
        <v>0</v>
      </c>
      <c r="L16" s="12"/>
      <c r="M16" s="4">
        <v>0</v>
      </c>
      <c r="N16" s="11">
        <f t="shared" si="8"/>
        <v>1.549E-3</v>
      </c>
      <c r="O16" s="12">
        <f t="shared" si="9"/>
        <v>0</v>
      </c>
    </row>
    <row r="17" spans="1:15">
      <c r="A17" s="2">
        <f t="shared" si="0"/>
        <v>10</v>
      </c>
      <c r="B17" s="132" t="str">
        <f>'Sch 95'!B17</f>
        <v>26 &amp; 26P</v>
      </c>
      <c r="D17" s="116">
        <f>'Revenue by Sch RY#1'!D12</f>
        <v>2013891730.8000479</v>
      </c>
      <c r="E17" s="116">
        <f>'Sch 139'!J16</f>
        <v>228642142.42099997</v>
      </c>
      <c r="F17" s="130">
        <f>+F16</f>
        <v>1.549E-3</v>
      </c>
      <c r="G17" s="12">
        <f t="shared" si="4"/>
        <v>2765351.612399145</v>
      </c>
      <c r="I17" s="4">
        <f t="shared" si="5"/>
        <v>2013891730.8000479</v>
      </c>
      <c r="J17" s="11">
        <f t="shared" si="6"/>
        <v>1.549E-3</v>
      </c>
      <c r="K17" s="12">
        <f t="shared" si="7"/>
        <v>2765351.612399145</v>
      </c>
      <c r="L17" s="12"/>
      <c r="M17" s="116">
        <f>'Revenue by Sch RY#2'!D12</f>
        <v>2056791563.2414525</v>
      </c>
      <c r="N17" s="11">
        <f t="shared" si="8"/>
        <v>1.549E-3</v>
      </c>
      <c r="O17" s="12">
        <f t="shared" si="9"/>
        <v>2831803.452850881</v>
      </c>
    </row>
    <row r="18" spans="1:15">
      <c r="A18" s="2">
        <f t="shared" si="0"/>
        <v>11</v>
      </c>
      <c r="B18" s="132">
        <f>'Sch 95'!B18</f>
        <v>29</v>
      </c>
      <c r="D18" s="116">
        <f>'Revenue by Sch RY#1'!D13</f>
        <v>14930059.630887466</v>
      </c>
      <c r="E18" s="116">
        <f>'Sch 139'!J17</f>
        <v>0</v>
      </c>
      <c r="F18" s="129">
        <v>1.6720000000000001E-3</v>
      </c>
      <c r="G18" s="12">
        <f t="shared" si="4"/>
        <v>24963.059702843842</v>
      </c>
      <c r="I18" s="4">
        <f t="shared" si="5"/>
        <v>14930059.630887466</v>
      </c>
      <c r="J18" s="11">
        <f t="shared" si="6"/>
        <v>1.6720000000000001E-3</v>
      </c>
      <c r="K18" s="12">
        <f t="shared" si="7"/>
        <v>24963.059702843842</v>
      </c>
      <c r="L18" s="12"/>
      <c r="M18" s="116">
        <f>'Revenue by Sch RY#2'!D13</f>
        <v>14843026.361509496</v>
      </c>
      <c r="N18" s="11">
        <f t="shared" si="8"/>
        <v>1.6720000000000001E-3</v>
      </c>
      <c r="O18" s="12">
        <f t="shared" si="9"/>
        <v>24817.540076443878</v>
      </c>
    </row>
    <row r="19" spans="1:15">
      <c r="A19" s="2">
        <f t="shared" si="0"/>
        <v>12</v>
      </c>
      <c r="B19" s="2"/>
      <c r="C19" s="7" t="s">
        <v>6</v>
      </c>
      <c r="D19" s="6">
        <f>SUM(D12:D18)</f>
        <v>7751660031.4061041</v>
      </c>
      <c r="E19" s="6">
        <f>SUM(E12:E18)</f>
        <v>465494930.58899999</v>
      </c>
      <c r="F19" s="130"/>
      <c r="G19" s="13">
        <f t="shared" ref="G19" si="10">SUM(G12:G18)</f>
        <v>11946871.596889768</v>
      </c>
      <c r="I19" s="6">
        <f>SUM(I12:I18)</f>
        <v>7751660031.4061041</v>
      </c>
      <c r="J19" s="11"/>
      <c r="K19" s="13">
        <f t="shared" ref="K19" si="11">SUM(K12:K18)</f>
        <v>11946871.596889768</v>
      </c>
      <c r="L19" s="12"/>
      <c r="M19" s="6">
        <f>SUM(M12:M18)</f>
        <v>7815322186.5097914</v>
      </c>
      <c r="N19" s="11"/>
      <c r="O19" s="13">
        <f t="shared" ref="O19" si="12">SUM(O12:O18)</f>
        <v>12047964.052096242</v>
      </c>
    </row>
    <row r="20" spans="1:15">
      <c r="A20" s="2">
        <f t="shared" si="0"/>
        <v>13</v>
      </c>
      <c r="B20" s="2"/>
      <c r="D20" s="4"/>
      <c r="E20" s="4"/>
      <c r="F20" s="130"/>
      <c r="G20" s="12"/>
      <c r="I20" s="4"/>
      <c r="J20" s="11"/>
      <c r="K20" s="12"/>
      <c r="L20" s="12"/>
      <c r="M20" s="4"/>
      <c r="N20" s="11"/>
      <c r="O20" s="12"/>
    </row>
    <row r="21" spans="1:15">
      <c r="A21" s="2">
        <f t="shared" si="0"/>
        <v>14</v>
      </c>
      <c r="B21" s="132">
        <f>'Sch 95'!B21</f>
        <v>10</v>
      </c>
      <c r="D21" s="4">
        <v>0</v>
      </c>
      <c r="E21" s="116">
        <f>'Sch 139'!J20</f>
        <v>0</v>
      </c>
      <c r="F21" s="129">
        <v>1.518E-3</v>
      </c>
      <c r="G21" s="12">
        <f t="shared" ref="G21:G24" si="13">(D21-E21)*F21</f>
        <v>0</v>
      </c>
      <c r="I21" s="4">
        <f t="shared" ref="I21:I24" si="14">D21</f>
        <v>0</v>
      </c>
      <c r="J21" s="11">
        <f t="shared" ref="J21:J24" si="15">F21</f>
        <v>1.518E-3</v>
      </c>
      <c r="K21" s="12">
        <f t="shared" ref="K21:K24" si="16">$J21*(I21-E21)</f>
        <v>0</v>
      </c>
      <c r="L21" s="12"/>
      <c r="M21" s="4">
        <v>0</v>
      </c>
      <c r="N21" s="11">
        <f t="shared" ref="N21:N24" si="17">J21</f>
        <v>1.518E-3</v>
      </c>
      <c r="O21" s="12">
        <f t="shared" ref="O21:O24" si="18">$N21*(M21-E21)</f>
        <v>0</v>
      </c>
    </row>
    <row r="22" spans="1:15">
      <c r="A22" s="2">
        <f t="shared" si="0"/>
        <v>15</v>
      </c>
      <c r="B22" s="132">
        <f>'Sch 95'!B22</f>
        <v>31</v>
      </c>
      <c r="D22" s="116">
        <f>'Revenue by Sch RY#1'!D14</f>
        <v>1423586019.4788036</v>
      </c>
      <c r="E22" s="116">
        <f>'Sch 139'!J21</f>
        <v>125966623.53999999</v>
      </c>
      <c r="F22" s="130">
        <f>+F21</f>
        <v>1.518E-3</v>
      </c>
      <c r="G22" s="12">
        <f t="shared" si="13"/>
        <v>1969786.2430351041</v>
      </c>
      <c r="I22" s="4">
        <f t="shared" si="14"/>
        <v>1423586019.4788036</v>
      </c>
      <c r="J22" s="11">
        <f t="shared" si="15"/>
        <v>1.518E-3</v>
      </c>
      <c r="K22" s="12">
        <f t="shared" si="16"/>
        <v>1969786.2430351041</v>
      </c>
      <c r="L22" s="12"/>
      <c r="M22" s="116">
        <f>'Revenue by Sch RY#2'!D14</f>
        <v>1411297972.0883911</v>
      </c>
      <c r="N22" s="11">
        <f t="shared" si="17"/>
        <v>1.518E-3</v>
      </c>
      <c r="O22" s="12">
        <f t="shared" si="18"/>
        <v>1951132.9870964577</v>
      </c>
    </row>
    <row r="23" spans="1:15">
      <c r="A23" s="2">
        <f t="shared" si="0"/>
        <v>16</v>
      </c>
      <c r="B23" s="132">
        <f>'Sch 95'!B23</f>
        <v>35</v>
      </c>
      <c r="D23" s="116">
        <f>'Revenue by Sch RY#1'!D15</f>
        <v>4407260.1568774413</v>
      </c>
      <c r="E23" s="116">
        <f>'Sch 139'!J22</f>
        <v>0</v>
      </c>
      <c r="F23" s="129">
        <v>1.6299999999999999E-3</v>
      </c>
      <c r="G23" s="12">
        <f t="shared" si="13"/>
        <v>7183.8340557102292</v>
      </c>
      <c r="I23" s="4">
        <f t="shared" si="14"/>
        <v>4407260.1568774413</v>
      </c>
      <c r="J23" s="11">
        <f t="shared" si="15"/>
        <v>1.6299999999999999E-3</v>
      </c>
      <c r="K23" s="12">
        <f t="shared" si="16"/>
        <v>7183.8340557102292</v>
      </c>
      <c r="L23" s="12"/>
      <c r="M23" s="116">
        <f>'Revenue by Sch RY#2'!D15</f>
        <v>4380281.1514552524</v>
      </c>
      <c r="N23" s="11">
        <f t="shared" si="17"/>
        <v>1.6299999999999999E-3</v>
      </c>
      <c r="O23" s="12">
        <f t="shared" si="18"/>
        <v>7139.8582768720607</v>
      </c>
    </row>
    <row r="24" spans="1:15">
      <c r="A24" s="2">
        <f t="shared" si="0"/>
        <v>17</v>
      </c>
      <c r="B24" s="132">
        <f>'Sch 95'!B24</f>
        <v>43</v>
      </c>
      <c r="D24" s="116">
        <f>'Revenue by Sch RY#1'!D16</f>
        <v>122267424.6450724</v>
      </c>
      <c r="E24" s="116">
        <f>'Sch 139'!J23</f>
        <v>8246400</v>
      </c>
      <c r="F24" s="129">
        <v>1.493E-3</v>
      </c>
      <c r="G24" s="12">
        <f t="shared" si="13"/>
        <v>170233.3897950931</v>
      </c>
      <c r="I24" s="4">
        <f t="shared" si="14"/>
        <v>122267424.6450724</v>
      </c>
      <c r="J24" s="11">
        <f t="shared" si="15"/>
        <v>1.493E-3</v>
      </c>
      <c r="K24" s="12">
        <f t="shared" si="16"/>
        <v>170233.3897950931</v>
      </c>
      <c r="L24" s="12"/>
      <c r="M24" s="116">
        <f>'Revenue by Sch RY#2'!D16</f>
        <v>121633779.10385114</v>
      </c>
      <c r="N24" s="11">
        <f t="shared" si="17"/>
        <v>1.493E-3</v>
      </c>
      <c r="O24" s="12">
        <f t="shared" si="18"/>
        <v>169287.35700204974</v>
      </c>
    </row>
    <row r="25" spans="1:15">
      <c r="A25" s="2">
        <f t="shared" si="0"/>
        <v>18</v>
      </c>
      <c r="B25" s="2"/>
      <c r="C25" s="3" t="s">
        <v>7</v>
      </c>
      <c r="D25" s="6">
        <f>SUM(D21:D24)</f>
        <v>1550260704.2807536</v>
      </c>
      <c r="E25" s="6">
        <f>SUM(E21:E24)</f>
        <v>134213023.53999999</v>
      </c>
      <c r="F25" s="130"/>
      <c r="G25" s="13">
        <f t="shared" ref="G25" si="19">SUM(G21:G24)</f>
        <v>2147203.4668859076</v>
      </c>
      <c r="I25" s="6">
        <f>SUM(I21:I24)</f>
        <v>1550260704.2807536</v>
      </c>
      <c r="J25" s="11"/>
      <c r="K25" s="13">
        <f t="shared" ref="K25" si="20">SUM(K21:K24)</f>
        <v>2147203.4668859076</v>
      </c>
      <c r="L25" s="12"/>
      <c r="M25" s="6">
        <f>SUM(M21:M24)</f>
        <v>1537312032.3436973</v>
      </c>
      <c r="N25" s="11"/>
      <c r="O25" s="13">
        <f t="shared" ref="O25" si="21">SUM(O21:O24)</f>
        <v>2127560.2023753794</v>
      </c>
    </row>
    <row r="26" spans="1:15">
      <c r="A26" s="2">
        <f t="shared" si="0"/>
        <v>19</v>
      </c>
      <c r="B26" s="2"/>
      <c r="D26" s="4"/>
      <c r="E26" s="4"/>
      <c r="F26" s="130"/>
      <c r="G26" s="12"/>
      <c r="I26" s="4"/>
      <c r="J26" s="11"/>
      <c r="K26" s="12"/>
      <c r="L26" s="12"/>
      <c r="M26" s="4"/>
      <c r="N26" s="11"/>
      <c r="O26" s="12"/>
    </row>
    <row r="27" spans="1:15">
      <c r="A27" s="2">
        <f t="shared" si="0"/>
        <v>20</v>
      </c>
      <c r="B27" s="132">
        <f>'Sch 95'!B27</f>
        <v>46</v>
      </c>
      <c r="D27" s="116">
        <f>'Revenue by Sch RY#1'!D17</f>
        <v>96933187.043131709</v>
      </c>
      <c r="E27" s="116">
        <f>'Sch 139'!J26</f>
        <v>11887060.560000001</v>
      </c>
      <c r="F27" s="129">
        <v>1.5560000000000001E-3</v>
      </c>
      <c r="G27" s="12">
        <f t="shared" ref="G27:G28" si="22">(D27-E27)*F27</f>
        <v>132331.77280775295</v>
      </c>
      <c r="I27" s="4">
        <f t="shared" ref="I27:I28" si="23">D27</f>
        <v>96933187.043131709</v>
      </c>
      <c r="J27" s="11">
        <f t="shared" ref="J27:J28" si="24">F27</f>
        <v>1.5560000000000001E-3</v>
      </c>
      <c r="K27" s="12">
        <f t="shared" ref="K27:K28" si="25">$J27*(I27-E27)</f>
        <v>132331.77280775295</v>
      </c>
      <c r="L27" s="12"/>
      <c r="M27" s="116">
        <f>'Revenue by Sch RY#2'!D17</f>
        <v>96918964.527943105</v>
      </c>
      <c r="N27" s="11">
        <f t="shared" ref="N27:N28" si="26">J27</f>
        <v>1.5560000000000001E-3</v>
      </c>
      <c r="O27" s="12">
        <f t="shared" ref="O27:O28" si="27">$N27*(M27-E27)</f>
        <v>132309.64257411947</v>
      </c>
    </row>
    <row r="28" spans="1:15">
      <c r="A28" s="2">
        <f t="shared" si="0"/>
        <v>21</v>
      </c>
      <c r="B28" s="132">
        <f>'Sch 95'!B28</f>
        <v>49</v>
      </c>
      <c r="D28" s="116">
        <f>'Revenue by Sch RY#1'!D18</f>
        <v>534843226.30681556</v>
      </c>
      <c r="E28" s="116">
        <f>'Sch 139'!J27</f>
        <v>136931698.17600003</v>
      </c>
      <c r="F28" s="129">
        <v>1.5560000000000001E-3</v>
      </c>
      <c r="G28" s="12">
        <f t="shared" si="22"/>
        <v>619150.33777154901</v>
      </c>
      <c r="I28" s="4">
        <f t="shared" si="23"/>
        <v>534843226.30681556</v>
      </c>
      <c r="J28" s="11">
        <f t="shared" si="24"/>
        <v>1.5560000000000001E-3</v>
      </c>
      <c r="K28" s="12">
        <f t="shared" si="25"/>
        <v>619150.33777154901</v>
      </c>
      <c r="L28" s="12"/>
      <c r="M28" s="116">
        <f>'Revenue by Sch RY#2'!D18</f>
        <v>534899242.67952603</v>
      </c>
      <c r="N28" s="11">
        <f t="shared" si="26"/>
        <v>1.5560000000000001E-3</v>
      </c>
      <c r="O28" s="12">
        <f t="shared" si="27"/>
        <v>619237.49924748647</v>
      </c>
    </row>
    <row r="29" spans="1:15">
      <c r="A29" s="2">
        <f t="shared" si="0"/>
        <v>22</v>
      </c>
      <c r="B29" s="2"/>
      <c r="C29" s="3" t="s">
        <v>8</v>
      </c>
      <c r="D29" s="6">
        <f>SUM(D27:D28)</f>
        <v>631776413.34994721</v>
      </c>
      <c r="E29" s="6">
        <f>SUM(E27:E28)</f>
        <v>148818758.73600003</v>
      </c>
      <c r="F29" s="11"/>
      <c r="G29" s="13">
        <f t="shared" ref="G29" si="28">SUM(G27:G28)</f>
        <v>751482.11057930195</v>
      </c>
      <c r="I29" s="6">
        <f>SUM(I27:I28)</f>
        <v>631776413.34994721</v>
      </c>
      <c r="J29" s="11"/>
      <c r="K29" s="13">
        <f t="shared" ref="K29" si="29">SUM(K27:K28)</f>
        <v>751482.11057930195</v>
      </c>
      <c r="L29" s="12"/>
      <c r="M29" s="6">
        <f>SUM(M27:M28)</f>
        <v>631818207.20746911</v>
      </c>
      <c r="N29" s="11"/>
      <c r="O29" s="13">
        <f t="shared" ref="O29" si="30">SUM(O27:O28)</f>
        <v>751547.14182160597</v>
      </c>
    </row>
    <row r="30" spans="1:15">
      <c r="A30" s="2">
        <f t="shared" si="0"/>
        <v>23</v>
      </c>
      <c r="B30" s="2"/>
      <c r="D30" s="4"/>
      <c r="E30" s="4"/>
      <c r="F30" s="11"/>
      <c r="G30" s="12"/>
      <c r="I30" s="4"/>
      <c r="J30" s="11"/>
      <c r="K30" s="12"/>
      <c r="L30" s="12"/>
      <c r="M30" s="4"/>
      <c r="N30" s="11"/>
      <c r="O30" s="12"/>
    </row>
    <row r="31" spans="1:15">
      <c r="A31" s="2">
        <f t="shared" si="0"/>
        <v>24</v>
      </c>
      <c r="B31" s="132" t="str">
        <f>'Sch 95'!B31</f>
        <v>03, 50-59</v>
      </c>
      <c r="D31" s="122">
        <f>'Revenue by Sch RY#1'!D19</f>
        <v>67255417.982360825</v>
      </c>
      <c r="E31" s="122">
        <f>'Sch 139'!J30</f>
        <v>0</v>
      </c>
      <c r="F31" s="117">
        <v>1.7960000000000001E-3</v>
      </c>
      <c r="G31" s="13">
        <f>(D31-E31)*F31</f>
        <v>120790.73069632005</v>
      </c>
      <c r="I31" s="6">
        <f>D31</f>
        <v>67255417.982360825</v>
      </c>
      <c r="J31" s="11">
        <f>F31</f>
        <v>1.7960000000000001E-3</v>
      </c>
      <c r="K31" s="13">
        <f>$J31*(I31-E31)</f>
        <v>120790.73069632005</v>
      </c>
      <c r="L31" s="12"/>
      <c r="M31" s="122">
        <f>'Revenue by Sch RY#2'!D19</f>
        <v>67027608.143863305</v>
      </c>
      <c r="N31" s="11">
        <f>J31</f>
        <v>1.7960000000000001E-3</v>
      </c>
      <c r="O31" s="13">
        <f>$N31*(M31-E31)</f>
        <v>120381.5842263785</v>
      </c>
    </row>
    <row r="32" spans="1:15">
      <c r="A32" s="2">
        <f t="shared" si="0"/>
        <v>25</v>
      </c>
      <c r="B32" s="2"/>
      <c r="D32" s="4"/>
      <c r="E32" s="4"/>
      <c r="F32" s="11"/>
      <c r="G32" s="12"/>
      <c r="I32" s="4"/>
      <c r="J32" s="11"/>
      <c r="K32" s="12"/>
      <c r="L32" s="12"/>
      <c r="M32" s="4"/>
      <c r="N32" s="11"/>
      <c r="O32" s="12"/>
    </row>
    <row r="33" spans="1:15">
      <c r="A33" s="2">
        <f t="shared" si="0"/>
        <v>26</v>
      </c>
      <c r="B33" s="132" t="str">
        <f>'Sch 95'!B33</f>
        <v>449-459</v>
      </c>
      <c r="D33" s="116">
        <f>'Revenue by Sch RY#1'!D20</f>
        <v>1967511960.3194919</v>
      </c>
      <c r="E33" s="116">
        <f>'Sch 139'!J32</f>
        <v>0</v>
      </c>
      <c r="F33" s="117">
        <v>0</v>
      </c>
      <c r="G33" s="12">
        <f t="shared" ref="G33:G34" si="31">(D33-E33)*F33</f>
        <v>0</v>
      </c>
      <c r="I33" s="4">
        <f t="shared" ref="I33:I34" si="32">D33</f>
        <v>1967511960.3194919</v>
      </c>
      <c r="J33" s="11">
        <f t="shared" ref="J33:J34" si="33">F33</f>
        <v>0</v>
      </c>
      <c r="K33" s="12">
        <f t="shared" ref="K33:K34" si="34">$J33*(I33-E33)</f>
        <v>0</v>
      </c>
      <c r="L33" s="12"/>
      <c r="M33" s="116">
        <f>'Revenue by Sch RY#2'!D20</f>
        <v>1964993565.6779518</v>
      </c>
      <c r="N33" s="11">
        <f t="shared" ref="N33:N34" si="35">J33</f>
        <v>0</v>
      </c>
      <c r="O33" s="12">
        <f t="shared" ref="O33:O34" si="36">$N33*(M33-E33)</f>
        <v>0</v>
      </c>
    </row>
    <row r="34" spans="1:15">
      <c r="A34" s="2">
        <f t="shared" si="0"/>
        <v>27</v>
      </c>
      <c r="B34" s="132" t="str">
        <f>'Sch 95'!B34</f>
        <v>Special Contract</v>
      </c>
      <c r="D34" s="116">
        <f>'Revenue by Sch RY#1'!D21</f>
        <v>304773055.46200001</v>
      </c>
      <c r="E34" s="116">
        <f>'Sch 139'!J33</f>
        <v>0</v>
      </c>
      <c r="F34" s="117">
        <v>0</v>
      </c>
      <c r="G34" s="12">
        <f t="shared" si="31"/>
        <v>0</v>
      </c>
      <c r="I34" s="4">
        <f t="shared" si="32"/>
        <v>304773055.46200001</v>
      </c>
      <c r="J34" s="11">
        <f t="shared" si="33"/>
        <v>0</v>
      </c>
      <c r="K34" s="12">
        <f t="shared" si="34"/>
        <v>0</v>
      </c>
      <c r="L34" s="12"/>
      <c r="M34" s="116">
        <f>'Revenue by Sch RY#2'!D21</f>
        <v>304773055.46200001</v>
      </c>
      <c r="N34" s="11">
        <f t="shared" si="35"/>
        <v>0</v>
      </c>
      <c r="O34" s="12">
        <f t="shared" si="36"/>
        <v>0</v>
      </c>
    </row>
    <row r="35" spans="1:15">
      <c r="A35" s="2">
        <f t="shared" si="0"/>
        <v>28</v>
      </c>
      <c r="B35" s="5"/>
      <c r="C35" s="3" t="s">
        <v>77</v>
      </c>
      <c r="D35" s="6">
        <f>SUM(D33:D34)</f>
        <v>2272285015.7814918</v>
      </c>
      <c r="E35" s="6">
        <f>SUM(E33:E34)</f>
        <v>0</v>
      </c>
      <c r="F35" s="11"/>
      <c r="G35" s="13">
        <f t="shared" ref="G35" si="37">SUM(G33:G34)</f>
        <v>0</v>
      </c>
      <c r="I35" s="6">
        <f>SUM(I33:I34)</f>
        <v>2272285015.7814918</v>
      </c>
      <c r="K35" s="13">
        <f t="shared" ref="K35" si="38">SUM(K33:K34)</f>
        <v>0</v>
      </c>
      <c r="L35" s="12"/>
      <c r="M35" s="6">
        <f>SUM(M33:M34)</f>
        <v>2269766621.1399517</v>
      </c>
      <c r="O35" s="13">
        <f t="shared" ref="O35" si="39">SUM(O33:O34)</f>
        <v>0</v>
      </c>
    </row>
    <row r="36" spans="1:15">
      <c r="A36" s="2">
        <f t="shared" si="0"/>
        <v>29</v>
      </c>
      <c r="B36" s="2"/>
      <c r="D36" s="4"/>
      <c r="E36" s="4"/>
      <c r="F36" s="11"/>
      <c r="G36" s="12"/>
      <c r="I36" s="4"/>
      <c r="K36" s="12"/>
      <c r="L36" s="12"/>
      <c r="M36" s="4"/>
      <c r="O36" s="12"/>
    </row>
    <row r="37" spans="1:15" ht="12" thickBot="1">
      <c r="A37" s="2">
        <f t="shared" si="0"/>
        <v>30</v>
      </c>
      <c r="B37" s="2"/>
      <c r="C37" s="7" t="s">
        <v>15</v>
      </c>
      <c r="D37" s="8">
        <f>SUM(D10,D19,D25,D29,D31,D35)</f>
        <v>23551443434.196022</v>
      </c>
      <c r="E37" s="8">
        <f>SUM(E10,E19,E25,E29,E31,E35)</f>
        <v>748526712.86500001</v>
      </c>
      <c r="F37" s="11"/>
      <c r="G37" s="14">
        <f>SUM(G10,G19,G25,G29,G31,G35)</f>
        <v>34612982.498182029</v>
      </c>
      <c r="I37" s="8">
        <f>SUM(I10,I19,I25,I29,I31,I35)</f>
        <v>23551443434.196022</v>
      </c>
      <c r="K37" s="14">
        <f>SUM(K10,K19,K25,K29,K31,K35)</f>
        <v>34612982.498182029</v>
      </c>
      <c r="L37" s="12"/>
      <c r="M37" s="8">
        <f>SUM(M10,M19,M25,M29,M31,M35)</f>
        <v>23768895895.058746</v>
      </c>
      <c r="O37" s="14">
        <f>SUM(O10,O19,O25,O29,O31,O35)</f>
        <v>34989257.956101343</v>
      </c>
    </row>
    <row r="38" spans="1:15" ht="12" thickTop="1">
      <c r="A38" s="2">
        <f t="shared" si="0"/>
        <v>31</v>
      </c>
      <c r="B38" s="2"/>
      <c r="F38" s="11"/>
      <c r="G38" s="12"/>
      <c r="K38" s="12"/>
      <c r="L38" s="12"/>
      <c r="O38" s="12"/>
    </row>
    <row r="39" spans="1:15">
      <c r="A39" s="2">
        <f t="shared" si="0"/>
        <v>32</v>
      </c>
      <c r="B39" s="132">
        <f>'Sch 95'!B39</f>
        <v>5</v>
      </c>
      <c r="C39" s="3" t="s">
        <v>16</v>
      </c>
      <c r="D39" s="122">
        <f>'Revenue by Sch RY#1'!D22</f>
        <v>6714960.2368700616</v>
      </c>
      <c r="E39" s="122">
        <f>'Sch 139'!J38</f>
        <v>0</v>
      </c>
      <c r="F39" s="117">
        <v>1.7719999999999999E-3</v>
      </c>
      <c r="G39" s="13">
        <f>(D39-E39)*F39</f>
        <v>11898.909539733748</v>
      </c>
      <c r="I39" s="6">
        <f>D39</f>
        <v>6714960.2368700616</v>
      </c>
      <c r="J39" s="11">
        <f>F39</f>
        <v>1.7719999999999999E-3</v>
      </c>
      <c r="K39" s="13">
        <f>$J39*(I39-E39)</f>
        <v>11898.909539733748</v>
      </c>
      <c r="L39" s="12"/>
      <c r="M39" s="122">
        <f>'Revenue by Sch RY#2'!D22</f>
        <v>6710049.8818741431</v>
      </c>
      <c r="N39" s="11">
        <f>J39</f>
        <v>1.7719999999999999E-3</v>
      </c>
      <c r="O39" s="12">
        <f>$N39*(M39-E39)</f>
        <v>11890.20839068098</v>
      </c>
    </row>
    <row r="40" spans="1:15">
      <c r="A40" s="2">
        <f t="shared" si="0"/>
        <v>33</v>
      </c>
      <c r="B40" s="2"/>
      <c r="F40" s="11"/>
      <c r="G40" s="12"/>
      <c r="K40" s="12"/>
      <c r="L40" s="12"/>
      <c r="O40" s="12"/>
    </row>
    <row r="41" spans="1:15" ht="12" thickBot="1">
      <c r="A41" s="2">
        <f t="shared" si="0"/>
        <v>34</v>
      </c>
      <c r="B41" s="2"/>
      <c r="C41" s="110" t="s">
        <v>17</v>
      </c>
      <c r="D41" s="111">
        <f>SUM(D37,D39)</f>
        <v>23558158394.432892</v>
      </c>
      <c r="E41" s="111">
        <f>SUM(E37,E39)</f>
        <v>748526712.86500001</v>
      </c>
      <c r="F41" s="112"/>
      <c r="G41" s="113">
        <f>SUM(G37,G39)</f>
        <v>34624881.407721765</v>
      </c>
      <c r="H41" s="15"/>
      <c r="I41" s="111">
        <f>SUM(I37,I39)</f>
        <v>23558158394.432892</v>
      </c>
      <c r="J41" s="15"/>
      <c r="K41" s="113">
        <f t="shared" ref="K41" si="40">SUM(K37,K39)</f>
        <v>34624881.407721765</v>
      </c>
      <c r="L41" s="114"/>
      <c r="M41" s="111">
        <f>SUM(M37,M39)</f>
        <v>23775605944.94062</v>
      </c>
      <c r="N41" s="15"/>
      <c r="O41" s="113">
        <f t="shared" ref="O41" si="41">SUM(O37,O39)</f>
        <v>35001148.164492026</v>
      </c>
    </row>
    <row r="42" spans="1:15" ht="12" thickTop="1">
      <c r="D42" s="123">
        <f>'Revenue by Sch RY#1'!D24</f>
        <v>23558158394.432896</v>
      </c>
      <c r="E42" s="123">
        <f>'Sch 139'!J40</f>
        <v>748526712.86500001</v>
      </c>
      <c r="I42" s="162">
        <f>D42</f>
        <v>23558158394.432896</v>
      </c>
      <c r="M42" s="123">
        <f>'Revenue by Sch RY#2'!D24</f>
        <v>23775605944.94062</v>
      </c>
    </row>
    <row r="43" spans="1:15">
      <c r="C43" s="17" t="s">
        <v>168</v>
      </c>
      <c r="D43" s="124">
        <f>D41-D42</f>
        <v>0</v>
      </c>
      <c r="E43" s="124">
        <f>E41-E42</f>
        <v>0</v>
      </c>
      <c r="I43" s="124">
        <f>I41-I42</f>
        <v>0</v>
      </c>
      <c r="M43" s="124">
        <f>M41-M42</f>
        <v>0</v>
      </c>
    </row>
    <row r="44" spans="1:15">
      <c r="M44" s="4"/>
    </row>
    <row r="45" spans="1:15">
      <c r="B45" s="3" t="s">
        <v>251</v>
      </c>
      <c r="C45" s="101"/>
      <c r="D45" s="101"/>
    </row>
  </sheetData>
  <mergeCells count="7">
    <mergeCell ref="I6:K6"/>
    <mergeCell ref="M6:O6"/>
    <mergeCell ref="A1:O1"/>
    <mergeCell ref="A2:O2"/>
    <mergeCell ref="A3:O3"/>
    <mergeCell ref="A4:O4"/>
    <mergeCell ref="A5:F5"/>
  </mergeCells>
  <pageMargins left="0.7" right="0.7" top="0.75" bottom="0.75" header="0.3" footer="0.3"/>
  <pageSetup scale="74" orientation="landscape" horizontalDpi="360" verticalDpi="360" r:id="rId1"/>
  <headerFooter>
    <oddFooter>&amp;R&amp;F
&amp;A
&amp;P of &amp;N</oddFooter>
  </headerFooter>
  <customProperties>
    <customPr name="_pios_id" r:id="rId2"/>
  </customPropertie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6" tint="0.79998168889431442"/>
    <pageSetUpPr fitToPage="1"/>
  </sheetPr>
  <dimension ref="A1:V45"/>
  <sheetViews>
    <sheetView zoomScaleNormal="100" workbookViewId="0">
      <pane ySplit="7" topLeftCell="A8" activePane="bottomLeft" state="frozen"/>
      <selection activeCell="U42" sqref="U42"/>
      <selection pane="bottomLeft" activeCell="U42" sqref="U42"/>
    </sheetView>
  </sheetViews>
  <sheetFormatPr defaultColWidth="8.85546875" defaultRowHeight="11.25"/>
  <cols>
    <col min="1" max="1" width="4.42578125" style="3" bestFit="1" customWidth="1"/>
    <col min="2" max="2" width="14.85546875" style="3" bestFit="1" customWidth="1"/>
    <col min="3" max="3" width="21.7109375" style="3" bestFit="1" customWidth="1"/>
    <col min="4" max="4" width="15.140625" style="3" bestFit="1" customWidth="1"/>
    <col min="5" max="5" width="15.140625" style="3" customWidth="1"/>
    <col min="6" max="7" width="11" style="3" customWidth="1"/>
    <col min="8" max="8" width="11.85546875" style="3" customWidth="1"/>
    <col min="9" max="9" width="0.85546875" style="3" customWidth="1"/>
    <col min="10" max="10" width="12.85546875" style="3" bestFit="1" customWidth="1"/>
    <col min="11" max="11" width="12.85546875" style="3" customWidth="1"/>
    <col min="12" max="12" width="9.42578125" style="3" bestFit="1" customWidth="1"/>
    <col min="13" max="13" width="9.42578125" style="3" customWidth="1"/>
    <col min="14" max="14" width="11.5703125" style="3" bestFit="1" customWidth="1"/>
    <col min="15" max="15" width="1" style="3" customWidth="1"/>
    <col min="16" max="16" width="12.85546875" style="3" bestFit="1" customWidth="1"/>
    <col min="17" max="17" width="12.85546875" style="3" customWidth="1"/>
    <col min="18" max="18" width="9.42578125" style="3" bestFit="1" customWidth="1"/>
    <col min="19" max="19" width="9.42578125" style="3" customWidth="1"/>
    <col min="20" max="20" width="13.42578125" style="3" customWidth="1"/>
    <col min="21" max="21" width="8.85546875" style="3"/>
    <col min="22" max="22" width="9.85546875" style="3" bestFit="1" customWidth="1"/>
    <col min="23" max="16384" width="8.85546875" style="3"/>
  </cols>
  <sheetData>
    <row r="1" spans="1:22" s="15" customFormat="1" ht="12.75" customHeight="1">
      <c r="A1" s="459" t="str">
        <f>'Exh CTM-8 (Rate Impacts_RY#1)'!A1</f>
        <v>Puget Sound Energy</v>
      </c>
      <c r="B1" s="460"/>
      <c r="C1" s="460"/>
      <c r="D1" s="460"/>
      <c r="E1" s="460"/>
      <c r="F1" s="460"/>
      <c r="G1" s="460"/>
      <c r="H1" s="460"/>
      <c r="I1" s="460"/>
      <c r="J1" s="460"/>
      <c r="K1" s="460"/>
      <c r="L1" s="460"/>
      <c r="M1" s="460"/>
      <c r="N1" s="460"/>
      <c r="O1" s="460"/>
      <c r="P1" s="460"/>
      <c r="Q1" s="460"/>
      <c r="R1" s="460"/>
      <c r="S1" s="460"/>
      <c r="T1" s="460"/>
    </row>
    <row r="2" spans="1:22" s="15" customFormat="1" ht="12.75">
      <c r="A2" s="459" t="str">
        <f>'Exh CTM-8 (Rate Impacts_RY#1)'!A2</f>
        <v>2024 General Rate Case Docket No. UE-240004 and UG-240005</v>
      </c>
      <c r="B2" s="460"/>
      <c r="C2" s="460"/>
      <c r="D2" s="460"/>
      <c r="E2" s="460"/>
      <c r="F2" s="460"/>
      <c r="G2" s="460"/>
      <c r="H2" s="460"/>
      <c r="I2" s="460"/>
      <c r="J2" s="460"/>
      <c r="K2" s="460"/>
      <c r="L2" s="460"/>
      <c r="M2" s="460"/>
      <c r="N2" s="460"/>
      <c r="O2" s="460"/>
      <c r="P2" s="460"/>
      <c r="Q2" s="460"/>
      <c r="R2" s="460"/>
      <c r="S2" s="460"/>
      <c r="T2" s="460"/>
    </row>
    <row r="3" spans="1:22" s="15" customFormat="1" ht="12.75">
      <c r="A3" s="545" t="s">
        <v>239</v>
      </c>
      <c r="B3" s="470"/>
      <c r="C3" s="470"/>
      <c r="D3" s="470"/>
      <c r="E3" s="470"/>
      <c r="F3" s="470"/>
      <c r="G3" s="470"/>
      <c r="H3" s="471"/>
      <c r="I3" s="471"/>
      <c r="J3" s="471"/>
      <c r="K3" s="471"/>
      <c r="L3" s="471"/>
      <c r="M3" s="471"/>
      <c r="N3" s="471"/>
      <c r="O3" s="471"/>
      <c r="P3" s="471"/>
      <c r="Q3" s="471"/>
      <c r="R3" s="471"/>
      <c r="S3" s="471"/>
      <c r="T3" s="471"/>
    </row>
    <row r="4" spans="1:22" s="15" customFormat="1" ht="12.75">
      <c r="A4" s="545" t="s">
        <v>177</v>
      </c>
      <c r="B4" s="470"/>
      <c r="C4" s="470"/>
      <c r="D4" s="470"/>
      <c r="E4" s="470"/>
      <c r="F4" s="470"/>
      <c r="G4" s="470"/>
      <c r="H4" s="471"/>
      <c r="I4" s="471"/>
      <c r="J4" s="471"/>
      <c r="K4" s="471"/>
      <c r="L4" s="471"/>
      <c r="M4" s="471"/>
      <c r="N4" s="471"/>
      <c r="O4" s="471"/>
      <c r="P4" s="471"/>
      <c r="Q4" s="471"/>
      <c r="R4" s="471"/>
      <c r="S4" s="471"/>
      <c r="T4" s="471"/>
    </row>
    <row r="5" spans="1:22" s="15" customFormat="1">
      <c r="A5" s="456"/>
      <c r="B5" s="456"/>
      <c r="C5" s="456"/>
      <c r="D5" s="456"/>
      <c r="E5" s="456"/>
      <c r="F5" s="456"/>
      <c r="G5" s="44"/>
      <c r="H5" s="44"/>
    </row>
    <row r="6" spans="1:22" s="15" customFormat="1" ht="12.75">
      <c r="A6" s="45"/>
      <c r="B6" s="44"/>
      <c r="C6" s="44"/>
      <c r="D6" s="44"/>
      <c r="E6" s="44"/>
      <c r="J6" s="546" t="str">
        <f>'Sch 95'!H6</f>
        <v>MYRP January 2025</v>
      </c>
      <c r="K6" s="553"/>
      <c r="L6" s="494"/>
      <c r="M6" s="494"/>
      <c r="N6" s="493"/>
      <c r="O6" s="132">
        <f>'Sch 95'!K6</f>
        <v>0</v>
      </c>
      <c r="P6" s="546" t="str">
        <f>'Sch 95'!L6</f>
        <v>MYRP January 2026</v>
      </c>
      <c r="Q6" s="553"/>
      <c r="R6" s="547"/>
      <c r="S6" s="547"/>
      <c r="T6" s="548"/>
    </row>
    <row r="7" spans="1:22" s="15" customFormat="1" ht="45">
      <c r="A7" s="97" t="s">
        <v>2</v>
      </c>
      <c r="B7" s="97" t="s">
        <v>3</v>
      </c>
      <c r="C7" s="97" t="s">
        <v>14</v>
      </c>
      <c r="D7" s="133" t="str">
        <f>'Sch 95'!D7</f>
        <v>12 months ending December 2025 F23 Forecast KWh</v>
      </c>
      <c r="E7" s="167" t="s">
        <v>240</v>
      </c>
      <c r="F7" s="551" t="str">
        <f>'Sch 95'!E7</f>
        <v>Current Rates as of January 2024 (1)</v>
      </c>
      <c r="G7" s="552"/>
      <c r="H7" s="133" t="str">
        <f>'Sch 95'!F7</f>
        <v>Annual Delivered $</v>
      </c>
      <c r="I7" s="133">
        <f>'Sch 95'!G7</f>
        <v>0</v>
      </c>
      <c r="J7" s="133" t="str">
        <f>'Sch 95'!H7</f>
        <v>Annual Delivered KWh</v>
      </c>
      <c r="K7" s="167" t="s">
        <v>241</v>
      </c>
      <c r="L7" s="553" t="str">
        <f>'Sch 95'!I7</f>
        <v>Rates Effective January 2025</v>
      </c>
      <c r="M7" s="494"/>
      <c r="N7" s="133" t="str">
        <f>'Sch 95'!J7</f>
        <v>Annual Delivered $</v>
      </c>
      <c r="O7" s="133">
        <f>'Sch 95'!K7</f>
        <v>0</v>
      </c>
      <c r="P7" s="133" t="str">
        <f>'Sch 95'!L7</f>
        <v>Annual Delivered KWh</v>
      </c>
      <c r="Q7" s="97" t="str">
        <f>K7</f>
        <v>Annual Delivered KW/Kva</v>
      </c>
      <c r="R7" s="553" t="str">
        <f>'Sch 95'!M7</f>
        <v>Rates Effective January 2026</v>
      </c>
      <c r="S7" s="494"/>
      <c r="T7" s="133" t="str">
        <f>'Sch 95'!N7</f>
        <v>Annual Delivered $</v>
      </c>
    </row>
    <row r="8" spans="1:22">
      <c r="A8" s="2">
        <v>1</v>
      </c>
      <c r="B8" s="132" t="str">
        <f>'Sch 95'!B8</f>
        <v xml:space="preserve"> 7 (307) (317) (327)</v>
      </c>
      <c r="D8" s="116">
        <f>'Revenue by Sch RY#1'!D9</f>
        <v>11278205851.395365</v>
      </c>
      <c r="E8" s="116">
        <v>0</v>
      </c>
      <c r="F8" s="129">
        <v>1.25E-3</v>
      </c>
      <c r="G8" s="168"/>
      <c r="H8" s="12">
        <f>(D8*F8)+(E8*G8)</f>
        <v>14097757.314244207</v>
      </c>
      <c r="J8" s="4">
        <f>D8</f>
        <v>11278205851.395365</v>
      </c>
      <c r="K8" s="4">
        <f>E8</f>
        <v>0</v>
      </c>
      <c r="L8" s="109">
        <v>0</v>
      </c>
      <c r="M8" s="172">
        <v>0</v>
      </c>
      <c r="N8" s="12">
        <f>(J8*L8)+(K8*M8)</f>
        <v>0</v>
      </c>
      <c r="O8" s="12"/>
      <c r="P8" s="116">
        <f>'Revenue by Sch RY#2'!D9</f>
        <v>11447649239.71397</v>
      </c>
      <c r="Q8" s="116">
        <v>0</v>
      </c>
      <c r="R8" s="11">
        <f>L8</f>
        <v>0</v>
      </c>
      <c r="S8" s="16">
        <f>M8</f>
        <v>0</v>
      </c>
      <c r="T8" s="12">
        <f>(P8*R8)+(Q8*S8)</f>
        <v>0</v>
      </c>
      <c r="V8" s="15"/>
    </row>
    <row r="9" spans="1:22">
      <c r="A9" s="2">
        <f t="shared" ref="A9:A41" si="0">+A8+1</f>
        <v>2</v>
      </c>
      <c r="B9" s="132" t="str">
        <f>'Sch 95'!B9</f>
        <v xml:space="preserve">7A </v>
      </c>
      <c r="D9" s="115">
        <v>0</v>
      </c>
      <c r="E9" s="115">
        <v>0</v>
      </c>
      <c r="F9" s="129">
        <v>8.8199999999999997E-4</v>
      </c>
      <c r="G9" s="171">
        <v>0.1</v>
      </c>
      <c r="H9" s="12">
        <f>(D9*F9)+(E9*G9)</f>
        <v>0</v>
      </c>
      <c r="J9" s="4">
        <f>D9</f>
        <v>0</v>
      </c>
      <c r="K9" s="4">
        <f>E9</f>
        <v>0</v>
      </c>
      <c r="L9" s="109">
        <v>0</v>
      </c>
      <c r="M9" s="172">
        <v>0</v>
      </c>
      <c r="N9" s="12">
        <f>(J9*L9)+(K9*M9)</f>
        <v>0</v>
      </c>
      <c r="O9" s="12"/>
      <c r="P9" s="4">
        <v>0</v>
      </c>
      <c r="Q9" s="115">
        <v>0</v>
      </c>
      <c r="R9" s="11">
        <f>L9</f>
        <v>0</v>
      </c>
      <c r="S9" s="16">
        <f>M9</f>
        <v>0</v>
      </c>
      <c r="T9" s="12">
        <f>(P9*R9)+(Q9*S9)</f>
        <v>0</v>
      </c>
      <c r="V9" s="15"/>
    </row>
    <row r="10" spans="1:22">
      <c r="A10" s="2">
        <f t="shared" si="0"/>
        <v>3</v>
      </c>
      <c r="B10" s="2"/>
      <c r="C10" s="3" t="s">
        <v>4</v>
      </c>
      <c r="D10" s="6">
        <f>SUM(D8:D9)</f>
        <v>11278205851.395365</v>
      </c>
      <c r="E10" s="6">
        <f>SUM(E8:E9)</f>
        <v>0</v>
      </c>
      <c r="F10" s="130"/>
      <c r="G10" s="160"/>
      <c r="H10" s="13">
        <f t="shared" ref="H10" si="1">SUM(H8:H9)</f>
        <v>14097757.314244207</v>
      </c>
      <c r="J10" s="6">
        <f>SUM(J8:J9)</f>
        <v>11278205851.395365</v>
      </c>
      <c r="K10" s="6">
        <f>SUM(K8:K9)</f>
        <v>0</v>
      </c>
      <c r="L10" s="11"/>
      <c r="M10" s="16"/>
      <c r="N10" s="13">
        <f t="shared" ref="N10" si="2">SUM(N8:N9)</f>
        <v>0</v>
      </c>
      <c r="O10" s="12"/>
      <c r="P10" s="6">
        <f>SUM(P8:P9)</f>
        <v>11447649239.71397</v>
      </c>
      <c r="Q10" s="6">
        <f>SUM(Q8:Q9)</f>
        <v>0</v>
      </c>
      <c r="R10" s="11"/>
      <c r="S10" s="16"/>
      <c r="T10" s="13">
        <f t="shared" ref="T10" si="3">SUM(T8:T9)</f>
        <v>0</v>
      </c>
      <c r="V10" s="15"/>
    </row>
    <row r="11" spans="1:22">
      <c r="A11" s="2">
        <f t="shared" si="0"/>
        <v>4</v>
      </c>
      <c r="B11" s="2"/>
      <c r="D11" s="4"/>
      <c r="E11" s="4"/>
      <c r="F11" s="130"/>
      <c r="G11" s="160"/>
      <c r="H11" s="12"/>
      <c r="J11" s="4"/>
      <c r="K11" s="4"/>
      <c r="L11" s="11"/>
      <c r="M11" s="16"/>
      <c r="N11" s="12"/>
      <c r="O11" s="12"/>
      <c r="P11" s="4"/>
      <c r="Q11" s="4"/>
      <c r="R11" s="11"/>
      <c r="S11" s="16"/>
      <c r="T11" s="12"/>
      <c r="V11" s="15"/>
    </row>
    <row r="12" spans="1:22">
      <c r="A12" s="2">
        <f t="shared" si="0"/>
        <v>5</v>
      </c>
      <c r="B12" s="132">
        <f>'Sch 95'!B12</f>
        <v>8</v>
      </c>
      <c r="D12" s="115">
        <v>0</v>
      </c>
      <c r="E12" s="115">
        <v>0</v>
      </c>
      <c r="F12" s="129">
        <v>9.9099999999999991E-4</v>
      </c>
      <c r="G12" s="168"/>
      <c r="H12" s="12">
        <f t="shared" ref="H12:H18" si="4">(D12*F12)+(E12*G12)</f>
        <v>0</v>
      </c>
      <c r="J12" s="4">
        <f>D12</f>
        <v>0</v>
      </c>
      <c r="K12" s="4">
        <f>E12</f>
        <v>0</v>
      </c>
      <c r="L12" s="109">
        <v>0</v>
      </c>
      <c r="M12" s="172">
        <v>0</v>
      </c>
      <c r="N12" s="12">
        <f t="shared" ref="N12:N18" si="5">(J12*L12)+(K12*M12)</f>
        <v>0</v>
      </c>
      <c r="O12" s="12"/>
      <c r="P12" s="4">
        <v>0</v>
      </c>
      <c r="Q12" s="115">
        <v>0</v>
      </c>
      <c r="R12" s="11">
        <f t="shared" ref="R12:S18" si="6">L12</f>
        <v>0</v>
      </c>
      <c r="S12" s="16">
        <f t="shared" si="6"/>
        <v>0</v>
      </c>
      <c r="T12" s="12">
        <f t="shared" ref="T12:T18" si="7">(P12*R12)+(Q12*S12)</f>
        <v>0</v>
      </c>
      <c r="V12" s="15"/>
    </row>
    <row r="13" spans="1:22">
      <c r="A13" s="2">
        <f t="shared" si="0"/>
        <v>6</v>
      </c>
      <c r="B13" s="132" t="str">
        <f>'Sch 95'!B13</f>
        <v>24 (324)</v>
      </c>
      <c r="D13" s="116">
        <f>'Revenue by Sch RY#1'!D10</f>
        <v>2762635966.1696987</v>
      </c>
      <c r="E13" s="115">
        <v>0</v>
      </c>
      <c r="F13" s="130">
        <f>+F12</f>
        <v>9.9099999999999991E-4</v>
      </c>
      <c r="G13" s="160"/>
      <c r="H13" s="12">
        <f t="shared" si="4"/>
        <v>2737772.2424741713</v>
      </c>
      <c r="J13" s="4">
        <f>D13</f>
        <v>2762635966.1696987</v>
      </c>
      <c r="K13" s="4">
        <f>E13</f>
        <v>0</v>
      </c>
      <c r="L13" s="109">
        <v>0</v>
      </c>
      <c r="M13" s="172">
        <v>0</v>
      </c>
      <c r="N13" s="12">
        <f t="shared" si="5"/>
        <v>0</v>
      </c>
      <c r="O13" s="12"/>
      <c r="P13" s="116">
        <f>'Revenue by Sch RY#2'!D10</f>
        <v>2774967422.2693906</v>
      </c>
      <c r="Q13" s="115">
        <v>0</v>
      </c>
      <c r="R13" s="11">
        <f t="shared" si="6"/>
        <v>0</v>
      </c>
      <c r="S13" s="16">
        <f t="shared" si="6"/>
        <v>0</v>
      </c>
      <c r="T13" s="12">
        <f t="shared" si="7"/>
        <v>0</v>
      </c>
      <c r="V13" s="15"/>
    </row>
    <row r="14" spans="1:22">
      <c r="A14" s="2">
        <f t="shared" si="0"/>
        <v>7</v>
      </c>
      <c r="B14" s="132">
        <f>'Sch 95'!B14</f>
        <v>11</v>
      </c>
      <c r="D14" s="115">
        <v>0</v>
      </c>
      <c r="E14" s="115">
        <v>0</v>
      </c>
      <c r="F14" s="130">
        <f>F9</f>
        <v>8.8199999999999997E-4</v>
      </c>
      <c r="G14" s="166">
        <f>+G9</f>
        <v>0.1</v>
      </c>
      <c r="H14" s="12">
        <f t="shared" si="4"/>
        <v>0</v>
      </c>
      <c r="J14" s="4">
        <f t="shared" ref="J14:K18" si="8">D14</f>
        <v>0</v>
      </c>
      <c r="K14" s="4">
        <f t="shared" si="8"/>
        <v>0</v>
      </c>
      <c r="L14" s="109">
        <v>0</v>
      </c>
      <c r="M14" s="172">
        <v>0</v>
      </c>
      <c r="N14" s="12">
        <f t="shared" si="5"/>
        <v>0</v>
      </c>
      <c r="O14" s="12"/>
      <c r="P14" s="4">
        <v>0</v>
      </c>
      <c r="Q14" s="115">
        <v>0</v>
      </c>
      <c r="R14" s="11">
        <f t="shared" si="6"/>
        <v>0</v>
      </c>
      <c r="S14" s="16">
        <f t="shared" si="6"/>
        <v>0</v>
      </c>
      <c r="T14" s="12">
        <f t="shared" si="7"/>
        <v>0</v>
      </c>
    </row>
    <row r="15" spans="1:22">
      <c r="A15" s="2">
        <f t="shared" si="0"/>
        <v>8</v>
      </c>
      <c r="B15" s="132">
        <f>'Sch 95'!B15</f>
        <v>25</v>
      </c>
      <c r="D15" s="116">
        <f>'Revenue by Sch RY#1'!D11</f>
        <v>2960202274.8054705</v>
      </c>
      <c r="E15" s="116">
        <v>4517887.0072913375</v>
      </c>
      <c r="F15" s="130">
        <f>+F14</f>
        <v>8.8199999999999997E-4</v>
      </c>
      <c r="G15" s="166">
        <f>+G14</f>
        <v>0.1</v>
      </c>
      <c r="H15" s="12">
        <f t="shared" si="4"/>
        <v>3062687.1071075583</v>
      </c>
      <c r="J15" s="4">
        <f t="shared" si="8"/>
        <v>2960202274.8054705</v>
      </c>
      <c r="K15" s="4">
        <f t="shared" si="8"/>
        <v>4517887.0072913375</v>
      </c>
      <c r="L15" s="109">
        <v>0</v>
      </c>
      <c r="M15" s="172">
        <v>0</v>
      </c>
      <c r="N15" s="12">
        <f t="shared" si="5"/>
        <v>0</v>
      </c>
      <c r="O15" s="12"/>
      <c r="P15" s="116">
        <f>'Revenue by Sch RY#2'!D11</f>
        <v>2968720174.6374388</v>
      </c>
      <c r="Q15" s="116">
        <v>4515508.9451899873</v>
      </c>
      <c r="R15" s="11">
        <f t="shared" si="6"/>
        <v>0</v>
      </c>
      <c r="S15" s="16">
        <f t="shared" si="6"/>
        <v>0</v>
      </c>
      <c r="T15" s="12">
        <f t="shared" si="7"/>
        <v>0</v>
      </c>
    </row>
    <row r="16" spans="1:22">
      <c r="A16" s="2">
        <f t="shared" si="0"/>
        <v>9</v>
      </c>
      <c r="B16" s="132">
        <f>'Sch 95'!B16</f>
        <v>12</v>
      </c>
      <c r="D16" s="115">
        <v>0</v>
      </c>
      <c r="E16" s="115">
        <v>0</v>
      </c>
      <c r="F16" s="129">
        <v>6.02E-4</v>
      </c>
      <c r="G16" s="165">
        <v>0.11</v>
      </c>
      <c r="H16" s="12">
        <f t="shared" si="4"/>
        <v>0</v>
      </c>
      <c r="J16" s="4">
        <f t="shared" si="8"/>
        <v>0</v>
      </c>
      <c r="K16" s="4">
        <f t="shared" si="8"/>
        <v>0</v>
      </c>
      <c r="L16" s="109">
        <v>0</v>
      </c>
      <c r="M16" s="172">
        <v>0</v>
      </c>
      <c r="N16" s="12">
        <f t="shared" si="5"/>
        <v>0</v>
      </c>
      <c r="O16" s="12"/>
      <c r="P16" s="4">
        <v>0</v>
      </c>
      <c r="Q16" s="115">
        <v>0</v>
      </c>
      <c r="R16" s="11">
        <f t="shared" si="6"/>
        <v>0</v>
      </c>
      <c r="S16" s="16">
        <f t="shared" si="6"/>
        <v>0</v>
      </c>
      <c r="T16" s="12">
        <f t="shared" si="7"/>
        <v>0</v>
      </c>
    </row>
    <row r="17" spans="1:20">
      <c r="A17" s="2">
        <f t="shared" si="0"/>
        <v>10</v>
      </c>
      <c r="B17" s="132" t="str">
        <f>'Sch 95'!B17</f>
        <v>26 &amp; 26P</v>
      </c>
      <c r="D17" s="116">
        <f>'Revenue by Sch RY#1'!D12</f>
        <v>2013891730.8000479</v>
      </c>
      <c r="E17" s="116">
        <v>4944273.2866841257</v>
      </c>
      <c r="F17" s="130">
        <f>+F16</f>
        <v>6.02E-4</v>
      </c>
      <c r="G17" s="166">
        <f>+G16</f>
        <v>0.11</v>
      </c>
      <c r="H17" s="12">
        <f t="shared" si="4"/>
        <v>1756232.8834768827</v>
      </c>
      <c r="J17" s="4">
        <f t="shared" si="8"/>
        <v>2013891730.8000479</v>
      </c>
      <c r="K17" s="4">
        <f t="shared" si="8"/>
        <v>4944273.2866841257</v>
      </c>
      <c r="L17" s="109">
        <v>0</v>
      </c>
      <c r="M17" s="172">
        <v>0</v>
      </c>
      <c r="N17" s="12">
        <f t="shared" si="5"/>
        <v>0</v>
      </c>
      <c r="O17" s="12"/>
      <c r="P17" s="116">
        <f>'Revenue by Sch RY#2'!D12</f>
        <v>2056791563.2414525</v>
      </c>
      <c r="Q17" s="116">
        <v>5032131.2804961493</v>
      </c>
      <c r="R17" s="11">
        <f t="shared" si="6"/>
        <v>0</v>
      </c>
      <c r="S17" s="16">
        <f t="shared" si="6"/>
        <v>0</v>
      </c>
      <c r="T17" s="12">
        <f t="shared" si="7"/>
        <v>0</v>
      </c>
    </row>
    <row r="18" spans="1:20">
      <c r="A18" s="2">
        <f t="shared" si="0"/>
        <v>11</v>
      </c>
      <c r="B18" s="132">
        <f>'Sch 95'!B18</f>
        <v>29</v>
      </c>
      <c r="D18" s="116">
        <f>'Revenue by Sch RY#1'!D13</f>
        <v>14930059.630887466</v>
      </c>
      <c r="E18" s="116">
        <v>6359.1483786280214</v>
      </c>
      <c r="F18" s="129">
        <v>8.3199999999999995E-4</v>
      </c>
      <c r="G18" s="165">
        <v>7.0000000000000007E-2</v>
      </c>
      <c r="H18" s="12">
        <f t="shared" si="4"/>
        <v>12866.949999402332</v>
      </c>
      <c r="J18" s="4">
        <f t="shared" si="8"/>
        <v>14930059.630887466</v>
      </c>
      <c r="K18" s="4">
        <f t="shared" si="8"/>
        <v>6359.1483786280214</v>
      </c>
      <c r="L18" s="109">
        <v>0</v>
      </c>
      <c r="M18" s="172">
        <v>0</v>
      </c>
      <c r="N18" s="12">
        <f t="shared" si="5"/>
        <v>0</v>
      </c>
      <c r="O18" s="12"/>
      <c r="P18" s="116">
        <f>'Revenue by Sch RY#2'!D13</f>
        <v>14843026.361509496</v>
      </c>
      <c r="Q18" s="116">
        <v>6312.6225193658393</v>
      </c>
      <c r="R18" s="11">
        <f t="shared" si="6"/>
        <v>0</v>
      </c>
      <c r="S18" s="16">
        <f t="shared" si="6"/>
        <v>0</v>
      </c>
      <c r="T18" s="12">
        <f t="shared" si="7"/>
        <v>0</v>
      </c>
    </row>
    <row r="19" spans="1:20">
      <c r="A19" s="2">
        <f t="shared" si="0"/>
        <v>12</v>
      </c>
      <c r="B19" s="2"/>
      <c r="C19" s="7" t="s">
        <v>6</v>
      </c>
      <c r="D19" s="6">
        <f>SUM(D12:D18)</f>
        <v>7751660031.4061041</v>
      </c>
      <c r="E19" s="6">
        <f>SUM(E12:E18)</f>
        <v>9468519.4423540905</v>
      </c>
      <c r="F19" s="130"/>
      <c r="G19" s="160"/>
      <c r="H19" s="13">
        <f t="shared" ref="H19" si="9">SUM(H12:H18)</f>
        <v>7569559.1830580151</v>
      </c>
      <c r="J19" s="6">
        <f>SUM(J12:J18)</f>
        <v>7751660031.4061041</v>
      </c>
      <c r="K19" s="6">
        <f>SUM(K12:K18)</f>
        <v>9468519.4423540905</v>
      </c>
      <c r="L19" s="11"/>
      <c r="M19" s="16"/>
      <c r="N19" s="13">
        <f t="shared" ref="N19" si="10">SUM(N12:N18)</f>
        <v>0</v>
      </c>
      <c r="O19" s="12"/>
      <c r="P19" s="6">
        <f>SUM(P12:P18)</f>
        <v>7815322186.5097914</v>
      </c>
      <c r="Q19" s="6">
        <f>SUM(Q12:Q18)</f>
        <v>9553952.8482055031</v>
      </c>
      <c r="R19" s="11"/>
      <c r="S19" s="16"/>
      <c r="T19" s="13">
        <f t="shared" ref="T19" si="11">SUM(T12:T18)</f>
        <v>0</v>
      </c>
    </row>
    <row r="20" spans="1:20">
      <c r="A20" s="2">
        <f t="shared" si="0"/>
        <v>13</v>
      </c>
      <c r="B20" s="2"/>
      <c r="D20" s="4"/>
      <c r="E20" s="4"/>
      <c r="F20" s="130"/>
      <c r="G20" s="160"/>
      <c r="H20" s="12"/>
      <c r="J20" s="4"/>
      <c r="K20" s="4"/>
      <c r="L20" s="11"/>
      <c r="M20" s="16"/>
      <c r="N20" s="12"/>
      <c r="O20" s="12"/>
      <c r="P20" s="4"/>
      <c r="Q20" s="4"/>
      <c r="R20" s="11"/>
      <c r="S20" s="16"/>
      <c r="T20" s="12"/>
    </row>
    <row r="21" spans="1:20">
      <c r="A21" s="2">
        <f t="shared" si="0"/>
        <v>14</v>
      </c>
      <c r="B21" s="132">
        <f>'Sch 95'!B21</f>
        <v>10</v>
      </c>
      <c r="D21" s="115">
        <v>0</v>
      </c>
      <c r="E21" s="115">
        <v>0</v>
      </c>
      <c r="F21" s="129">
        <v>5.9100000000000005E-4</v>
      </c>
      <c r="G21" s="165">
        <v>0.11</v>
      </c>
      <c r="H21" s="12">
        <f t="shared" ref="H21:H24" si="12">(D21*F21)+(E21*G21)</f>
        <v>0</v>
      </c>
      <c r="J21" s="4">
        <f t="shared" ref="J21:K24" si="13">D21</f>
        <v>0</v>
      </c>
      <c r="K21" s="4">
        <f t="shared" si="13"/>
        <v>0</v>
      </c>
      <c r="L21" s="109">
        <v>0</v>
      </c>
      <c r="M21" s="172">
        <v>0</v>
      </c>
      <c r="N21" s="12">
        <f t="shared" ref="N21:N24" si="14">(J21*L21)+(K21*M21)</f>
        <v>0</v>
      </c>
      <c r="O21" s="12"/>
      <c r="P21" s="4">
        <v>0</v>
      </c>
      <c r="Q21" s="115">
        <v>0</v>
      </c>
      <c r="R21" s="11">
        <f t="shared" ref="R21:R24" si="15">L21</f>
        <v>0</v>
      </c>
      <c r="S21" s="16">
        <f>M21</f>
        <v>0</v>
      </c>
      <c r="T21" s="12">
        <f t="shared" ref="T21:T24" si="16">(P21*R21)+(Q21*S21)</f>
        <v>0</v>
      </c>
    </row>
    <row r="22" spans="1:20">
      <c r="A22" s="2">
        <f t="shared" si="0"/>
        <v>15</v>
      </c>
      <c r="B22" s="132">
        <f>'Sch 95'!B22</f>
        <v>31</v>
      </c>
      <c r="D22" s="116">
        <f>'Revenue by Sch RY#1'!D14</f>
        <v>1423586019.4788036</v>
      </c>
      <c r="E22" s="116">
        <v>3383993.070775318</v>
      </c>
      <c r="F22" s="130">
        <f>+F21</f>
        <v>5.9100000000000005E-4</v>
      </c>
      <c r="G22" s="166">
        <f>+G21</f>
        <v>0.11</v>
      </c>
      <c r="H22" s="12">
        <f t="shared" si="12"/>
        <v>1213578.5752972579</v>
      </c>
      <c r="J22" s="4">
        <f t="shared" si="13"/>
        <v>1423586019.4788036</v>
      </c>
      <c r="K22" s="4">
        <f t="shared" si="13"/>
        <v>3383993.070775318</v>
      </c>
      <c r="L22" s="109">
        <v>0</v>
      </c>
      <c r="M22" s="172">
        <v>0</v>
      </c>
      <c r="N22" s="12">
        <f t="shared" si="14"/>
        <v>0</v>
      </c>
      <c r="O22" s="12"/>
      <c r="P22" s="116">
        <f>'Revenue by Sch RY#2'!D14</f>
        <v>1411297972.0883911</v>
      </c>
      <c r="Q22" s="116">
        <v>3344757.4708671863</v>
      </c>
      <c r="R22" s="11">
        <f t="shared" si="15"/>
        <v>0</v>
      </c>
      <c r="S22" s="16">
        <f>M22</f>
        <v>0</v>
      </c>
      <c r="T22" s="12">
        <f t="shared" si="16"/>
        <v>0</v>
      </c>
    </row>
    <row r="23" spans="1:20">
      <c r="A23" s="2">
        <f t="shared" si="0"/>
        <v>16</v>
      </c>
      <c r="B23" s="132">
        <f>'Sch 95'!B23</f>
        <v>35</v>
      </c>
      <c r="D23" s="116">
        <f>'Revenue by Sch RY#1'!D15</f>
        <v>4407260.1568774413</v>
      </c>
      <c r="E23" s="116">
        <v>8196.3679379811347</v>
      </c>
      <c r="F23" s="129">
        <v>1.096E-3</v>
      </c>
      <c r="G23" s="165">
        <v>0.08</v>
      </c>
      <c r="H23" s="12">
        <f t="shared" si="12"/>
        <v>5486.0665669761656</v>
      </c>
      <c r="J23" s="4">
        <f t="shared" si="13"/>
        <v>4407260.1568774413</v>
      </c>
      <c r="K23" s="4">
        <f t="shared" si="13"/>
        <v>8196.3679379811347</v>
      </c>
      <c r="L23" s="109">
        <v>0</v>
      </c>
      <c r="M23" s="172">
        <v>0</v>
      </c>
      <c r="N23" s="12">
        <f t="shared" si="14"/>
        <v>0</v>
      </c>
      <c r="O23" s="12"/>
      <c r="P23" s="116">
        <f>'Revenue by Sch RY#2'!D15</f>
        <v>4380281.1514552524</v>
      </c>
      <c r="Q23" s="116">
        <v>8146.3096768096348</v>
      </c>
      <c r="R23" s="11">
        <f t="shared" si="15"/>
        <v>0</v>
      </c>
      <c r="S23" s="16">
        <f>M23</f>
        <v>0</v>
      </c>
      <c r="T23" s="12">
        <f t="shared" si="16"/>
        <v>0</v>
      </c>
    </row>
    <row r="24" spans="1:20">
      <c r="A24" s="2">
        <f t="shared" si="0"/>
        <v>17</v>
      </c>
      <c r="B24" s="132">
        <f>'Sch 95'!B24</f>
        <v>43</v>
      </c>
      <c r="D24" s="116">
        <f>'Revenue by Sch RY#1'!D16</f>
        <v>122267424.6450724</v>
      </c>
      <c r="E24" s="116">
        <v>579230.53698067076</v>
      </c>
      <c r="F24" s="129">
        <v>5.5199999999999997E-4</v>
      </c>
      <c r="G24" s="165">
        <v>0.05</v>
      </c>
      <c r="H24" s="12">
        <f t="shared" si="12"/>
        <v>96453.1452531135</v>
      </c>
      <c r="J24" s="4">
        <f t="shared" si="13"/>
        <v>122267424.6450724</v>
      </c>
      <c r="K24" s="4">
        <f t="shared" si="13"/>
        <v>579230.53698067076</v>
      </c>
      <c r="L24" s="109">
        <v>0</v>
      </c>
      <c r="M24" s="172">
        <v>0</v>
      </c>
      <c r="N24" s="12">
        <f t="shared" si="14"/>
        <v>0</v>
      </c>
      <c r="O24" s="12"/>
      <c r="P24" s="116">
        <f>'Revenue by Sch RY#2'!D16</f>
        <v>121633779.10385114</v>
      </c>
      <c r="Q24" s="116">
        <v>573967.09159726952</v>
      </c>
      <c r="R24" s="11">
        <f t="shared" si="15"/>
        <v>0</v>
      </c>
      <c r="S24" s="16">
        <f>M24</f>
        <v>0</v>
      </c>
      <c r="T24" s="12">
        <f t="shared" si="16"/>
        <v>0</v>
      </c>
    </row>
    <row r="25" spans="1:20">
      <c r="A25" s="2">
        <f t="shared" si="0"/>
        <v>18</v>
      </c>
      <c r="B25" s="2"/>
      <c r="C25" s="3" t="s">
        <v>7</v>
      </c>
      <c r="D25" s="6">
        <f>SUM(D21:D24)</f>
        <v>1550260704.2807536</v>
      </c>
      <c r="E25" s="6">
        <f>SUM(E21:E24)</f>
        <v>3971419.97569397</v>
      </c>
      <c r="F25" s="130"/>
      <c r="G25" s="160"/>
      <c r="H25" s="13">
        <f t="shared" ref="H25" si="17">SUM(H21:H24)</f>
        <v>1315517.7871173476</v>
      </c>
      <c r="J25" s="6">
        <f>SUM(J21:J24)</f>
        <v>1550260704.2807536</v>
      </c>
      <c r="K25" s="6">
        <f>SUM(K21:K24)</f>
        <v>3971419.97569397</v>
      </c>
      <c r="L25" s="11"/>
      <c r="M25" s="16"/>
      <c r="N25" s="13">
        <f t="shared" ref="N25" si="18">SUM(N21:N24)</f>
        <v>0</v>
      </c>
      <c r="O25" s="12"/>
      <c r="P25" s="6">
        <f>SUM(P21:P24)</f>
        <v>1537312032.3436973</v>
      </c>
      <c r="Q25" s="6">
        <f>SUM(Q21:Q24)</f>
        <v>3926870.8721412653</v>
      </c>
      <c r="R25" s="11"/>
      <c r="S25" s="16"/>
      <c r="T25" s="13">
        <f t="shared" ref="T25" si="19">SUM(T21:T24)</f>
        <v>0</v>
      </c>
    </row>
    <row r="26" spans="1:20">
      <c r="A26" s="2">
        <f t="shared" si="0"/>
        <v>19</v>
      </c>
      <c r="B26" s="2"/>
      <c r="D26" s="4"/>
      <c r="E26" s="4"/>
      <c r="F26" s="130"/>
      <c r="G26" s="173"/>
      <c r="H26" s="12"/>
      <c r="J26" s="4"/>
      <c r="K26" s="4"/>
      <c r="L26" s="11"/>
      <c r="M26" s="16"/>
      <c r="N26" s="12"/>
      <c r="O26" s="12"/>
      <c r="P26" s="4"/>
      <c r="Q26" s="4"/>
      <c r="R26" s="11"/>
      <c r="S26" s="16"/>
      <c r="T26" s="12"/>
    </row>
    <row r="27" spans="1:20">
      <c r="A27" s="2">
        <f t="shared" si="0"/>
        <v>20</v>
      </c>
      <c r="B27" s="132">
        <f>'Sch 95'!B27</f>
        <v>46</v>
      </c>
      <c r="D27" s="116">
        <f>'Revenue by Sch RY#1'!D17</f>
        <v>96933187.043131709</v>
      </c>
      <c r="E27" s="116">
        <v>454913.76433003857</v>
      </c>
      <c r="F27" s="129">
        <v>3.5599999999999998E-4</v>
      </c>
      <c r="G27" s="171">
        <v>0.02</v>
      </c>
      <c r="H27" s="12">
        <f t="shared" ref="H27:H28" si="20">(D27*F27)+(E27*G27)</f>
        <v>43606.489873955659</v>
      </c>
      <c r="J27" s="4">
        <f>D27</f>
        <v>96933187.043131709</v>
      </c>
      <c r="K27" s="4">
        <f>E27</f>
        <v>454913.76433003857</v>
      </c>
      <c r="L27" s="109">
        <v>0</v>
      </c>
      <c r="M27" s="172">
        <v>0</v>
      </c>
      <c r="N27" s="12">
        <f t="shared" ref="N27:N28" si="21">(J27*L27)+(K27*M27)</f>
        <v>0</v>
      </c>
      <c r="O27" s="12"/>
      <c r="P27" s="116">
        <f>'Revenue by Sch RY#2'!D17</f>
        <v>96918964.527943105</v>
      </c>
      <c r="Q27" s="116">
        <v>453901.97661419428</v>
      </c>
      <c r="R27" s="11">
        <f t="shared" ref="R27:R28" si="22">L27</f>
        <v>0</v>
      </c>
      <c r="S27" s="16">
        <f>M27</f>
        <v>0</v>
      </c>
      <c r="T27" s="12">
        <f t="shared" ref="T27:T28" si="23">(P27*R27)+(Q27*S27)</f>
        <v>0</v>
      </c>
    </row>
    <row r="28" spans="1:20">
      <c r="A28" s="2">
        <f t="shared" si="0"/>
        <v>21</v>
      </c>
      <c r="B28" s="132">
        <f>'Sch 95'!B28</f>
        <v>49</v>
      </c>
      <c r="D28" s="116">
        <f>'Revenue by Sch RY#1'!D18</f>
        <v>534843226.30681556</v>
      </c>
      <c r="E28" s="116">
        <v>1325042.9814690738</v>
      </c>
      <c r="F28" s="129">
        <v>3.5599999999999998E-4</v>
      </c>
      <c r="G28" s="171">
        <v>0.04</v>
      </c>
      <c r="H28" s="12">
        <f t="shared" si="20"/>
        <v>243405.90782398928</v>
      </c>
      <c r="J28" s="4">
        <f>D28</f>
        <v>534843226.30681556</v>
      </c>
      <c r="K28" s="4">
        <f>E28</f>
        <v>1325042.9814690738</v>
      </c>
      <c r="L28" s="109">
        <v>0</v>
      </c>
      <c r="M28" s="172">
        <v>0</v>
      </c>
      <c r="N28" s="12">
        <f t="shared" si="21"/>
        <v>0</v>
      </c>
      <c r="O28" s="12"/>
      <c r="P28" s="116">
        <f>'Revenue by Sch RY#2'!D18</f>
        <v>534899242.67952603</v>
      </c>
      <c r="Q28" s="116">
        <v>1321250.3262371249</v>
      </c>
      <c r="R28" s="11">
        <f t="shared" si="22"/>
        <v>0</v>
      </c>
      <c r="S28" s="16">
        <f>M28</f>
        <v>0</v>
      </c>
      <c r="T28" s="12">
        <f t="shared" si="23"/>
        <v>0</v>
      </c>
    </row>
    <row r="29" spans="1:20">
      <c r="A29" s="2">
        <f t="shared" si="0"/>
        <v>22</v>
      </c>
      <c r="B29" s="2"/>
      <c r="C29" s="3" t="s">
        <v>8</v>
      </c>
      <c r="D29" s="6">
        <f>SUM(D27:D28)</f>
        <v>631776413.34994721</v>
      </c>
      <c r="E29" s="6">
        <f>SUM(E27:E28)</f>
        <v>1779956.7457991124</v>
      </c>
      <c r="F29" s="11"/>
      <c r="G29" s="117"/>
      <c r="H29" s="13">
        <f t="shared" ref="H29" si="24">SUM(H27:H28)</f>
        <v>287012.39769794495</v>
      </c>
      <c r="J29" s="6">
        <f>SUM(J27:J28)</f>
        <v>631776413.34994721</v>
      </c>
      <c r="K29" s="6">
        <f>SUM(K27:K28)</f>
        <v>1779956.7457991124</v>
      </c>
      <c r="L29" s="11"/>
      <c r="M29" s="16"/>
      <c r="N29" s="13">
        <f t="shared" ref="N29" si="25">SUM(N27:N28)</f>
        <v>0</v>
      </c>
      <c r="O29" s="12"/>
      <c r="P29" s="6">
        <f>SUM(P27:P28)</f>
        <v>631818207.20746911</v>
      </c>
      <c r="Q29" s="6">
        <f>SUM(Q27:Q28)</f>
        <v>1775152.3028513191</v>
      </c>
      <c r="R29" s="11"/>
      <c r="S29" s="16"/>
      <c r="T29" s="13">
        <f t="shared" ref="T29" si="26">SUM(T27:T28)</f>
        <v>0</v>
      </c>
    </row>
    <row r="30" spans="1:20">
      <c r="A30" s="2">
        <f t="shared" si="0"/>
        <v>23</v>
      </c>
      <c r="B30" s="2"/>
      <c r="D30" s="4"/>
      <c r="E30" s="4"/>
      <c r="F30" s="11"/>
      <c r="G30" s="117"/>
      <c r="H30" s="12"/>
      <c r="J30" s="4"/>
      <c r="K30" s="4"/>
      <c r="L30" s="11"/>
      <c r="M30" s="16"/>
      <c r="N30" s="12"/>
      <c r="O30" s="12"/>
      <c r="P30" s="4"/>
      <c r="Q30" s="4"/>
      <c r="R30" s="11"/>
      <c r="S30" s="16"/>
      <c r="T30" s="12"/>
    </row>
    <row r="31" spans="1:20">
      <c r="A31" s="2">
        <f t="shared" si="0"/>
        <v>24</v>
      </c>
      <c r="B31" s="132" t="str">
        <f>'Sch 95'!B31</f>
        <v>03, 50-59</v>
      </c>
      <c r="D31" s="122">
        <f>'Revenue by Sch RY#1'!D19</f>
        <v>67255417.982360825</v>
      </c>
      <c r="E31" s="122">
        <v>0</v>
      </c>
      <c r="F31" s="117">
        <v>4.1910000000000003E-3</v>
      </c>
      <c r="G31" s="168"/>
      <c r="H31" s="13">
        <f>(D31*F31)+(E31*G31)</f>
        <v>281867.45676407422</v>
      </c>
      <c r="J31" s="6">
        <f>D31</f>
        <v>67255417.982360825</v>
      </c>
      <c r="K31" s="6">
        <f>E31</f>
        <v>0</v>
      </c>
      <c r="L31" s="109">
        <v>0</v>
      </c>
      <c r="M31" s="172">
        <v>0</v>
      </c>
      <c r="N31" s="13">
        <f>(J31*L31)+(K31*M31)</f>
        <v>0</v>
      </c>
      <c r="O31" s="12"/>
      <c r="P31" s="122">
        <f>'Revenue by Sch RY#2'!D19</f>
        <v>67027608.143863305</v>
      </c>
      <c r="Q31" s="122">
        <v>0</v>
      </c>
      <c r="R31" s="11">
        <f>L31</f>
        <v>0</v>
      </c>
      <c r="S31" s="16">
        <f>M31</f>
        <v>0</v>
      </c>
      <c r="T31" s="13">
        <f>(P31*R31)+(Q31*S31)</f>
        <v>0</v>
      </c>
    </row>
    <row r="32" spans="1:20">
      <c r="A32" s="2">
        <f t="shared" si="0"/>
        <v>25</v>
      </c>
      <c r="B32" s="2"/>
      <c r="D32" s="4"/>
      <c r="E32" s="4"/>
      <c r="F32" s="11"/>
      <c r="G32" s="117"/>
      <c r="H32" s="12"/>
      <c r="J32" s="4"/>
      <c r="K32" s="4"/>
      <c r="L32" s="11"/>
      <c r="M32" s="16"/>
      <c r="N32" s="12"/>
      <c r="O32" s="12"/>
      <c r="P32" s="4"/>
      <c r="Q32" s="4"/>
      <c r="R32" s="11"/>
      <c r="S32" s="16"/>
      <c r="T32" s="12"/>
    </row>
    <row r="33" spans="1:20">
      <c r="A33" s="2">
        <f t="shared" si="0"/>
        <v>26</v>
      </c>
      <c r="B33" s="132" t="str">
        <f>'Sch 95'!B33</f>
        <v>449-459</v>
      </c>
      <c r="D33" s="116">
        <f>'Revenue by Sch RY#1'!D20</f>
        <v>1967511960.3194919</v>
      </c>
      <c r="E33" s="116">
        <v>0</v>
      </c>
      <c r="F33" s="117">
        <v>0</v>
      </c>
      <c r="G33" s="168"/>
      <c r="H33" s="12">
        <f t="shared" ref="H33:H34" si="27">(D33*F33)+(E33*G33)</f>
        <v>0</v>
      </c>
      <c r="J33" s="4">
        <f>D33</f>
        <v>1967511960.3194919</v>
      </c>
      <c r="K33" s="4">
        <f>E33</f>
        <v>0</v>
      </c>
      <c r="L33" s="109">
        <v>0</v>
      </c>
      <c r="M33" s="172">
        <v>0</v>
      </c>
      <c r="N33" s="12">
        <f t="shared" ref="N33:N34" si="28">(J33*L33)+(K33*M33)</f>
        <v>0</v>
      </c>
      <c r="O33" s="12"/>
      <c r="P33" s="116">
        <f>'Revenue by Sch RY#2'!D20</f>
        <v>1964993565.6779518</v>
      </c>
      <c r="Q33" s="116">
        <v>0</v>
      </c>
      <c r="R33" s="11">
        <f t="shared" ref="R33:R34" si="29">L33</f>
        <v>0</v>
      </c>
      <c r="S33" s="16">
        <f>M33</f>
        <v>0</v>
      </c>
      <c r="T33" s="12">
        <f t="shared" ref="T33:T34" si="30">(P33*R33)+(Q33*S33)</f>
        <v>0</v>
      </c>
    </row>
    <row r="34" spans="1:20">
      <c r="A34" s="2">
        <f t="shared" si="0"/>
        <v>27</v>
      </c>
      <c r="B34" s="132" t="str">
        <f>'Sch 95'!B34</f>
        <v>Special Contract</v>
      </c>
      <c r="D34" s="116">
        <f>'Revenue by Sch RY#1'!D21</f>
        <v>304773055.46200001</v>
      </c>
      <c r="E34" s="116">
        <v>0</v>
      </c>
      <c r="F34" s="117">
        <v>0</v>
      </c>
      <c r="G34" s="168"/>
      <c r="H34" s="12">
        <f t="shared" si="27"/>
        <v>0</v>
      </c>
      <c r="J34" s="4">
        <f>D34</f>
        <v>304773055.46200001</v>
      </c>
      <c r="K34" s="4">
        <f>E34</f>
        <v>0</v>
      </c>
      <c r="L34" s="109">
        <v>0</v>
      </c>
      <c r="M34" s="172">
        <v>0</v>
      </c>
      <c r="N34" s="12">
        <f t="shared" si="28"/>
        <v>0</v>
      </c>
      <c r="O34" s="12"/>
      <c r="P34" s="116">
        <f>'Revenue by Sch RY#2'!D21</f>
        <v>304773055.46200001</v>
      </c>
      <c r="Q34" s="116">
        <v>0</v>
      </c>
      <c r="R34" s="11">
        <f t="shared" si="29"/>
        <v>0</v>
      </c>
      <c r="S34" s="16">
        <f>M34</f>
        <v>0</v>
      </c>
      <c r="T34" s="12">
        <f t="shared" si="30"/>
        <v>0</v>
      </c>
    </row>
    <row r="35" spans="1:20">
      <c r="A35" s="2">
        <f t="shared" si="0"/>
        <v>28</v>
      </c>
      <c r="B35" s="5"/>
      <c r="C35" s="3" t="s">
        <v>77</v>
      </c>
      <c r="D35" s="6">
        <f>SUM(D33:D34)</f>
        <v>2272285015.7814918</v>
      </c>
      <c r="E35" s="6">
        <f>SUM(E33:E34)</f>
        <v>0</v>
      </c>
      <c r="F35" s="11"/>
      <c r="G35" s="117"/>
      <c r="H35" s="13">
        <f t="shared" ref="H35" si="31">SUM(H33:H34)</f>
        <v>0</v>
      </c>
      <c r="J35" s="6">
        <f>SUM(J33:J34)</f>
        <v>2272285015.7814918</v>
      </c>
      <c r="K35" s="6">
        <f>SUM(K33:K34)</f>
        <v>0</v>
      </c>
      <c r="M35" s="16"/>
      <c r="N35" s="13">
        <f t="shared" ref="N35" si="32">SUM(N33:N34)</f>
        <v>0</v>
      </c>
      <c r="O35" s="12"/>
      <c r="P35" s="6">
        <f>SUM(P33:P34)</f>
        <v>2269766621.1399517</v>
      </c>
      <c r="Q35" s="6">
        <f>SUM(Q33:Q34)</f>
        <v>0</v>
      </c>
      <c r="S35" s="16"/>
      <c r="T35" s="13">
        <f t="shared" ref="T35" si="33">SUM(T33:T34)</f>
        <v>0</v>
      </c>
    </row>
    <row r="36" spans="1:20">
      <c r="A36" s="2">
        <f t="shared" si="0"/>
        <v>29</v>
      </c>
      <c r="B36" s="2"/>
      <c r="D36" s="4"/>
      <c r="E36" s="4"/>
      <c r="F36" s="11"/>
      <c r="G36" s="117"/>
      <c r="H36" s="12"/>
      <c r="J36" s="4"/>
      <c r="K36" s="4"/>
      <c r="M36" s="16"/>
      <c r="N36" s="12"/>
      <c r="O36" s="12"/>
      <c r="P36" s="4"/>
      <c r="Q36" s="4"/>
      <c r="S36" s="16"/>
      <c r="T36" s="12"/>
    </row>
    <row r="37" spans="1:20" ht="12" thickBot="1">
      <c r="A37" s="2">
        <f t="shared" si="0"/>
        <v>30</v>
      </c>
      <c r="B37" s="2"/>
      <c r="C37" s="7" t="s">
        <v>15</v>
      </c>
      <c r="D37" s="8">
        <f>SUM(D10,D19,D25,D29,D31,D35)</f>
        <v>23551443434.196022</v>
      </c>
      <c r="E37" s="8">
        <f>SUM(E10,E19,E25,E29,E31,E35)</f>
        <v>15219896.163847174</v>
      </c>
      <c r="F37" s="11"/>
      <c r="G37" s="117"/>
      <c r="H37" s="14">
        <f>SUM(H10,H19,H25,H29,H31,H35)</f>
        <v>23551714.13888159</v>
      </c>
      <c r="J37" s="8">
        <f>SUM(J10,J19,J25,J29,J31,J35)</f>
        <v>23551443434.196022</v>
      </c>
      <c r="K37" s="8">
        <f>SUM(K10,K19,K25,K29,K31,K35)</f>
        <v>15219896.163847174</v>
      </c>
      <c r="M37" s="16"/>
      <c r="N37" s="14">
        <f>SUM(N10,N19,N25,N29,N31,N35)</f>
        <v>0</v>
      </c>
      <c r="O37" s="12"/>
      <c r="P37" s="8">
        <f>SUM(P10,P19,P25,P29,P31,P35)</f>
        <v>23768895895.058746</v>
      </c>
      <c r="Q37" s="8">
        <f>SUM(Q10,Q19,Q25,Q29,Q31,Q35)</f>
        <v>15255976.023198087</v>
      </c>
      <c r="S37" s="16"/>
      <c r="T37" s="14">
        <f>SUM(T10,T19,T25,T29,T31,T35)</f>
        <v>0</v>
      </c>
    </row>
    <row r="38" spans="1:20" ht="12" thickTop="1">
      <c r="A38" s="2">
        <f t="shared" si="0"/>
        <v>31</v>
      </c>
      <c r="B38" s="2"/>
      <c r="F38" s="11"/>
      <c r="G38" s="117"/>
      <c r="H38" s="12"/>
      <c r="M38" s="16"/>
      <c r="N38" s="12"/>
      <c r="O38" s="12"/>
      <c r="S38" s="16"/>
      <c r="T38" s="12"/>
    </row>
    <row r="39" spans="1:20">
      <c r="A39" s="2">
        <f t="shared" si="0"/>
        <v>32</v>
      </c>
      <c r="B39" s="132">
        <f>'Sch 95'!B39</f>
        <v>5</v>
      </c>
      <c r="C39" s="3" t="s">
        <v>16</v>
      </c>
      <c r="D39" s="122">
        <f>'Revenue by Sch RY#1'!D22</f>
        <v>6714960.2368700616</v>
      </c>
      <c r="E39" s="122">
        <v>13394.355918136085</v>
      </c>
      <c r="F39" s="117">
        <v>7.1400000000000001E-4</v>
      </c>
      <c r="G39" s="171">
        <v>0.11</v>
      </c>
      <c r="H39" s="13">
        <f>(D39*F39)+(E39*G39)</f>
        <v>6267.8607601201938</v>
      </c>
      <c r="J39" s="6">
        <f>D39</f>
        <v>6714960.2368700616</v>
      </c>
      <c r="K39" s="6">
        <f>E39</f>
        <v>13394.355918136085</v>
      </c>
      <c r="L39" s="109">
        <v>0</v>
      </c>
      <c r="M39" s="172">
        <v>0</v>
      </c>
      <c r="N39" s="13">
        <f>(J39*L39)+(K39*M39)</f>
        <v>0</v>
      </c>
      <c r="O39" s="12"/>
      <c r="P39" s="122">
        <f>'Revenue by Sch RY#2'!D22</f>
        <v>6710049.8818741431</v>
      </c>
      <c r="Q39" s="122">
        <v>13319.835934941628</v>
      </c>
      <c r="R39" s="11">
        <f>L39</f>
        <v>0</v>
      </c>
      <c r="S39" s="16">
        <f>M39</f>
        <v>0</v>
      </c>
      <c r="T39" s="13">
        <f>(P39*R39)+(Q39*S39)</f>
        <v>0</v>
      </c>
    </row>
    <row r="40" spans="1:20">
      <c r="A40" s="2">
        <f t="shared" si="0"/>
        <v>33</v>
      </c>
      <c r="B40" s="2"/>
      <c r="F40" s="117"/>
      <c r="G40" s="117"/>
      <c r="H40" s="12"/>
      <c r="N40" s="12"/>
      <c r="O40" s="12"/>
      <c r="T40" s="12"/>
    </row>
    <row r="41" spans="1:20" ht="12" thickBot="1">
      <c r="A41" s="2">
        <f t="shared" si="0"/>
        <v>34</v>
      </c>
      <c r="B41" s="2"/>
      <c r="C41" s="110" t="s">
        <v>17</v>
      </c>
      <c r="D41" s="111">
        <f>SUM(D37,D39)</f>
        <v>23558158394.432892</v>
      </c>
      <c r="E41" s="111">
        <f>SUM(E37,E39)</f>
        <v>15233290.51976531</v>
      </c>
      <c r="F41" s="169"/>
      <c r="G41" s="169"/>
      <c r="H41" s="113">
        <f>SUM(H37,H39)</f>
        <v>23557981.999641709</v>
      </c>
      <c r="I41" s="15"/>
      <c r="J41" s="111">
        <f>SUM(J37,J39)</f>
        <v>23558158394.432892</v>
      </c>
      <c r="K41" s="111">
        <f>SUM(K37,K39)</f>
        <v>15233290.51976531</v>
      </c>
      <c r="L41" s="15"/>
      <c r="M41" s="15"/>
      <c r="N41" s="113">
        <f>SUM(N37,N39)</f>
        <v>0</v>
      </c>
      <c r="O41" s="114"/>
      <c r="P41" s="111">
        <f>SUM(P37,P39)</f>
        <v>23775605944.94062</v>
      </c>
      <c r="Q41" s="111">
        <f>SUM(Q37,Q39)</f>
        <v>15269295.859133027</v>
      </c>
      <c r="R41" s="15"/>
      <c r="S41" s="15"/>
      <c r="T41" s="113">
        <f>SUM(T37,T39)</f>
        <v>0</v>
      </c>
    </row>
    <row r="42" spans="1:20" ht="12" thickTop="1">
      <c r="D42" s="123">
        <f>'Revenue by Sch RY#1'!D24</f>
        <v>23558158394.432896</v>
      </c>
      <c r="E42" s="123">
        <v>15233290.519765308</v>
      </c>
      <c r="F42" s="170"/>
      <c r="G42" s="170"/>
      <c r="J42" s="162">
        <f>D41</f>
        <v>23558158394.432892</v>
      </c>
      <c r="K42" s="162">
        <f>E41</f>
        <v>15233290.51976531</v>
      </c>
      <c r="P42" s="123">
        <f>'Revenue by Sch RY#2'!D24</f>
        <v>23775605944.94062</v>
      </c>
      <c r="Q42" s="123">
        <v>15269295.859133029</v>
      </c>
    </row>
    <row r="43" spans="1:20">
      <c r="C43" s="17" t="s">
        <v>168</v>
      </c>
      <c r="D43" s="124">
        <f>D41-D42</f>
        <v>0</v>
      </c>
      <c r="E43" s="124">
        <f>E41-E42</f>
        <v>0</v>
      </c>
      <c r="F43" s="170"/>
      <c r="G43" s="170"/>
      <c r="J43" s="124">
        <f>J41-J42</f>
        <v>0</v>
      </c>
      <c r="K43" s="124">
        <f>K41-K42</f>
        <v>0</v>
      </c>
      <c r="P43" s="124">
        <f>P41-P42</f>
        <v>0</v>
      </c>
      <c r="Q43" s="124">
        <f>Q41-Q42</f>
        <v>0</v>
      </c>
    </row>
    <row r="44" spans="1:20">
      <c r="F44" s="170"/>
      <c r="G44" s="170"/>
      <c r="P44" s="4"/>
      <c r="Q44" s="4"/>
    </row>
    <row r="45" spans="1:20">
      <c r="B45" s="3" t="s">
        <v>271</v>
      </c>
      <c r="C45" s="101"/>
      <c r="F45" s="170"/>
      <c r="G45" s="170"/>
    </row>
  </sheetData>
  <mergeCells count="10">
    <mergeCell ref="A1:T1"/>
    <mergeCell ref="F7:G7"/>
    <mergeCell ref="L7:M7"/>
    <mergeCell ref="R7:S7"/>
    <mergeCell ref="A2:T2"/>
    <mergeCell ref="A3:T3"/>
    <mergeCell ref="A4:T4"/>
    <mergeCell ref="A5:F5"/>
    <mergeCell ref="J6:N6"/>
    <mergeCell ref="P6:T6"/>
  </mergeCells>
  <pageMargins left="0.7" right="0.7" top="0.75" bottom="0.75" header="0.3" footer="0.3"/>
  <pageSetup scale="55" orientation="landscape" horizontalDpi="360" verticalDpi="360" r:id="rId1"/>
  <headerFooter>
    <oddFooter>&amp;R&amp;F
&amp;A
&amp;P of &amp;N</oddFooter>
  </headerFooter>
  <customProperties>
    <customPr name="_pios_id" r:id="rId2"/>
  </customPropertie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theme="6" tint="0.79998168889431442"/>
    <pageSetUpPr fitToPage="1"/>
  </sheetPr>
  <dimension ref="A1:V45"/>
  <sheetViews>
    <sheetView zoomScaleNormal="100" workbookViewId="0">
      <pane ySplit="7" topLeftCell="A8" activePane="bottomLeft" state="frozen"/>
      <selection activeCell="U42" sqref="U42"/>
      <selection pane="bottomLeft" activeCell="U42" sqref="U42"/>
    </sheetView>
  </sheetViews>
  <sheetFormatPr defaultColWidth="8.85546875" defaultRowHeight="11.25"/>
  <cols>
    <col min="1" max="1" width="4.42578125" style="3" bestFit="1" customWidth="1"/>
    <col min="2" max="2" width="14.85546875" style="3" bestFit="1" customWidth="1"/>
    <col min="3" max="3" width="21.7109375" style="3" bestFit="1" customWidth="1"/>
    <col min="4" max="4" width="15.140625" style="3" bestFit="1" customWidth="1"/>
    <col min="5" max="5" width="15.140625" style="3" customWidth="1"/>
    <col min="6" max="6" width="11" style="3" customWidth="1"/>
    <col min="7" max="7" width="9.42578125" style="3" bestFit="1" customWidth="1"/>
    <col min="8" max="8" width="11.85546875" style="3" customWidth="1"/>
    <col min="9" max="9" width="0.85546875" style="3" customWidth="1"/>
    <col min="10" max="10" width="12.85546875" style="3" bestFit="1" customWidth="1"/>
    <col min="11" max="11" width="12.85546875" style="3" customWidth="1"/>
    <col min="12" max="12" width="9.42578125" style="3" bestFit="1" customWidth="1"/>
    <col min="13" max="13" width="9.42578125" style="3" customWidth="1"/>
    <col min="14" max="14" width="11.5703125" style="3" bestFit="1" customWidth="1"/>
    <col min="15" max="15" width="1" style="3" customWidth="1"/>
    <col min="16" max="16" width="12.85546875" style="3" bestFit="1" customWidth="1"/>
    <col min="17" max="17" width="12.85546875" style="3" customWidth="1"/>
    <col min="18" max="18" width="9.42578125" style="3" bestFit="1" customWidth="1"/>
    <col min="19" max="19" width="9.42578125" style="3" customWidth="1"/>
    <col min="20" max="20" width="13.42578125" style="3" customWidth="1"/>
    <col min="21" max="21" width="8.85546875" style="3"/>
    <col min="22" max="22" width="9.85546875" style="3" bestFit="1" customWidth="1"/>
    <col min="23" max="16384" width="8.85546875" style="3"/>
  </cols>
  <sheetData>
    <row r="1" spans="1:22" s="15" customFormat="1" ht="12.75" customHeight="1">
      <c r="A1" s="459" t="str">
        <f>'Exh CTM-8 (Rate Impacts_RY#1)'!A1</f>
        <v>Puget Sound Energy</v>
      </c>
      <c r="B1" s="460"/>
      <c r="C1" s="460"/>
      <c r="D1" s="460"/>
      <c r="E1" s="460"/>
      <c r="F1" s="460"/>
      <c r="G1" s="460"/>
      <c r="H1" s="460"/>
      <c r="I1" s="460"/>
      <c r="J1" s="460"/>
      <c r="K1" s="460"/>
      <c r="L1" s="460"/>
      <c r="M1" s="460"/>
      <c r="N1" s="460"/>
      <c r="O1" s="460"/>
      <c r="P1" s="460"/>
      <c r="Q1" s="460"/>
      <c r="R1" s="460"/>
      <c r="S1" s="460"/>
      <c r="T1" s="460"/>
    </row>
    <row r="2" spans="1:22" s="15" customFormat="1" ht="12.75">
      <c r="A2" s="459" t="str">
        <f>'Exh CTM-8 (Rate Impacts_RY#1)'!A2</f>
        <v>2024 General Rate Case Docket No. UE-240004 and UG-240005</v>
      </c>
      <c r="B2" s="460"/>
      <c r="C2" s="460"/>
      <c r="D2" s="460"/>
      <c r="E2" s="460"/>
      <c r="F2" s="460"/>
      <c r="G2" s="460"/>
      <c r="H2" s="460"/>
      <c r="I2" s="460"/>
      <c r="J2" s="460"/>
      <c r="K2" s="460"/>
      <c r="L2" s="460"/>
      <c r="M2" s="460"/>
      <c r="N2" s="460"/>
      <c r="O2" s="460"/>
      <c r="P2" s="460"/>
      <c r="Q2" s="460"/>
      <c r="R2" s="460"/>
      <c r="S2" s="460"/>
      <c r="T2" s="460"/>
    </row>
    <row r="3" spans="1:22" s="15" customFormat="1" ht="12.75">
      <c r="A3" s="545" t="s">
        <v>242</v>
      </c>
      <c r="B3" s="470"/>
      <c r="C3" s="470"/>
      <c r="D3" s="470"/>
      <c r="E3" s="470"/>
      <c r="F3" s="470"/>
      <c r="G3" s="470"/>
      <c r="H3" s="471"/>
      <c r="I3" s="471"/>
      <c r="J3" s="471"/>
      <c r="K3" s="471"/>
      <c r="L3" s="471"/>
      <c r="M3" s="471"/>
      <c r="N3" s="471"/>
      <c r="O3" s="471"/>
      <c r="P3" s="471"/>
      <c r="Q3" s="471"/>
      <c r="R3" s="471"/>
      <c r="S3" s="471"/>
      <c r="T3" s="471"/>
    </row>
    <row r="4" spans="1:22" s="15" customFormat="1" ht="12.75">
      <c r="A4" s="545" t="s">
        <v>177</v>
      </c>
      <c r="B4" s="470"/>
      <c r="C4" s="470"/>
      <c r="D4" s="470"/>
      <c r="E4" s="470"/>
      <c r="F4" s="470"/>
      <c r="G4" s="470"/>
      <c r="H4" s="471"/>
      <c r="I4" s="471"/>
      <c r="J4" s="471"/>
      <c r="K4" s="471"/>
      <c r="L4" s="471"/>
      <c r="M4" s="471"/>
      <c r="N4" s="471"/>
      <c r="O4" s="471"/>
      <c r="P4" s="471"/>
      <c r="Q4" s="471"/>
      <c r="R4" s="471"/>
      <c r="S4" s="471"/>
      <c r="T4" s="471"/>
    </row>
    <row r="5" spans="1:22" s="15" customFormat="1">
      <c r="A5" s="456"/>
      <c r="B5" s="456"/>
      <c r="C5" s="456"/>
      <c r="D5" s="456"/>
      <c r="E5" s="456"/>
      <c r="F5" s="456"/>
      <c r="G5" s="44"/>
      <c r="H5" s="44"/>
    </row>
    <row r="6" spans="1:22" s="15" customFormat="1" ht="12.75">
      <c r="A6" s="45"/>
      <c r="B6" s="44"/>
      <c r="C6" s="44"/>
      <c r="D6" s="44"/>
      <c r="E6" s="44"/>
      <c r="J6" s="546" t="str">
        <f>'Sch 95'!H6</f>
        <v>MYRP January 2025</v>
      </c>
      <c r="K6" s="553"/>
      <c r="L6" s="494"/>
      <c r="M6" s="494"/>
      <c r="N6" s="493"/>
      <c r="O6" s="132">
        <f>'Sch 95'!K6</f>
        <v>0</v>
      </c>
      <c r="P6" s="546" t="str">
        <f>'Sch 95'!L6</f>
        <v>MYRP January 2026</v>
      </c>
      <c r="Q6" s="553"/>
      <c r="R6" s="547"/>
      <c r="S6" s="547"/>
      <c r="T6" s="548"/>
    </row>
    <row r="7" spans="1:22" s="15" customFormat="1" ht="45">
      <c r="A7" s="97" t="s">
        <v>2</v>
      </c>
      <c r="B7" s="97" t="s">
        <v>3</v>
      </c>
      <c r="C7" s="97" t="s">
        <v>14</v>
      </c>
      <c r="D7" s="133" t="str">
        <f>'Sch 95'!D7</f>
        <v>12 months ending December 2025 F23 Forecast KWh</v>
      </c>
      <c r="E7" s="133" t="str">
        <f>'Sch 141CEI'!E7</f>
        <v>12 months ending December 2025 F23 Forecast KW/KVA</v>
      </c>
      <c r="F7" s="551" t="str">
        <f>'Sch 95'!E7</f>
        <v>Current Rates as of January 2024 (1)</v>
      </c>
      <c r="G7" s="552"/>
      <c r="H7" s="133" t="str">
        <f>'Sch 95'!F7</f>
        <v>Annual Delivered $</v>
      </c>
      <c r="I7" s="133">
        <f>'Sch 95'!G7</f>
        <v>0</v>
      </c>
      <c r="J7" s="133" t="str">
        <f>'Sch 95'!H7</f>
        <v>Annual Delivered KWh</v>
      </c>
      <c r="K7" s="133" t="str">
        <f>'Sch 141CEI'!K7</f>
        <v>Annual Delivered KW/Kva</v>
      </c>
      <c r="L7" s="553" t="str">
        <f>'Sch 95'!I7</f>
        <v>Rates Effective January 2025</v>
      </c>
      <c r="M7" s="494"/>
      <c r="N7" s="133" t="str">
        <f>'Sch 95'!J7</f>
        <v>Annual Delivered $</v>
      </c>
      <c r="O7" s="133">
        <f>'Sch 95'!K7</f>
        <v>0</v>
      </c>
      <c r="P7" s="133" t="str">
        <f>'Sch 95'!L7</f>
        <v>Annual Delivered KWh</v>
      </c>
      <c r="Q7" s="97" t="str">
        <f>K7</f>
        <v>Annual Delivered KW/Kva</v>
      </c>
      <c r="R7" s="553" t="str">
        <f>'Sch 95'!M7</f>
        <v>Rates Effective January 2026</v>
      </c>
      <c r="S7" s="494"/>
      <c r="T7" s="133" t="str">
        <f>'Sch 95'!N7</f>
        <v>Annual Delivered $</v>
      </c>
    </row>
    <row r="8" spans="1:22">
      <c r="A8" s="2">
        <v>1</v>
      </c>
      <c r="B8" s="132" t="str">
        <f>'Sch 95'!B8</f>
        <v xml:space="preserve"> 7 (307) (317) (327)</v>
      </c>
      <c r="D8" s="116">
        <f>'Revenue by Sch RY#1'!D9</f>
        <v>11278205851.395365</v>
      </c>
      <c r="E8" s="116">
        <v>0</v>
      </c>
      <c r="F8" s="129">
        <v>2.7260000000000001E-3</v>
      </c>
      <c r="G8" s="168"/>
      <c r="H8" s="12">
        <f>(D8*F8)+(E8*G8)</f>
        <v>30744389.150903765</v>
      </c>
      <c r="J8" s="4">
        <f t="shared" ref="J8:M9" si="0">D8</f>
        <v>11278205851.395365</v>
      </c>
      <c r="K8" s="4">
        <f t="shared" si="0"/>
        <v>0</v>
      </c>
      <c r="L8" s="11">
        <f t="shared" si="0"/>
        <v>2.7260000000000001E-3</v>
      </c>
      <c r="M8" s="16">
        <f t="shared" si="0"/>
        <v>0</v>
      </c>
      <c r="N8" s="12">
        <f>(J8*L8)+(K8*M8)</f>
        <v>30744389.150903765</v>
      </c>
      <c r="O8" s="12"/>
      <c r="P8" s="116">
        <f>'Revenue by Sch RY#2'!D9</f>
        <v>11447649239.71397</v>
      </c>
      <c r="Q8" s="116">
        <v>0</v>
      </c>
      <c r="R8" s="11">
        <f t="shared" ref="R8:R9" si="1">L8</f>
        <v>2.7260000000000001E-3</v>
      </c>
      <c r="S8" s="16">
        <f t="shared" ref="S8:S9" si="2">M8</f>
        <v>0</v>
      </c>
      <c r="T8" s="12">
        <f>(P8*R8)+(Q8*S8)</f>
        <v>31206291.827460285</v>
      </c>
      <c r="V8" s="15"/>
    </row>
    <row r="9" spans="1:22">
      <c r="A9" s="2">
        <f t="shared" ref="A9:A41" si="3">+A8+1</f>
        <v>2</v>
      </c>
      <c r="B9" s="132" t="str">
        <f>'Sch 95'!B9</f>
        <v xml:space="preserve">7A </v>
      </c>
      <c r="D9" s="115">
        <v>0</v>
      </c>
      <c r="E9" s="115">
        <v>0</v>
      </c>
      <c r="F9" s="129">
        <v>4.8000000000000001E-4</v>
      </c>
      <c r="G9" s="171">
        <v>1.26</v>
      </c>
      <c r="H9" s="12">
        <f>(D9*F9)+(E9*G9)</f>
        <v>0</v>
      </c>
      <c r="J9" s="4">
        <f t="shared" si="0"/>
        <v>0</v>
      </c>
      <c r="K9" s="4">
        <f t="shared" si="0"/>
        <v>0</v>
      </c>
      <c r="L9" s="11">
        <f t="shared" ref="L9" si="4">F9</f>
        <v>4.8000000000000001E-4</v>
      </c>
      <c r="M9" s="16">
        <f t="shared" ref="M9" si="5">G9</f>
        <v>1.26</v>
      </c>
      <c r="N9" s="12">
        <f>(J9*L9)+(K9*M9)</f>
        <v>0</v>
      </c>
      <c r="O9" s="12"/>
      <c r="P9" s="4">
        <v>0</v>
      </c>
      <c r="Q9" s="115">
        <v>0</v>
      </c>
      <c r="R9" s="11">
        <f t="shared" si="1"/>
        <v>4.8000000000000001E-4</v>
      </c>
      <c r="S9" s="16">
        <f t="shared" si="2"/>
        <v>1.26</v>
      </c>
      <c r="T9" s="12">
        <f>(P9*R9)+(Q9*S9)</f>
        <v>0</v>
      </c>
      <c r="V9" s="15"/>
    </row>
    <row r="10" spans="1:22">
      <c r="A10" s="2">
        <f t="shared" si="3"/>
        <v>3</v>
      </c>
      <c r="B10" s="2"/>
      <c r="C10" s="3" t="s">
        <v>4</v>
      </c>
      <c r="D10" s="6">
        <f>SUM(D8:D9)</f>
        <v>11278205851.395365</v>
      </c>
      <c r="E10" s="6">
        <f>SUM(E8:E9)</f>
        <v>0</v>
      </c>
      <c r="F10" s="130"/>
      <c r="G10" s="160"/>
      <c r="H10" s="13">
        <f t="shared" ref="H10" si="6">SUM(H8:H9)</f>
        <v>30744389.150903765</v>
      </c>
      <c r="J10" s="6">
        <f>SUM(J8:J9)</f>
        <v>11278205851.395365</v>
      </c>
      <c r="K10" s="6">
        <f>SUM(K8:K9)</f>
        <v>0</v>
      </c>
      <c r="L10" s="11"/>
      <c r="M10" s="16"/>
      <c r="N10" s="13">
        <f t="shared" ref="N10" si="7">SUM(N8:N9)</f>
        <v>30744389.150903765</v>
      </c>
      <c r="O10" s="12"/>
      <c r="P10" s="6">
        <f>SUM(P8:P9)</f>
        <v>11447649239.71397</v>
      </c>
      <c r="Q10" s="6">
        <f>SUM(Q8:Q9)</f>
        <v>0</v>
      </c>
      <c r="R10" s="11"/>
      <c r="S10" s="16"/>
      <c r="T10" s="13">
        <f t="shared" ref="T10" si="8">SUM(T8:T9)</f>
        <v>31206291.827460285</v>
      </c>
      <c r="V10" s="15"/>
    </row>
    <row r="11" spans="1:22">
      <c r="A11" s="2">
        <f t="shared" si="3"/>
        <v>4</v>
      </c>
      <c r="B11" s="2"/>
      <c r="D11" s="4"/>
      <c r="E11" s="4"/>
      <c r="F11" s="130"/>
      <c r="G11" s="160"/>
      <c r="H11" s="12"/>
      <c r="J11" s="4"/>
      <c r="K11" s="4"/>
      <c r="L11" s="11"/>
      <c r="M11" s="16"/>
      <c r="N11" s="12"/>
      <c r="O11" s="12"/>
      <c r="P11" s="4"/>
      <c r="Q11" s="4"/>
      <c r="R11" s="11"/>
      <c r="S11" s="16"/>
      <c r="T11" s="12"/>
      <c r="V11" s="15"/>
    </row>
    <row r="12" spans="1:22">
      <c r="A12" s="2">
        <f t="shared" si="3"/>
        <v>5</v>
      </c>
      <c r="B12" s="132">
        <f>'Sch 95'!B12</f>
        <v>8</v>
      </c>
      <c r="D12" s="115">
        <v>0</v>
      </c>
      <c r="E12" s="115">
        <v>0</v>
      </c>
      <c r="F12" s="129">
        <v>2.3960000000000001E-3</v>
      </c>
      <c r="G12" s="168"/>
      <c r="H12" s="12">
        <f t="shared" ref="H12:H18" si="9">(D12*F12)+(E12*G12)</f>
        <v>0</v>
      </c>
      <c r="J12" s="4">
        <f>D12</f>
        <v>0</v>
      </c>
      <c r="K12" s="4">
        <f>E12</f>
        <v>0</v>
      </c>
      <c r="L12" s="11">
        <f t="shared" ref="L12:L18" si="10">F12</f>
        <v>2.3960000000000001E-3</v>
      </c>
      <c r="M12" s="16">
        <f t="shared" ref="M12:M18" si="11">G12</f>
        <v>0</v>
      </c>
      <c r="N12" s="12">
        <f t="shared" ref="N12:N18" si="12">(J12*L12)+(K12*M12)</f>
        <v>0</v>
      </c>
      <c r="O12" s="12"/>
      <c r="P12" s="4">
        <v>0</v>
      </c>
      <c r="Q12" s="115">
        <v>0</v>
      </c>
      <c r="R12" s="11">
        <f t="shared" ref="R12:R18" si="13">L12</f>
        <v>2.3960000000000001E-3</v>
      </c>
      <c r="S12" s="16">
        <f t="shared" ref="S12:S18" si="14">M12</f>
        <v>0</v>
      </c>
      <c r="T12" s="12">
        <f t="shared" ref="T12:T18" si="15">(P12*R12)+(Q12*S12)</f>
        <v>0</v>
      </c>
      <c r="V12" s="15"/>
    </row>
    <row r="13" spans="1:22">
      <c r="A13" s="2">
        <f t="shared" si="3"/>
        <v>6</v>
      </c>
      <c r="B13" s="132" t="str">
        <f>'Sch 95'!B13</f>
        <v>24 (324)</v>
      </c>
      <c r="D13" s="116">
        <f>'Revenue by Sch RY#1'!D10</f>
        <v>2762635966.1696987</v>
      </c>
      <c r="E13" s="115">
        <v>0</v>
      </c>
      <c r="F13" s="130">
        <f>+F12</f>
        <v>2.3960000000000001E-3</v>
      </c>
      <c r="G13" s="160"/>
      <c r="H13" s="12">
        <f t="shared" si="9"/>
        <v>6619275.7749425983</v>
      </c>
      <c r="J13" s="4">
        <f>D13</f>
        <v>2762635966.1696987</v>
      </c>
      <c r="K13" s="4">
        <f>E13</f>
        <v>0</v>
      </c>
      <c r="L13" s="11">
        <f t="shared" si="10"/>
        <v>2.3960000000000001E-3</v>
      </c>
      <c r="M13" s="16">
        <f t="shared" si="11"/>
        <v>0</v>
      </c>
      <c r="N13" s="12">
        <f t="shared" si="12"/>
        <v>6619275.7749425983</v>
      </c>
      <c r="O13" s="12"/>
      <c r="P13" s="116">
        <f>'Revenue by Sch RY#2'!D10</f>
        <v>2774967422.2693906</v>
      </c>
      <c r="Q13" s="115">
        <v>0</v>
      </c>
      <c r="R13" s="11">
        <f t="shared" si="13"/>
        <v>2.3960000000000001E-3</v>
      </c>
      <c r="S13" s="16">
        <f t="shared" si="14"/>
        <v>0</v>
      </c>
      <c r="T13" s="12">
        <f t="shared" si="15"/>
        <v>6648821.9437574605</v>
      </c>
      <c r="V13" s="15"/>
    </row>
    <row r="14" spans="1:22">
      <c r="A14" s="2">
        <f t="shared" si="3"/>
        <v>7</v>
      </c>
      <c r="B14" s="132">
        <f>'Sch 95'!B14</f>
        <v>11</v>
      </c>
      <c r="D14" s="115">
        <v>0</v>
      </c>
      <c r="E14" s="115">
        <v>0</v>
      </c>
      <c r="F14" s="130">
        <f>F9</f>
        <v>4.8000000000000001E-4</v>
      </c>
      <c r="G14" s="166">
        <f>+G9</f>
        <v>1.26</v>
      </c>
      <c r="H14" s="12">
        <f t="shared" si="9"/>
        <v>0</v>
      </c>
      <c r="J14" s="4">
        <f t="shared" ref="J14:K18" si="16">D14</f>
        <v>0</v>
      </c>
      <c r="K14" s="4">
        <f t="shared" si="16"/>
        <v>0</v>
      </c>
      <c r="L14" s="11">
        <f t="shared" si="10"/>
        <v>4.8000000000000001E-4</v>
      </c>
      <c r="M14" s="16">
        <f t="shared" si="11"/>
        <v>1.26</v>
      </c>
      <c r="N14" s="12">
        <f t="shared" si="12"/>
        <v>0</v>
      </c>
      <c r="O14" s="12"/>
      <c r="P14" s="4">
        <v>0</v>
      </c>
      <c r="Q14" s="115">
        <v>0</v>
      </c>
      <c r="R14" s="11">
        <f t="shared" si="13"/>
        <v>4.8000000000000001E-4</v>
      </c>
      <c r="S14" s="16">
        <f t="shared" si="14"/>
        <v>1.26</v>
      </c>
      <c r="T14" s="12">
        <f t="shared" si="15"/>
        <v>0</v>
      </c>
    </row>
    <row r="15" spans="1:22">
      <c r="A15" s="2">
        <f t="shared" si="3"/>
        <v>8</v>
      </c>
      <c r="B15" s="132">
        <f>'Sch 95'!B15</f>
        <v>25</v>
      </c>
      <c r="D15" s="116">
        <f>'Revenue by Sch RY#1'!D11</f>
        <v>2960202274.8054705</v>
      </c>
      <c r="E15" s="116">
        <v>4517887.0072913375</v>
      </c>
      <c r="F15" s="130">
        <f>+F14</f>
        <v>4.8000000000000001E-4</v>
      </c>
      <c r="G15" s="166">
        <f>+G14</f>
        <v>1.26</v>
      </c>
      <c r="H15" s="12">
        <f t="shared" si="9"/>
        <v>7113434.7210937114</v>
      </c>
      <c r="J15" s="4">
        <f t="shared" si="16"/>
        <v>2960202274.8054705</v>
      </c>
      <c r="K15" s="4">
        <f t="shared" si="16"/>
        <v>4517887.0072913375</v>
      </c>
      <c r="L15" s="11">
        <f t="shared" si="10"/>
        <v>4.8000000000000001E-4</v>
      </c>
      <c r="M15" s="16">
        <f t="shared" si="11"/>
        <v>1.26</v>
      </c>
      <c r="N15" s="12">
        <f t="shared" si="12"/>
        <v>7113434.7210937114</v>
      </c>
      <c r="O15" s="12"/>
      <c r="P15" s="116">
        <f>'Revenue by Sch RY#2'!D11</f>
        <v>2968720174.6374388</v>
      </c>
      <c r="Q15" s="116">
        <v>4515508.9451899873</v>
      </c>
      <c r="R15" s="11">
        <f t="shared" si="13"/>
        <v>4.8000000000000001E-4</v>
      </c>
      <c r="S15" s="16">
        <f t="shared" si="14"/>
        <v>1.26</v>
      </c>
      <c r="T15" s="12">
        <f t="shared" si="15"/>
        <v>7114526.9547653543</v>
      </c>
    </row>
    <row r="16" spans="1:22">
      <c r="A16" s="2">
        <f t="shared" si="3"/>
        <v>9</v>
      </c>
      <c r="B16" s="132">
        <f>'Sch 95'!B16</f>
        <v>12</v>
      </c>
      <c r="D16" s="115">
        <v>0</v>
      </c>
      <c r="E16" s="115">
        <v>0</v>
      </c>
      <c r="F16" s="129">
        <v>4.1800000000000002E-4</v>
      </c>
      <c r="G16" s="165">
        <v>0.68</v>
      </c>
      <c r="H16" s="12">
        <f t="shared" si="9"/>
        <v>0</v>
      </c>
      <c r="J16" s="4">
        <f t="shared" si="16"/>
        <v>0</v>
      </c>
      <c r="K16" s="4">
        <f t="shared" si="16"/>
        <v>0</v>
      </c>
      <c r="L16" s="11">
        <f t="shared" si="10"/>
        <v>4.1800000000000002E-4</v>
      </c>
      <c r="M16" s="16">
        <f t="shared" si="11"/>
        <v>0.68</v>
      </c>
      <c r="N16" s="12">
        <f t="shared" si="12"/>
        <v>0</v>
      </c>
      <c r="O16" s="12"/>
      <c r="P16" s="4">
        <v>0</v>
      </c>
      <c r="Q16" s="115">
        <v>0</v>
      </c>
      <c r="R16" s="11">
        <f t="shared" si="13"/>
        <v>4.1800000000000002E-4</v>
      </c>
      <c r="S16" s="16">
        <f t="shared" si="14"/>
        <v>0.68</v>
      </c>
      <c r="T16" s="12">
        <f t="shared" si="15"/>
        <v>0</v>
      </c>
    </row>
    <row r="17" spans="1:20">
      <c r="A17" s="2">
        <f t="shared" si="3"/>
        <v>10</v>
      </c>
      <c r="B17" s="132" t="str">
        <f>'Sch 95'!B17</f>
        <v>26 &amp; 26P</v>
      </c>
      <c r="D17" s="116">
        <f>'Revenue by Sch RY#1'!D12</f>
        <v>2013891730.8000479</v>
      </c>
      <c r="E17" s="116">
        <v>4944273.2866841257</v>
      </c>
      <c r="F17" s="130">
        <f>+F16</f>
        <v>4.1800000000000002E-4</v>
      </c>
      <c r="G17" s="166">
        <f>+G16</f>
        <v>0.68</v>
      </c>
      <c r="H17" s="12">
        <f t="shared" si="9"/>
        <v>4203912.5784196258</v>
      </c>
      <c r="J17" s="4">
        <f t="shared" si="16"/>
        <v>2013891730.8000479</v>
      </c>
      <c r="K17" s="4">
        <f t="shared" si="16"/>
        <v>4944273.2866841257</v>
      </c>
      <c r="L17" s="11">
        <f t="shared" si="10"/>
        <v>4.1800000000000002E-4</v>
      </c>
      <c r="M17" s="16">
        <f t="shared" si="11"/>
        <v>0.68</v>
      </c>
      <c r="N17" s="12">
        <f t="shared" si="12"/>
        <v>4203912.5784196258</v>
      </c>
      <c r="O17" s="12"/>
      <c r="P17" s="116">
        <f>'Revenue by Sch RY#2'!D12</f>
        <v>2056791563.2414525</v>
      </c>
      <c r="Q17" s="116">
        <v>5032131.2804961493</v>
      </c>
      <c r="R17" s="11">
        <f t="shared" si="13"/>
        <v>4.1800000000000002E-4</v>
      </c>
      <c r="S17" s="16">
        <f t="shared" si="14"/>
        <v>0.68</v>
      </c>
      <c r="T17" s="12">
        <f t="shared" si="15"/>
        <v>4281588.144172309</v>
      </c>
    </row>
    <row r="18" spans="1:20">
      <c r="A18" s="2">
        <f t="shared" si="3"/>
        <v>11</v>
      </c>
      <c r="B18" s="132">
        <f>'Sch 95'!B18</f>
        <v>29</v>
      </c>
      <c r="D18" s="116">
        <f>'Revenue by Sch RY#1'!D13</f>
        <v>14930059.630887466</v>
      </c>
      <c r="E18" s="116">
        <v>6359.1483786280214</v>
      </c>
      <c r="F18" s="129">
        <v>5.0799999999999999E-4</v>
      </c>
      <c r="G18" s="165">
        <v>4.76</v>
      </c>
      <c r="H18" s="12">
        <f t="shared" si="9"/>
        <v>37854.016574760215</v>
      </c>
      <c r="J18" s="4">
        <f t="shared" si="16"/>
        <v>14930059.630887466</v>
      </c>
      <c r="K18" s="4">
        <f t="shared" si="16"/>
        <v>6359.1483786280214</v>
      </c>
      <c r="L18" s="11">
        <f t="shared" si="10"/>
        <v>5.0799999999999999E-4</v>
      </c>
      <c r="M18" s="16">
        <f t="shared" si="11"/>
        <v>4.76</v>
      </c>
      <c r="N18" s="12">
        <f t="shared" si="12"/>
        <v>37854.016574760215</v>
      </c>
      <c r="O18" s="12"/>
      <c r="P18" s="116">
        <f>'Revenue by Sch RY#2'!D13</f>
        <v>14843026.361509496</v>
      </c>
      <c r="Q18" s="116">
        <v>6312.6225193658393</v>
      </c>
      <c r="R18" s="11">
        <f t="shared" si="13"/>
        <v>5.0799999999999999E-4</v>
      </c>
      <c r="S18" s="16">
        <f t="shared" si="14"/>
        <v>4.76</v>
      </c>
      <c r="T18" s="12">
        <f t="shared" si="15"/>
        <v>37588.34058382822</v>
      </c>
    </row>
    <row r="19" spans="1:20">
      <c r="A19" s="2">
        <f t="shared" si="3"/>
        <v>12</v>
      </c>
      <c r="B19" s="2"/>
      <c r="C19" s="7" t="s">
        <v>6</v>
      </c>
      <c r="D19" s="6">
        <f>SUM(D12:D18)</f>
        <v>7751660031.4061041</v>
      </c>
      <c r="E19" s="6">
        <f>SUM(E12:E18)</f>
        <v>9468519.4423540905</v>
      </c>
      <c r="F19" s="130"/>
      <c r="G19" s="160"/>
      <c r="H19" s="13">
        <f t="shared" ref="H19" si="17">SUM(H12:H18)</f>
        <v>17974477.091030695</v>
      </c>
      <c r="J19" s="6">
        <f>SUM(J12:J18)</f>
        <v>7751660031.4061041</v>
      </c>
      <c r="K19" s="6">
        <f>SUM(K12:K18)</f>
        <v>9468519.4423540905</v>
      </c>
      <c r="L19" s="11"/>
      <c r="M19" s="16"/>
      <c r="N19" s="13">
        <f t="shared" ref="N19" si="18">SUM(N12:N18)</f>
        <v>17974477.091030695</v>
      </c>
      <c r="O19" s="12"/>
      <c r="P19" s="6">
        <f>SUM(P12:P18)</f>
        <v>7815322186.5097914</v>
      </c>
      <c r="Q19" s="6">
        <f>SUM(Q12:Q18)</f>
        <v>9553952.8482055031</v>
      </c>
      <c r="R19" s="11"/>
      <c r="S19" s="16"/>
      <c r="T19" s="13">
        <f t="shared" ref="T19" si="19">SUM(T12:T18)</f>
        <v>18082525.383278951</v>
      </c>
    </row>
    <row r="20" spans="1:20">
      <c r="A20" s="2">
        <f t="shared" si="3"/>
        <v>13</v>
      </c>
      <c r="B20" s="2"/>
      <c r="D20" s="4"/>
      <c r="E20" s="4"/>
      <c r="F20" s="130"/>
      <c r="G20" s="160"/>
      <c r="H20" s="12"/>
      <c r="J20" s="4"/>
      <c r="K20" s="4"/>
      <c r="L20" s="11"/>
      <c r="M20" s="16"/>
      <c r="N20" s="12"/>
      <c r="O20" s="12"/>
      <c r="P20" s="4"/>
      <c r="Q20" s="4"/>
      <c r="R20" s="11"/>
      <c r="S20" s="16"/>
      <c r="T20" s="12"/>
    </row>
    <row r="21" spans="1:20">
      <c r="A21" s="2">
        <f t="shared" si="3"/>
        <v>14</v>
      </c>
      <c r="B21" s="132">
        <f>'Sch 95'!B21</f>
        <v>10</v>
      </c>
      <c r="D21" s="115">
        <v>0</v>
      </c>
      <c r="E21" s="115">
        <v>0</v>
      </c>
      <c r="F21" s="129">
        <v>4.0499999999999998E-4</v>
      </c>
      <c r="G21" s="165">
        <v>0.68</v>
      </c>
      <c r="H21" s="12">
        <f t="shared" ref="H21:H24" si="20">(D21*F21)+(E21*G21)</f>
        <v>0</v>
      </c>
      <c r="J21" s="4">
        <f t="shared" ref="J21:K24" si="21">D21</f>
        <v>0</v>
      </c>
      <c r="K21" s="4">
        <f t="shared" si="21"/>
        <v>0</v>
      </c>
      <c r="L21" s="11">
        <f t="shared" ref="L21:L24" si="22">F21</f>
        <v>4.0499999999999998E-4</v>
      </c>
      <c r="M21" s="16">
        <f t="shared" ref="M21:M24" si="23">G21</f>
        <v>0.68</v>
      </c>
      <c r="N21" s="12">
        <f t="shared" ref="N21:N24" si="24">(J21*L21)+(K21*M21)</f>
        <v>0</v>
      </c>
      <c r="O21" s="12"/>
      <c r="P21" s="4">
        <v>0</v>
      </c>
      <c r="Q21" s="115">
        <v>0</v>
      </c>
      <c r="R21" s="11">
        <f t="shared" ref="R21:R24" si="25">L21</f>
        <v>4.0499999999999998E-4</v>
      </c>
      <c r="S21" s="16">
        <f t="shared" ref="S21:S24" si="26">M21</f>
        <v>0.68</v>
      </c>
      <c r="T21" s="12">
        <f t="shared" ref="T21:T24" si="27">(P21*R21)+(Q21*S21)</f>
        <v>0</v>
      </c>
    </row>
    <row r="22" spans="1:20">
      <c r="A22" s="2">
        <f t="shared" si="3"/>
        <v>15</v>
      </c>
      <c r="B22" s="132">
        <f>'Sch 95'!B22</f>
        <v>31</v>
      </c>
      <c r="D22" s="116">
        <f>'Revenue by Sch RY#1'!D14</f>
        <v>1423586019.4788036</v>
      </c>
      <c r="E22" s="116">
        <v>3383993.070775318</v>
      </c>
      <c r="F22" s="130">
        <f>+F21</f>
        <v>4.0499999999999998E-4</v>
      </c>
      <c r="G22" s="166">
        <f>+G21</f>
        <v>0.68</v>
      </c>
      <c r="H22" s="12">
        <f t="shared" si="20"/>
        <v>2877667.6260161321</v>
      </c>
      <c r="J22" s="4">
        <f t="shared" si="21"/>
        <v>1423586019.4788036</v>
      </c>
      <c r="K22" s="4">
        <f t="shared" si="21"/>
        <v>3383993.070775318</v>
      </c>
      <c r="L22" s="11">
        <f t="shared" si="22"/>
        <v>4.0499999999999998E-4</v>
      </c>
      <c r="M22" s="16">
        <f t="shared" si="23"/>
        <v>0.68</v>
      </c>
      <c r="N22" s="12">
        <f t="shared" si="24"/>
        <v>2877667.6260161321</v>
      </c>
      <c r="O22" s="12"/>
      <c r="P22" s="116">
        <f>'Revenue by Sch RY#2'!D14</f>
        <v>1411297972.0883911</v>
      </c>
      <c r="Q22" s="116">
        <v>3344757.4708671863</v>
      </c>
      <c r="R22" s="11">
        <f t="shared" si="25"/>
        <v>4.0499999999999998E-4</v>
      </c>
      <c r="S22" s="16">
        <f t="shared" si="26"/>
        <v>0.68</v>
      </c>
      <c r="T22" s="12">
        <f t="shared" si="27"/>
        <v>2846010.7588854851</v>
      </c>
    </row>
    <row r="23" spans="1:20">
      <c r="A23" s="2">
        <f t="shared" si="3"/>
        <v>16</v>
      </c>
      <c r="B23" s="132">
        <f>'Sch 95'!B23</f>
        <v>35</v>
      </c>
      <c r="D23" s="116">
        <f>'Revenue by Sch RY#1'!D15</f>
        <v>4407260.1568774413</v>
      </c>
      <c r="E23" s="116">
        <v>8196.3679379811347</v>
      </c>
      <c r="F23" s="129">
        <v>3.1100000000000002E-4</v>
      </c>
      <c r="G23" s="165">
        <v>0.67</v>
      </c>
      <c r="H23" s="12">
        <f t="shared" si="20"/>
        <v>6862.2244272362459</v>
      </c>
      <c r="J23" s="4">
        <f t="shared" si="21"/>
        <v>4407260.1568774413</v>
      </c>
      <c r="K23" s="4">
        <f t="shared" si="21"/>
        <v>8196.3679379811347</v>
      </c>
      <c r="L23" s="11">
        <f t="shared" si="22"/>
        <v>3.1100000000000002E-4</v>
      </c>
      <c r="M23" s="16">
        <f t="shared" si="23"/>
        <v>0.67</v>
      </c>
      <c r="N23" s="12">
        <f t="shared" si="24"/>
        <v>6862.2244272362459</v>
      </c>
      <c r="O23" s="12"/>
      <c r="P23" s="116">
        <f>'Revenue by Sch RY#2'!D15</f>
        <v>4380281.1514552524</v>
      </c>
      <c r="Q23" s="116">
        <v>8146.3096768096348</v>
      </c>
      <c r="R23" s="11">
        <f t="shared" si="25"/>
        <v>3.1100000000000002E-4</v>
      </c>
      <c r="S23" s="16">
        <f t="shared" si="26"/>
        <v>0.67</v>
      </c>
      <c r="T23" s="12">
        <f t="shared" si="27"/>
        <v>6820.2949215650387</v>
      </c>
    </row>
    <row r="24" spans="1:20">
      <c r="A24" s="2">
        <f t="shared" si="3"/>
        <v>17</v>
      </c>
      <c r="B24" s="132">
        <f>'Sch 95'!B24</f>
        <v>43</v>
      </c>
      <c r="D24" s="116">
        <f>'Revenue by Sch RY#1'!D16</f>
        <v>122267424.6450724</v>
      </c>
      <c r="E24" s="116">
        <v>579230.53698067076</v>
      </c>
      <c r="F24" s="129">
        <v>8.7999999999999998E-5</v>
      </c>
      <c r="G24" s="165">
        <v>7.0000000000000007E-2</v>
      </c>
      <c r="H24" s="12">
        <f t="shared" si="20"/>
        <v>51305.670957413327</v>
      </c>
      <c r="J24" s="4">
        <f t="shared" si="21"/>
        <v>122267424.6450724</v>
      </c>
      <c r="K24" s="4">
        <f t="shared" si="21"/>
        <v>579230.53698067076</v>
      </c>
      <c r="L24" s="11">
        <f t="shared" si="22"/>
        <v>8.7999999999999998E-5</v>
      </c>
      <c r="M24" s="16">
        <f t="shared" si="23"/>
        <v>7.0000000000000007E-2</v>
      </c>
      <c r="N24" s="12">
        <f t="shared" si="24"/>
        <v>51305.670957413327</v>
      </c>
      <c r="O24" s="12"/>
      <c r="P24" s="116">
        <f>'Revenue by Sch RY#2'!D16</f>
        <v>121633779.10385114</v>
      </c>
      <c r="Q24" s="116">
        <v>573967.09159726952</v>
      </c>
      <c r="R24" s="11">
        <f t="shared" si="25"/>
        <v>8.7999999999999998E-5</v>
      </c>
      <c r="S24" s="16">
        <f t="shared" si="26"/>
        <v>7.0000000000000007E-2</v>
      </c>
      <c r="T24" s="12">
        <f t="shared" si="27"/>
        <v>50881.468972947769</v>
      </c>
    </row>
    <row r="25" spans="1:20">
      <c r="A25" s="2">
        <f t="shared" si="3"/>
        <v>18</v>
      </c>
      <c r="B25" s="2"/>
      <c r="C25" s="3" t="s">
        <v>7</v>
      </c>
      <c r="D25" s="6">
        <f>SUM(D21:D24)</f>
        <v>1550260704.2807536</v>
      </c>
      <c r="E25" s="6">
        <f>SUM(E21:E24)</f>
        <v>3971419.97569397</v>
      </c>
      <c r="F25" s="130"/>
      <c r="G25" s="160"/>
      <c r="H25" s="13">
        <f t="shared" ref="H25" si="28">SUM(H21:H24)</f>
        <v>2935835.5214007818</v>
      </c>
      <c r="J25" s="6">
        <f>SUM(J21:J24)</f>
        <v>1550260704.2807536</v>
      </c>
      <c r="K25" s="6">
        <f>SUM(K21:K24)</f>
        <v>3971419.97569397</v>
      </c>
      <c r="L25" s="11"/>
      <c r="M25" s="16"/>
      <c r="N25" s="13">
        <f t="shared" ref="N25" si="29">SUM(N21:N24)</f>
        <v>2935835.5214007818</v>
      </c>
      <c r="O25" s="12"/>
      <c r="P25" s="6">
        <f>SUM(P21:P24)</f>
        <v>1537312032.3436973</v>
      </c>
      <c r="Q25" s="6">
        <f>SUM(Q21:Q24)</f>
        <v>3926870.8721412653</v>
      </c>
      <c r="R25" s="11"/>
      <c r="S25" s="16"/>
      <c r="T25" s="13">
        <f t="shared" ref="T25" si="30">SUM(T21:T24)</f>
        <v>2903712.5227799979</v>
      </c>
    </row>
    <row r="26" spans="1:20">
      <c r="A26" s="2">
        <f t="shared" si="3"/>
        <v>19</v>
      </c>
      <c r="B26" s="2"/>
      <c r="D26" s="4"/>
      <c r="E26" s="4"/>
      <c r="F26" s="130"/>
      <c r="G26" s="160"/>
      <c r="H26" s="12"/>
      <c r="J26" s="4"/>
      <c r="K26" s="4"/>
      <c r="L26" s="11"/>
      <c r="M26" s="16"/>
      <c r="N26" s="12"/>
      <c r="O26" s="12"/>
      <c r="P26" s="4"/>
      <c r="Q26" s="4"/>
      <c r="R26" s="11"/>
      <c r="S26" s="16"/>
      <c r="T26" s="12"/>
    </row>
    <row r="27" spans="1:20">
      <c r="A27" s="2">
        <f t="shared" si="3"/>
        <v>20</v>
      </c>
      <c r="B27" s="132">
        <f>'Sch 95'!B27</f>
        <v>46</v>
      </c>
      <c r="D27" s="116">
        <f>'Revenue by Sch RY#1'!D17</f>
        <v>96933187.043131709</v>
      </c>
      <c r="E27" s="116">
        <v>454913.76433003857</v>
      </c>
      <c r="F27" s="129">
        <v>9.8999999999999994E-5</v>
      </c>
      <c r="G27" s="171">
        <v>0.08</v>
      </c>
      <c r="H27" s="12">
        <f t="shared" ref="H27:H28" si="31">(D27*F27)+(E27*G27)</f>
        <v>45989.486663673131</v>
      </c>
      <c r="J27" s="4">
        <f>D27</f>
        <v>96933187.043131709</v>
      </c>
      <c r="K27" s="4">
        <f>E27</f>
        <v>454913.76433003857</v>
      </c>
      <c r="L27" s="11">
        <f t="shared" ref="L27:L28" si="32">F27</f>
        <v>9.8999999999999994E-5</v>
      </c>
      <c r="M27" s="16">
        <f t="shared" ref="M27:M28" si="33">G27</f>
        <v>0.08</v>
      </c>
      <c r="N27" s="12">
        <f t="shared" ref="N27:N28" si="34">(J27*L27)+(K27*M27)</f>
        <v>45989.486663673131</v>
      </c>
      <c r="O27" s="12"/>
      <c r="P27" s="116">
        <f>'Revenue by Sch RY#2'!D17</f>
        <v>96918964.527943105</v>
      </c>
      <c r="Q27" s="116">
        <v>453901.97661419428</v>
      </c>
      <c r="R27" s="11">
        <f t="shared" ref="R27:R28" si="35">L27</f>
        <v>9.8999999999999994E-5</v>
      </c>
      <c r="S27" s="16">
        <f t="shared" ref="S27:S28" si="36">M27</f>
        <v>0.08</v>
      </c>
      <c r="T27" s="12">
        <f t="shared" ref="T27:T28" si="37">(P27*R27)+(Q27*S27)</f>
        <v>45907.135617401917</v>
      </c>
    </row>
    <row r="28" spans="1:20">
      <c r="A28" s="2">
        <f t="shared" si="3"/>
        <v>21</v>
      </c>
      <c r="B28" s="132">
        <f>'Sch 95'!B28</f>
        <v>49</v>
      </c>
      <c r="D28" s="116">
        <f>'Revenue by Sch RY#1'!D18</f>
        <v>534843226.30681556</v>
      </c>
      <c r="E28" s="116">
        <v>1325042.9814690738</v>
      </c>
      <c r="F28" s="129">
        <v>3.7800000000000003E-4</v>
      </c>
      <c r="G28" s="171">
        <v>0.61</v>
      </c>
      <c r="H28" s="12">
        <f t="shared" si="31"/>
        <v>1010446.9582401112</v>
      </c>
      <c r="J28" s="4">
        <f>D28</f>
        <v>534843226.30681556</v>
      </c>
      <c r="K28" s="4">
        <f>E28</f>
        <v>1325042.9814690738</v>
      </c>
      <c r="L28" s="11">
        <f t="shared" si="32"/>
        <v>3.7800000000000003E-4</v>
      </c>
      <c r="M28" s="16">
        <f t="shared" si="33"/>
        <v>0.61</v>
      </c>
      <c r="N28" s="12">
        <f t="shared" si="34"/>
        <v>1010446.9582401112</v>
      </c>
      <c r="O28" s="12"/>
      <c r="P28" s="116">
        <f>'Revenue by Sch RY#2'!D18</f>
        <v>534899242.67952603</v>
      </c>
      <c r="Q28" s="116">
        <v>1321250.3262371249</v>
      </c>
      <c r="R28" s="11">
        <f t="shared" si="35"/>
        <v>3.7800000000000003E-4</v>
      </c>
      <c r="S28" s="16">
        <f t="shared" si="36"/>
        <v>0.61</v>
      </c>
      <c r="T28" s="12">
        <f t="shared" si="37"/>
        <v>1008154.612737507</v>
      </c>
    </row>
    <row r="29" spans="1:20">
      <c r="A29" s="2">
        <f t="shared" si="3"/>
        <v>22</v>
      </c>
      <c r="B29" s="2"/>
      <c r="C29" s="3" t="s">
        <v>8</v>
      </c>
      <c r="D29" s="6">
        <f>SUM(D27:D28)</f>
        <v>631776413.34994721</v>
      </c>
      <c r="E29" s="6">
        <f>SUM(E27:E28)</f>
        <v>1779956.7457991124</v>
      </c>
      <c r="F29" s="11"/>
      <c r="G29" s="117"/>
      <c r="H29" s="13">
        <f t="shared" ref="H29" si="38">SUM(H27:H28)</f>
        <v>1056436.4449037844</v>
      </c>
      <c r="J29" s="6">
        <f>SUM(J27:J28)</f>
        <v>631776413.34994721</v>
      </c>
      <c r="K29" s="6">
        <f>SUM(K27:K28)</f>
        <v>1779956.7457991124</v>
      </c>
      <c r="L29" s="11"/>
      <c r="M29" s="16"/>
      <c r="N29" s="13">
        <f t="shared" ref="N29" si="39">SUM(N27:N28)</f>
        <v>1056436.4449037844</v>
      </c>
      <c r="O29" s="12"/>
      <c r="P29" s="6">
        <f>SUM(P27:P28)</f>
        <v>631818207.20746911</v>
      </c>
      <c r="Q29" s="6">
        <f>SUM(Q27:Q28)</f>
        <v>1775152.3028513191</v>
      </c>
      <c r="R29" s="11"/>
      <c r="S29" s="16"/>
      <c r="T29" s="13">
        <f t="shared" ref="T29" si="40">SUM(T27:T28)</f>
        <v>1054061.748354909</v>
      </c>
    </row>
    <row r="30" spans="1:20">
      <c r="A30" s="2">
        <f t="shared" si="3"/>
        <v>23</v>
      </c>
      <c r="B30" s="2"/>
      <c r="D30" s="4"/>
      <c r="E30" s="4"/>
      <c r="F30" s="11"/>
      <c r="G30" s="117"/>
      <c r="H30" s="12"/>
      <c r="J30" s="4"/>
      <c r="K30" s="4"/>
      <c r="L30" s="11"/>
      <c r="M30" s="16"/>
      <c r="N30" s="12"/>
      <c r="O30" s="12"/>
      <c r="P30" s="4"/>
      <c r="Q30" s="4"/>
      <c r="R30" s="11"/>
      <c r="S30" s="16"/>
      <c r="T30" s="12"/>
    </row>
    <row r="31" spans="1:20">
      <c r="A31" s="2">
        <f t="shared" si="3"/>
        <v>24</v>
      </c>
      <c r="B31" s="132" t="str">
        <f>'Sch 95'!B31</f>
        <v>03, 50-59</v>
      </c>
      <c r="D31" s="122">
        <f>'Revenue by Sch RY#1'!D19</f>
        <v>67255417.982360825</v>
      </c>
      <c r="E31" s="122">
        <v>0</v>
      </c>
      <c r="F31" s="117">
        <v>1.189E-3</v>
      </c>
      <c r="G31" s="168"/>
      <c r="H31" s="13">
        <f>(D31*F31)+(E31*G31)</f>
        <v>79966.691981027019</v>
      </c>
      <c r="J31" s="6">
        <f>D31</f>
        <v>67255417.982360825</v>
      </c>
      <c r="K31" s="6">
        <f>E31</f>
        <v>0</v>
      </c>
      <c r="L31" s="11">
        <f t="shared" ref="L31" si="41">F31</f>
        <v>1.189E-3</v>
      </c>
      <c r="M31" s="16">
        <f t="shared" ref="M31" si="42">G31</f>
        <v>0</v>
      </c>
      <c r="N31" s="13">
        <f>(J31*L31)+(K31*M31)</f>
        <v>79966.691981027019</v>
      </c>
      <c r="O31" s="12"/>
      <c r="P31" s="122">
        <f>'Revenue by Sch RY#2'!D19</f>
        <v>67027608.143863305</v>
      </c>
      <c r="Q31" s="122">
        <v>0</v>
      </c>
      <c r="R31" s="11">
        <f t="shared" ref="R31" si="43">L31</f>
        <v>1.189E-3</v>
      </c>
      <c r="S31" s="16">
        <f t="shared" ref="S31" si="44">M31</f>
        <v>0</v>
      </c>
      <c r="T31" s="13">
        <f>(P31*R31)+(Q31*S31)</f>
        <v>79695.826083053471</v>
      </c>
    </row>
    <row r="32" spans="1:20">
      <c r="A32" s="2">
        <f t="shared" si="3"/>
        <v>25</v>
      </c>
      <c r="B32" s="2"/>
      <c r="D32" s="4"/>
      <c r="E32" s="4"/>
      <c r="F32" s="11"/>
      <c r="G32" s="117"/>
      <c r="H32" s="12"/>
      <c r="J32" s="4"/>
      <c r="K32" s="4"/>
      <c r="L32" s="11"/>
      <c r="M32" s="16"/>
      <c r="N32" s="12"/>
      <c r="O32" s="12"/>
      <c r="P32" s="4"/>
      <c r="Q32" s="4"/>
      <c r="R32" s="11"/>
      <c r="S32" s="16"/>
      <c r="T32" s="12"/>
    </row>
    <row r="33" spans="1:20">
      <c r="A33" s="2">
        <f t="shared" si="3"/>
        <v>26</v>
      </c>
      <c r="B33" s="132" t="str">
        <f>'Sch 95'!B33</f>
        <v>449-459</v>
      </c>
      <c r="D33" s="116">
        <f>'Revenue by Sch RY#1'!D20</f>
        <v>1967511960.3194919</v>
      </c>
      <c r="E33" s="116">
        <v>0</v>
      </c>
      <c r="F33" s="117">
        <v>0</v>
      </c>
      <c r="G33" s="168"/>
      <c r="H33" s="12">
        <f t="shared" ref="H33:H34" si="45">(D33*F33)+(E33*G33)</f>
        <v>0</v>
      </c>
      <c r="J33" s="4">
        <f>D33</f>
        <v>1967511960.3194919</v>
      </c>
      <c r="K33" s="4">
        <f>E33</f>
        <v>0</v>
      </c>
      <c r="L33" s="11">
        <f t="shared" ref="L33:L34" si="46">F33</f>
        <v>0</v>
      </c>
      <c r="M33" s="16">
        <f t="shared" ref="M33:M34" si="47">G33</f>
        <v>0</v>
      </c>
      <c r="N33" s="12">
        <f t="shared" ref="N33:N34" si="48">(J33*L33)+(K33*M33)</f>
        <v>0</v>
      </c>
      <c r="O33" s="12"/>
      <c r="P33" s="116">
        <f>'Revenue by Sch RY#2'!D20</f>
        <v>1964993565.6779518</v>
      </c>
      <c r="Q33" s="116">
        <v>0</v>
      </c>
      <c r="R33" s="11">
        <f t="shared" ref="R33:R34" si="49">L33</f>
        <v>0</v>
      </c>
      <c r="S33" s="16">
        <f t="shared" ref="S33:S34" si="50">M33</f>
        <v>0</v>
      </c>
      <c r="T33" s="12">
        <f t="shared" ref="T33:T34" si="51">(P33*R33)+(Q33*S33)</f>
        <v>0</v>
      </c>
    </row>
    <row r="34" spans="1:20">
      <c r="A34" s="2">
        <f t="shared" si="3"/>
        <v>27</v>
      </c>
      <c r="B34" s="132" t="str">
        <f>'Sch 95'!B34</f>
        <v>Special Contract</v>
      </c>
      <c r="D34" s="116">
        <f>'Revenue by Sch RY#1'!D21</f>
        <v>304773055.46200001</v>
      </c>
      <c r="E34" s="116">
        <v>0</v>
      </c>
      <c r="F34" s="117">
        <v>0</v>
      </c>
      <c r="G34" s="168"/>
      <c r="H34" s="12">
        <f t="shared" si="45"/>
        <v>0</v>
      </c>
      <c r="J34" s="4">
        <f>D34</f>
        <v>304773055.46200001</v>
      </c>
      <c r="K34" s="4">
        <f>E34</f>
        <v>0</v>
      </c>
      <c r="L34" s="11">
        <f t="shared" si="46"/>
        <v>0</v>
      </c>
      <c r="M34" s="16">
        <f t="shared" si="47"/>
        <v>0</v>
      </c>
      <c r="N34" s="12">
        <f t="shared" si="48"/>
        <v>0</v>
      </c>
      <c r="O34" s="12"/>
      <c r="P34" s="116">
        <f>'Revenue by Sch RY#2'!D21</f>
        <v>304773055.46200001</v>
      </c>
      <c r="Q34" s="116">
        <v>0</v>
      </c>
      <c r="R34" s="11">
        <f t="shared" si="49"/>
        <v>0</v>
      </c>
      <c r="S34" s="16">
        <f t="shared" si="50"/>
        <v>0</v>
      </c>
      <c r="T34" s="12">
        <f t="shared" si="51"/>
        <v>0</v>
      </c>
    </row>
    <row r="35" spans="1:20">
      <c r="A35" s="2">
        <f t="shared" si="3"/>
        <v>28</v>
      </c>
      <c r="B35" s="5"/>
      <c r="C35" s="3" t="s">
        <v>77</v>
      </c>
      <c r="D35" s="6">
        <f>SUM(D33:D34)</f>
        <v>2272285015.7814918</v>
      </c>
      <c r="E35" s="6">
        <f>SUM(E33:E34)</f>
        <v>0</v>
      </c>
      <c r="F35" s="11"/>
      <c r="G35" s="117"/>
      <c r="H35" s="13">
        <f t="shared" ref="H35" si="52">SUM(H33:H34)</f>
        <v>0</v>
      </c>
      <c r="J35" s="6">
        <f>SUM(J33:J34)</f>
        <v>2272285015.7814918</v>
      </c>
      <c r="K35" s="6">
        <f>SUM(K33:K34)</f>
        <v>0</v>
      </c>
      <c r="M35" s="16"/>
      <c r="N35" s="13">
        <f t="shared" ref="N35" si="53">SUM(N33:N34)</f>
        <v>0</v>
      </c>
      <c r="O35" s="12"/>
      <c r="P35" s="6">
        <f>SUM(P33:P34)</f>
        <v>2269766621.1399517</v>
      </c>
      <c r="Q35" s="6">
        <f>SUM(Q33:Q34)</f>
        <v>0</v>
      </c>
      <c r="S35" s="16"/>
      <c r="T35" s="13">
        <f t="shared" ref="T35" si="54">SUM(T33:T34)</f>
        <v>0</v>
      </c>
    </row>
    <row r="36" spans="1:20">
      <c r="A36" s="2">
        <f t="shared" si="3"/>
        <v>29</v>
      </c>
      <c r="B36" s="2"/>
      <c r="D36" s="4"/>
      <c r="E36" s="4"/>
      <c r="F36" s="11"/>
      <c r="G36" s="117"/>
      <c r="H36" s="12"/>
      <c r="J36" s="4"/>
      <c r="K36" s="4"/>
      <c r="M36" s="16"/>
      <c r="N36" s="12"/>
      <c r="O36" s="12"/>
      <c r="P36" s="4"/>
      <c r="Q36" s="4"/>
      <c r="S36" s="16"/>
      <c r="T36" s="12"/>
    </row>
    <row r="37" spans="1:20" ht="12" thickBot="1">
      <c r="A37" s="2">
        <f t="shared" si="3"/>
        <v>30</v>
      </c>
      <c r="B37" s="2"/>
      <c r="C37" s="7" t="s">
        <v>15</v>
      </c>
      <c r="D37" s="8">
        <f>SUM(D10,D19,D25,D29,D31,D35)</f>
        <v>23551443434.196022</v>
      </c>
      <c r="E37" s="8">
        <f>SUM(E10,E19,E25,E29,E31,E35)</f>
        <v>15219896.163847174</v>
      </c>
      <c r="F37" s="11"/>
      <c r="G37" s="117"/>
      <c r="H37" s="14">
        <f>SUM(H10,H19,H25,H29,H31,H35)</f>
        <v>52791104.900220051</v>
      </c>
      <c r="J37" s="8">
        <f>SUM(J10,J19,J25,J29,J31,J35)</f>
        <v>23551443434.196022</v>
      </c>
      <c r="K37" s="8">
        <f>SUM(K10,K19,K25,K29,K31,K35)</f>
        <v>15219896.163847174</v>
      </c>
      <c r="M37" s="16"/>
      <c r="N37" s="14">
        <f>SUM(N10,N19,N25,N29,N31,N35)</f>
        <v>52791104.900220051</v>
      </c>
      <c r="O37" s="12"/>
      <c r="P37" s="8">
        <f>SUM(P10,P19,P25,P29,P31,P35)</f>
        <v>23768895895.058746</v>
      </c>
      <c r="Q37" s="8">
        <f>SUM(Q10,Q19,Q25,Q29,Q31,Q35)</f>
        <v>15255976.023198087</v>
      </c>
      <c r="S37" s="16"/>
      <c r="T37" s="14">
        <f>SUM(T10,T19,T25,T29,T31,T35)</f>
        <v>53326287.30795721</v>
      </c>
    </row>
    <row r="38" spans="1:20" ht="12" thickTop="1">
      <c r="A38" s="2">
        <f t="shared" si="3"/>
        <v>31</v>
      </c>
      <c r="B38" s="2"/>
      <c r="F38" s="11"/>
      <c r="G38" s="117"/>
      <c r="H38" s="12"/>
      <c r="M38" s="16"/>
      <c r="N38" s="12"/>
      <c r="O38" s="12"/>
      <c r="S38" s="16"/>
      <c r="T38" s="12"/>
    </row>
    <row r="39" spans="1:20">
      <c r="A39" s="2">
        <f t="shared" si="3"/>
        <v>32</v>
      </c>
      <c r="B39" s="132">
        <f>'Sch 95'!B39</f>
        <v>5</v>
      </c>
      <c r="C39" s="3" t="s">
        <v>16</v>
      </c>
      <c r="D39" s="122">
        <f>'Revenue by Sch RY#1'!D22</f>
        <v>6714960.2368700616</v>
      </c>
      <c r="E39" s="122">
        <v>13394.355918136085</v>
      </c>
      <c r="F39" s="117">
        <v>2.2060000000000001E-3</v>
      </c>
      <c r="G39" s="171">
        <v>0</v>
      </c>
      <c r="H39" s="13">
        <f>(D39*F39)+(E39*G39)</f>
        <v>14813.202282535356</v>
      </c>
      <c r="J39" s="6">
        <f>D39</f>
        <v>6714960.2368700616</v>
      </c>
      <c r="K39" s="6">
        <f>E39</f>
        <v>13394.355918136085</v>
      </c>
      <c r="L39" s="11">
        <f t="shared" ref="L39" si="55">F39</f>
        <v>2.2060000000000001E-3</v>
      </c>
      <c r="M39" s="16">
        <f t="shared" ref="M39" si="56">G39</f>
        <v>0</v>
      </c>
      <c r="N39" s="13">
        <f>(J39*L39)+(K39*M39)</f>
        <v>14813.202282535356</v>
      </c>
      <c r="O39" s="12"/>
      <c r="P39" s="122">
        <f>'Revenue by Sch RY#2'!D22</f>
        <v>6710049.8818741431</v>
      </c>
      <c r="Q39" s="122">
        <v>13319.835934941628</v>
      </c>
      <c r="R39" s="11">
        <f t="shared" ref="R39" si="57">L39</f>
        <v>2.2060000000000001E-3</v>
      </c>
      <c r="S39" s="16">
        <f t="shared" ref="S39" si="58">M39</f>
        <v>0</v>
      </c>
      <c r="T39" s="13">
        <f>(P39*R39)+(Q39*S39)</f>
        <v>14802.37003941436</v>
      </c>
    </row>
    <row r="40" spans="1:20">
      <c r="A40" s="2">
        <f t="shared" si="3"/>
        <v>33</v>
      </c>
      <c r="B40" s="2"/>
      <c r="F40" s="117"/>
      <c r="G40" s="117"/>
      <c r="H40" s="12"/>
      <c r="N40" s="12"/>
      <c r="O40" s="12"/>
      <c r="T40" s="12"/>
    </row>
    <row r="41" spans="1:20" ht="12" thickBot="1">
      <c r="A41" s="2">
        <f t="shared" si="3"/>
        <v>34</v>
      </c>
      <c r="B41" s="2"/>
      <c r="C41" s="110" t="s">
        <v>17</v>
      </c>
      <c r="D41" s="111">
        <f>SUM(D37,D39)</f>
        <v>23558158394.432892</v>
      </c>
      <c r="E41" s="111">
        <f>SUM(E37,E39)</f>
        <v>15233290.51976531</v>
      </c>
      <c r="F41" s="169"/>
      <c r="G41" s="169"/>
      <c r="H41" s="113">
        <f>SUM(H37,H39)</f>
        <v>52805918.102502584</v>
      </c>
      <c r="I41" s="15"/>
      <c r="J41" s="111">
        <f>SUM(J37,J39)</f>
        <v>23558158394.432892</v>
      </c>
      <c r="K41" s="111">
        <f>SUM(K37,K39)</f>
        <v>15233290.51976531</v>
      </c>
      <c r="L41" s="15"/>
      <c r="M41" s="15"/>
      <c r="N41" s="113">
        <f>SUM(N37,N39)</f>
        <v>52805918.102502584</v>
      </c>
      <c r="O41" s="114"/>
      <c r="P41" s="111">
        <f>SUM(P37,P39)</f>
        <v>23775605944.94062</v>
      </c>
      <c r="Q41" s="111">
        <f>SUM(Q37,Q39)</f>
        <v>15269295.859133027</v>
      </c>
      <c r="R41" s="15"/>
      <c r="S41" s="15"/>
      <c r="T41" s="113">
        <f>SUM(T37,T39)</f>
        <v>53341089.677996621</v>
      </c>
    </row>
    <row r="42" spans="1:20" ht="12" thickTop="1">
      <c r="D42" s="123">
        <f>'Revenue by Sch RY#1'!D24</f>
        <v>23558158394.432896</v>
      </c>
      <c r="E42" s="123">
        <v>15233290.519765308</v>
      </c>
      <c r="F42" s="170"/>
      <c r="G42" s="170"/>
      <c r="J42" s="162">
        <f>D41</f>
        <v>23558158394.432892</v>
      </c>
      <c r="K42" s="162">
        <f>E41</f>
        <v>15233290.51976531</v>
      </c>
      <c r="P42" s="123">
        <f>'Revenue by Sch RY#2'!D24</f>
        <v>23775605944.94062</v>
      </c>
      <c r="Q42" s="123">
        <v>15269295.859133029</v>
      </c>
    </row>
    <row r="43" spans="1:20">
      <c r="C43" s="17" t="s">
        <v>168</v>
      </c>
      <c r="D43" s="124">
        <f>D41-D42</f>
        <v>0</v>
      </c>
      <c r="E43" s="124">
        <f>E41-E42</f>
        <v>0</v>
      </c>
      <c r="F43" s="170"/>
      <c r="G43" s="170"/>
      <c r="J43" s="124">
        <f>J41-J42</f>
        <v>0</v>
      </c>
      <c r="K43" s="124">
        <f>K41-K42</f>
        <v>0</v>
      </c>
      <c r="P43" s="124">
        <f>P41-P42</f>
        <v>0</v>
      </c>
      <c r="Q43" s="124">
        <f>Q41-Q42</f>
        <v>0</v>
      </c>
    </row>
    <row r="44" spans="1:20">
      <c r="F44" s="170"/>
      <c r="G44" s="170"/>
      <c r="P44" s="4"/>
      <c r="Q44" s="4"/>
    </row>
    <row r="45" spans="1:20">
      <c r="B45" s="3" t="s">
        <v>250</v>
      </c>
      <c r="C45" s="101"/>
      <c r="F45" s="170"/>
      <c r="G45" s="170"/>
    </row>
  </sheetData>
  <mergeCells count="10">
    <mergeCell ref="F7:G7"/>
    <mergeCell ref="L7:M7"/>
    <mergeCell ref="R7:S7"/>
    <mergeCell ref="A1:T1"/>
    <mergeCell ref="A2:T2"/>
    <mergeCell ref="A3:T3"/>
    <mergeCell ref="A4:T4"/>
    <mergeCell ref="A5:F5"/>
    <mergeCell ref="J6:N6"/>
    <mergeCell ref="P6:T6"/>
  </mergeCells>
  <pageMargins left="0.7" right="0.7" top="0.75" bottom="0.75" header="0.3" footer="0.3"/>
  <pageSetup scale="56" orientation="landscape" horizontalDpi="360" verticalDpi="360" r:id="rId1"/>
  <headerFooter>
    <oddFooter>&amp;R&amp;F
&amp;A
&amp;P of &amp;N</oddFooter>
  </headerFooter>
  <customProperties>
    <customPr name="_pios_id" r:id="rId2"/>
  </customPropertie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theme="6" tint="0.79998168889431442"/>
    <pageSetUpPr fitToPage="1"/>
  </sheetPr>
  <dimension ref="A1:W45"/>
  <sheetViews>
    <sheetView zoomScaleNormal="100" workbookViewId="0">
      <pane ySplit="7" topLeftCell="A11" activePane="bottomLeft" state="frozen"/>
      <selection activeCell="U42" sqref="U42"/>
      <selection pane="bottomLeft" activeCell="U42" sqref="U42"/>
    </sheetView>
  </sheetViews>
  <sheetFormatPr defaultColWidth="8.85546875" defaultRowHeight="11.25"/>
  <cols>
    <col min="1" max="1" width="4.42578125" style="3" bestFit="1" customWidth="1"/>
    <col min="2" max="2" width="14.85546875" style="3" bestFit="1" customWidth="1"/>
    <col min="3" max="3" width="21.7109375" style="3" bestFit="1" customWidth="1"/>
    <col min="4" max="4" width="15.140625" style="3" bestFit="1" customWidth="1"/>
    <col min="5" max="5" width="15.140625" style="3" customWidth="1"/>
    <col min="6" max="6" width="9.28515625" style="3" bestFit="1" customWidth="1"/>
    <col min="7" max="7" width="11" style="3" customWidth="1"/>
    <col min="8" max="8" width="11.140625" style="3" bestFit="1" customWidth="1"/>
    <col min="9" max="9" width="11.85546875" style="3" customWidth="1"/>
    <col min="10" max="10" width="0.85546875" style="3" customWidth="1"/>
    <col min="11" max="11" width="12.85546875" style="3" bestFit="1" customWidth="1"/>
    <col min="12" max="12" width="12.85546875" style="3" customWidth="1"/>
    <col min="13" max="13" width="9.42578125" style="3" bestFit="1" customWidth="1"/>
    <col min="14" max="14" width="9.42578125" style="3" customWidth="1"/>
    <col min="15" max="15" width="11.5703125" style="3" bestFit="1" customWidth="1"/>
    <col min="16" max="16" width="1" style="3" customWidth="1"/>
    <col min="17" max="17" width="12.85546875" style="3" bestFit="1" customWidth="1"/>
    <col min="18" max="18" width="12.85546875" style="3" customWidth="1"/>
    <col min="19" max="19" width="9.42578125" style="3" bestFit="1" customWidth="1"/>
    <col min="20" max="20" width="9.42578125" style="3" customWidth="1"/>
    <col min="21" max="21" width="13.42578125" style="3" customWidth="1"/>
    <col min="22" max="22" width="8.85546875" style="3"/>
    <col min="23" max="23" width="9.85546875" style="3" bestFit="1" customWidth="1"/>
    <col min="24" max="16384" width="8.85546875" style="3"/>
  </cols>
  <sheetData>
    <row r="1" spans="1:23" s="15" customFormat="1" ht="12.75" customHeight="1">
      <c r="A1" s="459" t="str">
        <f>'Exh CTM-8 (Rate Impacts_RY#1)'!A1</f>
        <v>Puget Sound Energy</v>
      </c>
      <c r="B1" s="460"/>
      <c r="C1" s="460"/>
      <c r="D1" s="460"/>
      <c r="E1" s="460"/>
      <c r="F1" s="460"/>
      <c r="G1" s="460"/>
      <c r="H1" s="460"/>
      <c r="I1" s="460"/>
      <c r="J1" s="460"/>
      <c r="K1" s="460"/>
      <c r="L1" s="460"/>
      <c r="M1" s="460"/>
      <c r="N1" s="460"/>
      <c r="O1" s="460"/>
      <c r="P1" s="460"/>
      <c r="Q1" s="460"/>
      <c r="R1" s="460"/>
      <c r="S1" s="460"/>
      <c r="T1" s="460"/>
      <c r="U1" s="460"/>
    </row>
    <row r="2" spans="1:23" s="15" customFormat="1" ht="12.75">
      <c r="A2" s="459" t="str">
        <f>'Exh CTM-8 (Rate Impacts_RY#1)'!A2</f>
        <v>2024 General Rate Case Docket No. UE-240004 and UG-240005</v>
      </c>
      <c r="B2" s="460"/>
      <c r="C2" s="460"/>
      <c r="D2" s="460"/>
      <c r="E2" s="460"/>
      <c r="F2" s="460"/>
      <c r="G2" s="460"/>
      <c r="H2" s="460"/>
      <c r="I2" s="460"/>
      <c r="J2" s="460"/>
      <c r="K2" s="460"/>
      <c r="L2" s="460"/>
      <c r="M2" s="460"/>
      <c r="N2" s="460"/>
      <c r="O2" s="460"/>
      <c r="P2" s="460"/>
      <c r="Q2" s="460"/>
      <c r="R2" s="460"/>
      <c r="S2" s="460"/>
      <c r="T2" s="460"/>
      <c r="U2" s="460"/>
    </row>
    <row r="3" spans="1:23" s="15" customFormat="1" ht="12.75">
      <c r="A3" s="545" t="s">
        <v>243</v>
      </c>
      <c r="B3" s="470"/>
      <c r="C3" s="470"/>
      <c r="D3" s="470"/>
      <c r="E3" s="470"/>
      <c r="F3" s="470"/>
      <c r="G3" s="470"/>
      <c r="H3" s="470"/>
      <c r="I3" s="471"/>
      <c r="J3" s="471"/>
      <c r="K3" s="471"/>
      <c r="L3" s="471"/>
      <c r="M3" s="471"/>
      <c r="N3" s="471"/>
      <c r="O3" s="471"/>
      <c r="P3" s="471"/>
      <c r="Q3" s="471"/>
      <c r="R3" s="471"/>
      <c r="S3" s="471"/>
      <c r="T3" s="471"/>
      <c r="U3" s="471"/>
    </row>
    <row r="4" spans="1:23" s="15" customFormat="1" ht="12.75">
      <c r="A4" s="545" t="s">
        <v>177</v>
      </c>
      <c r="B4" s="470"/>
      <c r="C4" s="470"/>
      <c r="D4" s="470"/>
      <c r="E4" s="470"/>
      <c r="F4" s="470"/>
      <c r="G4" s="470"/>
      <c r="H4" s="470"/>
      <c r="I4" s="471"/>
      <c r="J4" s="471"/>
      <c r="K4" s="471"/>
      <c r="L4" s="471"/>
      <c r="M4" s="471"/>
      <c r="N4" s="471"/>
      <c r="O4" s="471"/>
      <c r="P4" s="471"/>
      <c r="Q4" s="471"/>
      <c r="R4" s="471"/>
      <c r="S4" s="471"/>
      <c r="T4" s="471"/>
      <c r="U4" s="471"/>
    </row>
    <row r="5" spans="1:23" s="15" customFormat="1">
      <c r="A5" s="456"/>
      <c r="B5" s="456"/>
      <c r="C5" s="456"/>
      <c r="D5" s="456"/>
      <c r="E5" s="456"/>
      <c r="F5" s="456"/>
      <c r="G5" s="456"/>
      <c r="H5" s="44"/>
      <c r="I5" s="44"/>
    </row>
    <row r="6" spans="1:23" s="15" customFormat="1" ht="12.75">
      <c r="A6" s="45"/>
      <c r="B6" s="44"/>
      <c r="C6" s="44"/>
      <c r="D6" s="44"/>
      <c r="E6" s="44"/>
      <c r="F6" s="44"/>
      <c r="K6" s="546" t="str">
        <f>'Sch 95'!H6</f>
        <v>MYRP January 2025</v>
      </c>
      <c r="L6" s="553"/>
      <c r="M6" s="494"/>
      <c r="N6" s="494"/>
      <c r="O6" s="493"/>
      <c r="P6" s="132">
        <f>'Sch 95'!K6</f>
        <v>0</v>
      </c>
      <c r="Q6" s="546" t="str">
        <f>'Sch 95'!L6</f>
        <v>MYRP January 2026</v>
      </c>
      <c r="R6" s="553"/>
      <c r="S6" s="547"/>
      <c r="T6" s="547"/>
      <c r="U6" s="548"/>
    </row>
    <row r="7" spans="1:23" s="15" customFormat="1" ht="67.5">
      <c r="A7" s="97" t="s">
        <v>2</v>
      </c>
      <c r="B7" s="97" t="s">
        <v>3</v>
      </c>
      <c r="C7" s="97" t="s">
        <v>14</v>
      </c>
      <c r="D7" s="133" t="str">
        <f>'Sch 95'!D7</f>
        <v>12 months ending December 2025 F23 Forecast KWh</v>
      </c>
      <c r="E7" s="133" t="str">
        <f>'Sch 141CEI'!E7</f>
        <v>12 months ending December 2025 F23 Forecast KW/KVA</v>
      </c>
      <c r="F7" s="167" t="s">
        <v>244</v>
      </c>
      <c r="G7" s="551" t="str">
        <f>'Sch 95'!E7</f>
        <v>Current Rates as of January 2024 (1)</v>
      </c>
      <c r="H7" s="552"/>
      <c r="I7" s="133" t="str">
        <f>'Sch 95'!F7</f>
        <v>Annual Delivered $</v>
      </c>
      <c r="J7" s="133">
        <f>'Sch 95'!G7</f>
        <v>0</v>
      </c>
      <c r="K7" s="133" t="str">
        <f>'Sch 95'!H7</f>
        <v>Annual Delivered KWh</v>
      </c>
      <c r="L7" s="133" t="str">
        <f>'Sch 141CEI'!K7</f>
        <v>Annual Delivered KW/Kva</v>
      </c>
      <c r="M7" s="553" t="str">
        <f>'Sch 95'!I7</f>
        <v>Rates Effective January 2025</v>
      </c>
      <c r="N7" s="494"/>
      <c r="O7" s="133" t="str">
        <f>'Sch 95'!J7</f>
        <v>Annual Delivered $</v>
      </c>
      <c r="P7" s="133">
        <f>'Sch 95'!K7</f>
        <v>0</v>
      </c>
      <c r="Q7" s="133" t="str">
        <f>'Sch 95'!L7</f>
        <v>Annual Delivered KWh</v>
      </c>
      <c r="R7" s="97" t="str">
        <f>L7</f>
        <v>Annual Delivered KW/Kva</v>
      </c>
      <c r="S7" s="553" t="str">
        <f>'Sch 95'!M7</f>
        <v>Rates Effective January 2026</v>
      </c>
      <c r="T7" s="494"/>
      <c r="U7" s="133" t="str">
        <f>'Sch 95'!N7</f>
        <v>Annual Delivered $</v>
      </c>
    </row>
    <row r="8" spans="1:23">
      <c r="A8" s="2">
        <v>1</v>
      </c>
      <c r="B8" s="132" t="str">
        <f>'Sch 95'!B8</f>
        <v xml:space="preserve"> 7 (307) (317) (327)</v>
      </c>
      <c r="D8" s="116">
        <f>'Revenue by Sch RY#1'!D9</f>
        <v>11278205851.395365</v>
      </c>
      <c r="E8" s="116">
        <v>0</v>
      </c>
      <c r="F8" s="116"/>
      <c r="G8" s="129">
        <v>8.5280000000000009E-3</v>
      </c>
      <c r="H8" s="168"/>
      <c r="I8" s="12">
        <f>(D8*G8)+(E8*H8)</f>
        <v>96180539.500699684</v>
      </c>
      <c r="K8" s="4">
        <f>D8</f>
        <v>11278205851.395365</v>
      </c>
      <c r="L8" s="4">
        <f>E8</f>
        <v>0</v>
      </c>
      <c r="M8" s="109">
        <v>0</v>
      </c>
      <c r="N8" s="109">
        <v>0</v>
      </c>
      <c r="O8" s="12">
        <f>(K8*M8)+(L8*N8)</f>
        <v>0</v>
      </c>
      <c r="P8" s="12"/>
      <c r="Q8" s="116">
        <f>'Revenue by Sch RY#2'!D9</f>
        <v>11447649239.71397</v>
      </c>
      <c r="R8" s="116">
        <v>0</v>
      </c>
      <c r="S8" s="11">
        <f>M8</f>
        <v>0</v>
      </c>
      <c r="T8" s="16">
        <f>N8</f>
        <v>0</v>
      </c>
      <c r="U8" s="12">
        <f>(Q8*S8)+(R8*T8)</f>
        <v>0</v>
      </c>
      <c r="W8" s="15"/>
    </row>
    <row r="9" spans="1:23">
      <c r="A9" s="2">
        <f t="shared" ref="A9:A41" si="0">+A8+1</f>
        <v>2</v>
      </c>
      <c r="B9" s="132" t="str">
        <f>'Sch 95'!B9</f>
        <v xml:space="preserve">7A </v>
      </c>
      <c r="D9" s="115">
        <v>0</v>
      </c>
      <c r="E9" s="115">
        <v>0</v>
      </c>
      <c r="F9" s="115"/>
      <c r="G9" s="129">
        <v>5.8609999999999999E-3</v>
      </c>
      <c r="H9" s="171">
        <v>0.65</v>
      </c>
      <c r="I9" s="12">
        <f>(D9*G9)+(E9*H9)</f>
        <v>0</v>
      </c>
      <c r="K9" s="4">
        <f>D9</f>
        <v>0</v>
      </c>
      <c r="L9" s="4">
        <f>E9</f>
        <v>0</v>
      </c>
      <c r="M9" s="109">
        <v>0</v>
      </c>
      <c r="N9" s="109">
        <v>0</v>
      </c>
      <c r="O9" s="12">
        <f>(K9*M9)+(L9*N9)</f>
        <v>0</v>
      </c>
      <c r="P9" s="12"/>
      <c r="Q9" s="4">
        <v>0</v>
      </c>
      <c r="R9" s="115">
        <v>0</v>
      </c>
      <c r="S9" s="11">
        <f>M9</f>
        <v>0</v>
      </c>
      <c r="T9" s="16">
        <f>N9</f>
        <v>0</v>
      </c>
      <c r="U9" s="12">
        <f>(Q9*S9)+(R9*T9)</f>
        <v>0</v>
      </c>
      <c r="W9" s="15"/>
    </row>
    <row r="10" spans="1:23">
      <c r="A10" s="2">
        <f t="shared" si="0"/>
        <v>3</v>
      </c>
      <c r="B10" s="2"/>
      <c r="C10" s="3" t="s">
        <v>4</v>
      </c>
      <c r="D10" s="6">
        <f>SUM(D8:D9)</f>
        <v>11278205851.395365</v>
      </c>
      <c r="E10" s="6">
        <f>SUM(E8:E9)</f>
        <v>0</v>
      </c>
      <c r="F10" s="6"/>
      <c r="G10" s="130"/>
      <c r="H10" s="160"/>
      <c r="I10" s="13">
        <f t="shared" ref="I10" si="1">SUM(I8:I9)</f>
        <v>96180539.500699684</v>
      </c>
      <c r="K10" s="6">
        <f>SUM(K8:K9)</f>
        <v>11278205851.395365</v>
      </c>
      <c r="L10" s="6">
        <f>SUM(L8:L9)</f>
        <v>0</v>
      </c>
      <c r="M10" s="11"/>
      <c r="N10" s="11"/>
      <c r="O10" s="13">
        <f t="shared" ref="O10" si="2">SUM(O8:O9)</f>
        <v>0</v>
      </c>
      <c r="P10" s="12"/>
      <c r="Q10" s="6">
        <f>SUM(Q8:Q9)</f>
        <v>11447649239.71397</v>
      </c>
      <c r="R10" s="6">
        <f>SUM(R8:R9)</f>
        <v>0</v>
      </c>
      <c r="S10" s="11"/>
      <c r="T10" s="16"/>
      <c r="U10" s="13">
        <f t="shared" ref="U10" si="3">SUM(U8:U9)</f>
        <v>0</v>
      </c>
      <c r="W10" s="15"/>
    </row>
    <row r="11" spans="1:23">
      <c r="A11" s="2">
        <f t="shared" si="0"/>
        <v>4</v>
      </c>
      <c r="B11" s="2"/>
      <c r="D11" s="4"/>
      <c r="E11" s="4"/>
      <c r="F11" s="4"/>
      <c r="G11" s="130"/>
      <c r="H11" s="160"/>
      <c r="I11" s="12"/>
      <c r="K11" s="4"/>
      <c r="L11" s="4"/>
      <c r="M11" s="11"/>
      <c r="N11" s="11"/>
      <c r="O11" s="12"/>
      <c r="P11" s="12"/>
      <c r="Q11" s="4"/>
      <c r="R11" s="4"/>
      <c r="S11" s="11"/>
      <c r="T11" s="16"/>
      <c r="U11" s="12"/>
      <c r="W11" s="15"/>
    </row>
    <row r="12" spans="1:23">
      <c r="A12" s="2">
        <f t="shared" si="0"/>
        <v>5</v>
      </c>
      <c r="B12" s="132">
        <f>'Sch 95'!B12</f>
        <v>8</v>
      </c>
      <c r="D12" s="115">
        <v>0</v>
      </c>
      <c r="E12" s="115">
        <v>0</v>
      </c>
      <c r="F12" s="115"/>
      <c r="G12" s="129">
        <v>6.6309999999999997E-3</v>
      </c>
      <c r="H12" s="168"/>
      <c r="I12" s="12">
        <f t="shared" ref="I12:I18" si="4">(D12*G12)+(E12*H12)</f>
        <v>0</v>
      </c>
      <c r="K12" s="4">
        <f t="shared" ref="K12:L18" si="5">D12</f>
        <v>0</v>
      </c>
      <c r="L12" s="4">
        <f t="shared" si="5"/>
        <v>0</v>
      </c>
      <c r="M12" s="109">
        <v>0</v>
      </c>
      <c r="N12" s="109">
        <v>0</v>
      </c>
      <c r="O12" s="12">
        <f t="shared" ref="O12:O18" si="6">(K12*M12)+(L12*N12)</f>
        <v>0</v>
      </c>
      <c r="P12" s="12"/>
      <c r="Q12" s="4">
        <v>0</v>
      </c>
      <c r="R12" s="115">
        <v>0</v>
      </c>
      <c r="S12" s="11">
        <f t="shared" ref="S12:T18" si="7">M12</f>
        <v>0</v>
      </c>
      <c r="T12" s="16">
        <f t="shared" si="7"/>
        <v>0</v>
      </c>
      <c r="U12" s="12">
        <f t="shared" ref="U12:U18" si="8">(Q12*S12)+(R12*T12)</f>
        <v>0</v>
      </c>
      <c r="W12" s="15"/>
    </row>
    <row r="13" spans="1:23">
      <c r="A13" s="2">
        <f t="shared" si="0"/>
        <v>6</v>
      </c>
      <c r="B13" s="132" t="str">
        <f>'Sch 95'!B13</f>
        <v>24 (324)</v>
      </c>
      <c r="D13" s="116">
        <f>'Revenue by Sch RY#1'!D10</f>
        <v>2762635966.1696987</v>
      </c>
      <c r="E13" s="115">
        <v>0</v>
      </c>
      <c r="F13" s="115"/>
      <c r="G13" s="130">
        <f>+G12</f>
        <v>6.6309999999999997E-3</v>
      </c>
      <c r="H13" s="160"/>
      <c r="I13" s="12">
        <f t="shared" si="4"/>
        <v>18319039.091671273</v>
      </c>
      <c r="K13" s="4">
        <f t="shared" si="5"/>
        <v>2762635966.1696987</v>
      </c>
      <c r="L13" s="4">
        <f t="shared" si="5"/>
        <v>0</v>
      </c>
      <c r="M13" s="109">
        <v>0</v>
      </c>
      <c r="N13" s="109">
        <v>0</v>
      </c>
      <c r="O13" s="12">
        <f t="shared" si="6"/>
        <v>0</v>
      </c>
      <c r="P13" s="12"/>
      <c r="Q13" s="116">
        <f>'Revenue by Sch RY#2'!D10</f>
        <v>2774967422.2693906</v>
      </c>
      <c r="R13" s="115">
        <v>0</v>
      </c>
      <c r="S13" s="11">
        <f t="shared" si="7"/>
        <v>0</v>
      </c>
      <c r="T13" s="16">
        <f t="shared" si="7"/>
        <v>0</v>
      </c>
      <c r="U13" s="12">
        <f t="shared" si="8"/>
        <v>0</v>
      </c>
      <c r="W13" s="15"/>
    </row>
    <row r="14" spans="1:23">
      <c r="A14" s="2">
        <f t="shared" si="0"/>
        <v>7</v>
      </c>
      <c r="B14" s="132">
        <f>'Sch 95'!B14</f>
        <v>11</v>
      </c>
      <c r="D14" s="115">
        <v>0</v>
      </c>
      <c r="E14" s="115">
        <v>0</v>
      </c>
      <c r="F14" s="115"/>
      <c r="G14" s="130">
        <f>G9</f>
        <v>5.8609999999999999E-3</v>
      </c>
      <c r="H14" s="166">
        <f>+H9</f>
        <v>0.65</v>
      </c>
      <c r="I14" s="12">
        <f t="shared" si="4"/>
        <v>0</v>
      </c>
      <c r="K14" s="4">
        <f t="shared" si="5"/>
        <v>0</v>
      </c>
      <c r="L14" s="4">
        <f t="shared" si="5"/>
        <v>0</v>
      </c>
      <c r="M14" s="109">
        <v>0</v>
      </c>
      <c r="N14" s="109">
        <v>0</v>
      </c>
      <c r="O14" s="12">
        <f t="shared" si="6"/>
        <v>0</v>
      </c>
      <c r="P14" s="12"/>
      <c r="Q14" s="4">
        <v>0</v>
      </c>
      <c r="R14" s="115">
        <v>0</v>
      </c>
      <c r="S14" s="11">
        <f t="shared" si="7"/>
        <v>0</v>
      </c>
      <c r="T14" s="16">
        <f t="shared" si="7"/>
        <v>0</v>
      </c>
      <c r="U14" s="12">
        <f t="shared" si="8"/>
        <v>0</v>
      </c>
    </row>
    <row r="15" spans="1:23">
      <c r="A15" s="2">
        <f t="shared" si="0"/>
        <v>8</v>
      </c>
      <c r="B15" s="132">
        <f>'Sch 95'!B15</f>
        <v>25</v>
      </c>
      <c r="D15" s="116">
        <f>'Revenue by Sch RY#1'!D11</f>
        <v>2960202274.8054705</v>
      </c>
      <c r="E15" s="116">
        <v>4517887.0072913375</v>
      </c>
      <c r="F15" s="116"/>
      <c r="G15" s="130">
        <f>+G14</f>
        <v>5.8609999999999999E-3</v>
      </c>
      <c r="H15" s="166">
        <f>+H14</f>
        <v>0.65</v>
      </c>
      <c r="I15" s="12">
        <f t="shared" si="4"/>
        <v>20286372.087374233</v>
      </c>
      <c r="K15" s="4">
        <f t="shared" si="5"/>
        <v>2960202274.8054705</v>
      </c>
      <c r="L15" s="4">
        <f t="shared" si="5"/>
        <v>4517887.0072913375</v>
      </c>
      <c r="M15" s="109">
        <v>0</v>
      </c>
      <c r="N15" s="109">
        <v>0</v>
      </c>
      <c r="O15" s="12">
        <f t="shared" si="6"/>
        <v>0</v>
      </c>
      <c r="P15" s="12"/>
      <c r="Q15" s="116">
        <f>'Revenue by Sch RY#2'!D11</f>
        <v>2968720174.6374388</v>
      </c>
      <c r="R15" s="116">
        <v>4515508.9451899873</v>
      </c>
      <c r="S15" s="11">
        <f t="shared" si="7"/>
        <v>0</v>
      </c>
      <c r="T15" s="16">
        <f t="shared" si="7"/>
        <v>0</v>
      </c>
      <c r="U15" s="12">
        <f t="shared" si="8"/>
        <v>0</v>
      </c>
    </row>
    <row r="16" spans="1:23">
      <c r="A16" s="2">
        <f t="shared" si="0"/>
        <v>9</v>
      </c>
      <c r="B16" s="132">
        <f>'Sch 95'!B16</f>
        <v>12</v>
      </c>
      <c r="D16" s="115">
        <v>0</v>
      </c>
      <c r="E16" s="115">
        <v>0</v>
      </c>
      <c r="F16" s="115"/>
      <c r="G16" s="129">
        <v>4.2240000000000003E-3</v>
      </c>
      <c r="H16" s="165">
        <v>0.75</v>
      </c>
      <c r="I16" s="12">
        <f t="shared" si="4"/>
        <v>0</v>
      </c>
      <c r="K16" s="4">
        <f t="shared" si="5"/>
        <v>0</v>
      </c>
      <c r="L16" s="4">
        <f t="shared" si="5"/>
        <v>0</v>
      </c>
      <c r="M16" s="109">
        <v>0</v>
      </c>
      <c r="N16" s="109">
        <v>0</v>
      </c>
      <c r="O16" s="12">
        <f t="shared" si="6"/>
        <v>0</v>
      </c>
      <c r="P16" s="12"/>
      <c r="Q16" s="4">
        <v>0</v>
      </c>
      <c r="R16" s="115">
        <v>0</v>
      </c>
      <c r="S16" s="11">
        <f t="shared" si="7"/>
        <v>0</v>
      </c>
      <c r="T16" s="16">
        <f t="shared" si="7"/>
        <v>0</v>
      </c>
      <c r="U16" s="12">
        <f t="shared" si="8"/>
        <v>0</v>
      </c>
    </row>
    <row r="17" spans="1:21">
      <c r="A17" s="2">
        <f t="shared" si="0"/>
        <v>10</v>
      </c>
      <c r="B17" s="132" t="str">
        <f>'Sch 95'!B17</f>
        <v>26 &amp; 26P</v>
      </c>
      <c r="D17" s="116">
        <f>'Revenue by Sch RY#1'!D12</f>
        <v>2013891730.8000479</v>
      </c>
      <c r="E17" s="116">
        <v>4944273.2866841257</v>
      </c>
      <c r="F17" s="116"/>
      <c r="G17" s="130">
        <f>+G16</f>
        <v>4.2240000000000003E-3</v>
      </c>
      <c r="H17" s="166">
        <f>+H16</f>
        <v>0.75</v>
      </c>
      <c r="I17" s="12">
        <f t="shared" si="4"/>
        <v>12214883.635912497</v>
      </c>
      <c r="K17" s="4">
        <f t="shared" si="5"/>
        <v>2013891730.8000479</v>
      </c>
      <c r="L17" s="4">
        <f t="shared" si="5"/>
        <v>4944273.2866841257</v>
      </c>
      <c r="M17" s="109">
        <v>0</v>
      </c>
      <c r="N17" s="109">
        <v>0</v>
      </c>
      <c r="O17" s="12">
        <f t="shared" si="6"/>
        <v>0</v>
      </c>
      <c r="P17" s="12"/>
      <c r="Q17" s="116">
        <f>'Revenue by Sch RY#2'!D12</f>
        <v>2056791563.2414525</v>
      </c>
      <c r="R17" s="116">
        <v>5032131.2804961493</v>
      </c>
      <c r="S17" s="11">
        <f t="shared" si="7"/>
        <v>0</v>
      </c>
      <c r="T17" s="16">
        <f t="shared" si="7"/>
        <v>0</v>
      </c>
      <c r="U17" s="12">
        <f t="shared" si="8"/>
        <v>0</v>
      </c>
    </row>
    <row r="18" spans="1:21">
      <c r="A18" s="2">
        <f t="shared" si="0"/>
        <v>11</v>
      </c>
      <c r="B18" s="132">
        <f>'Sch 95'!B18</f>
        <v>29</v>
      </c>
      <c r="D18" s="116">
        <f>'Revenue by Sch RY#1'!D13</f>
        <v>14930059.630887466</v>
      </c>
      <c r="E18" s="116">
        <v>6359.1483786280214</v>
      </c>
      <c r="F18" s="116"/>
      <c r="G18" s="129">
        <v>6.6400000000000001E-3</v>
      </c>
      <c r="H18" s="165">
        <v>0.56000000000000005</v>
      </c>
      <c r="I18" s="12">
        <f t="shared" si="4"/>
        <v>102696.71904112447</v>
      </c>
      <c r="K18" s="4">
        <f t="shared" si="5"/>
        <v>14930059.630887466</v>
      </c>
      <c r="L18" s="4">
        <f t="shared" si="5"/>
        <v>6359.1483786280214</v>
      </c>
      <c r="M18" s="109">
        <v>0</v>
      </c>
      <c r="N18" s="109">
        <v>0</v>
      </c>
      <c r="O18" s="12">
        <f t="shared" si="6"/>
        <v>0</v>
      </c>
      <c r="P18" s="12"/>
      <c r="Q18" s="116">
        <f>'Revenue by Sch RY#2'!D13</f>
        <v>14843026.361509496</v>
      </c>
      <c r="R18" s="116">
        <v>6312.6225193658393</v>
      </c>
      <c r="S18" s="11">
        <f t="shared" si="7"/>
        <v>0</v>
      </c>
      <c r="T18" s="16">
        <f t="shared" si="7"/>
        <v>0</v>
      </c>
      <c r="U18" s="12">
        <f t="shared" si="8"/>
        <v>0</v>
      </c>
    </row>
    <row r="19" spans="1:21">
      <c r="A19" s="2">
        <f t="shared" si="0"/>
        <v>12</v>
      </c>
      <c r="B19" s="2"/>
      <c r="C19" s="7" t="s">
        <v>6</v>
      </c>
      <c r="D19" s="6">
        <f>SUM(D12:D18)</f>
        <v>7751660031.4061041</v>
      </c>
      <c r="E19" s="6">
        <f>SUM(E12:E18)</f>
        <v>9468519.4423540905</v>
      </c>
      <c r="F19" s="6"/>
      <c r="G19" s="130"/>
      <c r="H19" s="160"/>
      <c r="I19" s="13">
        <f t="shared" ref="I19" si="9">SUM(I12:I18)</f>
        <v>50922991.53399913</v>
      </c>
      <c r="K19" s="6">
        <f>SUM(K12:K18)</f>
        <v>7751660031.4061041</v>
      </c>
      <c r="L19" s="6">
        <f>SUM(L12:L18)</f>
        <v>9468519.4423540905</v>
      </c>
      <c r="M19" s="11"/>
      <c r="N19" s="11"/>
      <c r="O19" s="13">
        <f t="shared" ref="O19" si="10">SUM(O12:O18)</f>
        <v>0</v>
      </c>
      <c r="P19" s="12"/>
      <c r="Q19" s="6">
        <f>SUM(Q12:Q18)</f>
        <v>7815322186.5097914</v>
      </c>
      <c r="R19" s="6">
        <f>SUM(R12:R18)</f>
        <v>9553952.8482055031</v>
      </c>
      <c r="S19" s="11"/>
      <c r="T19" s="16"/>
      <c r="U19" s="13">
        <f t="shared" ref="U19" si="11">SUM(U12:U18)</f>
        <v>0</v>
      </c>
    </row>
    <row r="20" spans="1:21">
      <c r="A20" s="2">
        <f t="shared" si="0"/>
        <v>13</v>
      </c>
      <c r="B20" s="2"/>
      <c r="D20" s="4"/>
      <c r="E20" s="4"/>
      <c r="F20" s="4"/>
      <c r="G20" s="130"/>
      <c r="H20" s="160"/>
      <c r="I20" s="12"/>
      <c r="K20" s="4"/>
      <c r="L20" s="4"/>
      <c r="M20" s="11"/>
      <c r="N20" s="11"/>
      <c r="O20" s="12"/>
      <c r="P20" s="12"/>
      <c r="Q20" s="4"/>
      <c r="R20" s="4"/>
      <c r="S20" s="11"/>
      <c r="T20" s="16"/>
      <c r="U20" s="12"/>
    </row>
    <row r="21" spans="1:21">
      <c r="A21" s="2">
        <f t="shared" si="0"/>
        <v>14</v>
      </c>
      <c r="B21" s="132">
        <f>'Sch 95'!B21</f>
        <v>10</v>
      </c>
      <c r="D21" s="115">
        <v>0</v>
      </c>
      <c r="E21" s="115">
        <v>0</v>
      </c>
      <c r="F21" s="115"/>
      <c r="G21" s="129">
        <v>4.0969999999999999E-3</v>
      </c>
      <c r="H21" s="165">
        <v>0.73</v>
      </c>
      <c r="I21" s="12">
        <f t="shared" ref="I21:I24" si="12">(D21*G21)+(E21*H21)</f>
        <v>0</v>
      </c>
      <c r="K21" s="4">
        <f t="shared" ref="K21:L24" si="13">D21</f>
        <v>0</v>
      </c>
      <c r="L21" s="4">
        <f t="shared" si="13"/>
        <v>0</v>
      </c>
      <c r="M21" s="109">
        <v>0</v>
      </c>
      <c r="N21" s="109">
        <v>0</v>
      </c>
      <c r="O21" s="12">
        <f t="shared" ref="O21:O24" si="14">(K21*M21)+(L21*N21)</f>
        <v>0</v>
      </c>
      <c r="P21" s="12"/>
      <c r="Q21" s="4">
        <v>0</v>
      </c>
      <c r="R21" s="115">
        <v>0</v>
      </c>
      <c r="S21" s="11">
        <f t="shared" ref="S21:T24" si="15">M21</f>
        <v>0</v>
      </c>
      <c r="T21" s="16">
        <f t="shared" si="15"/>
        <v>0</v>
      </c>
      <c r="U21" s="12">
        <f t="shared" ref="U21:U24" si="16">(Q21*S21)+(R21*T21)</f>
        <v>0</v>
      </c>
    </row>
    <row r="22" spans="1:21">
      <c r="A22" s="2">
        <f t="shared" si="0"/>
        <v>15</v>
      </c>
      <c r="B22" s="132">
        <f>'Sch 95'!B22</f>
        <v>31</v>
      </c>
      <c r="D22" s="116">
        <f>'Revenue by Sch RY#1'!D14</f>
        <v>1423586019.4788036</v>
      </c>
      <c r="E22" s="116">
        <v>3383993.070775318</v>
      </c>
      <c r="F22" s="116"/>
      <c r="G22" s="130">
        <f>+G21</f>
        <v>4.0969999999999999E-3</v>
      </c>
      <c r="H22" s="166">
        <f>+H21</f>
        <v>0.73</v>
      </c>
      <c r="I22" s="12">
        <f t="shared" si="12"/>
        <v>8302746.86347064</v>
      </c>
      <c r="K22" s="4">
        <f t="shared" si="13"/>
        <v>1423586019.4788036</v>
      </c>
      <c r="L22" s="4">
        <f t="shared" si="13"/>
        <v>3383993.070775318</v>
      </c>
      <c r="M22" s="109">
        <v>0</v>
      </c>
      <c r="N22" s="109">
        <v>0</v>
      </c>
      <c r="O22" s="12">
        <f t="shared" si="14"/>
        <v>0</v>
      </c>
      <c r="P22" s="12"/>
      <c r="Q22" s="116">
        <f>'Revenue by Sch RY#2'!D14</f>
        <v>1411297972.0883911</v>
      </c>
      <c r="R22" s="116">
        <v>3344757.4708671863</v>
      </c>
      <c r="S22" s="11">
        <f t="shared" si="15"/>
        <v>0</v>
      </c>
      <c r="T22" s="16">
        <f t="shared" si="15"/>
        <v>0</v>
      </c>
      <c r="U22" s="12">
        <f t="shared" si="16"/>
        <v>0</v>
      </c>
    </row>
    <row r="23" spans="1:21">
      <c r="A23" s="2">
        <f t="shared" si="0"/>
        <v>16</v>
      </c>
      <c r="B23" s="132">
        <f>'Sch 95'!B23</f>
        <v>35</v>
      </c>
      <c r="D23" s="116">
        <f>'Revenue by Sch RY#1'!D15</f>
        <v>4407260.1568774413</v>
      </c>
      <c r="E23" s="116">
        <v>8196.3679379811347</v>
      </c>
      <c r="F23" s="116"/>
      <c r="G23" s="129">
        <v>7.3379999999999999E-3</v>
      </c>
      <c r="H23" s="165">
        <v>0.51</v>
      </c>
      <c r="I23" s="12">
        <f t="shared" si="12"/>
        <v>36520.622679537046</v>
      </c>
      <c r="K23" s="4">
        <f t="shared" si="13"/>
        <v>4407260.1568774413</v>
      </c>
      <c r="L23" s="4">
        <f t="shared" si="13"/>
        <v>8196.3679379811347</v>
      </c>
      <c r="M23" s="109">
        <v>0</v>
      </c>
      <c r="N23" s="109">
        <v>0</v>
      </c>
      <c r="O23" s="12">
        <f t="shared" si="14"/>
        <v>0</v>
      </c>
      <c r="P23" s="12"/>
      <c r="Q23" s="116">
        <f>'Revenue by Sch RY#2'!D15</f>
        <v>4380281.1514552524</v>
      </c>
      <c r="R23" s="116">
        <v>8146.3096768096348</v>
      </c>
      <c r="S23" s="11">
        <f t="shared" si="15"/>
        <v>0</v>
      </c>
      <c r="T23" s="16">
        <f t="shared" si="15"/>
        <v>0</v>
      </c>
      <c r="U23" s="12">
        <f t="shared" si="16"/>
        <v>0</v>
      </c>
    </row>
    <row r="24" spans="1:21">
      <c r="A24" s="2">
        <f t="shared" si="0"/>
        <v>17</v>
      </c>
      <c r="B24" s="132">
        <f>'Sch 95'!B24</f>
        <v>43</v>
      </c>
      <c r="D24" s="116">
        <f>'Revenue by Sch RY#1'!D16</f>
        <v>122267424.6450724</v>
      </c>
      <c r="E24" s="116">
        <v>579230.53698067076</v>
      </c>
      <c r="F24" s="116"/>
      <c r="G24" s="129">
        <v>3.6600000000000001E-3</v>
      </c>
      <c r="H24" s="165">
        <v>0.32</v>
      </c>
      <c r="I24" s="12">
        <f t="shared" si="12"/>
        <v>632852.54603477963</v>
      </c>
      <c r="K24" s="4">
        <f t="shared" si="13"/>
        <v>122267424.6450724</v>
      </c>
      <c r="L24" s="4">
        <f t="shared" si="13"/>
        <v>579230.53698067076</v>
      </c>
      <c r="M24" s="109">
        <v>0</v>
      </c>
      <c r="N24" s="109">
        <v>0</v>
      </c>
      <c r="O24" s="12">
        <f t="shared" si="14"/>
        <v>0</v>
      </c>
      <c r="P24" s="12"/>
      <c r="Q24" s="116">
        <f>'Revenue by Sch RY#2'!D16</f>
        <v>121633779.10385114</v>
      </c>
      <c r="R24" s="116">
        <v>573967.09159726952</v>
      </c>
      <c r="S24" s="11">
        <f t="shared" si="15"/>
        <v>0</v>
      </c>
      <c r="T24" s="16">
        <f t="shared" si="15"/>
        <v>0</v>
      </c>
      <c r="U24" s="12">
        <f t="shared" si="16"/>
        <v>0</v>
      </c>
    </row>
    <row r="25" spans="1:21">
      <c r="A25" s="2">
        <f t="shared" si="0"/>
        <v>18</v>
      </c>
      <c r="B25" s="2"/>
      <c r="C25" s="3" t="s">
        <v>7</v>
      </c>
      <c r="D25" s="6">
        <f>SUM(D21:D24)</f>
        <v>1550260704.2807536</v>
      </c>
      <c r="E25" s="6">
        <f>SUM(E21:E24)</f>
        <v>3971419.97569397</v>
      </c>
      <c r="F25" s="6"/>
      <c r="G25" s="130"/>
      <c r="H25" s="160"/>
      <c r="I25" s="13">
        <f t="shared" ref="I25" si="17">SUM(I21:I24)</f>
        <v>8972120.0321849566</v>
      </c>
      <c r="K25" s="6">
        <f>SUM(K21:K24)</f>
        <v>1550260704.2807536</v>
      </c>
      <c r="L25" s="6">
        <f>SUM(L21:L24)</f>
        <v>3971419.97569397</v>
      </c>
      <c r="M25" s="11"/>
      <c r="N25" s="11"/>
      <c r="O25" s="13">
        <f t="shared" ref="O25" si="18">SUM(O21:O24)</f>
        <v>0</v>
      </c>
      <c r="P25" s="12"/>
      <c r="Q25" s="6">
        <f>SUM(Q21:Q24)</f>
        <v>1537312032.3436973</v>
      </c>
      <c r="R25" s="6">
        <f>SUM(R21:R24)</f>
        <v>3926870.8721412653</v>
      </c>
      <c r="S25" s="11"/>
      <c r="T25" s="16"/>
      <c r="U25" s="13">
        <f t="shared" ref="U25" si="19">SUM(U21:U24)</f>
        <v>0</v>
      </c>
    </row>
    <row r="26" spans="1:21">
      <c r="A26" s="2">
        <f t="shared" si="0"/>
        <v>19</v>
      </c>
      <c r="B26" s="2"/>
      <c r="D26" s="4"/>
      <c r="E26" s="4"/>
      <c r="F26" s="4"/>
      <c r="G26" s="130"/>
      <c r="H26" s="160"/>
      <c r="I26" s="12"/>
      <c r="K26" s="4"/>
      <c r="L26" s="4"/>
      <c r="M26" s="11"/>
      <c r="N26" s="11"/>
      <c r="O26" s="12"/>
      <c r="P26" s="12"/>
      <c r="Q26" s="4"/>
      <c r="R26" s="4"/>
      <c r="S26" s="11"/>
      <c r="T26" s="16"/>
      <c r="U26" s="12"/>
    </row>
    <row r="27" spans="1:21">
      <c r="A27" s="2">
        <f t="shared" si="0"/>
        <v>20</v>
      </c>
      <c r="B27" s="132">
        <f>'Sch 95'!B27</f>
        <v>46</v>
      </c>
      <c r="D27" s="116">
        <f>'Revenue by Sch RY#1'!D17</f>
        <v>96933187.043131709</v>
      </c>
      <c r="E27" s="116">
        <v>454913.76433003857</v>
      </c>
      <c r="F27" s="116"/>
      <c r="G27" s="129">
        <v>2.5899999999999999E-3</v>
      </c>
      <c r="H27" s="171">
        <v>0.16</v>
      </c>
      <c r="I27" s="12">
        <f t="shared" ref="I27:I28" si="20">(D27*G27)+(E27*H27)</f>
        <v>323843.15673451731</v>
      </c>
      <c r="K27" s="4">
        <f>D27</f>
        <v>96933187.043131709</v>
      </c>
      <c r="L27" s="4">
        <f>E27</f>
        <v>454913.76433003857</v>
      </c>
      <c r="M27" s="109">
        <v>0</v>
      </c>
      <c r="N27" s="109">
        <v>0</v>
      </c>
      <c r="O27" s="12">
        <f t="shared" ref="O27:O28" si="21">(K27*M27)+(L27*N27)</f>
        <v>0</v>
      </c>
      <c r="P27" s="12"/>
      <c r="Q27" s="116">
        <f>'Revenue by Sch RY#2'!D17</f>
        <v>96918964.527943105</v>
      </c>
      <c r="R27" s="116">
        <v>453901.97661419428</v>
      </c>
      <c r="S27" s="11">
        <f>M27</f>
        <v>0</v>
      </c>
      <c r="T27" s="16">
        <f>N27</f>
        <v>0</v>
      </c>
      <c r="U27" s="12">
        <f t="shared" ref="U27:U28" si="22">(Q27*S27)+(R27*T27)</f>
        <v>0</v>
      </c>
    </row>
    <row r="28" spans="1:21">
      <c r="A28" s="2">
        <f t="shared" si="0"/>
        <v>21</v>
      </c>
      <c r="B28" s="132">
        <f>'Sch 95'!B28</f>
        <v>49</v>
      </c>
      <c r="D28" s="116">
        <f>'Revenue by Sch RY#1'!D18</f>
        <v>534843226.30681556</v>
      </c>
      <c r="E28" s="116">
        <v>1325042.9814690738</v>
      </c>
      <c r="F28" s="116"/>
      <c r="G28" s="129">
        <v>2.5400000000000002E-3</v>
      </c>
      <c r="H28" s="171">
        <v>0.28000000000000003</v>
      </c>
      <c r="I28" s="12">
        <f t="shared" si="20"/>
        <v>1729513.8296306524</v>
      </c>
      <c r="K28" s="4">
        <f>D28</f>
        <v>534843226.30681556</v>
      </c>
      <c r="L28" s="4">
        <f>E28</f>
        <v>1325042.9814690738</v>
      </c>
      <c r="M28" s="109">
        <v>0</v>
      </c>
      <c r="N28" s="109">
        <v>0</v>
      </c>
      <c r="O28" s="12">
        <f t="shared" si="21"/>
        <v>0</v>
      </c>
      <c r="P28" s="12"/>
      <c r="Q28" s="116">
        <f>'Revenue by Sch RY#2'!D18</f>
        <v>534899242.67952603</v>
      </c>
      <c r="R28" s="116">
        <v>1321250.3262371249</v>
      </c>
      <c r="S28" s="11">
        <f>M28</f>
        <v>0</v>
      </c>
      <c r="T28" s="16">
        <f>N28</f>
        <v>0</v>
      </c>
      <c r="U28" s="12">
        <f t="shared" si="22"/>
        <v>0</v>
      </c>
    </row>
    <row r="29" spans="1:21">
      <c r="A29" s="2">
        <f t="shared" si="0"/>
        <v>22</v>
      </c>
      <c r="B29" s="2"/>
      <c r="C29" s="3" t="s">
        <v>8</v>
      </c>
      <c r="D29" s="6">
        <f>SUM(D27:D28)</f>
        <v>631776413.34994721</v>
      </c>
      <c r="E29" s="6">
        <f>SUM(E27:E28)</f>
        <v>1779956.7457991124</v>
      </c>
      <c r="F29" s="6"/>
      <c r="G29" s="11"/>
      <c r="H29" s="117"/>
      <c r="I29" s="13">
        <f t="shared" ref="I29" si="23">SUM(I27:I28)</f>
        <v>2053356.9863651698</v>
      </c>
      <c r="K29" s="6">
        <f>SUM(K27:K28)</f>
        <v>631776413.34994721</v>
      </c>
      <c r="L29" s="6">
        <f>SUM(L27:L28)</f>
        <v>1779956.7457991124</v>
      </c>
      <c r="M29" s="11"/>
      <c r="N29" s="11"/>
      <c r="O29" s="13">
        <f t="shared" ref="O29" si="24">SUM(O27:O28)</f>
        <v>0</v>
      </c>
      <c r="P29" s="12"/>
      <c r="Q29" s="6">
        <f>SUM(Q27:Q28)</f>
        <v>631818207.20746911</v>
      </c>
      <c r="R29" s="6">
        <f>SUM(R27:R28)</f>
        <v>1775152.3028513191</v>
      </c>
      <c r="S29" s="11"/>
      <c r="T29" s="16"/>
      <c r="U29" s="13">
        <f t="shared" ref="U29" si="25">SUM(U27:U28)</f>
        <v>0</v>
      </c>
    </row>
    <row r="30" spans="1:21">
      <c r="A30" s="2">
        <f t="shared" si="0"/>
        <v>23</v>
      </c>
      <c r="B30" s="2"/>
      <c r="D30" s="4"/>
      <c r="E30" s="4"/>
      <c r="F30" s="4"/>
      <c r="G30" s="11"/>
      <c r="H30" s="117"/>
      <c r="I30" s="12"/>
      <c r="K30" s="4"/>
      <c r="L30" s="4"/>
      <c r="M30" s="11"/>
      <c r="N30" s="11"/>
      <c r="O30" s="12"/>
      <c r="P30" s="12"/>
      <c r="Q30" s="4"/>
      <c r="R30" s="4"/>
      <c r="S30" s="11"/>
      <c r="T30" s="16"/>
      <c r="U30" s="12"/>
    </row>
    <row r="31" spans="1:21">
      <c r="A31" s="2">
        <f t="shared" si="0"/>
        <v>24</v>
      </c>
      <c r="B31" s="132" t="str">
        <f>'Sch 95'!B31</f>
        <v>03, 50-59</v>
      </c>
      <c r="D31" s="122">
        <f>'Revenue by Sch RY#1'!D19</f>
        <v>67255417.982360825</v>
      </c>
      <c r="E31" s="122">
        <v>0</v>
      </c>
      <c r="F31" s="122"/>
      <c r="G31" s="117">
        <v>3.0908999999999999E-2</v>
      </c>
      <c r="H31" s="168"/>
      <c r="I31" s="13">
        <f>(D31*G31)+(E31*H31)</f>
        <v>2078797.7144167908</v>
      </c>
      <c r="K31" s="6">
        <f>D31</f>
        <v>67255417.982360825</v>
      </c>
      <c r="L31" s="6">
        <f>E31</f>
        <v>0</v>
      </c>
      <c r="M31" s="109">
        <v>0</v>
      </c>
      <c r="N31" s="109">
        <v>0</v>
      </c>
      <c r="O31" s="13">
        <f>(K31*M31)+(L31*N31)</f>
        <v>0</v>
      </c>
      <c r="P31" s="12"/>
      <c r="Q31" s="122">
        <f>'Revenue by Sch RY#2'!D19</f>
        <v>67027608.143863305</v>
      </c>
      <c r="R31" s="122">
        <v>0</v>
      </c>
      <c r="S31" s="11">
        <f>M31</f>
        <v>0</v>
      </c>
      <c r="T31" s="16">
        <f>N31</f>
        <v>0</v>
      </c>
      <c r="U31" s="13">
        <f>(Q31*S31)+(R31*T31)</f>
        <v>0</v>
      </c>
    </row>
    <row r="32" spans="1:21">
      <c r="A32" s="2">
        <f t="shared" si="0"/>
        <v>25</v>
      </c>
      <c r="B32" s="2"/>
      <c r="D32" s="4"/>
      <c r="E32" s="4"/>
      <c r="F32" s="4"/>
      <c r="G32" s="11"/>
      <c r="H32" s="117"/>
      <c r="I32" s="12"/>
      <c r="K32" s="4"/>
      <c r="L32" s="4"/>
      <c r="M32" s="11"/>
      <c r="N32" s="11"/>
      <c r="O32" s="12"/>
      <c r="P32" s="12"/>
      <c r="Q32" s="4"/>
      <c r="R32" s="4"/>
      <c r="S32" s="11"/>
      <c r="T32" s="16"/>
      <c r="U32" s="12"/>
    </row>
    <row r="33" spans="1:21">
      <c r="A33" s="2">
        <f t="shared" si="0"/>
        <v>26</v>
      </c>
      <c r="B33" s="132" t="str">
        <f>'Sch 95'!B33</f>
        <v>449-459</v>
      </c>
      <c r="D33" s="116">
        <f>'Revenue by Sch RY#1'!D20</f>
        <v>1967511960.3194919</v>
      </c>
      <c r="E33" s="116">
        <v>0</v>
      </c>
      <c r="F33" s="116">
        <v>240</v>
      </c>
      <c r="G33" s="117">
        <v>0</v>
      </c>
      <c r="H33" s="171">
        <v>613</v>
      </c>
      <c r="I33" s="12">
        <f>(D33*G33)+(F33*H33)</f>
        <v>147120</v>
      </c>
      <c r="K33" s="4">
        <f>D33</f>
        <v>1967511960.3194919</v>
      </c>
      <c r="L33" s="4">
        <f>E33</f>
        <v>0</v>
      </c>
      <c r="M33" s="109">
        <v>0</v>
      </c>
      <c r="N33" s="109">
        <v>0</v>
      </c>
      <c r="O33" s="12">
        <f t="shared" ref="O33:O34" si="26">(K33*M33)+(L33*N33)</f>
        <v>0</v>
      </c>
      <c r="P33" s="12"/>
      <c r="Q33" s="116">
        <f>'Revenue by Sch RY#2'!D20</f>
        <v>1964993565.6779518</v>
      </c>
      <c r="R33" s="116">
        <v>0</v>
      </c>
      <c r="S33" s="11">
        <f>M33</f>
        <v>0</v>
      </c>
      <c r="T33" s="16">
        <f>N33</f>
        <v>0</v>
      </c>
      <c r="U33" s="12">
        <f t="shared" ref="U33:U34" si="27">(Q33*S33)+(R33*T33)</f>
        <v>0</v>
      </c>
    </row>
    <row r="34" spans="1:21">
      <c r="A34" s="2">
        <f t="shared" si="0"/>
        <v>27</v>
      </c>
      <c r="B34" s="132" t="str">
        <f>'Sch 95'!B34</f>
        <v>Special Contract</v>
      </c>
      <c r="D34" s="116">
        <f>'Revenue by Sch RY#1'!D21</f>
        <v>304773055.46200001</v>
      </c>
      <c r="E34" s="116">
        <v>0</v>
      </c>
      <c r="F34" s="116"/>
      <c r="G34" s="117">
        <v>1.5510000000000001E-3</v>
      </c>
      <c r="H34" s="168"/>
      <c r="I34" s="12">
        <f t="shared" ref="I34" si="28">(D34*G34)+(E34*H34)</f>
        <v>472703.00902156206</v>
      </c>
      <c r="K34" s="4">
        <f>D34</f>
        <v>304773055.46200001</v>
      </c>
      <c r="L34" s="4">
        <f>E34</f>
        <v>0</v>
      </c>
      <c r="M34" s="109">
        <v>0</v>
      </c>
      <c r="N34" s="109">
        <v>0</v>
      </c>
      <c r="O34" s="12">
        <f t="shared" si="26"/>
        <v>0</v>
      </c>
      <c r="P34" s="12"/>
      <c r="Q34" s="116">
        <f>'Revenue by Sch RY#2'!D21</f>
        <v>304773055.46200001</v>
      </c>
      <c r="R34" s="116">
        <v>0</v>
      </c>
      <c r="S34" s="11">
        <f>M34</f>
        <v>0</v>
      </c>
      <c r="T34" s="16">
        <f>N34</f>
        <v>0</v>
      </c>
      <c r="U34" s="12">
        <f t="shared" si="27"/>
        <v>0</v>
      </c>
    </row>
    <row r="35" spans="1:21">
      <c r="A35" s="2">
        <f t="shared" si="0"/>
        <v>28</v>
      </c>
      <c r="B35" s="5"/>
      <c r="C35" s="3" t="s">
        <v>77</v>
      </c>
      <c r="D35" s="6">
        <f>SUM(D33:D34)</f>
        <v>2272285015.7814918</v>
      </c>
      <c r="E35" s="6">
        <f>SUM(E33:E34)</f>
        <v>0</v>
      </c>
      <c r="F35" s="6"/>
      <c r="G35" s="11"/>
      <c r="H35" s="117"/>
      <c r="I35" s="13">
        <f t="shared" ref="I35" si="29">SUM(I33:I34)</f>
        <v>619823.00902156206</v>
      </c>
      <c r="K35" s="6">
        <f>SUM(K33:K34)</f>
        <v>2272285015.7814918</v>
      </c>
      <c r="L35" s="6">
        <f>SUM(L33:L34)</f>
        <v>0</v>
      </c>
      <c r="O35" s="13">
        <f t="shared" ref="O35" si="30">SUM(O33:O34)</f>
        <v>0</v>
      </c>
      <c r="P35" s="12"/>
      <c r="Q35" s="6">
        <f>SUM(Q33:Q34)</f>
        <v>2269766621.1399517</v>
      </c>
      <c r="R35" s="6">
        <f>SUM(R33:R34)</f>
        <v>0</v>
      </c>
      <c r="T35" s="16"/>
      <c r="U35" s="13">
        <f t="shared" ref="U35" si="31">SUM(U33:U34)</f>
        <v>0</v>
      </c>
    </row>
    <row r="36" spans="1:21">
      <c r="A36" s="2">
        <f t="shared" si="0"/>
        <v>29</v>
      </c>
      <c r="B36" s="2"/>
      <c r="D36" s="4"/>
      <c r="E36" s="4"/>
      <c r="F36" s="4"/>
      <c r="G36" s="11"/>
      <c r="H36" s="117"/>
      <c r="I36" s="12"/>
      <c r="K36" s="4"/>
      <c r="L36" s="4"/>
      <c r="O36" s="12"/>
      <c r="P36" s="12"/>
      <c r="Q36" s="4"/>
      <c r="R36" s="4"/>
      <c r="T36" s="16"/>
      <c r="U36" s="12"/>
    </row>
    <row r="37" spans="1:21" ht="12" thickBot="1">
      <c r="A37" s="2">
        <f t="shared" si="0"/>
        <v>30</v>
      </c>
      <c r="B37" s="2"/>
      <c r="C37" s="7" t="s">
        <v>15</v>
      </c>
      <c r="D37" s="8">
        <f>SUM(D10,D19,D25,D29,D31,D35)</f>
        <v>23551443434.196022</v>
      </c>
      <c r="E37" s="8">
        <f>SUM(E10,E19,E25,E29,E31,E35)</f>
        <v>15219896.163847174</v>
      </c>
      <c r="F37" s="8"/>
      <c r="G37" s="11"/>
      <c r="H37" s="117"/>
      <c r="I37" s="14">
        <f>SUM(I10,I19,I25,I29,I31,I35)</f>
        <v>160827628.77668729</v>
      </c>
      <c r="K37" s="8">
        <f>SUM(K10,K19,K25,K29,K31,K35)</f>
        <v>23551443434.196022</v>
      </c>
      <c r="L37" s="8">
        <f>SUM(L10,L19,L25,L29,L31,L35)</f>
        <v>15219896.163847174</v>
      </c>
      <c r="O37" s="14">
        <f>SUM(O10,O19,O25,O29,O31,O35)</f>
        <v>0</v>
      </c>
      <c r="P37" s="12"/>
      <c r="Q37" s="8">
        <f>SUM(Q10,Q19,Q25,Q29,Q31,Q35)</f>
        <v>23768895895.058746</v>
      </c>
      <c r="R37" s="8">
        <f>SUM(R10,R19,R25,R29,R31,R35)</f>
        <v>15255976.023198087</v>
      </c>
      <c r="T37" s="16"/>
      <c r="U37" s="14">
        <f>SUM(U10,U19,U25,U29,U31,U35)</f>
        <v>0</v>
      </c>
    </row>
    <row r="38" spans="1:21" ht="12" thickTop="1">
      <c r="A38" s="2">
        <f t="shared" si="0"/>
        <v>31</v>
      </c>
      <c r="B38" s="2"/>
      <c r="G38" s="11"/>
      <c r="H38" s="117"/>
      <c r="I38" s="12"/>
      <c r="O38" s="12"/>
      <c r="P38" s="12"/>
      <c r="T38" s="16"/>
      <c r="U38" s="12"/>
    </row>
    <row r="39" spans="1:21">
      <c r="A39" s="2">
        <f t="shared" si="0"/>
        <v>32</v>
      </c>
      <c r="B39" s="132">
        <f>'Sch 95'!B39</f>
        <v>5</v>
      </c>
      <c r="C39" s="3" t="s">
        <v>16</v>
      </c>
      <c r="D39" s="122">
        <f>'Revenue by Sch RY#1'!D22</f>
        <v>6714960.2368700616</v>
      </c>
      <c r="E39" s="122">
        <v>13394.355918136085</v>
      </c>
      <c r="F39" s="122"/>
      <c r="G39" s="117">
        <v>4.2430000000000002E-3</v>
      </c>
      <c r="H39" s="171">
        <v>0.64</v>
      </c>
      <c r="I39" s="13">
        <f>(D39*G39)+(E39*H39)</f>
        <v>37063.964072646762</v>
      </c>
      <c r="K39" s="6">
        <f>D39</f>
        <v>6714960.2368700616</v>
      </c>
      <c r="L39" s="6">
        <f>E39</f>
        <v>13394.355918136085</v>
      </c>
      <c r="M39" s="109">
        <v>0</v>
      </c>
      <c r="N39" s="109">
        <v>0</v>
      </c>
      <c r="O39" s="13">
        <f>(K39*M39)+(L39*N39)</f>
        <v>0</v>
      </c>
      <c r="P39" s="12"/>
      <c r="Q39" s="122">
        <f>'Revenue by Sch RY#2'!D22</f>
        <v>6710049.8818741431</v>
      </c>
      <c r="R39" s="122">
        <v>13319.835934941628</v>
      </c>
      <c r="S39" s="11">
        <f>M39</f>
        <v>0</v>
      </c>
      <c r="T39" s="16">
        <f>N39</f>
        <v>0</v>
      </c>
      <c r="U39" s="13">
        <f>(Q39*S39)+(R39*T39)</f>
        <v>0</v>
      </c>
    </row>
    <row r="40" spans="1:21">
      <c r="A40" s="2">
        <f t="shared" si="0"/>
        <v>33</v>
      </c>
      <c r="B40" s="2"/>
      <c r="G40" s="117"/>
      <c r="H40" s="117"/>
      <c r="I40" s="12"/>
      <c r="O40" s="12"/>
      <c r="P40" s="12"/>
      <c r="U40" s="12"/>
    </row>
    <row r="41" spans="1:21" ht="12" thickBot="1">
      <c r="A41" s="2">
        <f t="shared" si="0"/>
        <v>34</v>
      </c>
      <c r="B41" s="2"/>
      <c r="C41" s="110" t="s">
        <v>17</v>
      </c>
      <c r="D41" s="111">
        <f>SUM(D37,D39)</f>
        <v>23558158394.432892</v>
      </c>
      <c r="E41" s="111">
        <f>SUM(E37,E39)</f>
        <v>15233290.51976531</v>
      </c>
      <c r="F41" s="111"/>
      <c r="G41" s="169"/>
      <c r="H41" s="169"/>
      <c r="I41" s="113">
        <f>SUM(I37,I39)</f>
        <v>160864692.74075994</v>
      </c>
      <c r="J41" s="15"/>
      <c r="K41" s="111">
        <f>SUM(K37,K39)</f>
        <v>23558158394.432892</v>
      </c>
      <c r="L41" s="111">
        <f>SUM(L37,L39)</f>
        <v>15233290.51976531</v>
      </c>
      <c r="M41" s="15"/>
      <c r="N41" s="15"/>
      <c r="O41" s="113">
        <f>SUM(O37,O39)</f>
        <v>0</v>
      </c>
      <c r="P41" s="114"/>
      <c r="Q41" s="111">
        <f>SUM(Q37,Q39)</f>
        <v>23775605944.94062</v>
      </c>
      <c r="R41" s="111">
        <f>SUM(R37,R39)</f>
        <v>15269295.859133027</v>
      </c>
      <c r="S41" s="15"/>
      <c r="T41" s="15"/>
      <c r="U41" s="113">
        <f>SUM(U37,U39)</f>
        <v>0</v>
      </c>
    </row>
    <row r="42" spans="1:21" ht="12" thickTop="1">
      <c r="D42" s="123">
        <f>'Revenue by Sch RY#1'!D24</f>
        <v>23558158394.432896</v>
      </c>
      <c r="E42" s="123">
        <v>15233290.519765308</v>
      </c>
      <c r="F42" s="170"/>
      <c r="G42" s="170"/>
      <c r="H42" s="170"/>
      <c r="K42" s="162">
        <f>D41</f>
        <v>23558158394.432892</v>
      </c>
      <c r="L42" s="162">
        <f>E41</f>
        <v>15233290.51976531</v>
      </c>
      <c r="Q42" s="123">
        <f>'Revenue by Sch RY#2'!D24</f>
        <v>23775605944.94062</v>
      </c>
      <c r="R42" s="123">
        <v>15269295.859133029</v>
      </c>
    </row>
    <row r="43" spans="1:21">
      <c r="C43" s="17" t="s">
        <v>168</v>
      </c>
      <c r="D43" s="124">
        <f>D41-D42</f>
        <v>0</v>
      </c>
      <c r="E43" s="124">
        <f>E41-E42</f>
        <v>0</v>
      </c>
      <c r="F43" s="170"/>
      <c r="G43" s="170"/>
      <c r="H43" s="170"/>
      <c r="K43" s="124">
        <f>K41-K42</f>
        <v>0</v>
      </c>
      <c r="L43" s="124">
        <f>L41-L42</f>
        <v>0</v>
      </c>
      <c r="Q43" s="124">
        <f>Q41-Q42</f>
        <v>0</v>
      </c>
      <c r="R43" s="124">
        <f>R41-R42</f>
        <v>0</v>
      </c>
    </row>
    <row r="44" spans="1:21">
      <c r="G44" s="170"/>
      <c r="H44" s="170"/>
      <c r="Q44" s="4"/>
      <c r="R44" s="4"/>
    </row>
    <row r="45" spans="1:21">
      <c r="B45" s="3" t="s">
        <v>249</v>
      </c>
      <c r="C45" s="101"/>
      <c r="G45" s="170"/>
      <c r="H45" s="170"/>
    </row>
  </sheetData>
  <mergeCells count="10">
    <mergeCell ref="A1:U1"/>
    <mergeCell ref="A2:U2"/>
    <mergeCell ref="A3:U3"/>
    <mergeCell ref="A4:U4"/>
    <mergeCell ref="A5:G5"/>
    <mergeCell ref="K6:O6"/>
    <mergeCell ref="Q6:U6"/>
    <mergeCell ref="G7:H7"/>
    <mergeCell ref="M7:N7"/>
    <mergeCell ref="S7:T7"/>
  </mergeCells>
  <pageMargins left="0.7" right="0.7" top="0.75" bottom="0.75" header="0.3" footer="0.3"/>
  <pageSetup scale="53" orientation="landscape" horizontalDpi="360" verticalDpi="360" r:id="rId1"/>
  <headerFooter>
    <oddFooter>&amp;R&amp;F
&amp;A
&amp;P of &amp;N</oddFooter>
  </headerFooter>
  <customProperties>
    <customPr name="_pios_id" r:id="rId2"/>
  </customPropertie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6" tint="0.79998168889431442"/>
    <pageSetUpPr fitToPage="1"/>
  </sheetPr>
  <dimension ref="A1:W45"/>
  <sheetViews>
    <sheetView zoomScaleNormal="100" workbookViewId="0">
      <pane ySplit="7" topLeftCell="A8" activePane="bottomLeft" state="frozen"/>
      <selection activeCell="U42" sqref="U42"/>
      <selection pane="bottomLeft" activeCell="U42" sqref="U42"/>
    </sheetView>
  </sheetViews>
  <sheetFormatPr defaultColWidth="8.85546875" defaultRowHeight="11.25"/>
  <cols>
    <col min="1" max="1" width="4.42578125" style="3" bestFit="1" customWidth="1"/>
    <col min="2" max="2" width="14.85546875" style="3" bestFit="1" customWidth="1"/>
    <col min="3" max="3" width="21.7109375" style="3" bestFit="1" customWidth="1"/>
    <col min="4" max="4" width="15.140625" style="3" bestFit="1" customWidth="1"/>
    <col min="5" max="5" width="15.140625" style="3" customWidth="1"/>
    <col min="6" max="6" width="9.28515625" style="3" bestFit="1" customWidth="1"/>
    <col min="7" max="7" width="11" style="3" customWidth="1"/>
    <col min="8" max="8" width="11.140625" style="3" bestFit="1" customWidth="1"/>
    <col min="9" max="9" width="11.85546875" style="3" customWidth="1"/>
    <col min="10" max="10" width="0.85546875" style="3" customWidth="1"/>
    <col min="11" max="11" width="12.85546875" style="3" bestFit="1" customWidth="1"/>
    <col min="12" max="12" width="12.85546875" style="3" customWidth="1"/>
    <col min="13" max="13" width="9.42578125" style="3" bestFit="1" customWidth="1"/>
    <col min="14" max="14" width="9.42578125" style="3" customWidth="1"/>
    <col min="15" max="15" width="11.5703125" style="3" bestFit="1" customWidth="1"/>
    <col min="16" max="16" width="1" style="3" customWidth="1"/>
    <col min="17" max="17" width="12.85546875" style="3" bestFit="1" customWidth="1"/>
    <col min="18" max="18" width="12.85546875" style="3" customWidth="1"/>
    <col min="19" max="19" width="9.42578125" style="3" bestFit="1" customWidth="1"/>
    <col min="20" max="20" width="9.42578125" style="3" customWidth="1"/>
    <col min="21" max="21" width="13.42578125" style="3" customWidth="1"/>
    <col min="22" max="22" width="8.85546875" style="3"/>
    <col min="23" max="23" width="9.85546875" style="3" bestFit="1" customWidth="1"/>
    <col min="24" max="16384" width="8.85546875" style="3"/>
  </cols>
  <sheetData>
    <row r="1" spans="1:23" s="15" customFormat="1" ht="12.75" customHeight="1">
      <c r="A1" s="459" t="str">
        <f>'Exh CTM-8 (Rate Impacts_RY#1)'!A1</f>
        <v>Puget Sound Energy</v>
      </c>
      <c r="B1" s="460"/>
      <c r="C1" s="460"/>
      <c r="D1" s="460"/>
      <c r="E1" s="460"/>
      <c r="F1" s="460"/>
      <c r="G1" s="460"/>
      <c r="H1" s="460"/>
      <c r="I1" s="460"/>
      <c r="J1" s="460"/>
      <c r="K1" s="460"/>
      <c r="L1" s="460"/>
      <c r="M1" s="460"/>
      <c r="N1" s="460"/>
      <c r="O1" s="460"/>
      <c r="P1" s="460"/>
      <c r="Q1" s="460"/>
      <c r="R1" s="460"/>
      <c r="S1" s="460"/>
      <c r="T1" s="460"/>
      <c r="U1" s="460"/>
    </row>
    <row r="2" spans="1:23" s="15" customFormat="1" ht="12.75">
      <c r="A2" s="459" t="str">
        <f>'Exh CTM-8 (Rate Impacts_RY#1)'!A2</f>
        <v>2024 General Rate Case Docket No. UE-240004 and UG-240005</v>
      </c>
      <c r="B2" s="460"/>
      <c r="C2" s="460"/>
      <c r="D2" s="460"/>
      <c r="E2" s="460"/>
      <c r="F2" s="460"/>
      <c r="G2" s="460"/>
      <c r="H2" s="460"/>
      <c r="I2" s="460"/>
      <c r="J2" s="460"/>
      <c r="K2" s="460"/>
      <c r="L2" s="460"/>
      <c r="M2" s="460"/>
      <c r="N2" s="460"/>
      <c r="O2" s="460"/>
      <c r="P2" s="460"/>
      <c r="Q2" s="460"/>
      <c r="R2" s="460"/>
      <c r="S2" s="460"/>
      <c r="T2" s="460"/>
      <c r="U2" s="460"/>
    </row>
    <row r="3" spans="1:23" s="15" customFormat="1" ht="12.75">
      <c r="A3" s="545" t="s">
        <v>245</v>
      </c>
      <c r="B3" s="470"/>
      <c r="C3" s="470"/>
      <c r="D3" s="470"/>
      <c r="E3" s="470"/>
      <c r="F3" s="470"/>
      <c r="G3" s="470"/>
      <c r="H3" s="470"/>
      <c r="I3" s="471"/>
      <c r="J3" s="471"/>
      <c r="K3" s="471"/>
      <c r="L3" s="471"/>
      <c r="M3" s="471"/>
      <c r="N3" s="471"/>
      <c r="O3" s="471"/>
      <c r="P3" s="471"/>
      <c r="Q3" s="471"/>
      <c r="R3" s="471"/>
      <c r="S3" s="471"/>
      <c r="T3" s="471"/>
      <c r="U3" s="471"/>
    </row>
    <row r="4" spans="1:23" s="15" customFormat="1" ht="12.75">
      <c r="A4" s="545" t="s">
        <v>177</v>
      </c>
      <c r="B4" s="470"/>
      <c r="C4" s="470"/>
      <c r="D4" s="470"/>
      <c r="E4" s="470"/>
      <c r="F4" s="470"/>
      <c r="G4" s="470"/>
      <c r="H4" s="470"/>
      <c r="I4" s="471"/>
      <c r="J4" s="471"/>
      <c r="K4" s="471"/>
      <c r="L4" s="471"/>
      <c r="M4" s="471"/>
      <c r="N4" s="471"/>
      <c r="O4" s="471"/>
      <c r="P4" s="471"/>
      <c r="Q4" s="471"/>
      <c r="R4" s="471"/>
      <c r="S4" s="471"/>
      <c r="T4" s="471"/>
      <c r="U4" s="471"/>
    </row>
    <row r="5" spans="1:23" s="15" customFormat="1">
      <c r="A5" s="456"/>
      <c r="B5" s="456"/>
      <c r="C5" s="456"/>
      <c r="D5" s="456"/>
      <c r="E5" s="456"/>
      <c r="F5" s="456"/>
      <c r="G5" s="456"/>
      <c r="H5" s="44"/>
      <c r="I5" s="44"/>
    </row>
    <row r="6" spans="1:23" s="15" customFormat="1" ht="12.75">
      <c r="A6" s="45"/>
      <c r="B6" s="44"/>
      <c r="C6" s="44"/>
      <c r="D6" s="44"/>
      <c r="E6" s="44"/>
      <c r="F6" s="44"/>
      <c r="K6" s="546" t="str">
        <f>'Sch 95'!H6</f>
        <v>MYRP January 2025</v>
      </c>
      <c r="L6" s="553"/>
      <c r="M6" s="494"/>
      <c r="N6" s="494"/>
      <c r="O6" s="493"/>
      <c r="P6" s="132">
        <f>'Sch 95'!K6</f>
        <v>0</v>
      </c>
      <c r="Q6" s="546" t="str">
        <f>'Sch 95'!L6</f>
        <v>MYRP January 2026</v>
      </c>
      <c r="R6" s="553"/>
      <c r="S6" s="547"/>
      <c r="T6" s="547"/>
      <c r="U6" s="548"/>
    </row>
    <row r="7" spans="1:23" s="15" customFormat="1" ht="67.5">
      <c r="A7" s="97" t="s">
        <v>2</v>
      </c>
      <c r="B7" s="97" t="s">
        <v>3</v>
      </c>
      <c r="C7" s="97" t="s">
        <v>14</v>
      </c>
      <c r="D7" s="133" t="str">
        <f>'Sch 95'!D7</f>
        <v>12 months ending December 2025 F23 Forecast KWh</v>
      </c>
      <c r="E7" s="133" t="str">
        <f>'Sch 141CEI'!E7</f>
        <v>12 months ending December 2025 F23 Forecast KW/KVA</v>
      </c>
      <c r="F7" s="167" t="s">
        <v>244</v>
      </c>
      <c r="G7" s="551" t="str">
        <f>'Sch 95'!E7</f>
        <v>Current Rates as of January 2024 (1)</v>
      </c>
      <c r="H7" s="552"/>
      <c r="I7" s="133" t="str">
        <f>'Sch 95'!F7</f>
        <v>Annual Delivered $</v>
      </c>
      <c r="J7" s="133">
        <f>'Sch 95'!G7</f>
        <v>0</v>
      </c>
      <c r="K7" s="133" t="str">
        <f>'Sch 95'!H7</f>
        <v>Annual Delivered KWh</v>
      </c>
      <c r="L7" s="133" t="str">
        <f>'Sch 141CEI'!K7</f>
        <v>Annual Delivered KW/Kva</v>
      </c>
      <c r="M7" s="553" t="str">
        <f>'Sch 95'!I7</f>
        <v>Rates Effective January 2025</v>
      </c>
      <c r="N7" s="494"/>
      <c r="O7" s="133" t="str">
        <f>'Sch 95'!J7</f>
        <v>Annual Delivered $</v>
      </c>
      <c r="P7" s="133">
        <f>'Sch 95'!K7</f>
        <v>0</v>
      </c>
      <c r="Q7" s="133" t="str">
        <f>'Sch 95'!L7</f>
        <v>Annual Delivered KWh</v>
      </c>
      <c r="R7" s="97" t="str">
        <f>L7</f>
        <v>Annual Delivered KW/Kva</v>
      </c>
      <c r="S7" s="553" t="str">
        <f>'Sch 95'!M7</f>
        <v>Rates Effective January 2026</v>
      </c>
      <c r="T7" s="494"/>
      <c r="U7" s="133" t="str">
        <f>'Sch 95'!N7</f>
        <v>Annual Delivered $</v>
      </c>
    </row>
    <row r="8" spans="1:23">
      <c r="A8" s="2">
        <v>1</v>
      </c>
      <c r="B8" s="132" t="str">
        <f>'Sch 95'!B8</f>
        <v xml:space="preserve"> 7 (307) (317) (327)</v>
      </c>
      <c r="D8" s="116">
        <f>'Revenue by Sch RY#1'!D9</f>
        <v>11278205851.395365</v>
      </c>
      <c r="E8" s="116">
        <v>0</v>
      </c>
      <c r="F8" s="116"/>
      <c r="G8" s="129">
        <v>8.1049999999999994E-3</v>
      </c>
      <c r="H8" s="168"/>
      <c r="I8" s="12">
        <f>(D8*G8)+(E8*H8)</f>
        <v>91409858.425559431</v>
      </c>
      <c r="K8" s="4">
        <f>D8</f>
        <v>11278205851.395365</v>
      </c>
      <c r="L8" s="4">
        <f>E8</f>
        <v>0</v>
      </c>
      <c r="M8" s="109">
        <v>0</v>
      </c>
      <c r="N8" s="109">
        <v>0</v>
      </c>
      <c r="O8" s="12">
        <f>(K8*M8)+(L8*N8)</f>
        <v>0</v>
      </c>
      <c r="P8" s="12"/>
      <c r="Q8" s="116">
        <f>'Revenue by Sch RY#2'!D9</f>
        <v>11447649239.71397</v>
      </c>
      <c r="R8" s="116">
        <v>0</v>
      </c>
      <c r="S8" s="11">
        <f>M8</f>
        <v>0</v>
      </c>
      <c r="T8" s="16">
        <f>N8</f>
        <v>0</v>
      </c>
      <c r="U8" s="12">
        <f>(Q8*S8)+(R8*T8)</f>
        <v>0</v>
      </c>
      <c r="W8" s="15"/>
    </row>
    <row r="9" spans="1:23">
      <c r="A9" s="2">
        <f t="shared" ref="A9:A41" si="0">+A8+1</f>
        <v>2</v>
      </c>
      <c r="B9" s="132" t="str">
        <f>'Sch 95'!B9</f>
        <v xml:space="preserve">7A </v>
      </c>
      <c r="D9" s="115">
        <v>0</v>
      </c>
      <c r="E9" s="115">
        <v>0</v>
      </c>
      <c r="F9" s="115"/>
      <c r="G9" s="129">
        <v>5.5700000000000003E-3</v>
      </c>
      <c r="H9" s="171">
        <v>0.62</v>
      </c>
      <c r="I9" s="12">
        <f>(D9*G9)+(E9*H9)</f>
        <v>0</v>
      </c>
      <c r="K9" s="4">
        <f>D9</f>
        <v>0</v>
      </c>
      <c r="L9" s="4">
        <f>E9</f>
        <v>0</v>
      </c>
      <c r="M9" s="109">
        <v>0</v>
      </c>
      <c r="N9" s="109">
        <v>0</v>
      </c>
      <c r="O9" s="12">
        <f>(K9*M9)+(L9*N9)</f>
        <v>0</v>
      </c>
      <c r="P9" s="12"/>
      <c r="Q9" s="4">
        <v>0</v>
      </c>
      <c r="R9" s="115">
        <v>0</v>
      </c>
      <c r="S9" s="11">
        <f>M9</f>
        <v>0</v>
      </c>
      <c r="T9" s="16">
        <f>N9</f>
        <v>0</v>
      </c>
      <c r="U9" s="12">
        <f>(Q9*S9)+(R9*T9)</f>
        <v>0</v>
      </c>
      <c r="W9" s="15"/>
    </row>
    <row r="10" spans="1:23">
      <c r="A10" s="2">
        <f t="shared" si="0"/>
        <v>3</v>
      </c>
      <c r="B10" s="2"/>
      <c r="C10" s="3" t="s">
        <v>4</v>
      </c>
      <c r="D10" s="6">
        <f>SUM(D8:D9)</f>
        <v>11278205851.395365</v>
      </c>
      <c r="E10" s="6">
        <f>SUM(E8:E9)</f>
        <v>0</v>
      </c>
      <c r="F10" s="6"/>
      <c r="G10" s="130"/>
      <c r="H10" s="160"/>
      <c r="I10" s="13">
        <f t="shared" ref="I10" si="1">SUM(I8:I9)</f>
        <v>91409858.425559431</v>
      </c>
      <c r="K10" s="6">
        <f>SUM(K8:K9)</f>
        <v>11278205851.395365</v>
      </c>
      <c r="L10" s="6">
        <f>SUM(L8:L9)</f>
        <v>0</v>
      </c>
      <c r="M10" s="11"/>
      <c r="N10" s="11"/>
      <c r="O10" s="13">
        <f t="shared" ref="O10" si="2">SUM(O8:O9)</f>
        <v>0</v>
      </c>
      <c r="P10" s="12"/>
      <c r="Q10" s="6">
        <f>SUM(Q8:Q9)</f>
        <v>11447649239.71397</v>
      </c>
      <c r="R10" s="6">
        <f>SUM(R8:R9)</f>
        <v>0</v>
      </c>
      <c r="S10" s="11"/>
      <c r="T10" s="16"/>
      <c r="U10" s="13">
        <f t="shared" ref="U10" si="3">SUM(U8:U9)</f>
        <v>0</v>
      </c>
      <c r="W10" s="15"/>
    </row>
    <row r="11" spans="1:23">
      <c r="A11" s="2">
        <f t="shared" si="0"/>
        <v>4</v>
      </c>
      <c r="B11" s="2"/>
      <c r="D11" s="4"/>
      <c r="E11" s="4"/>
      <c r="F11" s="4"/>
      <c r="G11" s="130"/>
      <c r="H11" s="160"/>
      <c r="I11" s="12"/>
      <c r="K11" s="4"/>
      <c r="L11" s="4"/>
      <c r="M11" s="11"/>
      <c r="N11" s="11"/>
      <c r="O11" s="12"/>
      <c r="P11" s="12"/>
      <c r="Q11" s="4"/>
      <c r="R11" s="4"/>
      <c r="S11" s="11"/>
      <c r="T11" s="16"/>
      <c r="U11" s="12"/>
      <c r="W11" s="15"/>
    </row>
    <row r="12" spans="1:23">
      <c r="A12" s="2">
        <f t="shared" si="0"/>
        <v>5</v>
      </c>
      <c r="B12" s="132">
        <f>'Sch 95'!B12</f>
        <v>8</v>
      </c>
      <c r="D12" s="115">
        <v>0</v>
      </c>
      <c r="E12" s="115">
        <v>0</v>
      </c>
      <c r="F12" s="115"/>
      <c r="G12" s="129">
        <v>6.3020000000000003E-3</v>
      </c>
      <c r="H12" s="168"/>
      <c r="I12" s="12">
        <f t="shared" ref="I12:I18" si="4">(D12*G12)+(E12*H12)</f>
        <v>0</v>
      </c>
      <c r="K12" s="4">
        <f t="shared" ref="K12:L18" si="5">D12</f>
        <v>0</v>
      </c>
      <c r="L12" s="4">
        <f t="shared" si="5"/>
        <v>0</v>
      </c>
      <c r="M12" s="109">
        <v>0</v>
      </c>
      <c r="N12" s="109">
        <v>0</v>
      </c>
      <c r="O12" s="12">
        <f t="shared" ref="O12:O18" si="6">(K12*M12)+(L12*N12)</f>
        <v>0</v>
      </c>
      <c r="P12" s="12"/>
      <c r="Q12" s="4">
        <v>0</v>
      </c>
      <c r="R12" s="115">
        <v>0</v>
      </c>
      <c r="S12" s="11">
        <f t="shared" ref="S12:T18" si="7">M12</f>
        <v>0</v>
      </c>
      <c r="T12" s="16">
        <f t="shared" si="7"/>
        <v>0</v>
      </c>
      <c r="U12" s="12">
        <f t="shared" ref="U12:U18" si="8">(Q12*S12)+(R12*T12)</f>
        <v>0</v>
      </c>
      <c r="W12" s="15"/>
    </row>
    <row r="13" spans="1:23">
      <c r="A13" s="2">
        <f t="shared" si="0"/>
        <v>6</v>
      </c>
      <c r="B13" s="132" t="str">
        <f>'Sch 95'!B13</f>
        <v>24 (324)</v>
      </c>
      <c r="D13" s="116">
        <f>'Revenue by Sch RY#1'!D10</f>
        <v>2762635966.1696987</v>
      </c>
      <c r="E13" s="115">
        <v>0</v>
      </c>
      <c r="F13" s="115"/>
      <c r="G13" s="130">
        <f>+G12</f>
        <v>6.3020000000000003E-3</v>
      </c>
      <c r="H13" s="160"/>
      <c r="I13" s="12">
        <f t="shared" si="4"/>
        <v>17410131.858801443</v>
      </c>
      <c r="K13" s="4">
        <f t="shared" si="5"/>
        <v>2762635966.1696987</v>
      </c>
      <c r="L13" s="4">
        <f t="shared" si="5"/>
        <v>0</v>
      </c>
      <c r="M13" s="109">
        <v>0</v>
      </c>
      <c r="N13" s="109">
        <v>0</v>
      </c>
      <c r="O13" s="12">
        <f t="shared" si="6"/>
        <v>0</v>
      </c>
      <c r="P13" s="12"/>
      <c r="Q13" s="116">
        <f>'Revenue by Sch RY#2'!D10</f>
        <v>2774967422.2693906</v>
      </c>
      <c r="R13" s="115">
        <v>0</v>
      </c>
      <c r="S13" s="11">
        <f t="shared" si="7"/>
        <v>0</v>
      </c>
      <c r="T13" s="16">
        <f t="shared" si="7"/>
        <v>0</v>
      </c>
      <c r="U13" s="12">
        <f t="shared" si="8"/>
        <v>0</v>
      </c>
      <c r="W13" s="15"/>
    </row>
    <row r="14" spans="1:23">
      <c r="A14" s="2">
        <f t="shared" si="0"/>
        <v>7</v>
      </c>
      <c r="B14" s="132">
        <f>'Sch 95'!B14</f>
        <v>11</v>
      </c>
      <c r="D14" s="115">
        <v>0</v>
      </c>
      <c r="E14" s="115">
        <v>0</v>
      </c>
      <c r="F14" s="115"/>
      <c r="G14" s="130">
        <f>G9</f>
        <v>5.5700000000000003E-3</v>
      </c>
      <c r="H14" s="166">
        <f>+H9</f>
        <v>0.62</v>
      </c>
      <c r="I14" s="12">
        <f t="shared" si="4"/>
        <v>0</v>
      </c>
      <c r="K14" s="4">
        <f t="shared" si="5"/>
        <v>0</v>
      </c>
      <c r="L14" s="4">
        <f t="shared" si="5"/>
        <v>0</v>
      </c>
      <c r="M14" s="109">
        <v>0</v>
      </c>
      <c r="N14" s="109">
        <v>0</v>
      </c>
      <c r="O14" s="12">
        <f t="shared" si="6"/>
        <v>0</v>
      </c>
      <c r="P14" s="12"/>
      <c r="Q14" s="4">
        <v>0</v>
      </c>
      <c r="R14" s="115">
        <v>0</v>
      </c>
      <c r="S14" s="11">
        <f t="shared" si="7"/>
        <v>0</v>
      </c>
      <c r="T14" s="16">
        <f t="shared" si="7"/>
        <v>0</v>
      </c>
      <c r="U14" s="12">
        <f t="shared" si="8"/>
        <v>0</v>
      </c>
    </row>
    <row r="15" spans="1:23">
      <c r="A15" s="2">
        <f t="shared" si="0"/>
        <v>8</v>
      </c>
      <c r="B15" s="132">
        <f>'Sch 95'!B15</f>
        <v>25</v>
      </c>
      <c r="D15" s="116">
        <f>'Revenue by Sch RY#1'!D11</f>
        <v>2960202274.8054705</v>
      </c>
      <c r="E15" s="116">
        <v>4517887.0072913375</v>
      </c>
      <c r="F15" s="116"/>
      <c r="G15" s="130">
        <f>+G14</f>
        <v>5.5700000000000003E-3</v>
      </c>
      <c r="H15" s="166">
        <f>+H14</f>
        <v>0.62</v>
      </c>
      <c r="I15" s="12">
        <f t="shared" si="4"/>
        <v>19289416.615187101</v>
      </c>
      <c r="K15" s="4">
        <f t="shared" si="5"/>
        <v>2960202274.8054705</v>
      </c>
      <c r="L15" s="4">
        <f t="shared" si="5"/>
        <v>4517887.0072913375</v>
      </c>
      <c r="M15" s="109">
        <v>0</v>
      </c>
      <c r="N15" s="109">
        <v>0</v>
      </c>
      <c r="O15" s="12">
        <f t="shared" si="6"/>
        <v>0</v>
      </c>
      <c r="P15" s="12"/>
      <c r="Q15" s="116">
        <f>'Revenue by Sch RY#2'!D11</f>
        <v>2968720174.6374388</v>
      </c>
      <c r="R15" s="116">
        <v>4515508.9451899873</v>
      </c>
      <c r="S15" s="11">
        <f t="shared" si="7"/>
        <v>0</v>
      </c>
      <c r="T15" s="16">
        <f t="shared" si="7"/>
        <v>0</v>
      </c>
      <c r="U15" s="12">
        <f t="shared" si="8"/>
        <v>0</v>
      </c>
    </row>
    <row r="16" spans="1:23">
      <c r="A16" s="2">
        <f t="shared" si="0"/>
        <v>9</v>
      </c>
      <c r="B16" s="132">
        <f>'Sch 95'!B16</f>
        <v>12</v>
      </c>
      <c r="D16" s="115">
        <v>0</v>
      </c>
      <c r="E16" s="115">
        <v>0</v>
      </c>
      <c r="F16" s="115"/>
      <c r="G16" s="129">
        <v>4.0140000000000002E-3</v>
      </c>
      <c r="H16" s="165">
        <v>0.72</v>
      </c>
      <c r="I16" s="12">
        <f t="shared" si="4"/>
        <v>0</v>
      </c>
      <c r="K16" s="4">
        <f t="shared" si="5"/>
        <v>0</v>
      </c>
      <c r="L16" s="4">
        <f t="shared" si="5"/>
        <v>0</v>
      </c>
      <c r="M16" s="109">
        <v>0</v>
      </c>
      <c r="N16" s="109">
        <v>0</v>
      </c>
      <c r="O16" s="12">
        <f t="shared" si="6"/>
        <v>0</v>
      </c>
      <c r="P16" s="12"/>
      <c r="Q16" s="4">
        <v>0</v>
      </c>
      <c r="R16" s="115">
        <v>0</v>
      </c>
      <c r="S16" s="11">
        <f t="shared" si="7"/>
        <v>0</v>
      </c>
      <c r="T16" s="16">
        <f t="shared" si="7"/>
        <v>0</v>
      </c>
      <c r="U16" s="12">
        <f t="shared" si="8"/>
        <v>0</v>
      </c>
    </row>
    <row r="17" spans="1:21">
      <c r="A17" s="2">
        <f t="shared" si="0"/>
        <v>10</v>
      </c>
      <c r="B17" s="132" t="str">
        <f>'Sch 95'!B17</f>
        <v>26 &amp; 26P</v>
      </c>
      <c r="D17" s="116">
        <f>'Revenue by Sch RY#1'!D12</f>
        <v>2013891730.8000479</v>
      </c>
      <c r="E17" s="116">
        <v>4944273.2866841257</v>
      </c>
      <c r="F17" s="116"/>
      <c r="G17" s="130">
        <f>+G16</f>
        <v>4.0140000000000002E-3</v>
      </c>
      <c r="H17" s="166">
        <f>+H16</f>
        <v>0.72</v>
      </c>
      <c r="I17" s="12">
        <f t="shared" si="4"/>
        <v>11643638.173843963</v>
      </c>
      <c r="K17" s="4">
        <f t="shared" si="5"/>
        <v>2013891730.8000479</v>
      </c>
      <c r="L17" s="4">
        <f t="shared" si="5"/>
        <v>4944273.2866841257</v>
      </c>
      <c r="M17" s="109">
        <v>0</v>
      </c>
      <c r="N17" s="109">
        <v>0</v>
      </c>
      <c r="O17" s="12">
        <f t="shared" si="6"/>
        <v>0</v>
      </c>
      <c r="P17" s="12"/>
      <c r="Q17" s="116">
        <f>'Revenue by Sch RY#2'!D12</f>
        <v>2056791563.2414525</v>
      </c>
      <c r="R17" s="116">
        <v>5032131.2804961493</v>
      </c>
      <c r="S17" s="11">
        <f t="shared" si="7"/>
        <v>0</v>
      </c>
      <c r="T17" s="16">
        <f t="shared" si="7"/>
        <v>0</v>
      </c>
      <c r="U17" s="12">
        <f t="shared" si="8"/>
        <v>0</v>
      </c>
    </row>
    <row r="18" spans="1:21">
      <c r="A18" s="2">
        <f t="shared" si="0"/>
        <v>11</v>
      </c>
      <c r="B18" s="132">
        <f>'Sch 95'!B18</f>
        <v>29</v>
      </c>
      <c r="D18" s="116">
        <f>'Revenue by Sch RY#1'!D13</f>
        <v>14930059.630887466</v>
      </c>
      <c r="E18" s="116">
        <v>6359.1483786280214</v>
      </c>
      <c r="F18" s="116"/>
      <c r="G18" s="129">
        <v>6.3109999999999998E-3</v>
      </c>
      <c r="H18" s="165">
        <v>0.53</v>
      </c>
      <c r="I18" s="12">
        <f t="shared" si="4"/>
        <v>97593.954971203639</v>
      </c>
      <c r="K18" s="4">
        <f t="shared" si="5"/>
        <v>14930059.630887466</v>
      </c>
      <c r="L18" s="4">
        <f t="shared" si="5"/>
        <v>6359.1483786280214</v>
      </c>
      <c r="M18" s="109">
        <v>0</v>
      </c>
      <c r="N18" s="109">
        <v>0</v>
      </c>
      <c r="O18" s="12">
        <f t="shared" si="6"/>
        <v>0</v>
      </c>
      <c r="P18" s="12"/>
      <c r="Q18" s="116">
        <f>'Revenue by Sch RY#2'!D13</f>
        <v>14843026.361509496</v>
      </c>
      <c r="R18" s="116">
        <v>6312.6225193658393</v>
      </c>
      <c r="S18" s="11">
        <f t="shared" si="7"/>
        <v>0</v>
      </c>
      <c r="T18" s="16">
        <f t="shared" si="7"/>
        <v>0</v>
      </c>
      <c r="U18" s="12">
        <f t="shared" si="8"/>
        <v>0</v>
      </c>
    </row>
    <row r="19" spans="1:21">
      <c r="A19" s="2">
        <f t="shared" si="0"/>
        <v>12</v>
      </c>
      <c r="B19" s="2"/>
      <c r="C19" s="7" t="s">
        <v>6</v>
      </c>
      <c r="D19" s="6">
        <f>SUM(D12:D18)</f>
        <v>7751660031.4061041</v>
      </c>
      <c r="E19" s="6">
        <f>SUM(E12:E18)</f>
        <v>9468519.4423540905</v>
      </c>
      <c r="F19" s="6"/>
      <c r="G19" s="130"/>
      <c r="H19" s="160"/>
      <c r="I19" s="13">
        <f t="shared" ref="I19" si="9">SUM(I12:I18)</f>
        <v>48440780.602803715</v>
      </c>
      <c r="K19" s="6">
        <f>SUM(K12:K18)</f>
        <v>7751660031.4061041</v>
      </c>
      <c r="L19" s="6">
        <f>SUM(L12:L18)</f>
        <v>9468519.4423540905</v>
      </c>
      <c r="M19" s="11"/>
      <c r="N19" s="11"/>
      <c r="O19" s="13">
        <f t="shared" ref="O19" si="10">SUM(O12:O18)</f>
        <v>0</v>
      </c>
      <c r="P19" s="12"/>
      <c r="Q19" s="6">
        <f>SUM(Q12:Q18)</f>
        <v>7815322186.5097914</v>
      </c>
      <c r="R19" s="6">
        <f>SUM(R12:R18)</f>
        <v>9553952.8482055031</v>
      </c>
      <c r="S19" s="11"/>
      <c r="T19" s="16"/>
      <c r="U19" s="13">
        <f t="shared" ref="U19" si="11">SUM(U12:U18)</f>
        <v>0</v>
      </c>
    </row>
    <row r="20" spans="1:21">
      <c r="A20" s="2">
        <f t="shared" si="0"/>
        <v>13</v>
      </c>
      <c r="B20" s="2"/>
      <c r="D20" s="4"/>
      <c r="E20" s="4"/>
      <c r="F20" s="4"/>
      <c r="G20" s="130"/>
      <c r="H20" s="160"/>
      <c r="I20" s="12"/>
      <c r="K20" s="4"/>
      <c r="L20" s="4"/>
      <c r="M20" s="11"/>
      <c r="N20" s="11"/>
      <c r="O20" s="12"/>
      <c r="P20" s="12"/>
      <c r="Q20" s="4"/>
      <c r="R20" s="4"/>
      <c r="S20" s="11"/>
      <c r="T20" s="16"/>
      <c r="U20" s="12"/>
    </row>
    <row r="21" spans="1:21">
      <c r="A21" s="2">
        <f t="shared" si="0"/>
        <v>14</v>
      </c>
      <c r="B21" s="132">
        <f>'Sch 95'!B21</f>
        <v>10</v>
      </c>
      <c r="D21" s="115">
        <v>0</v>
      </c>
      <c r="E21" s="115">
        <v>0</v>
      </c>
      <c r="F21" s="115"/>
      <c r="G21" s="129">
        <v>3.8939999999999999E-3</v>
      </c>
      <c r="H21" s="165">
        <v>0.7</v>
      </c>
      <c r="I21" s="12">
        <f t="shared" ref="I21:I24" si="12">(D21*G21)+(E21*H21)</f>
        <v>0</v>
      </c>
      <c r="K21" s="4">
        <f t="shared" ref="K21:L24" si="13">D21</f>
        <v>0</v>
      </c>
      <c r="L21" s="4">
        <f t="shared" si="13"/>
        <v>0</v>
      </c>
      <c r="M21" s="109">
        <v>0</v>
      </c>
      <c r="N21" s="109">
        <v>0</v>
      </c>
      <c r="O21" s="12">
        <f t="shared" ref="O21:O24" si="14">(K21*M21)+(L21*N21)</f>
        <v>0</v>
      </c>
      <c r="P21" s="12"/>
      <c r="Q21" s="4">
        <v>0</v>
      </c>
      <c r="R21" s="115">
        <v>0</v>
      </c>
      <c r="S21" s="11">
        <f t="shared" ref="S21:T24" si="15">M21</f>
        <v>0</v>
      </c>
      <c r="T21" s="16">
        <f t="shared" si="15"/>
        <v>0</v>
      </c>
      <c r="U21" s="12">
        <f t="shared" ref="U21:U24" si="16">(Q21*S21)+(R21*T21)</f>
        <v>0</v>
      </c>
    </row>
    <row r="22" spans="1:21">
      <c r="A22" s="2">
        <f t="shared" si="0"/>
        <v>15</v>
      </c>
      <c r="B22" s="132">
        <f>'Sch 95'!B22</f>
        <v>31</v>
      </c>
      <c r="D22" s="116">
        <f>'Revenue by Sch RY#1'!D14</f>
        <v>1423586019.4788036</v>
      </c>
      <c r="E22" s="116">
        <v>3383993.070775318</v>
      </c>
      <c r="F22" s="116"/>
      <c r="G22" s="130">
        <f>+G21</f>
        <v>3.8939999999999999E-3</v>
      </c>
      <c r="H22" s="166">
        <f>+H21</f>
        <v>0.7</v>
      </c>
      <c r="I22" s="12">
        <f t="shared" si="12"/>
        <v>7912239.1093931831</v>
      </c>
      <c r="K22" s="4">
        <f t="shared" si="13"/>
        <v>1423586019.4788036</v>
      </c>
      <c r="L22" s="4">
        <f t="shared" si="13"/>
        <v>3383993.070775318</v>
      </c>
      <c r="M22" s="109">
        <v>0</v>
      </c>
      <c r="N22" s="109">
        <v>0</v>
      </c>
      <c r="O22" s="12">
        <f t="shared" si="14"/>
        <v>0</v>
      </c>
      <c r="P22" s="12"/>
      <c r="Q22" s="116">
        <f>'Revenue by Sch RY#2'!D14</f>
        <v>1411297972.0883911</v>
      </c>
      <c r="R22" s="116">
        <v>3344757.4708671863</v>
      </c>
      <c r="S22" s="11">
        <f t="shared" si="15"/>
        <v>0</v>
      </c>
      <c r="T22" s="16">
        <f t="shared" si="15"/>
        <v>0</v>
      </c>
      <c r="U22" s="12">
        <f t="shared" si="16"/>
        <v>0</v>
      </c>
    </row>
    <row r="23" spans="1:21">
      <c r="A23" s="2">
        <f t="shared" si="0"/>
        <v>16</v>
      </c>
      <c r="B23" s="132">
        <f>'Sch 95'!B23</f>
        <v>35</v>
      </c>
      <c r="D23" s="116">
        <f>'Revenue by Sch RY#1'!D15</f>
        <v>4407260.1568774413</v>
      </c>
      <c r="E23" s="116">
        <v>8196.3679379811347</v>
      </c>
      <c r="F23" s="116"/>
      <c r="G23" s="129">
        <v>6.9740000000000002E-3</v>
      </c>
      <c r="H23" s="165">
        <v>0.48</v>
      </c>
      <c r="I23" s="12">
        <f t="shared" si="12"/>
        <v>34670.488944294222</v>
      </c>
      <c r="K23" s="4">
        <f t="shared" si="13"/>
        <v>4407260.1568774413</v>
      </c>
      <c r="L23" s="4">
        <f t="shared" si="13"/>
        <v>8196.3679379811347</v>
      </c>
      <c r="M23" s="109">
        <v>0</v>
      </c>
      <c r="N23" s="109">
        <v>0</v>
      </c>
      <c r="O23" s="12">
        <f t="shared" si="14"/>
        <v>0</v>
      </c>
      <c r="P23" s="12"/>
      <c r="Q23" s="116">
        <f>'Revenue by Sch RY#2'!D15</f>
        <v>4380281.1514552524</v>
      </c>
      <c r="R23" s="116">
        <v>8146.3096768096348</v>
      </c>
      <c r="S23" s="11">
        <f t="shared" si="15"/>
        <v>0</v>
      </c>
      <c r="T23" s="16">
        <f t="shared" si="15"/>
        <v>0</v>
      </c>
      <c r="U23" s="12">
        <f t="shared" si="16"/>
        <v>0</v>
      </c>
    </row>
    <row r="24" spans="1:21">
      <c r="A24" s="2">
        <f t="shared" si="0"/>
        <v>17</v>
      </c>
      <c r="B24" s="132">
        <f>'Sch 95'!B24</f>
        <v>43</v>
      </c>
      <c r="D24" s="116">
        <f>'Revenue by Sch RY#1'!D16</f>
        <v>122267424.6450724</v>
      </c>
      <c r="E24" s="116">
        <v>579230.53698067076</v>
      </c>
      <c r="F24" s="116"/>
      <c r="G24" s="129">
        <v>3.4780000000000002E-3</v>
      </c>
      <c r="H24" s="165">
        <v>0.3</v>
      </c>
      <c r="I24" s="12">
        <f t="shared" si="12"/>
        <v>599015.26400976302</v>
      </c>
      <c r="K24" s="4">
        <f t="shared" si="13"/>
        <v>122267424.6450724</v>
      </c>
      <c r="L24" s="4">
        <f t="shared" si="13"/>
        <v>579230.53698067076</v>
      </c>
      <c r="M24" s="109">
        <v>0</v>
      </c>
      <c r="N24" s="109">
        <v>0</v>
      </c>
      <c r="O24" s="12">
        <f t="shared" si="14"/>
        <v>0</v>
      </c>
      <c r="P24" s="12"/>
      <c r="Q24" s="116">
        <f>'Revenue by Sch RY#2'!D16</f>
        <v>121633779.10385114</v>
      </c>
      <c r="R24" s="116">
        <v>573967.09159726952</v>
      </c>
      <c r="S24" s="11">
        <f t="shared" si="15"/>
        <v>0</v>
      </c>
      <c r="T24" s="16">
        <f t="shared" si="15"/>
        <v>0</v>
      </c>
      <c r="U24" s="12">
        <f t="shared" si="16"/>
        <v>0</v>
      </c>
    </row>
    <row r="25" spans="1:21">
      <c r="A25" s="2">
        <f t="shared" si="0"/>
        <v>18</v>
      </c>
      <c r="B25" s="2"/>
      <c r="C25" s="3" t="s">
        <v>7</v>
      </c>
      <c r="D25" s="6">
        <f>SUM(D21:D24)</f>
        <v>1550260704.2807536</v>
      </c>
      <c r="E25" s="6">
        <f>SUM(E21:E24)</f>
        <v>3971419.97569397</v>
      </c>
      <c r="F25" s="6"/>
      <c r="G25" s="130"/>
      <c r="H25" s="160"/>
      <c r="I25" s="13">
        <f t="shared" ref="I25" si="17">SUM(I21:I24)</f>
        <v>8545924.8623472396</v>
      </c>
      <c r="K25" s="6">
        <f>SUM(K21:K24)</f>
        <v>1550260704.2807536</v>
      </c>
      <c r="L25" s="6">
        <f>SUM(L21:L24)</f>
        <v>3971419.97569397</v>
      </c>
      <c r="M25" s="11"/>
      <c r="N25" s="11"/>
      <c r="O25" s="13">
        <f t="shared" ref="O25" si="18">SUM(O21:O24)</f>
        <v>0</v>
      </c>
      <c r="P25" s="12"/>
      <c r="Q25" s="6">
        <f>SUM(Q21:Q24)</f>
        <v>1537312032.3436973</v>
      </c>
      <c r="R25" s="6">
        <f>SUM(R21:R24)</f>
        <v>3926870.8721412653</v>
      </c>
      <c r="S25" s="11"/>
      <c r="T25" s="16"/>
      <c r="U25" s="13">
        <f t="shared" ref="U25" si="19">SUM(U21:U24)</f>
        <v>0</v>
      </c>
    </row>
    <row r="26" spans="1:21">
      <c r="A26" s="2">
        <f t="shared" si="0"/>
        <v>19</v>
      </c>
      <c r="B26" s="2"/>
      <c r="D26" s="4"/>
      <c r="E26" s="4"/>
      <c r="F26" s="4"/>
      <c r="G26" s="130"/>
      <c r="H26" s="160"/>
      <c r="I26" s="12"/>
      <c r="K26" s="4"/>
      <c r="L26" s="4"/>
      <c r="M26" s="11"/>
      <c r="N26" s="11"/>
      <c r="O26" s="12"/>
      <c r="P26" s="12"/>
      <c r="Q26" s="4"/>
      <c r="R26" s="4"/>
      <c r="S26" s="11"/>
      <c r="T26" s="16"/>
      <c r="U26" s="12"/>
    </row>
    <row r="27" spans="1:21">
      <c r="A27" s="2">
        <f t="shared" si="0"/>
        <v>20</v>
      </c>
      <c r="B27" s="132">
        <f>'Sch 95'!B27</f>
        <v>46</v>
      </c>
      <c r="D27" s="116">
        <f>'Revenue by Sch RY#1'!D17</f>
        <v>96933187.043131709</v>
      </c>
      <c r="E27" s="116">
        <v>454913.76433003857</v>
      </c>
      <c r="F27" s="116"/>
      <c r="G27" s="129">
        <v>2.4610000000000001E-3</v>
      </c>
      <c r="H27" s="171">
        <v>0.15</v>
      </c>
      <c r="I27" s="12">
        <f t="shared" ref="I27:I28" si="20">(D27*G27)+(E27*H27)</f>
        <v>306789.63796265295</v>
      </c>
      <c r="K27" s="4">
        <f>D27</f>
        <v>96933187.043131709</v>
      </c>
      <c r="L27" s="4">
        <f>E27</f>
        <v>454913.76433003857</v>
      </c>
      <c r="M27" s="109">
        <v>0</v>
      </c>
      <c r="N27" s="109">
        <v>0</v>
      </c>
      <c r="O27" s="12">
        <f t="shared" ref="O27:O28" si="21">(K27*M27)+(L27*N27)</f>
        <v>0</v>
      </c>
      <c r="P27" s="12"/>
      <c r="Q27" s="116">
        <f>'Revenue by Sch RY#2'!D17</f>
        <v>96918964.527943105</v>
      </c>
      <c r="R27" s="116">
        <v>453901.97661419428</v>
      </c>
      <c r="S27" s="11">
        <f>M27</f>
        <v>0</v>
      </c>
      <c r="T27" s="16">
        <f>N27</f>
        <v>0</v>
      </c>
      <c r="U27" s="12">
        <f t="shared" ref="U27:U28" si="22">(Q27*S27)+(R27*T27)</f>
        <v>0</v>
      </c>
    </row>
    <row r="28" spans="1:21">
      <c r="A28" s="2">
        <f t="shared" si="0"/>
        <v>21</v>
      </c>
      <c r="B28" s="132">
        <f>'Sch 95'!B28</f>
        <v>49</v>
      </c>
      <c r="D28" s="116">
        <f>'Revenue by Sch RY#1'!D18</f>
        <v>534843226.30681556</v>
      </c>
      <c r="E28" s="116">
        <v>1325042.9814690738</v>
      </c>
      <c r="F28" s="116"/>
      <c r="G28" s="129">
        <v>2.4139999999999999E-3</v>
      </c>
      <c r="H28" s="171">
        <v>0.27</v>
      </c>
      <c r="I28" s="12">
        <f t="shared" si="20"/>
        <v>1648873.1533013028</v>
      </c>
      <c r="K28" s="4">
        <f>D28</f>
        <v>534843226.30681556</v>
      </c>
      <c r="L28" s="4">
        <f>E28</f>
        <v>1325042.9814690738</v>
      </c>
      <c r="M28" s="109">
        <v>0</v>
      </c>
      <c r="N28" s="109">
        <v>0</v>
      </c>
      <c r="O28" s="12">
        <f t="shared" si="21"/>
        <v>0</v>
      </c>
      <c r="P28" s="12"/>
      <c r="Q28" s="116">
        <f>'Revenue by Sch RY#2'!D18</f>
        <v>534899242.67952603</v>
      </c>
      <c r="R28" s="116">
        <v>1321250.3262371249</v>
      </c>
      <c r="S28" s="11">
        <f>M28</f>
        <v>0</v>
      </c>
      <c r="T28" s="16">
        <f>N28</f>
        <v>0</v>
      </c>
      <c r="U28" s="12">
        <f t="shared" si="22"/>
        <v>0</v>
      </c>
    </row>
    <row r="29" spans="1:21">
      <c r="A29" s="2">
        <f t="shared" si="0"/>
        <v>22</v>
      </c>
      <c r="B29" s="2"/>
      <c r="C29" s="3" t="s">
        <v>8</v>
      </c>
      <c r="D29" s="6">
        <f>SUM(D27:D28)</f>
        <v>631776413.34994721</v>
      </c>
      <c r="E29" s="6">
        <f>SUM(E27:E28)</f>
        <v>1779956.7457991124</v>
      </c>
      <c r="F29" s="6"/>
      <c r="G29" s="11"/>
      <c r="H29" s="117"/>
      <c r="I29" s="13">
        <f t="shared" ref="I29" si="23">SUM(I27:I28)</f>
        <v>1955662.7912639556</v>
      </c>
      <c r="K29" s="6">
        <f>SUM(K27:K28)</f>
        <v>631776413.34994721</v>
      </c>
      <c r="L29" s="6">
        <f>SUM(L27:L28)</f>
        <v>1779956.7457991124</v>
      </c>
      <c r="M29" s="11"/>
      <c r="N29" s="11"/>
      <c r="O29" s="13">
        <f t="shared" ref="O29" si="24">SUM(O27:O28)</f>
        <v>0</v>
      </c>
      <c r="P29" s="12"/>
      <c r="Q29" s="6">
        <f>SUM(Q27:Q28)</f>
        <v>631818207.20746911</v>
      </c>
      <c r="R29" s="6">
        <f>SUM(R27:R28)</f>
        <v>1775152.3028513191</v>
      </c>
      <c r="S29" s="11"/>
      <c r="T29" s="16"/>
      <c r="U29" s="13">
        <f t="shared" ref="U29" si="25">SUM(U27:U28)</f>
        <v>0</v>
      </c>
    </row>
    <row r="30" spans="1:21">
      <c r="A30" s="2">
        <f t="shared" si="0"/>
        <v>23</v>
      </c>
      <c r="B30" s="2"/>
      <c r="D30" s="4"/>
      <c r="E30" s="4"/>
      <c r="F30" s="4"/>
      <c r="G30" s="11"/>
      <c r="H30" s="117"/>
      <c r="I30" s="12"/>
      <c r="K30" s="4"/>
      <c r="L30" s="4"/>
      <c r="M30" s="11"/>
      <c r="N30" s="11"/>
      <c r="O30" s="12"/>
      <c r="P30" s="12"/>
      <c r="Q30" s="4"/>
      <c r="R30" s="4"/>
      <c r="S30" s="11"/>
      <c r="T30" s="16"/>
      <c r="U30" s="12"/>
    </row>
    <row r="31" spans="1:21">
      <c r="A31" s="2">
        <f t="shared" si="0"/>
        <v>24</v>
      </c>
      <c r="B31" s="132" t="str">
        <f>'Sch 95'!B31</f>
        <v>03, 50-59</v>
      </c>
      <c r="D31" s="122">
        <f>'Revenue by Sch RY#1'!D19</f>
        <v>67255417.982360825</v>
      </c>
      <c r="E31" s="122">
        <v>0</v>
      </c>
      <c r="F31" s="122"/>
      <c r="G31" s="117">
        <v>2.9375999999999999E-2</v>
      </c>
      <c r="H31" s="168"/>
      <c r="I31" s="13">
        <f>(D31*G31)+(E31*H31)</f>
        <v>1975695.1586498315</v>
      </c>
      <c r="K31" s="6">
        <f>D31</f>
        <v>67255417.982360825</v>
      </c>
      <c r="L31" s="6">
        <f>E31</f>
        <v>0</v>
      </c>
      <c r="M31" s="109">
        <v>0</v>
      </c>
      <c r="N31" s="109">
        <v>0</v>
      </c>
      <c r="O31" s="13">
        <f>(K31*M31)+(L31*N31)</f>
        <v>0</v>
      </c>
      <c r="P31" s="12"/>
      <c r="Q31" s="122">
        <f>'Revenue by Sch RY#2'!D19</f>
        <v>67027608.143863305</v>
      </c>
      <c r="R31" s="122">
        <v>0</v>
      </c>
      <c r="S31" s="11">
        <f>M31</f>
        <v>0</v>
      </c>
      <c r="T31" s="16">
        <f>N31</f>
        <v>0</v>
      </c>
      <c r="U31" s="13">
        <f>(Q31*S31)+(R31*T31)</f>
        <v>0</v>
      </c>
    </row>
    <row r="32" spans="1:21">
      <c r="A32" s="2">
        <f t="shared" si="0"/>
        <v>25</v>
      </c>
      <c r="B32" s="2"/>
      <c r="D32" s="4"/>
      <c r="E32" s="4"/>
      <c r="F32" s="4"/>
      <c r="G32" s="11"/>
      <c r="H32" s="117"/>
      <c r="I32" s="12"/>
      <c r="K32" s="4"/>
      <c r="L32" s="4"/>
      <c r="M32" s="11"/>
      <c r="N32" s="11"/>
      <c r="O32" s="12"/>
      <c r="P32" s="12"/>
      <c r="Q32" s="4"/>
      <c r="R32" s="4"/>
      <c r="S32" s="11"/>
      <c r="T32" s="16"/>
      <c r="U32" s="12"/>
    </row>
    <row r="33" spans="1:21">
      <c r="A33" s="2">
        <f t="shared" si="0"/>
        <v>26</v>
      </c>
      <c r="B33" s="132" t="str">
        <f>'Sch 95'!B33</f>
        <v>449-459</v>
      </c>
      <c r="D33" s="116">
        <f>'Revenue by Sch RY#1'!D20</f>
        <v>1967511960.3194919</v>
      </c>
      <c r="E33" s="116">
        <v>0</v>
      </c>
      <c r="F33" s="116">
        <v>240</v>
      </c>
      <c r="G33" s="117">
        <v>0</v>
      </c>
      <c r="H33" s="171">
        <v>115</v>
      </c>
      <c r="I33" s="12">
        <f>(D33*G33)+(F33*H33)</f>
        <v>27600</v>
      </c>
      <c r="K33" s="4">
        <f>D33</f>
        <v>1967511960.3194919</v>
      </c>
      <c r="L33" s="4">
        <f>E33</f>
        <v>0</v>
      </c>
      <c r="M33" s="109">
        <v>0</v>
      </c>
      <c r="N33" s="109">
        <v>0</v>
      </c>
      <c r="O33" s="12">
        <f t="shared" ref="O33" si="26">(K33*M33)+(L33*N33)</f>
        <v>0</v>
      </c>
      <c r="P33" s="12"/>
      <c r="Q33" s="116">
        <f>'Revenue by Sch RY#2'!D20</f>
        <v>1964993565.6779518</v>
      </c>
      <c r="R33" s="116">
        <v>0</v>
      </c>
      <c r="S33" s="11">
        <f>M33</f>
        <v>0</v>
      </c>
      <c r="T33" s="16">
        <f>N33</f>
        <v>0</v>
      </c>
      <c r="U33" s="12">
        <f t="shared" ref="U33" si="27">(Q33*S33)+(R33*T33)</f>
        <v>0</v>
      </c>
    </row>
    <row r="34" spans="1:21">
      <c r="A34" s="2">
        <f t="shared" si="0"/>
        <v>27</v>
      </c>
      <c r="B34" s="132" t="str">
        <f>'Sch 95'!B34</f>
        <v>Special Contract</v>
      </c>
      <c r="D34" s="116">
        <f>'Revenue by Sch RY#1'!D21</f>
        <v>304773055.46200001</v>
      </c>
      <c r="E34" s="116">
        <v>0</v>
      </c>
      <c r="F34" s="116"/>
      <c r="G34" s="117">
        <v>1.474E-3</v>
      </c>
      <c r="H34" s="168"/>
      <c r="I34" s="12">
        <f t="shared" ref="I34" si="28">(D34*G34)+(E34*H34)</f>
        <v>449235.48375098803</v>
      </c>
      <c r="K34" s="4">
        <f>D34</f>
        <v>304773055.46200001</v>
      </c>
      <c r="L34" s="4">
        <f>E34</f>
        <v>0</v>
      </c>
      <c r="M34" s="109">
        <v>0</v>
      </c>
      <c r="N34" s="109">
        <v>0</v>
      </c>
      <c r="O34" s="12">
        <f t="shared" ref="O34" si="29">(K34*M34)+(L34*N34)</f>
        <v>0</v>
      </c>
      <c r="P34" s="12"/>
      <c r="Q34" s="116">
        <f>'Revenue by Sch RY#2'!D21</f>
        <v>304773055.46200001</v>
      </c>
      <c r="R34" s="116">
        <v>0</v>
      </c>
      <c r="S34" s="11">
        <f>M34</f>
        <v>0</v>
      </c>
      <c r="T34" s="16">
        <f>N34</f>
        <v>0</v>
      </c>
      <c r="U34" s="12">
        <f t="shared" ref="U34" si="30">(Q34*S34)+(R34*T34)</f>
        <v>0</v>
      </c>
    </row>
    <row r="35" spans="1:21">
      <c r="A35" s="2">
        <f t="shared" si="0"/>
        <v>28</v>
      </c>
      <c r="B35" s="5"/>
      <c r="C35" s="3" t="s">
        <v>77</v>
      </c>
      <c r="D35" s="6">
        <f>SUM(D33:D34)</f>
        <v>2272285015.7814918</v>
      </c>
      <c r="E35" s="6">
        <f>SUM(E33:E34)</f>
        <v>0</v>
      </c>
      <c r="F35" s="6"/>
      <c r="G35" s="11"/>
      <c r="H35" s="117"/>
      <c r="I35" s="13">
        <f t="shared" ref="I35" si="31">SUM(I33:I34)</f>
        <v>476835.48375098803</v>
      </c>
      <c r="K35" s="6">
        <f>SUM(K33:K34)</f>
        <v>2272285015.7814918</v>
      </c>
      <c r="L35" s="6">
        <f>SUM(L33:L34)</f>
        <v>0</v>
      </c>
      <c r="O35" s="13">
        <f t="shared" ref="O35" si="32">SUM(O33:O34)</f>
        <v>0</v>
      </c>
      <c r="P35" s="12"/>
      <c r="Q35" s="6">
        <f>SUM(Q33:Q34)</f>
        <v>2269766621.1399517</v>
      </c>
      <c r="R35" s="6">
        <f>SUM(R33:R34)</f>
        <v>0</v>
      </c>
      <c r="T35" s="16"/>
      <c r="U35" s="13">
        <f t="shared" ref="U35" si="33">SUM(U33:U34)</f>
        <v>0</v>
      </c>
    </row>
    <row r="36" spans="1:21">
      <c r="A36" s="2">
        <f t="shared" si="0"/>
        <v>29</v>
      </c>
      <c r="B36" s="2"/>
      <c r="D36" s="4"/>
      <c r="E36" s="4"/>
      <c r="F36" s="4"/>
      <c r="G36" s="11"/>
      <c r="H36" s="117"/>
      <c r="I36" s="12"/>
      <c r="K36" s="4"/>
      <c r="L36" s="4"/>
      <c r="O36" s="12"/>
      <c r="P36" s="12"/>
      <c r="Q36" s="4"/>
      <c r="R36" s="4"/>
      <c r="T36" s="16"/>
      <c r="U36" s="12"/>
    </row>
    <row r="37" spans="1:21" ht="12" thickBot="1">
      <c r="A37" s="2">
        <f t="shared" si="0"/>
        <v>30</v>
      </c>
      <c r="B37" s="2"/>
      <c r="C37" s="7" t="s">
        <v>15</v>
      </c>
      <c r="D37" s="8">
        <f>SUM(D10,D19,D25,D29,D31,D35)</f>
        <v>23551443434.196022</v>
      </c>
      <c r="E37" s="8">
        <f>SUM(E10,E19,E25,E29,E31,E35)</f>
        <v>15219896.163847174</v>
      </c>
      <c r="F37" s="8"/>
      <c r="G37" s="11"/>
      <c r="H37" s="117"/>
      <c r="I37" s="14">
        <f>SUM(I10,I19,I25,I29,I31,I35)</f>
        <v>152804757.32437518</v>
      </c>
      <c r="K37" s="8">
        <f>SUM(K10,K19,K25,K29,K31,K35)</f>
        <v>23551443434.196022</v>
      </c>
      <c r="L37" s="8">
        <f>SUM(L10,L19,L25,L29,L31,L35)</f>
        <v>15219896.163847174</v>
      </c>
      <c r="O37" s="14">
        <f>SUM(O10,O19,O25,O29,O31,O35)</f>
        <v>0</v>
      </c>
      <c r="P37" s="12"/>
      <c r="Q37" s="8">
        <f>SUM(Q10,Q19,Q25,Q29,Q31,Q35)</f>
        <v>23768895895.058746</v>
      </c>
      <c r="R37" s="8">
        <f>SUM(R10,R19,R25,R29,R31,R35)</f>
        <v>15255976.023198087</v>
      </c>
      <c r="T37" s="16"/>
      <c r="U37" s="14">
        <f>SUM(U10,U19,U25,U29,U31,U35)</f>
        <v>0</v>
      </c>
    </row>
    <row r="38" spans="1:21" ht="12" thickTop="1">
      <c r="A38" s="2">
        <f t="shared" si="0"/>
        <v>31</v>
      </c>
      <c r="B38" s="2"/>
      <c r="G38" s="11"/>
      <c r="H38" s="117"/>
      <c r="I38" s="12"/>
      <c r="O38" s="12"/>
      <c r="P38" s="12"/>
      <c r="T38" s="16"/>
      <c r="U38" s="12"/>
    </row>
    <row r="39" spans="1:21">
      <c r="A39" s="2">
        <f t="shared" si="0"/>
        <v>32</v>
      </c>
      <c r="B39" s="132">
        <f>'Sch 95'!B39</f>
        <v>5</v>
      </c>
      <c r="C39" s="3" t="s">
        <v>16</v>
      </c>
      <c r="D39" s="122">
        <f>'Revenue by Sch RY#1'!D22</f>
        <v>6714960.2368700616</v>
      </c>
      <c r="E39" s="122">
        <v>13394.355918136085</v>
      </c>
      <c r="F39" s="122"/>
      <c r="G39" s="117">
        <v>4.0330000000000001E-3</v>
      </c>
      <c r="H39" s="171">
        <v>0.61</v>
      </c>
      <c r="I39" s="13">
        <f>(D39*G39)+(E39*H39)</f>
        <v>35251.99174535997</v>
      </c>
      <c r="K39" s="6">
        <f>D39</f>
        <v>6714960.2368700616</v>
      </c>
      <c r="L39" s="6">
        <f>E39</f>
        <v>13394.355918136085</v>
      </c>
      <c r="M39" s="109">
        <v>0</v>
      </c>
      <c r="N39" s="109">
        <v>0</v>
      </c>
      <c r="O39" s="13">
        <f>(K39*M39)+(L39*N39)</f>
        <v>0</v>
      </c>
      <c r="P39" s="12"/>
      <c r="Q39" s="122">
        <f>'Revenue by Sch RY#2'!D22</f>
        <v>6710049.8818741431</v>
      </c>
      <c r="R39" s="122">
        <v>13319.835934941628</v>
      </c>
      <c r="S39" s="11">
        <f>M39</f>
        <v>0</v>
      </c>
      <c r="T39" s="16">
        <f>N39</f>
        <v>0</v>
      </c>
      <c r="U39" s="13">
        <f>(Q39*S39)+(R39*T39)</f>
        <v>0</v>
      </c>
    </row>
    <row r="40" spans="1:21">
      <c r="A40" s="2">
        <f t="shared" si="0"/>
        <v>33</v>
      </c>
      <c r="B40" s="2"/>
      <c r="G40" s="117"/>
      <c r="H40" s="117"/>
      <c r="I40" s="12"/>
      <c r="O40" s="12"/>
      <c r="P40" s="12"/>
      <c r="U40" s="12"/>
    </row>
    <row r="41" spans="1:21" ht="12" thickBot="1">
      <c r="A41" s="2">
        <f t="shared" si="0"/>
        <v>34</v>
      </c>
      <c r="B41" s="2"/>
      <c r="C41" s="110" t="s">
        <v>17</v>
      </c>
      <c r="D41" s="111">
        <f>SUM(D37,D39)</f>
        <v>23558158394.432892</v>
      </c>
      <c r="E41" s="111">
        <f>SUM(E37,E39)</f>
        <v>15233290.51976531</v>
      </c>
      <c r="F41" s="111"/>
      <c r="G41" s="169"/>
      <c r="H41" s="169"/>
      <c r="I41" s="113">
        <f>SUM(I37,I39)</f>
        <v>152840009.31612054</v>
      </c>
      <c r="J41" s="15"/>
      <c r="K41" s="111">
        <f>SUM(K37,K39)</f>
        <v>23558158394.432892</v>
      </c>
      <c r="L41" s="111">
        <f>SUM(L37,L39)</f>
        <v>15233290.51976531</v>
      </c>
      <c r="M41" s="15"/>
      <c r="N41" s="15"/>
      <c r="O41" s="113">
        <f>SUM(O37,O39)</f>
        <v>0</v>
      </c>
      <c r="P41" s="114"/>
      <c r="Q41" s="111">
        <f>SUM(Q37,Q39)</f>
        <v>23775605944.94062</v>
      </c>
      <c r="R41" s="111">
        <f>SUM(R37,R39)</f>
        <v>15269295.859133027</v>
      </c>
      <c r="S41" s="15"/>
      <c r="T41" s="15"/>
      <c r="U41" s="113">
        <f>SUM(U37,U39)</f>
        <v>0</v>
      </c>
    </row>
    <row r="42" spans="1:21" ht="12" thickTop="1">
      <c r="D42" s="123">
        <f>'Revenue by Sch RY#1'!D24</f>
        <v>23558158394.432896</v>
      </c>
      <c r="E42" s="123">
        <v>15233290.519765308</v>
      </c>
      <c r="F42" s="170"/>
      <c r="G42" s="170"/>
      <c r="H42" s="170"/>
      <c r="K42" s="162">
        <f>D41</f>
        <v>23558158394.432892</v>
      </c>
      <c r="L42" s="162">
        <f>E41</f>
        <v>15233290.51976531</v>
      </c>
      <c r="Q42" s="123">
        <f>'Revenue by Sch RY#2'!D24</f>
        <v>23775605944.94062</v>
      </c>
      <c r="R42" s="123">
        <v>15269295.859133029</v>
      </c>
    </row>
    <row r="43" spans="1:21">
      <c r="C43" s="17" t="s">
        <v>168</v>
      </c>
      <c r="D43" s="124">
        <f>D41-D42</f>
        <v>0</v>
      </c>
      <c r="E43" s="124">
        <f>E41-E42</f>
        <v>0</v>
      </c>
      <c r="F43" s="170"/>
      <c r="G43" s="170"/>
      <c r="H43" s="170"/>
      <c r="K43" s="124">
        <f>K41-K42</f>
        <v>0</v>
      </c>
      <c r="L43" s="124">
        <f>L41-L42</f>
        <v>0</v>
      </c>
      <c r="Q43" s="124">
        <f>Q41-Q42</f>
        <v>0</v>
      </c>
      <c r="R43" s="124">
        <f>R41-R42</f>
        <v>0</v>
      </c>
    </row>
    <row r="44" spans="1:21">
      <c r="G44" s="170"/>
      <c r="H44" s="170"/>
      <c r="Q44" s="4"/>
      <c r="R44" s="4"/>
    </row>
    <row r="45" spans="1:21">
      <c r="B45" s="3" t="s">
        <v>249</v>
      </c>
      <c r="C45" s="101"/>
      <c r="G45" s="170"/>
      <c r="H45" s="170"/>
    </row>
  </sheetData>
  <mergeCells count="10">
    <mergeCell ref="A1:U1"/>
    <mergeCell ref="A2:U2"/>
    <mergeCell ref="A3:U3"/>
    <mergeCell ref="A4:U4"/>
    <mergeCell ref="A5:G5"/>
    <mergeCell ref="K6:O6"/>
    <mergeCell ref="Q6:U6"/>
    <mergeCell ref="G7:H7"/>
    <mergeCell ref="M7:N7"/>
    <mergeCell ref="S7:T7"/>
  </mergeCells>
  <pageMargins left="0.7" right="0.7" top="0.75" bottom="0.75" header="0.3" footer="0.3"/>
  <pageSetup scale="53" orientation="landscape" horizontalDpi="360" verticalDpi="360" r:id="rId1"/>
  <headerFooter>
    <oddFooter>&amp;R&amp;F
&amp;A
&amp;P of &amp;N</oddFooter>
  </headerFooter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  <pageSetUpPr fitToPage="1"/>
  </sheetPr>
  <dimension ref="C44"/>
  <sheetViews>
    <sheetView zoomScaleNormal="100" zoomScaleSheetLayoutView="100" workbookViewId="0">
      <selection activeCell="U42" sqref="U42"/>
    </sheetView>
  </sheetViews>
  <sheetFormatPr defaultRowHeight="11.25"/>
  <cols>
    <col min="1" max="16384" width="9.140625" style="3"/>
  </cols>
  <sheetData>
    <row r="44" spans="3:3">
      <c r="C44" s="101"/>
    </row>
  </sheetData>
  <pageMargins left="0.7" right="0.7" top="0.75" bottom="0.75" header="0.3" footer="0.3"/>
  <pageSetup orientation="landscape" horizontalDpi="360" verticalDpi="360" r:id="rId1"/>
  <headerFooter>
    <oddFooter>&amp;R&amp;F
&amp;A
&amp;P of &amp;N</oddFooter>
  </headerFooter>
  <customProperties>
    <customPr name="_pios_id" r:id="rId2"/>
  </customPropertie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theme="6" tint="0.79998168889431442"/>
    <pageSetUpPr fitToPage="1"/>
  </sheetPr>
  <dimension ref="A1:N45"/>
  <sheetViews>
    <sheetView zoomScaleNormal="100" workbookViewId="0">
      <pane ySplit="7" topLeftCell="A8" activePane="bottomLeft" state="frozen"/>
      <selection activeCell="U42" sqref="U42"/>
      <selection pane="bottomLeft" activeCell="U42" sqref="U42"/>
    </sheetView>
  </sheetViews>
  <sheetFormatPr defaultColWidth="8.85546875" defaultRowHeight="11.25"/>
  <cols>
    <col min="1" max="1" width="4.42578125" style="3" bestFit="1" customWidth="1"/>
    <col min="2" max="2" width="14.85546875" style="3" bestFit="1" customWidth="1"/>
    <col min="3" max="3" width="21.7109375" style="3" bestFit="1" customWidth="1"/>
    <col min="4" max="4" width="15.140625" style="3" bestFit="1" customWidth="1"/>
    <col min="5" max="5" width="11" style="3" customWidth="1"/>
    <col min="6" max="6" width="11.85546875" style="3" customWidth="1"/>
    <col min="7" max="7" width="0.85546875" style="3" customWidth="1"/>
    <col min="8" max="8" width="12.85546875" style="3" bestFit="1" customWidth="1"/>
    <col min="9" max="9" width="9.42578125" style="3" bestFit="1" customWidth="1"/>
    <col min="10" max="10" width="11.5703125" style="3" bestFit="1" customWidth="1"/>
    <col min="11" max="11" width="1" style="3" customWidth="1"/>
    <col min="12" max="12" width="12.85546875" style="3" bestFit="1" customWidth="1"/>
    <col min="13" max="13" width="9.42578125" style="3" bestFit="1" customWidth="1"/>
    <col min="14" max="14" width="13.42578125" style="3" customWidth="1"/>
    <col min="15" max="16384" width="8.85546875" style="3"/>
  </cols>
  <sheetData>
    <row r="1" spans="1:14" s="15" customFormat="1" ht="12.75" customHeight="1">
      <c r="A1" s="459" t="str">
        <f>'Exh CTM-8 (Rate Impacts_RY#1)'!A1</f>
        <v>Puget Sound Energy</v>
      </c>
      <c r="B1" s="460"/>
      <c r="C1" s="460"/>
      <c r="D1" s="460"/>
      <c r="E1" s="460"/>
      <c r="F1" s="460"/>
      <c r="G1" s="460"/>
      <c r="H1" s="460"/>
      <c r="I1" s="460"/>
      <c r="J1" s="460"/>
      <c r="K1" s="460"/>
      <c r="L1" s="460"/>
      <c r="M1" s="460"/>
      <c r="N1" s="460"/>
    </row>
    <row r="2" spans="1:14" s="15" customFormat="1" ht="12.75">
      <c r="A2" s="459" t="str">
        <f>'Exh CTM-8 (Rate Impacts_RY#1)'!A2</f>
        <v>2024 General Rate Case Docket No. UE-240004 and UG-240005</v>
      </c>
      <c r="B2" s="460"/>
      <c r="C2" s="460"/>
      <c r="D2" s="460"/>
      <c r="E2" s="460"/>
      <c r="F2" s="460"/>
      <c r="G2" s="460"/>
      <c r="H2" s="460"/>
      <c r="I2" s="460"/>
      <c r="J2" s="460"/>
      <c r="K2" s="460"/>
      <c r="L2" s="460"/>
      <c r="M2" s="460"/>
      <c r="N2" s="460"/>
    </row>
    <row r="3" spans="1:14" s="15" customFormat="1" ht="12.75">
      <c r="A3" s="545" t="s">
        <v>246</v>
      </c>
      <c r="B3" s="470"/>
      <c r="C3" s="470"/>
      <c r="D3" s="470"/>
      <c r="E3" s="470"/>
      <c r="F3" s="471"/>
      <c r="G3" s="471"/>
      <c r="H3" s="471"/>
      <c r="I3" s="471"/>
      <c r="J3" s="471"/>
      <c r="K3" s="471"/>
      <c r="L3" s="471"/>
      <c r="M3" s="471"/>
      <c r="N3" s="471"/>
    </row>
    <row r="4" spans="1:14" s="15" customFormat="1" ht="12.75">
      <c r="A4" s="545" t="s">
        <v>177</v>
      </c>
      <c r="B4" s="470"/>
      <c r="C4" s="470"/>
      <c r="D4" s="470"/>
      <c r="E4" s="470"/>
      <c r="F4" s="471"/>
      <c r="G4" s="471"/>
      <c r="H4" s="471"/>
      <c r="I4" s="471"/>
      <c r="J4" s="471"/>
      <c r="K4" s="471"/>
      <c r="L4" s="471"/>
      <c r="M4" s="471"/>
      <c r="N4" s="471"/>
    </row>
    <row r="5" spans="1:14" s="15" customFormat="1">
      <c r="A5" s="456"/>
      <c r="B5" s="456"/>
      <c r="C5" s="456"/>
      <c r="D5" s="456"/>
      <c r="E5" s="456"/>
      <c r="F5" s="44"/>
    </row>
    <row r="6" spans="1:14" s="15" customFormat="1" ht="12.75">
      <c r="A6" s="45"/>
      <c r="B6" s="44"/>
      <c r="C6" s="44"/>
      <c r="D6" s="44"/>
      <c r="H6" s="546" t="str">
        <f>'Sch 95'!H6</f>
        <v>MYRP January 2025</v>
      </c>
      <c r="I6" s="494"/>
      <c r="J6" s="493"/>
      <c r="K6" s="132">
        <f>'Sch 95'!K6</f>
        <v>0</v>
      </c>
      <c r="L6" s="546" t="str">
        <f>'Sch 95'!L6</f>
        <v>MYRP January 2026</v>
      </c>
      <c r="M6" s="547"/>
      <c r="N6" s="548"/>
    </row>
    <row r="7" spans="1:14" s="15" customFormat="1" ht="45">
      <c r="A7" s="97" t="s">
        <v>2</v>
      </c>
      <c r="B7" s="97" t="s">
        <v>3</v>
      </c>
      <c r="C7" s="97" t="s">
        <v>14</v>
      </c>
      <c r="D7" s="133" t="str">
        <f>'Sch 95'!D7</f>
        <v>12 months ending December 2025 F23 Forecast KWh</v>
      </c>
      <c r="E7" s="133" t="str">
        <f>'Sch 95'!E7</f>
        <v>Current Rates as of January 2024 (1)</v>
      </c>
      <c r="F7" s="133" t="str">
        <f>'Sch 95'!F7</f>
        <v>Annual Delivered $</v>
      </c>
      <c r="G7" s="133">
        <f>'Sch 95'!G7</f>
        <v>0</v>
      </c>
      <c r="H7" s="133" t="str">
        <f>'Sch 95'!H7</f>
        <v>Annual Delivered KWh</v>
      </c>
      <c r="I7" s="133" t="str">
        <f>'Sch 95'!I7</f>
        <v>Rates Effective January 2025</v>
      </c>
      <c r="J7" s="133" t="str">
        <f>'Sch 95'!J7</f>
        <v>Annual Delivered $</v>
      </c>
      <c r="K7" s="133">
        <f>'Sch 95'!K7</f>
        <v>0</v>
      </c>
      <c r="L7" s="133" t="str">
        <f>'Sch 95'!L7</f>
        <v>Annual Delivered KWh</v>
      </c>
      <c r="M7" s="133" t="str">
        <f>'Sch 95'!M7</f>
        <v>Rates Effective January 2026</v>
      </c>
      <c r="N7" s="133" t="str">
        <f>'Sch 95'!N7</f>
        <v>Annual Delivered $</v>
      </c>
    </row>
    <row r="8" spans="1:14">
      <c r="A8" s="2">
        <v>1</v>
      </c>
      <c r="B8" s="132" t="str">
        <f>'Sch 95'!B8</f>
        <v xml:space="preserve"> 7 (307) (317) (327)</v>
      </c>
      <c r="D8" s="116">
        <f>'Revenue by Sch RY#1'!D9</f>
        <v>11278205851.395365</v>
      </c>
      <c r="E8" s="129">
        <v>3.19E-4</v>
      </c>
      <c r="F8" s="12">
        <f>D8*E8</f>
        <v>3597747.6665951214</v>
      </c>
      <c r="H8" s="4">
        <f>D8</f>
        <v>11278205851.395365</v>
      </c>
      <c r="I8" s="11">
        <f>E8</f>
        <v>3.19E-4</v>
      </c>
      <c r="J8" s="12">
        <f>$I8*H8</f>
        <v>3597747.6665951214</v>
      </c>
      <c r="K8" s="12"/>
      <c r="L8" s="116">
        <f>'Revenue by Sch RY#2'!D9</f>
        <v>11447649239.71397</v>
      </c>
      <c r="M8" s="11">
        <f>I8</f>
        <v>3.19E-4</v>
      </c>
      <c r="N8" s="12">
        <f>$M8*L8</f>
        <v>3651800.1074687564</v>
      </c>
    </row>
    <row r="9" spans="1:14">
      <c r="A9" s="2">
        <f t="shared" ref="A9:A41" si="0">+A8+1</f>
        <v>2</v>
      </c>
      <c r="B9" s="132" t="str">
        <f>'Sch 95'!B9</f>
        <v xml:space="preserve">7A </v>
      </c>
      <c r="D9" s="4">
        <v>0</v>
      </c>
      <c r="E9" s="129">
        <v>2.8699999999999998E-4</v>
      </c>
      <c r="F9" s="12">
        <f>D9*E9</f>
        <v>0</v>
      </c>
      <c r="H9" s="4">
        <f>D9</f>
        <v>0</v>
      </c>
      <c r="I9" s="11">
        <f>E9</f>
        <v>2.8699999999999998E-4</v>
      </c>
      <c r="J9" s="12">
        <f>$I9*H9</f>
        <v>0</v>
      </c>
      <c r="K9" s="12"/>
      <c r="L9" s="4">
        <v>0</v>
      </c>
      <c r="M9" s="11">
        <f>I9</f>
        <v>2.8699999999999998E-4</v>
      </c>
      <c r="N9" s="12">
        <f>$M9*L9</f>
        <v>0</v>
      </c>
    </row>
    <row r="10" spans="1:14">
      <c r="A10" s="2">
        <f t="shared" si="0"/>
        <v>3</v>
      </c>
      <c r="B10" s="2"/>
      <c r="C10" s="3" t="s">
        <v>4</v>
      </c>
      <c r="D10" s="6">
        <f>SUM(D8:D9)</f>
        <v>11278205851.395365</v>
      </c>
      <c r="E10" s="130"/>
      <c r="F10" s="13">
        <f t="shared" ref="F10" si="1">SUM(F8:F9)</f>
        <v>3597747.6665951214</v>
      </c>
      <c r="H10" s="6">
        <f>SUM(H8:H9)</f>
        <v>11278205851.395365</v>
      </c>
      <c r="I10" s="11"/>
      <c r="J10" s="13">
        <f t="shared" ref="J10" si="2">SUM(J8:J9)</f>
        <v>3597747.6665951214</v>
      </c>
      <c r="K10" s="12"/>
      <c r="L10" s="6">
        <f>SUM(L8:L9)</f>
        <v>11447649239.71397</v>
      </c>
      <c r="M10" s="11"/>
      <c r="N10" s="13">
        <f t="shared" ref="N10" si="3">SUM(N8:N9)</f>
        <v>3651800.1074687564</v>
      </c>
    </row>
    <row r="11" spans="1:14">
      <c r="A11" s="2">
        <f t="shared" si="0"/>
        <v>4</v>
      </c>
      <c r="B11" s="2"/>
      <c r="D11" s="4"/>
      <c r="E11" s="130"/>
      <c r="F11" s="12"/>
      <c r="H11" s="4"/>
      <c r="I11" s="11"/>
      <c r="J11" s="12"/>
      <c r="K11" s="12"/>
      <c r="L11" s="4"/>
      <c r="M11" s="11"/>
      <c r="N11" s="12"/>
    </row>
    <row r="12" spans="1:14">
      <c r="A12" s="2">
        <f t="shared" si="0"/>
        <v>5</v>
      </c>
      <c r="B12" s="132">
        <f>'Sch 95'!B12</f>
        <v>8</v>
      </c>
      <c r="D12" s="4">
        <v>0</v>
      </c>
      <c r="E12" s="129">
        <v>2.7700000000000001E-4</v>
      </c>
      <c r="F12" s="12">
        <f t="shared" ref="F12:F18" si="4">D12*E12</f>
        <v>0</v>
      </c>
      <c r="H12" s="4">
        <f>D12</f>
        <v>0</v>
      </c>
      <c r="I12" s="11">
        <f t="shared" ref="I12:I18" si="5">E12</f>
        <v>2.7700000000000001E-4</v>
      </c>
      <c r="J12" s="12">
        <f t="shared" ref="J12:J18" si="6">$I12*H12</f>
        <v>0</v>
      </c>
      <c r="K12" s="12"/>
      <c r="L12" s="4">
        <v>0</v>
      </c>
      <c r="M12" s="11">
        <f t="shared" ref="M12:M18" si="7">I12</f>
        <v>2.7700000000000001E-4</v>
      </c>
      <c r="N12" s="12">
        <f t="shared" ref="N12:N18" si="8">$M12*L12</f>
        <v>0</v>
      </c>
    </row>
    <row r="13" spans="1:14">
      <c r="A13" s="2">
        <f t="shared" si="0"/>
        <v>6</v>
      </c>
      <c r="B13" s="132" t="str">
        <f>'Sch 95'!B13</f>
        <v>24 (324)</v>
      </c>
      <c r="D13" s="116">
        <f>'Revenue by Sch RY#1'!D10</f>
        <v>2762635966.1696987</v>
      </c>
      <c r="E13" s="130">
        <f>+E12</f>
        <v>2.7700000000000001E-4</v>
      </c>
      <c r="F13" s="12">
        <f t="shared" si="4"/>
        <v>765250.16262900655</v>
      </c>
      <c r="H13" s="4">
        <f>D13</f>
        <v>2762635966.1696987</v>
      </c>
      <c r="I13" s="11">
        <f t="shared" si="5"/>
        <v>2.7700000000000001E-4</v>
      </c>
      <c r="J13" s="12">
        <f t="shared" si="6"/>
        <v>765250.16262900655</v>
      </c>
      <c r="K13" s="12"/>
      <c r="L13" s="116">
        <f>'Revenue by Sch RY#2'!D10</f>
        <v>2774967422.2693906</v>
      </c>
      <c r="M13" s="11">
        <f t="shared" si="7"/>
        <v>2.7700000000000001E-4</v>
      </c>
      <c r="N13" s="12">
        <f t="shared" si="8"/>
        <v>768665.97596862121</v>
      </c>
    </row>
    <row r="14" spans="1:14">
      <c r="A14" s="2">
        <f t="shared" si="0"/>
        <v>7</v>
      </c>
      <c r="B14" s="132">
        <f>'Sch 95'!B14</f>
        <v>11</v>
      </c>
      <c r="D14" s="4">
        <v>0</v>
      </c>
      <c r="E14" s="130">
        <f>E9</f>
        <v>2.8699999999999998E-4</v>
      </c>
      <c r="F14" s="12">
        <f t="shared" si="4"/>
        <v>0</v>
      </c>
      <c r="H14" s="4">
        <f t="shared" ref="H14:H18" si="9">D14</f>
        <v>0</v>
      </c>
      <c r="I14" s="11">
        <f t="shared" si="5"/>
        <v>2.8699999999999998E-4</v>
      </c>
      <c r="J14" s="12">
        <f t="shared" si="6"/>
        <v>0</v>
      </c>
      <c r="K14" s="12"/>
      <c r="L14" s="4">
        <v>0</v>
      </c>
      <c r="M14" s="11">
        <f t="shared" si="7"/>
        <v>2.8699999999999998E-4</v>
      </c>
      <c r="N14" s="12">
        <f t="shared" si="8"/>
        <v>0</v>
      </c>
    </row>
    <row r="15" spans="1:14">
      <c r="A15" s="2">
        <f t="shared" si="0"/>
        <v>8</v>
      </c>
      <c r="B15" s="132">
        <f>'Sch 95'!B15</f>
        <v>25</v>
      </c>
      <c r="D15" s="116">
        <f>'Revenue by Sch RY#1'!D11</f>
        <v>2960202274.8054705</v>
      </c>
      <c r="E15" s="130">
        <f>+E14</f>
        <v>2.8699999999999998E-4</v>
      </c>
      <c r="F15" s="12">
        <f t="shared" si="4"/>
        <v>849578.05286916997</v>
      </c>
      <c r="H15" s="4">
        <f t="shared" si="9"/>
        <v>2960202274.8054705</v>
      </c>
      <c r="I15" s="11">
        <f t="shared" si="5"/>
        <v>2.8699999999999998E-4</v>
      </c>
      <c r="J15" s="12">
        <f t="shared" si="6"/>
        <v>849578.05286916997</v>
      </c>
      <c r="K15" s="12"/>
      <c r="L15" s="116">
        <f>'Revenue by Sch RY#2'!D11</f>
        <v>2968720174.6374388</v>
      </c>
      <c r="M15" s="11">
        <f t="shared" si="7"/>
        <v>2.8699999999999998E-4</v>
      </c>
      <c r="N15" s="12">
        <f t="shared" si="8"/>
        <v>852022.69012094487</v>
      </c>
    </row>
    <row r="16" spans="1:14">
      <c r="A16" s="2">
        <f t="shared" si="0"/>
        <v>9</v>
      </c>
      <c r="B16" s="132">
        <f>'Sch 95'!B16</f>
        <v>12</v>
      </c>
      <c r="D16" s="4">
        <v>0</v>
      </c>
      <c r="E16" s="129">
        <v>2.43E-4</v>
      </c>
      <c r="F16" s="12">
        <f t="shared" si="4"/>
        <v>0</v>
      </c>
      <c r="H16" s="4">
        <f t="shared" si="9"/>
        <v>0</v>
      </c>
      <c r="I16" s="11">
        <f t="shared" si="5"/>
        <v>2.43E-4</v>
      </c>
      <c r="J16" s="12">
        <f t="shared" si="6"/>
        <v>0</v>
      </c>
      <c r="K16" s="12"/>
      <c r="L16" s="4">
        <v>0</v>
      </c>
      <c r="M16" s="11">
        <f t="shared" si="7"/>
        <v>2.43E-4</v>
      </c>
      <c r="N16" s="12">
        <f t="shared" si="8"/>
        <v>0</v>
      </c>
    </row>
    <row r="17" spans="1:14">
      <c r="A17" s="2">
        <f t="shared" si="0"/>
        <v>10</v>
      </c>
      <c r="B17" s="132" t="str">
        <f>'Sch 95'!B17</f>
        <v>26 &amp; 26P</v>
      </c>
      <c r="D17" s="116">
        <f>'Revenue by Sch RY#1'!D12</f>
        <v>2013891730.8000479</v>
      </c>
      <c r="E17" s="130">
        <f>+E16</f>
        <v>2.43E-4</v>
      </c>
      <c r="F17" s="12">
        <f t="shared" si="4"/>
        <v>489375.69058441161</v>
      </c>
      <c r="H17" s="4">
        <f t="shared" si="9"/>
        <v>2013891730.8000479</v>
      </c>
      <c r="I17" s="11">
        <f t="shared" si="5"/>
        <v>2.43E-4</v>
      </c>
      <c r="J17" s="12">
        <f t="shared" si="6"/>
        <v>489375.69058441161</v>
      </c>
      <c r="K17" s="12"/>
      <c r="L17" s="116">
        <f>'Revenue by Sch RY#2'!D12</f>
        <v>2056791563.2414525</v>
      </c>
      <c r="M17" s="11">
        <f t="shared" si="7"/>
        <v>2.43E-4</v>
      </c>
      <c r="N17" s="12">
        <f t="shared" si="8"/>
        <v>499800.34986767295</v>
      </c>
    </row>
    <row r="18" spans="1:14">
      <c r="A18" s="2">
        <f t="shared" si="0"/>
        <v>11</v>
      </c>
      <c r="B18" s="132">
        <f>'Sch 95'!B18</f>
        <v>29</v>
      </c>
      <c r="D18" s="116">
        <f>'Revenue by Sch RY#1'!D13</f>
        <v>14930059.630887466</v>
      </c>
      <c r="E18" s="129">
        <v>3.6999999999999999E-4</v>
      </c>
      <c r="F18" s="12">
        <f t="shared" si="4"/>
        <v>5524.1220634283618</v>
      </c>
      <c r="H18" s="4">
        <f t="shared" si="9"/>
        <v>14930059.630887466</v>
      </c>
      <c r="I18" s="11">
        <f t="shared" si="5"/>
        <v>3.6999999999999999E-4</v>
      </c>
      <c r="J18" s="12">
        <f t="shared" si="6"/>
        <v>5524.1220634283618</v>
      </c>
      <c r="K18" s="12"/>
      <c r="L18" s="116">
        <f>'Revenue by Sch RY#2'!D13</f>
        <v>14843026.361509496</v>
      </c>
      <c r="M18" s="11">
        <f t="shared" si="7"/>
        <v>3.6999999999999999E-4</v>
      </c>
      <c r="N18" s="12">
        <f t="shared" si="8"/>
        <v>5491.9197537585133</v>
      </c>
    </row>
    <row r="19" spans="1:14">
      <c r="A19" s="2">
        <f t="shared" si="0"/>
        <v>12</v>
      </c>
      <c r="B19" s="2"/>
      <c r="C19" s="7" t="s">
        <v>6</v>
      </c>
      <c r="D19" s="6">
        <f>SUM(D12:D18)</f>
        <v>7751660031.4061041</v>
      </c>
      <c r="E19" s="130"/>
      <c r="F19" s="13">
        <f t="shared" ref="F19" si="10">SUM(F12:F18)</f>
        <v>2109728.0281460164</v>
      </c>
      <c r="H19" s="6">
        <f>SUM(H12:H18)</f>
        <v>7751660031.4061041</v>
      </c>
      <c r="I19" s="11"/>
      <c r="J19" s="13">
        <f t="shared" ref="J19" si="11">SUM(J12:J18)</f>
        <v>2109728.0281460164</v>
      </c>
      <c r="K19" s="12"/>
      <c r="L19" s="6">
        <f>SUM(L12:L18)</f>
        <v>7815322186.5097914</v>
      </c>
      <c r="M19" s="11"/>
      <c r="N19" s="13">
        <f t="shared" ref="N19" si="12">SUM(N12:N18)</f>
        <v>2125980.9357109978</v>
      </c>
    </row>
    <row r="20" spans="1:14">
      <c r="A20" s="2">
        <f t="shared" si="0"/>
        <v>13</v>
      </c>
      <c r="B20" s="2"/>
      <c r="D20" s="4"/>
      <c r="E20" s="130"/>
      <c r="F20" s="12"/>
      <c r="H20" s="4"/>
      <c r="I20" s="11"/>
      <c r="J20" s="12"/>
      <c r="K20" s="12"/>
      <c r="L20" s="4"/>
      <c r="M20" s="11"/>
      <c r="N20" s="12"/>
    </row>
    <row r="21" spans="1:14">
      <c r="A21" s="2">
        <f t="shared" si="0"/>
        <v>14</v>
      </c>
      <c r="B21" s="132">
        <f>'Sch 95'!B21</f>
        <v>10</v>
      </c>
      <c r="D21" s="4">
        <v>0</v>
      </c>
      <c r="E21" s="129">
        <v>2.52E-4</v>
      </c>
      <c r="F21" s="12">
        <f t="shared" ref="F21:F24" si="13">D21*E21</f>
        <v>0</v>
      </c>
      <c r="H21" s="4">
        <f t="shared" ref="H21:I24" si="14">D21</f>
        <v>0</v>
      </c>
      <c r="I21" s="11">
        <f t="shared" si="14"/>
        <v>2.52E-4</v>
      </c>
      <c r="J21" s="12">
        <f t="shared" ref="J21:J24" si="15">$I21*H21</f>
        <v>0</v>
      </c>
      <c r="K21" s="12"/>
      <c r="L21" s="4">
        <v>0</v>
      </c>
      <c r="M21" s="11">
        <f t="shared" ref="M21:M24" si="16">I21</f>
        <v>2.52E-4</v>
      </c>
      <c r="N21" s="12">
        <f t="shared" ref="N21:N24" si="17">$M21*L21</f>
        <v>0</v>
      </c>
    </row>
    <row r="22" spans="1:14">
      <c r="A22" s="2">
        <f t="shared" si="0"/>
        <v>15</v>
      </c>
      <c r="B22" s="132">
        <f>'Sch 95'!B22</f>
        <v>31</v>
      </c>
      <c r="D22" s="116">
        <f>'Revenue by Sch RY#1'!D14</f>
        <v>1423586019.4788036</v>
      </c>
      <c r="E22" s="130">
        <f>+E21</f>
        <v>2.52E-4</v>
      </c>
      <c r="F22" s="12">
        <f t="shared" si="13"/>
        <v>358743.67690865853</v>
      </c>
      <c r="H22" s="4">
        <f t="shared" si="14"/>
        <v>1423586019.4788036</v>
      </c>
      <c r="I22" s="11">
        <f t="shared" si="14"/>
        <v>2.52E-4</v>
      </c>
      <c r="J22" s="12">
        <f t="shared" si="15"/>
        <v>358743.67690865853</v>
      </c>
      <c r="K22" s="12"/>
      <c r="L22" s="116">
        <f>'Revenue by Sch RY#2'!D14</f>
        <v>1411297972.0883911</v>
      </c>
      <c r="M22" s="11">
        <f t="shared" si="16"/>
        <v>2.52E-4</v>
      </c>
      <c r="N22" s="12">
        <f t="shared" si="17"/>
        <v>355647.08896627458</v>
      </c>
    </row>
    <row r="23" spans="1:14">
      <c r="A23" s="2">
        <f t="shared" si="0"/>
        <v>16</v>
      </c>
      <c r="B23" s="132">
        <f>'Sch 95'!B23</f>
        <v>35</v>
      </c>
      <c r="D23" s="116">
        <f>'Revenue by Sch RY#1'!D15</f>
        <v>4407260.1568774413</v>
      </c>
      <c r="E23" s="129">
        <v>5.9199999999999997E-4</v>
      </c>
      <c r="F23" s="12">
        <f t="shared" si="13"/>
        <v>2609.098012871445</v>
      </c>
      <c r="H23" s="4">
        <f t="shared" si="14"/>
        <v>4407260.1568774413</v>
      </c>
      <c r="I23" s="11">
        <f t="shared" si="14"/>
        <v>5.9199999999999997E-4</v>
      </c>
      <c r="J23" s="12">
        <f t="shared" si="15"/>
        <v>2609.098012871445</v>
      </c>
      <c r="K23" s="12"/>
      <c r="L23" s="116">
        <f>'Revenue by Sch RY#2'!D15</f>
        <v>4380281.1514552524</v>
      </c>
      <c r="M23" s="11">
        <f t="shared" si="16"/>
        <v>5.9199999999999997E-4</v>
      </c>
      <c r="N23" s="12">
        <f t="shared" si="17"/>
        <v>2593.1264416615095</v>
      </c>
    </row>
    <row r="24" spans="1:14">
      <c r="A24" s="2">
        <f t="shared" si="0"/>
        <v>17</v>
      </c>
      <c r="B24" s="132">
        <f>'Sch 95'!B24</f>
        <v>43</v>
      </c>
      <c r="D24" s="116">
        <f>'Revenue by Sch RY#1'!D16</f>
        <v>122267424.6450724</v>
      </c>
      <c r="E24" s="129">
        <v>4.2999999999999999E-4</v>
      </c>
      <c r="F24" s="12">
        <f t="shared" si="13"/>
        <v>52574.992597381133</v>
      </c>
      <c r="H24" s="4">
        <f t="shared" si="14"/>
        <v>122267424.6450724</v>
      </c>
      <c r="I24" s="11">
        <f t="shared" si="14"/>
        <v>4.2999999999999999E-4</v>
      </c>
      <c r="J24" s="12">
        <f t="shared" si="15"/>
        <v>52574.992597381133</v>
      </c>
      <c r="K24" s="12"/>
      <c r="L24" s="116">
        <f>'Revenue by Sch RY#2'!D16</f>
        <v>121633779.10385114</v>
      </c>
      <c r="M24" s="11">
        <f t="shared" si="16"/>
        <v>4.2999999999999999E-4</v>
      </c>
      <c r="N24" s="12">
        <f t="shared" si="17"/>
        <v>52302.525014655992</v>
      </c>
    </row>
    <row r="25" spans="1:14">
      <c r="A25" s="2">
        <f t="shared" si="0"/>
        <v>18</v>
      </c>
      <c r="B25" s="2"/>
      <c r="C25" s="3" t="s">
        <v>7</v>
      </c>
      <c r="D25" s="6">
        <f>SUM(D21:D24)</f>
        <v>1550260704.2807536</v>
      </c>
      <c r="E25" s="130"/>
      <c r="F25" s="13">
        <f t="shared" ref="F25" si="18">SUM(F21:F24)</f>
        <v>413927.7675189111</v>
      </c>
      <c r="H25" s="6">
        <f>SUM(H21:H24)</f>
        <v>1550260704.2807536</v>
      </c>
      <c r="I25" s="11"/>
      <c r="J25" s="13">
        <f t="shared" ref="J25" si="19">SUM(J21:J24)</f>
        <v>413927.7675189111</v>
      </c>
      <c r="K25" s="12"/>
      <c r="L25" s="6">
        <f>SUM(L21:L24)</f>
        <v>1537312032.3436973</v>
      </c>
      <c r="M25" s="11"/>
      <c r="N25" s="13">
        <f t="shared" ref="N25" si="20">SUM(N21:N24)</f>
        <v>410542.74042259209</v>
      </c>
    </row>
    <row r="26" spans="1:14">
      <c r="A26" s="2">
        <f t="shared" si="0"/>
        <v>19</v>
      </c>
      <c r="B26" s="2"/>
      <c r="D26" s="4"/>
      <c r="E26" s="130"/>
      <c r="F26" s="12"/>
      <c r="H26" s="4"/>
      <c r="I26" s="11"/>
      <c r="J26" s="12"/>
      <c r="K26" s="12"/>
      <c r="L26" s="4"/>
      <c r="M26" s="11"/>
      <c r="N26" s="12"/>
    </row>
    <row r="27" spans="1:14">
      <c r="A27" s="2">
        <f t="shared" si="0"/>
        <v>20</v>
      </c>
      <c r="B27" s="132">
        <f>'Sch 95'!B27</f>
        <v>46</v>
      </c>
      <c r="D27" s="116">
        <f>'Revenue by Sch RY#1'!D17</f>
        <v>96933187.043131709</v>
      </c>
      <c r="E27" s="129">
        <v>3.1799999999999998E-4</v>
      </c>
      <c r="F27" s="12">
        <f t="shared" ref="F27:F28" si="21">D27*E27</f>
        <v>30824.753479715881</v>
      </c>
      <c r="H27" s="4">
        <f t="shared" ref="H27:I28" si="22">D27</f>
        <v>96933187.043131709</v>
      </c>
      <c r="I27" s="11">
        <f t="shared" si="22"/>
        <v>3.1799999999999998E-4</v>
      </c>
      <c r="J27" s="12">
        <f t="shared" ref="J27:J28" si="23">$I27*H27</f>
        <v>30824.753479715881</v>
      </c>
      <c r="K27" s="12"/>
      <c r="L27" s="116">
        <f>'Revenue by Sch RY#2'!D17</f>
        <v>96918964.527943105</v>
      </c>
      <c r="M27" s="11">
        <f t="shared" ref="M27:M28" si="24">I27</f>
        <v>3.1799999999999998E-4</v>
      </c>
      <c r="N27" s="12">
        <f t="shared" ref="N27:N28" si="25">$M27*L27</f>
        <v>30820.230719885905</v>
      </c>
    </row>
    <row r="28" spans="1:14">
      <c r="A28" s="2">
        <f t="shared" si="0"/>
        <v>21</v>
      </c>
      <c r="B28" s="132">
        <f>'Sch 95'!B28</f>
        <v>49</v>
      </c>
      <c r="D28" s="116">
        <f>'Revenue by Sch RY#1'!D18</f>
        <v>534843226.30681556</v>
      </c>
      <c r="E28" s="129">
        <v>2.2000000000000001E-4</v>
      </c>
      <c r="F28" s="12">
        <f t="shared" si="21"/>
        <v>117665.50978749942</v>
      </c>
      <c r="H28" s="4">
        <f t="shared" si="22"/>
        <v>534843226.30681556</v>
      </c>
      <c r="I28" s="11">
        <f t="shared" si="22"/>
        <v>2.2000000000000001E-4</v>
      </c>
      <c r="J28" s="12">
        <f t="shared" si="23"/>
        <v>117665.50978749942</v>
      </c>
      <c r="K28" s="12"/>
      <c r="L28" s="116">
        <f>'Revenue by Sch RY#2'!D18</f>
        <v>534899242.67952603</v>
      </c>
      <c r="M28" s="11">
        <f t="shared" si="24"/>
        <v>2.2000000000000001E-4</v>
      </c>
      <c r="N28" s="12">
        <f t="shared" si="25"/>
        <v>117677.83338949573</v>
      </c>
    </row>
    <row r="29" spans="1:14">
      <c r="A29" s="2">
        <f t="shared" si="0"/>
        <v>22</v>
      </c>
      <c r="B29" s="2"/>
      <c r="C29" s="3" t="s">
        <v>8</v>
      </c>
      <c r="D29" s="6">
        <f>SUM(D27:D28)</f>
        <v>631776413.34994721</v>
      </c>
      <c r="E29" s="11"/>
      <c r="F29" s="13">
        <f t="shared" ref="F29" si="26">SUM(F27:F28)</f>
        <v>148490.26326721531</v>
      </c>
      <c r="H29" s="6">
        <f>SUM(H27:H28)</f>
        <v>631776413.34994721</v>
      </c>
      <c r="I29" s="11"/>
      <c r="J29" s="13">
        <f t="shared" ref="J29" si="27">SUM(J27:J28)</f>
        <v>148490.26326721531</v>
      </c>
      <c r="K29" s="12"/>
      <c r="L29" s="6">
        <f>SUM(L27:L28)</f>
        <v>631818207.20746911</v>
      </c>
      <c r="M29" s="11"/>
      <c r="N29" s="13">
        <f t="shared" ref="N29" si="28">SUM(N27:N28)</f>
        <v>148498.06410938164</v>
      </c>
    </row>
    <row r="30" spans="1:14">
      <c r="A30" s="2">
        <f t="shared" si="0"/>
        <v>23</v>
      </c>
      <c r="B30" s="2"/>
      <c r="D30" s="4"/>
      <c r="E30" s="11"/>
      <c r="F30" s="12"/>
      <c r="H30" s="4"/>
      <c r="I30" s="11"/>
      <c r="J30" s="12"/>
      <c r="K30" s="12"/>
      <c r="L30" s="4"/>
      <c r="M30" s="11"/>
      <c r="N30" s="12"/>
    </row>
    <row r="31" spans="1:14">
      <c r="A31" s="2">
        <f t="shared" si="0"/>
        <v>24</v>
      </c>
      <c r="B31" s="132" t="str">
        <f>'Sch 95'!B31</f>
        <v>03, 50-59</v>
      </c>
      <c r="D31" s="122">
        <f>'Revenue by Sch RY#1'!D19</f>
        <v>67255417.982360825</v>
      </c>
      <c r="E31" s="117">
        <v>0</v>
      </c>
      <c r="F31" s="13">
        <f>D31*E31</f>
        <v>0</v>
      </c>
      <c r="H31" s="6">
        <f>D31</f>
        <v>67255417.982360825</v>
      </c>
      <c r="I31" s="11">
        <f>E31</f>
        <v>0</v>
      </c>
      <c r="J31" s="13">
        <f>$I31*H31</f>
        <v>0</v>
      </c>
      <c r="K31" s="12"/>
      <c r="L31" s="122">
        <f>'Revenue by Sch RY#2'!D19</f>
        <v>67027608.143863305</v>
      </c>
      <c r="M31" s="11">
        <f>I31</f>
        <v>0</v>
      </c>
      <c r="N31" s="13">
        <f>$M31*L31</f>
        <v>0</v>
      </c>
    </row>
    <row r="32" spans="1:14">
      <c r="A32" s="2">
        <f t="shared" si="0"/>
        <v>25</v>
      </c>
      <c r="B32" s="2"/>
      <c r="D32" s="4"/>
      <c r="E32" s="11"/>
      <c r="F32" s="12"/>
      <c r="H32" s="4"/>
      <c r="I32" s="11"/>
      <c r="J32" s="12"/>
      <c r="K32" s="12"/>
      <c r="L32" s="4"/>
      <c r="M32" s="11"/>
      <c r="N32" s="12"/>
    </row>
    <row r="33" spans="1:14">
      <c r="A33" s="2">
        <f t="shared" si="0"/>
        <v>26</v>
      </c>
      <c r="B33" s="132" t="str">
        <f>'Sch 95'!B33</f>
        <v>449-459</v>
      </c>
      <c r="D33" s="116">
        <f>'Revenue by Sch RY#1'!D20</f>
        <v>1967511960.3194919</v>
      </c>
      <c r="E33" s="117">
        <v>0</v>
      </c>
      <c r="F33" s="12">
        <f t="shared" ref="F33:F34" si="29">D33*E33</f>
        <v>0</v>
      </c>
      <c r="H33" s="4">
        <f t="shared" ref="H33:I34" si="30">D33</f>
        <v>1967511960.3194919</v>
      </c>
      <c r="I33" s="11">
        <f t="shared" si="30"/>
        <v>0</v>
      </c>
      <c r="J33" s="12">
        <f t="shared" ref="J33:J34" si="31">$I33*H33</f>
        <v>0</v>
      </c>
      <c r="K33" s="12"/>
      <c r="L33" s="116">
        <f>'Revenue by Sch RY#2'!D20</f>
        <v>1964993565.6779518</v>
      </c>
      <c r="M33" s="11">
        <f t="shared" ref="M33:M34" si="32">I33</f>
        <v>0</v>
      </c>
      <c r="N33" s="12">
        <f t="shared" ref="N33:N34" si="33">$M33*L33</f>
        <v>0</v>
      </c>
    </row>
    <row r="34" spans="1:14">
      <c r="A34" s="2">
        <f t="shared" si="0"/>
        <v>27</v>
      </c>
      <c r="B34" s="132" t="str">
        <f>'Sch 95'!B34</f>
        <v>Special Contract</v>
      </c>
      <c r="D34" s="116">
        <f>'Revenue by Sch RY#1'!D21</f>
        <v>304773055.46200001</v>
      </c>
      <c r="E34" s="117">
        <v>0</v>
      </c>
      <c r="F34" s="12">
        <f t="shared" si="29"/>
        <v>0</v>
      </c>
      <c r="H34" s="4">
        <f t="shared" si="30"/>
        <v>304773055.46200001</v>
      </c>
      <c r="I34" s="11">
        <f t="shared" si="30"/>
        <v>0</v>
      </c>
      <c r="J34" s="12">
        <f t="shared" si="31"/>
        <v>0</v>
      </c>
      <c r="K34" s="12"/>
      <c r="L34" s="116">
        <f>'Revenue by Sch RY#2'!D21</f>
        <v>304773055.46200001</v>
      </c>
      <c r="M34" s="11">
        <f t="shared" si="32"/>
        <v>0</v>
      </c>
      <c r="N34" s="12">
        <f t="shared" si="33"/>
        <v>0</v>
      </c>
    </row>
    <row r="35" spans="1:14">
      <c r="A35" s="2">
        <f t="shared" si="0"/>
        <v>28</v>
      </c>
      <c r="B35" s="5"/>
      <c r="C35" s="3" t="s">
        <v>77</v>
      </c>
      <c r="D35" s="6">
        <f>SUM(D33:D34)</f>
        <v>2272285015.7814918</v>
      </c>
      <c r="E35" s="11"/>
      <c r="F35" s="13">
        <f t="shared" ref="F35" si="34">SUM(F33:F34)</f>
        <v>0</v>
      </c>
      <c r="H35" s="6">
        <f>SUM(H33:H34)</f>
        <v>2272285015.7814918</v>
      </c>
      <c r="J35" s="13">
        <f t="shared" ref="J35" si="35">SUM(J33:J34)</f>
        <v>0</v>
      </c>
      <c r="K35" s="12"/>
      <c r="L35" s="6">
        <f>SUM(L33:L34)</f>
        <v>2269766621.1399517</v>
      </c>
      <c r="N35" s="13">
        <f t="shared" ref="N35" si="36">SUM(N33:N34)</f>
        <v>0</v>
      </c>
    </row>
    <row r="36" spans="1:14">
      <c r="A36" s="2">
        <f t="shared" si="0"/>
        <v>29</v>
      </c>
      <c r="B36" s="2"/>
      <c r="D36" s="4"/>
      <c r="E36" s="11"/>
      <c r="F36" s="12"/>
      <c r="H36" s="4"/>
      <c r="J36" s="12"/>
      <c r="K36" s="12"/>
      <c r="L36" s="4"/>
      <c r="N36" s="12"/>
    </row>
    <row r="37" spans="1:14" ht="12" thickBot="1">
      <c r="A37" s="2">
        <f t="shared" si="0"/>
        <v>30</v>
      </c>
      <c r="B37" s="2"/>
      <c r="C37" s="7" t="s">
        <v>15</v>
      </c>
      <c r="D37" s="8">
        <f>SUM(D10,D19,D25,D29,D31,D35)</f>
        <v>23551443434.196022</v>
      </c>
      <c r="E37" s="11"/>
      <c r="F37" s="14">
        <f>SUM(F10,F19,F25,F29,F31,F35)</f>
        <v>6269893.7255272642</v>
      </c>
      <c r="H37" s="8">
        <f>SUM(H10,H19,H25,H29,H31,H35)</f>
        <v>23551443434.196022</v>
      </c>
      <c r="J37" s="14">
        <f>SUM(J10,J19,J25,J29,J31,J35)</f>
        <v>6269893.7255272642</v>
      </c>
      <c r="K37" s="12"/>
      <c r="L37" s="8">
        <f>SUM(L10,L19,L25,L29,L31,L35)</f>
        <v>23768895895.058746</v>
      </c>
      <c r="N37" s="14">
        <f>SUM(N10,N19,N25,N29,N31,N35)</f>
        <v>6336821.847711728</v>
      </c>
    </row>
    <row r="38" spans="1:14" ht="12" thickTop="1">
      <c r="A38" s="2">
        <f t="shared" si="0"/>
        <v>31</v>
      </c>
      <c r="B38" s="2"/>
      <c r="E38" s="11"/>
      <c r="F38" s="12"/>
      <c r="J38" s="12"/>
      <c r="K38" s="12"/>
      <c r="N38" s="12"/>
    </row>
    <row r="39" spans="1:14">
      <c r="A39" s="2">
        <f t="shared" si="0"/>
        <v>32</v>
      </c>
      <c r="B39" s="132">
        <f>'Sch 95'!B39</f>
        <v>5</v>
      </c>
      <c r="C39" s="3" t="s">
        <v>16</v>
      </c>
      <c r="D39" s="122">
        <f>'Revenue by Sch RY#1'!D22</f>
        <v>6714960.2368700616</v>
      </c>
      <c r="E39" s="117">
        <v>0</v>
      </c>
      <c r="F39" s="13">
        <f>D39*E39</f>
        <v>0</v>
      </c>
      <c r="H39" s="6">
        <f>D39</f>
        <v>6714960.2368700616</v>
      </c>
      <c r="I39" s="11">
        <f>E39</f>
        <v>0</v>
      </c>
      <c r="J39" s="13">
        <f>$I39*H39</f>
        <v>0</v>
      </c>
      <c r="K39" s="12"/>
      <c r="L39" s="122">
        <f>'Revenue by Sch RY#2'!D22</f>
        <v>6710049.8818741431</v>
      </c>
      <c r="M39" s="11">
        <f>I39</f>
        <v>0</v>
      </c>
      <c r="N39" s="12">
        <f>$M39*L39</f>
        <v>0</v>
      </c>
    </row>
    <row r="40" spans="1:14">
      <c r="A40" s="2">
        <f t="shared" si="0"/>
        <v>33</v>
      </c>
      <c r="B40" s="2"/>
      <c r="E40" s="11"/>
      <c r="F40" s="12"/>
      <c r="J40" s="12"/>
      <c r="K40" s="12"/>
      <c r="N40" s="12"/>
    </row>
    <row r="41" spans="1:14" ht="12" thickBot="1">
      <c r="A41" s="2">
        <f t="shared" si="0"/>
        <v>34</v>
      </c>
      <c r="B41" s="2"/>
      <c r="C41" s="110" t="s">
        <v>17</v>
      </c>
      <c r="D41" s="111">
        <f>SUM(D37,D39)</f>
        <v>23558158394.432892</v>
      </c>
      <c r="E41" s="112"/>
      <c r="F41" s="113">
        <f>SUM(F37,F39)</f>
        <v>6269893.7255272642</v>
      </c>
      <c r="G41" s="15"/>
      <c r="H41" s="111">
        <f>SUM(H37,H39)</f>
        <v>23558158394.432892</v>
      </c>
      <c r="I41" s="15"/>
      <c r="J41" s="113">
        <f t="shared" ref="J41" si="37">SUM(J37,J39)</f>
        <v>6269893.7255272642</v>
      </c>
      <c r="K41" s="114"/>
      <c r="L41" s="111">
        <f>SUM(L37,L39)</f>
        <v>23775605944.94062</v>
      </c>
      <c r="M41" s="15"/>
      <c r="N41" s="113">
        <f t="shared" ref="N41" si="38">SUM(N37,N39)</f>
        <v>6336821.847711728</v>
      </c>
    </row>
    <row r="42" spans="1:14" ht="12" thickTop="1">
      <c r="D42" s="123">
        <f>'Revenue by Sch RY#1'!D24</f>
        <v>23558158394.432896</v>
      </c>
      <c r="H42" s="162">
        <f>D41</f>
        <v>23558158394.432892</v>
      </c>
      <c r="L42" s="123">
        <f>'Revenue by Sch RY#2'!D24</f>
        <v>23775605944.94062</v>
      </c>
    </row>
    <row r="43" spans="1:14">
      <c r="C43" s="17" t="s">
        <v>168</v>
      </c>
      <c r="D43" s="124">
        <f>D41-D42</f>
        <v>0</v>
      </c>
      <c r="H43" s="124">
        <f>H41-H42</f>
        <v>0</v>
      </c>
      <c r="L43" s="124">
        <f>L41-L42</f>
        <v>0</v>
      </c>
    </row>
    <row r="44" spans="1:14">
      <c r="L44" s="4"/>
    </row>
    <row r="45" spans="1:14">
      <c r="B45" s="3" t="s">
        <v>248</v>
      </c>
      <c r="C45" s="101"/>
    </row>
  </sheetData>
  <mergeCells count="7">
    <mergeCell ref="H6:J6"/>
    <mergeCell ref="L6:N6"/>
    <mergeCell ref="A1:N1"/>
    <mergeCell ref="A2:N2"/>
    <mergeCell ref="A3:N3"/>
    <mergeCell ref="A4:N4"/>
    <mergeCell ref="A5:E5"/>
  </mergeCells>
  <pageMargins left="0.7" right="0.7" top="0.75" bottom="0.75" header="0.3" footer="0.3"/>
  <pageSetup scale="81" orientation="landscape" horizontalDpi="360" verticalDpi="360" r:id="rId1"/>
  <headerFooter>
    <oddFooter>&amp;R&amp;F
&amp;A
&amp;P of &amp;N</oddFooter>
  </headerFooter>
  <customProperties>
    <customPr name="_pios_id" r:id="rId2"/>
  </customPropertie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6" tint="0.79998168889431442"/>
    <pageSetUpPr fitToPage="1"/>
  </sheetPr>
  <dimension ref="A1:N45"/>
  <sheetViews>
    <sheetView zoomScaleNormal="100" workbookViewId="0">
      <pane ySplit="7" topLeftCell="A8" activePane="bottomLeft" state="frozen"/>
      <selection activeCell="U42" sqref="U42"/>
      <selection pane="bottomLeft" activeCell="U42" sqref="U42"/>
    </sheetView>
  </sheetViews>
  <sheetFormatPr defaultColWidth="8.85546875" defaultRowHeight="11.25"/>
  <cols>
    <col min="1" max="1" width="4.42578125" style="3" bestFit="1" customWidth="1"/>
    <col min="2" max="2" width="14.85546875" style="3" bestFit="1" customWidth="1"/>
    <col min="3" max="3" width="21.7109375" style="3" bestFit="1" customWidth="1"/>
    <col min="4" max="4" width="15.140625" style="3" bestFit="1" customWidth="1"/>
    <col min="5" max="5" width="11" style="3" customWidth="1"/>
    <col min="6" max="6" width="11.85546875" style="3" customWidth="1"/>
    <col min="7" max="7" width="0.85546875" style="3" customWidth="1"/>
    <col min="8" max="8" width="12.85546875" style="3" bestFit="1" customWidth="1"/>
    <col min="9" max="9" width="9.42578125" style="3" bestFit="1" customWidth="1"/>
    <col min="10" max="10" width="11.5703125" style="3" bestFit="1" customWidth="1"/>
    <col min="11" max="11" width="1" style="3" customWidth="1"/>
    <col min="12" max="12" width="12.85546875" style="3" bestFit="1" customWidth="1"/>
    <col min="13" max="13" width="9.42578125" style="3" bestFit="1" customWidth="1"/>
    <col min="14" max="14" width="13.42578125" style="3" customWidth="1"/>
    <col min="15" max="16384" width="8.85546875" style="3"/>
  </cols>
  <sheetData>
    <row r="1" spans="1:14" s="15" customFormat="1" ht="12.75" customHeight="1">
      <c r="A1" s="459" t="str">
        <f>'Exh CTM-8 (Rate Impacts_RY#1)'!A1</f>
        <v>Puget Sound Energy</v>
      </c>
      <c r="B1" s="460"/>
      <c r="C1" s="460"/>
      <c r="D1" s="460"/>
      <c r="E1" s="460"/>
      <c r="F1" s="460"/>
      <c r="G1" s="460"/>
      <c r="H1" s="460"/>
      <c r="I1" s="460"/>
      <c r="J1" s="460"/>
      <c r="K1" s="460"/>
      <c r="L1" s="460"/>
      <c r="M1" s="460"/>
      <c r="N1" s="460"/>
    </row>
    <row r="2" spans="1:14" s="15" customFormat="1" ht="12.75">
      <c r="A2" s="459" t="str">
        <f>'Exh CTM-8 (Rate Impacts_RY#1)'!A2</f>
        <v>2024 General Rate Case Docket No. UE-240004 and UG-240005</v>
      </c>
      <c r="B2" s="460"/>
      <c r="C2" s="460"/>
      <c r="D2" s="460"/>
      <c r="E2" s="460"/>
      <c r="F2" s="460"/>
      <c r="G2" s="460"/>
      <c r="H2" s="460"/>
      <c r="I2" s="460"/>
      <c r="J2" s="460"/>
      <c r="K2" s="460"/>
      <c r="L2" s="460"/>
      <c r="M2" s="460"/>
      <c r="N2" s="460"/>
    </row>
    <row r="3" spans="1:14" s="15" customFormat="1" ht="12.75">
      <c r="A3" s="545" t="s">
        <v>247</v>
      </c>
      <c r="B3" s="470"/>
      <c r="C3" s="470"/>
      <c r="D3" s="470"/>
      <c r="E3" s="470"/>
      <c r="F3" s="471"/>
      <c r="G3" s="471"/>
      <c r="H3" s="471"/>
      <c r="I3" s="471"/>
      <c r="J3" s="471"/>
      <c r="K3" s="471"/>
      <c r="L3" s="471"/>
      <c r="M3" s="471"/>
      <c r="N3" s="471"/>
    </row>
    <row r="4" spans="1:14" s="15" customFormat="1" ht="12.75">
      <c r="A4" s="545" t="s">
        <v>177</v>
      </c>
      <c r="B4" s="470"/>
      <c r="C4" s="470"/>
      <c r="D4" s="470"/>
      <c r="E4" s="470"/>
      <c r="F4" s="471"/>
      <c r="G4" s="471"/>
      <c r="H4" s="471"/>
      <c r="I4" s="471"/>
      <c r="J4" s="471"/>
      <c r="K4" s="471"/>
      <c r="L4" s="471"/>
      <c r="M4" s="471"/>
      <c r="N4" s="471"/>
    </row>
    <row r="5" spans="1:14" s="15" customFormat="1">
      <c r="A5" s="456"/>
      <c r="B5" s="456"/>
      <c r="C5" s="456"/>
      <c r="D5" s="456"/>
      <c r="E5" s="456"/>
      <c r="F5" s="44"/>
    </row>
    <row r="6" spans="1:14" s="15" customFormat="1" ht="12.75">
      <c r="A6" s="45"/>
      <c r="B6" s="44"/>
      <c r="C6" s="44"/>
      <c r="D6" s="44"/>
      <c r="H6" s="546" t="str">
        <f>'Sch 95'!H6</f>
        <v>MYRP January 2025</v>
      </c>
      <c r="I6" s="494"/>
      <c r="J6" s="493"/>
      <c r="K6" s="132">
        <f>'Sch 95'!K6</f>
        <v>0</v>
      </c>
      <c r="L6" s="546" t="str">
        <f>'Sch 95'!L6</f>
        <v>MYRP January 2026</v>
      </c>
      <c r="M6" s="547"/>
      <c r="N6" s="548"/>
    </row>
    <row r="7" spans="1:14" s="15" customFormat="1" ht="45">
      <c r="A7" s="97" t="s">
        <v>2</v>
      </c>
      <c r="B7" s="97" t="s">
        <v>3</v>
      </c>
      <c r="C7" s="97" t="s">
        <v>14</v>
      </c>
      <c r="D7" s="133" t="str">
        <f>'Sch 95'!D7</f>
        <v>12 months ending December 2025 F23 Forecast KWh</v>
      </c>
      <c r="E7" s="133" t="str">
        <f>'Sch 95'!E7</f>
        <v>Current Rates as of January 2024 (1)</v>
      </c>
      <c r="F7" s="133" t="str">
        <f>'Sch 95'!F7</f>
        <v>Annual Delivered $</v>
      </c>
      <c r="G7" s="133">
        <f>'Sch 95'!G7</f>
        <v>0</v>
      </c>
      <c r="H7" s="133" t="str">
        <f>'Sch 95'!H7</f>
        <v>Annual Delivered KWh</v>
      </c>
      <c r="I7" s="133" t="str">
        <f>'Sch 95'!I7</f>
        <v>Rates Effective January 2025</v>
      </c>
      <c r="J7" s="133" t="str">
        <f>'Sch 95'!J7</f>
        <v>Annual Delivered $</v>
      </c>
      <c r="K7" s="133">
        <f>'Sch 95'!K7</f>
        <v>0</v>
      </c>
      <c r="L7" s="133" t="str">
        <f>'Sch 95'!L7</f>
        <v>Annual Delivered KWh</v>
      </c>
      <c r="M7" s="133" t="str">
        <f>'Sch 95'!M7</f>
        <v>Rates Effective January 2026</v>
      </c>
      <c r="N7" s="133" t="str">
        <f>'Sch 95'!N7</f>
        <v>Annual Delivered $</v>
      </c>
    </row>
    <row r="8" spans="1:14">
      <c r="A8" s="2">
        <v>1</v>
      </c>
      <c r="B8" s="132" t="str">
        <f>'Sch 95'!B8</f>
        <v xml:space="preserve"> 7 (307) (317) (327)</v>
      </c>
      <c r="D8" s="116">
        <f>'Revenue by Sch RY#1'!D9</f>
        <v>11278205851.395365</v>
      </c>
      <c r="E8" s="109">
        <v>0</v>
      </c>
      <c r="F8" s="12">
        <f>D8*E8</f>
        <v>0</v>
      </c>
      <c r="H8" s="4">
        <f>D8</f>
        <v>11278205851.395365</v>
      </c>
      <c r="I8" s="11">
        <f>E8</f>
        <v>0</v>
      </c>
      <c r="J8" s="12">
        <f>$I8*H8</f>
        <v>0</v>
      </c>
      <c r="K8" s="12"/>
      <c r="L8" s="116">
        <f>'Revenue by Sch RY#2'!D9</f>
        <v>11447649239.71397</v>
      </c>
      <c r="M8" s="11">
        <f>I8</f>
        <v>0</v>
      </c>
      <c r="N8" s="12">
        <f>$M8*L8</f>
        <v>0</v>
      </c>
    </row>
    <row r="9" spans="1:14">
      <c r="A9" s="2">
        <f t="shared" ref="A9:A41" si="0">+A8+1</f>
        <v>2</v>
      </c>
      <c r="B9" s="132" t="str">
        <f>'Sch 95'!B9</f>
        <v xml:space="preserve">7A </v>
      </c>
      <c r="D9" s="4">
        <v>0</v>
      </c>
      <c r="E9" s="109">
        <v>0</v>
      </c>
      <c r="F9" s="12">
        <f>D9*E9</f>
        <v>0</v>
      </c>
      <c r="H9" s="4">
        <f>D9</f>
        <v>0</v>
      </c>
      <c r="I9" s="11">
        <f>E9</f>
        <v>0</v>
      </c>
      <c r="J9" s="12">
        <f>$I9*H9</f>
        <v>0</v>
      </c>
      <c r="K9" s="12"/>
      <c r="L9" s="4">
        <v>0</v>
      </c>
      <c r="M9" s="11">
        <f>I9</f>
        <v>0</v>
      </c>
      <c r="N9" s="12">
        <f>$M9*L9</f>
        <v>0</v>
      </c>
    </row>
    <row r="10" spans="1:14">
      <c r="A10" s="2">
        <f t="shared" si="0"/>
        <v>3</v>
      </c>
      <c r="B10" s="2"/>
      <c r="C10" s="3" t="s">
        <v>4</v>
      </c>
      <c r="D10" s="6">
        <f>SUM(D8:D9)</f>
        <v>11278205851.395365</v>
      </c>
      <c r="E10" s="11"/>
      <c r="F10" s="13">
        <f t="shared" ref="F10" si="1">SUM(F8:F9)</f>
        <v>0</v>
      </c>
      <c r="H10" s="6">
        <f>SUM(H8:H9)</f>
        <v>11278205851.395365</v>
      </c>
      <c r="I10" s="11"/>
      <c r="J10" s="13">
        <f t="shared" ref="J10" si="2">SUM(J8:J9)</f>
        <v>0</v>
      </c>
      <c r="K10" s="12"/>
      <c r="L10" s="6">
        <f>SUM(L8:L9)</f>
        <v>11447649239.71397</v>
      </c>
      <c r="M10" s="11"/>
      <c r="N10" s="13">
        <f t="shared" ref="N10" si="3">SUM(N8:N9)</f>
        <v>0</v>
      </c>
    </row>
    <row r="11" spans="1:14">
      <c r="A11" s="2">
        <f t="shared" si="0"/>
        <v>4</v>
      </c>
      <c r="B11" s="2"/>
      <c r="D11" s="4"/>
      <c r="E11" s="11"/>
      <c r="F11" s="12"/>
      <c r="H11" s="4"/>
      <c r="I11" s="11"/>
      <c r="J11" s="12"/>
      <c r="K11" s="12"/>
      <c r="L11" s="4"/>
      <c r="M11" s="11"/>
      <c r="N11" s="12"/>
    </row>
    <row r="12" spans="1:14">
      <c r="A12" s="2">
        <f t="shared" si="0"/>
        <v>5</v>
      </c>
      <c r="B12" s="132">
        <f>'Sch 95'!B12</f>
        <v>8</v>
      </c>
      <c r="D12" s="4">
        <v>0</v>
      </c>
      <c r="E12" s="109">
        <v>0</v>
      </c>
      <c r="F12" s="12">
        <f t="shared" ref="F12:F18" si="4">D12*E12</f>
        <v>0</v>
      </c>
      <c r="H12" s="4">
        <f>D12</f>
        <v>0</v>
      </c>
      <c r="I12" s="11">
        <f t="shared" ref="I12:I18" si="5">E12</f>
        <v>0</v>
      </c>
      <c r="J12" s="12">
        <f t="shared" ref="J12:J18" si="6">$I12*H12</f>
        <v>0</v>
      </c>
      <c r="K12" s="12"/>
      <c r="L12" s="4">
        <v>0</v>
      </c>
      <c r="M12" s="11">
        <f t="shared" ref="M12:M18" si="7">I12</f>
        <v>0</v>
      </c>
      <c r="N12" s="12">
        <f t="shared" ref="N12:N18" si="8">$M12*L12</f>
        <v>0</v>
      </c>
    </row>
    <row r="13" spans="1:14">
      <c r="A13" s="2">
        <f t="shared" si="0"/>
        <v>6</v>
      </c>
      <c r="B13" s="132" t="str">
        <f>'Sch 95'!B13</f>
        <v>24 (324)</v>
      </c>
      <c r="D13" s="116">
        <f>'Revenue by Sch RY#1'!D10</f>
        <v>2762635966.1696987</v>
      </c>
      <c r="E13" s="109">
        <v>0</v>
      </c>
      <c r="F13" s="12">
        <f t="shared" si="4"/>
        <v>0</v>
      </c>
      <c r="H13" s="4">
        <f>D13</f>
        <v>2762635966.1696987</v>
      </c>
      <c r="I13" s="11">
        <f t="shared" si="5"/>
        <v>0</v>
      </c>
      <c r="J13" s="12">
        <f t="shared" si="6"/>
        <v>0</v>
      </c>
      <c r="K13" s="12"/>
      <c r="L13" s="116">
        <f>'Revenue by Sch RY#2'!D10</f>
        <v>2774967422.2693906</v>
      </c>
      <c r="M13" s="11">
        <f t="shared" si="7"/>
        <v>0</v>
      </c>
      <c r="N13" s="12">
        <f t="shared" si="8"/>
        <v>0</v>
      </c>
    </row>
    <row r="14" spans="1:14">
      <c r="A14" s="2">
        <f t="shared" si="0"/>
        <v>7</v>
      </c>
      <c r="B14" s="132">
        <f>'Sch 95'!B14</f>
        <v>11</v>
      </c>
      <c r="D14" s="4">
        <v>0</v>
      </c>
      <c r="E14" s="109">
        <v>0</v>
      </c>
      <c r="F14" s="12">
        <f t="shared" si="4"/>
        <v>0</v>
      </c>
      <c r="H14" s="4">
        <f t="shared" ref="H14:H18" si="9">D14</f>
        <v>0</v>
      </c>
      <c r="I14" s="11">
        <f t="shared" si="5"/>
        <v>0</v>
      </c>
      <c r="J14" s="12">
        <f t="shared" si="6"/>
        <v>0</v>
      </c>
      <c r="K14" s="12"/>
      <c r="L14" s="4">
        <v>0</v>
      </c>
      <c r="M14" s="11">
        <f t="shared" si="7"/>
        <v>0</v>
      </c>
      <c r="N14" s="12">
        <f t="shared" si="8"/>
        <v>0</v>
      </c>
    </row>
    <row r="15" spans="1:14">
      <c r="A15" s="2">
        <f t="shared" si="0"/>
        <v>8</v>
      </c>
      <c r="B15" s="132">
        <f>'Sch 95'!B15</f>
        <v>25</v>
      </c>
      <c r="D15" s="116">
        <f>'Revenue by Sch RY#1'!D11</f>
        <v>2960202274.8054705</v>
      </c>
      <c r="E15" s="109">
        <v>0</v>
      </c>
      <c r="F15" s="12">
        <f t="shared" si="4"/>
        <v>0</v>
      </c>
      <c r="H15" s="4">
        <f t="shared" si="9"/>
        <v>2960202274.8054705</v>
      </c>
      <c r="I15" s="11">
        <f t="shared" si="5"/>
        <v>0</v>
      </c>
      <c r="J15" s="12">
        <f t="shared" si="6"/>
        <v>0</v>
      </c>
      <c r="K15" s="12"/>
      <c r="L15" s="116">
        <f>'Revenue by Sch RY#2'!D11</f>
        <v>2968720174.6374388</v>
      </c>
      <c r="M15" s="11">
        <f t="shared" si="7"/>
        <v>0</v>
      </c>
      <c r="N15" s="12">
        <f t="shared" si="8"/>
        <v>0</v>
      </c>
    </row>
    <row r="16" spans="1:14">
      <c r="A16" s="2">
        <f t="shared" si="0"/>
        <v>9</v>
      </c>
      <c r="B16" s="132">
        <f>'Sch 95'!B16</f>
        <v>12</v>
      </c>
      <c r="D16" s="4">
        <v>0</v>
      </c>
      <c r="E16" s="109">
        <v>0</v>
      </c>
      <c r="F16" s="12">
        <f t="shared" si="4"/>
        <v>0</v>
      </c>
      <c r="H16" s="4">
        <f t="shared" si="9"/>
        <v>0</v>
      </c>
      <c r="I16" s="11">
        <f t="shared" si="5"/>
        <v>0</v>
      </c>
      <c r="J16" s="12">
        <f t="shared" si="6"/>
        <v>0</v>
      </c>
      <c r="K16" s="12"/>
      <c r="L16" s="4">
        <v>0</v>
      </c>
      <c r="M16" s="11">
        <f t="shared" si="7"/>
        <v>0</v>
      </c>
      <c r="N16" s="12">
        <f t="shared" si="8"/>
        <v>0</v>
      </c>
    </row>
    <row r="17" spans="1:14">
      <c r="A17" s="2">
        <f t="shared" si="0"/>
        <v>10</v>
      </c>
      <c r="B17" s="132" t="str">
        <f>'Sch 95'!B17</f>
        <v>26 &amp; 26P</v>
      </c>
      <c r="D17" s="116">
        <f>'Revenue by Sch RY#1'!D12</f>
        <v>2013891730.8000479</v>
      </c>
      <c r="E17" s="109">
        <v>0</v>
      </c>
      <c r="F17" s="12">
        <f t="shared" si="4"/>
        <v>0</v>
      </c>
      <c r="H17" s="4">
        <f t="shared" si="9"/>
        <v>2013891730.8000479</v>
      </c>
      <c r="I17" s="11">
        <f t="shared" si="5"/>
        <v>0</v>
      </c>
      <c r="J17" s="12">
        <f t="shared" si="6"/>
        <v>0</v>
      </c>
      <c r="K17" s="12"/>
      <c r="L17" s="116">
        <f>'Revenue by Sch RY#2'!D12</f>
        <v>2056791563.2414525</v>
      </c>
      <c r="M17" s="11">
        <f t="shared" si="7"/>
        <v>0</v>
      </c>
      <c r="N17" s="12">
        <f t="shared" si="8"/>
        <v>0</v>
      </c>
    </row>
    <row r="18" spans="1:14">
      <c r="A18" s="2">
        <f t="shared" si="0"/>
        <v>11</v>
      </c>
      <c r="B18" s="132">
        <f>'Sch 95'!B18</f>
        <v>29</v>
      </c>
      <c r="D18" s="116">
        <f>'Revenue by Sch RY#1'!D13</f>
        <v>14930059.630887466</v>
      </c>
      <c r="E18" s="109">
        <v>0</v>
      </c>
      <c r="F18" s="12">
        <f t="shared" si="4"/>
        <v>0</v>
      </c>
      <c r="H18" s="4">
        <f t="shared" si="9"/>
        <v>14930059.630887466</v>
      </c>
      <c r="I18" s="11">
        <f t="shared" si="5"/>
        <v>0</v>
      </c>
      <c r="J18" s="12">
        <f t="shared" si="6"/>
        <v>0</v>
      </c>
      <c r="K18" s="12"/>
      <c r="L18" s="116">
        <f>'Revenue by Sch RY#2'!D13</f>
        <v>14843026.361509496</v>
      </c>
      <c r="M18" s="11">
        <f t="shared" si="7"/>
        <v>0</v>
      </c>
      <c r="N18" s="12">
        <f t="shared" si="8"/>
        <v>0</v>
      </c>
    </row>
    <row r="19" spans="1:14">
      <c r="A19" s="2">
        <f t="shared" si="0"/>
        <v>12</v>
      </c>
      <c r="B19" s="2"/>
      <c r="C19" s="7" t="s">
        <v>6</v>
      </c>
      <c r="D19" s="6">
        <f>SUM(D12:D18)</f>
        <v>7751660031.4061041</v>
      </c>
      <c r="E19" s="11"/>
      <c r="F19" s="13">
        <f t="shared" ref="F19" si="10">SUM(F12:F18)</f>
        <v>0</v>
      </c>
      <c r="H19" s="6">
        <f>SUM(H12:H18)</f>
        <v>7751660031.4061041</v>
      </c>
      <c r="I19" s="11"/>
      <c r="J19" s="13">
        <f t="shared" ref="J19" si="11">SUM(J12:J18)</f>
        <v>0</v>
      </c>
      <c r="K19" s="12"/>
      <c r="L19" s="6">
        <f>SUM(L12:L18)</f>
        <v>7815322186.5097914</v>
      </c>
      <c r="M19" s="11"/>
      <c r="N19" s="13">
        <f t="shared" ref="N19" si="12">SUM(N12:N18)</f>
        <v>0</v>
      </c>
    </row>
    <row r="20" spans="1:14">
      <c r="A20" s="2">
        <f t="shared" si="0"/>
        <v>13</v>
      </c>
      <c r="B20" s="2"/>
      <c r="D20" s="4"/>
      <c r="E20" s="11"/>
      <c r="F20" s="12"/>
      <c r="H20" s="4"/>
      <c r="I20" s="11"/>
      <c r="J20" s="12"/>
      <c r="K20" s="12"/>
      <c r="L20" s="4"/>
      <c r="M20" s="11"/>
      <c r="N20" s="12"/>
    </row>
    <row r="21" spans="1:14">
      <c r="A21" s="2">
        <f t="shared" si="0"/>
        <v>14</v>
      </c>
      <c r="B21" s="132">
        <f>'Sch 95'!B21</f>
        <v>10</v>
      </c>
      <c r="D21" s="4">
        <v>0</v>
      </c>
      <c r="E21" s="109">
        <v>0</v>
      </c>
      <c r="F21" s="12">
        <f t="shared" ref="F21:F24" si="13">D21*E21</f>
        <v>0</v>
      </c>
      <c r="H21" s="4">
        <f t="shared" ref="H21:I24" si="14">D21</f>
        <v>0</v>
      </c>
      <c r="I21" s="11">
        <f t="shared" si="14"/>
        <v>0</v>
      </c>
      <c r="J21" s="12">
        <f t="shared" ref="J21:J24" si="15">$I21*H21</f>
        <v>0</v>
      </c>
      <c r="K21" s="12"/>
      <c r="L21" s="4">
        <v>0</v>
      </c>
      <c r="M21" s="11">
        <f t="shared" ref="M21:M24" si="16">I21</f>
        <v>0</v>
      </c>
      <c r="N21" s="12">
        <f t="shared" ref="N21:N24" si="17">$M21*L21</f>
        <v>0</v>
      </c>
    </row>
    <row r="22" spans="1:14">
      <c r="A22" s="2">
        <f t="shared" si="0"/>
        <v>15</v>
      </c>
      <c r="B22" s="132">
        <f>'Sch 95'!B22</f>
        <v>31</v>
      </c>
      <c r="D22" s="116">
        <f>'Revenue by Sch RY#1'!D14</f>
        <v>1423586019.4788036</v>
      </c>
      <c r="E22" s="109">
        <v>0</v>
      </c>
      <c r="F22" s="12">
        <f t="shared" si="13"/>
        <v>0</v>
      </c>
      <c r="H22" s="4">
        <f t="shared" si="14"/>
        <v>1423586019.4788036</v>
      </c>
      <c r="I22" s="11">
        <f t="shared" si="14"/>
        <v>0</v>
      </c>
      <c r="J22" s="12">
        <f t="shared" si="15"/>
        <v>0</v>
      </c>
      <c r="K22" s="12"/>
      <c r="L22" s="116">
        <f>'Revenue by Sch RY#2'!D14</f>
        <v>1411297972.0883911</v>
      </c>
      <c r="M22" s="11">
        <f t="shared" si="16"/>
        <v>0</v>
      </c>
      <c r="N22" s="12">
        <f t="shared" si="17"/>
        <v>0</v>
      </c>
    </row>
    <row r="23" spans="1:14">
      <c r="A23" s="2">
        <f t="shared" si="0"/>
        <v>16</v>
      </c>
      <c r="B23" s="132">
        <f>'Sch 95'!B23</f>
        <v>35</v>
      </c>
      <c r="D23" s="116">
        <f>'Revenue by Sch RY#1'!D15</f>
        <v>4407260.1568774413</v>
      </c>
      <c r="E23" s="109">
        <v>0</v>
      </c>
      <c r="F23" s="12">
        <f t="shared" si="13"/>
        <v>0</v>
      </c>
      <c r="H23" s="4">
        <f t="shared" si="14"/>
        <v>4407260.1568774413</v>
      </c>
      <c r="I23" s="11">
        <f t="shared" si="14"/>
        <v>0</v>
      </c>
      <c r="J23" s="12">
        <f t="shared" si="15"/>
        <v>0</v>
      </c>
      <c r="K23" s="12"/>
      <c r="L23" s="116">
        <f>'Revenue by Sch RY#2'!D15</f>
        <v>4380281.1514552524</v>
      </c>
      <c r="M23" s="11">
        <f t="shared" si="16"/>
        <v>0</v>
      </c>
      <c r="N23" s="12">
        <f t="shared" si="17"/>
        <v>0</v>
      </c>
    </row>
    <row r="24" spans="1:14">
      <c r="A24" s="2">
        <f t="shared" si="0"/>
        <v>17</v>
      </c>
      <c r="B24" s="132">
        <f>'Sch 95'!B24</f>
        <v>43</v>
      </c>
      <c r="D24" s="116">
        <f>'Revenue by Sch RY#1'!D16</f>
        <v>122267424.6450724</v>
      </c>
      <c r="E24" s="109">
        <v>0</v>
      </c>
      <c r="F24" s="12">
        <f t="shared" si="13"/>
        <v>0</v>
      </c>
      <c r="H24" s="4">
        <f t="shared" si="14"/>
        <v>122267424.6450724</v>
      </c>
      <c r="I24" s="11">
        <f t="shared" si="14"/>
        <v>0</v>
      </c>
      <c r="J24" s="12">
        <f t="shared" si="15"/>
        <v>0</v>
      </c>
      <c r="K24" s="12"/>
      <c r="L24" s="116">
        <f>'Revenue by Sch RY#2'!D16</f>
        <v>121633779.10385114</v>
      </c>
      <c r="M24" s="11">
        <f t="shared" si="16"/>
        <v>0</v>
      </c>
      <c r="N24" s="12">
        <f t="shared" si="17"/>
        <v>0</v>
      </c>
    </row>
    <row r="25" spans="1:14">
      <c r="A25" s="2">
        <f t="shared" si="0"/>
        <v>18</v>
      </c>
      <c r="B25" s="2"/>
      <c r="C25" s="3" t="s">
        <v>7</v>
      </c>
      <c r="D25" s="6">
        <f>SUM(D21:D24)</f>
        <v>1550260704.2807536</v>
      </c>
      <c r="E25" s="11"/>
      <c r="F25" s="13">
        <f t="shared" ref="F25" si="18">SUM(F21:F24)</f>
        <v>0</v>
      </c>
      <c r="H25" s="6">
        <f>SUM(H21:H24)</f>
        <v>1550260704.2807536</v>
      </c>
      <c r="I25" s="11"/>
      <c r="J25" s="13">
        <f t="shared" ref="J25" si="19">SUM(J21:J24)</f>
        <v>0</v>
      </c>
      <c r="K25" s="12"/>
      <c r="L25" s="6">
        <f>SUM(L21:L24)</f>
        <v>1537312032.3436973</v>
      </c>
      <c r="M25" s="11"/>
      <c r="N25" s="13">
        <f t="shared" ref="N25" si="20">SUM(N21:N24)</f>
        <v>0</v>
      </c>
    </row>
    <row r="26" spans="1:14">
      <c r="A26" s="2">
        <f t="shared" si="0"/>
        <v>19</v>
      </c>
      <c r="B26" s="2"/>
      <c r="D26" s="4"/>
      <c r="E26" s="11"/>
      <c r="F26" s="12"/>
      <c r="H26" s="4"/>
      <c r="I26" s="11"/>
      <c r="J26" s="12"/>
      <c r="K26" s="12"/>
      <c r="L26" s="4"/>
      <c r="M26" s="11"/>
      <c r="N26" s="12"/>
    </row>
    <row r="27" spans="1:14">
      <c r="A27" s="2">
        <f t="shared" si="0"/>
        <v>20</v>
      </c>
      <c r="B27" s="132">
        <f>'Sch 95'!B27</f>
        <v>46</v>
      </c>
      <c r="D27" s="116">
        <f>'Revenue by Sch RY#1'!D17</f>
        <v>96933187.043131709</v>
      </c>
      <c r="E27" s="109">
        <v>0</v>
      </c>
      <c r="F27" s="12">
        <f t="shared" ref="F27:F28" si="21">D27*E27</f>
        <v>0</v>
      </c>
      <c r="H27" s="4">
        <f t="shared" ref="H27:I28" si="22">D27</f>
        <v>96933187.043131709</v>
      </c>
      <c r="I27" s="11">
        <f t="shared" si="22"/>
        <v>0</v>
      </c>
      <c r="J27" s="12">
        <f t="shared" ref="J27:J28" si="23">$I27*H27</f>
        <v>0</v>
      </c>
      <c r="K27" s="12"/>
      <c r="L27" s="116">
        <f>'Revenue by Sch RY#2'!D17</f>
        <v>96918964.527943105</v>
      </c>
      <c r="M27" s="11">
        <f t="shared" ref="M27:M28" si="24">I27</f>
        <v>0</v>
      </c>
      <c r="N27" s="12">
        <f t="shared" ref="N27:N28" si="25">$M27*L27</f>
        <v>0</v>
      </c>
    </row>
    <row r="28" spans="1:14">
      <c r="A28" s="2">
        <f t="shared" si="0"/>
        <v>21</v>
      </c>
      <c r="B28" s="132">
        <f>'Sch 95'!B28</f>
        <v>49</v>
      </c>
      <c r="D28" s="116">
        <f>'Revenue by Sch RY#1'!D18</f>
        <v>534843226.30681556</v>
      </c>
      <c r="E28" s="109">
        <v>0</v>
      </c>
      <c r="F28" s="12">
        <f t="shared" si="21"/>
        <v>0</v>
      </c>
      <c r="H28" s="4">
        <f t="shared" si="22"/>
        <v>534843226.30681556</v>
      </c>
      <c r="I28" s="11">
        <f t="shared" si="22"/>
        <v>0</v>
      </c>
      <c r="J28" s="12">
        <f t="shared" si="23"/>
        <v>0</v>
      </c>
      <c r="K28" s="12"/>
      <c r="L28" s="116">
        <f>'Revenue by Sch RY#2'!D18</f>
        <v>534899242.67952603</v>
      </c>
      <c r="M28" s="11">
        <f t="shared" si="24"/>
        <v>0</v>
      </c>
      <c r="N28" s="12">
        <f t="shared" si="25"/>
        <v>0</v>
      </c>
    </row>
    <row r="29" spans="1:14">
      <c r="A29" s="2">
        <f t="shared" si="0"/>
        <v>22</v>
      </c>
      <c r="B29" s="2"/>
      <c r="C29" s="3" t="s">
        <v>8</v>
      </c>
      <c r="D29" s="6">
        <f>SUM(D27:D28)</f>
        <v>631776413.34994721</v>
      </c>
      <c r="E29" s="11"/>
      <c r="F29" s="13">
        <f t="shared" ref="F29" si="26">SUM(F27:F28)</f>
        <v>0</v>
      </c>
      <c r="H29" s="6">
        <f>SUM(H27:H28)</f>
        <v>631776413.34994721</v>
      </c>
      <c r="I29" s="11"/>
      <c r="J29" s="13">
        <f t="shared" ref="J29" si="27">SUM(J27:J28)</f>
        <v>0</v>
      </c>
      <c r="K29" s="12"/>
      <c r="L29" s="6">
        <f>SUM(L27:L28)</f>
        <v>631818207.20746911</v>
      </c>
      <c r="M29" s="11"/>
      <c r="N29" s="13">
        <f t="shared" ref="N29" si="28">SUM(N27:N28)</f>
        <v>0</v>
      </c>
    </row>
    <row r="30" spans="1:14">
      <c r="A30" s="2">
        <f t="shared" si="0"/>
        <v>23</v>
      </c>
      <c r="B30" s="2"/>
      <c r="D30" s="4"/>
      <c r="E30" s="11"/>
      <c r="F30" s="12"/>
      <c r="H30" s="4"/>
      <c r="I30" s="11"/>
      <c r="J30" s="12"/>
      <c r="K30" s="12"/>
      <c r="L30" s="4"/>
      <c r="M30" s="11"/>
      <c r="N30" s="12"/>
    </row>
    <row r="31" spans="1:14">
      <c r="A31" s="2">
        <f t="shared" si="0"/>
        <v>24</v>
      </c>
      <c r="B31" s="132" t="str">
        <f>'Sch 95'!B31</f>
        <v>03, 50-59</v>
      </c>
      <c r="D31" s="122">
        <f>'Revenue by Sch RY#1'!D19</f>
        <v>67255417.982360825</v>
      </c>
      <c r="E31" s="109">
        <v>0</v>
      </c>
      <c r="F31" s="13">
        <f>D31*E31</f>
        <v>0</v>
      </c>
      <c r="H31" s="6">
        <f>D31</f>
        <v>67255417.982360825</v>
      </c>
      <c r="I31" s="11">
        <f>E31</f>
        <v>0</v>
      </c>
      <c r="J31" s="13">
        <f>$I31*H31</f>
        <v>0</v>
      </c>
      <c r="K31" s="12"/>
      <c r="L31" s="122">
        <f>'Revenue by Sch RY#2'!D19</f>
        <v>67027608.143863305</v>
      </c>
      <c r="M31" s="11">
        <f>I31</f>
        <v>0</v>
      </c>
      <c r="N31" s="13">
        <f>$M31*L31</f>
        <v>0</v>
      </c>
    </row>
    <row r="32" spans="1:14">
      <c r="A32" s="2">
        <f t="shared" si="0"/>
        <v>25</v>
      </c>
      <c r="B32" s="2"/>
      <c r="D32" s="4"/>
      <c r="E32" s="11"/>
      <c r="F32" s="12"/>
      <c r="H32" s="4"/>
      <c r="I32" s="11"/>
      <c r="J32" s="12"/>
      <c r="K32" s="12"/>
      <c r="L32" s="4"/>
      <c r="M32" s="11"/>
      <c r="N32" s="12"/>
    </row>
    <row r="33" spans="1:14">
      <c r="A33" s="2">
        <f t="shared" si="0"/>
        <v>26</v>
      </c>
      <c r="B33" s="132" t="str">
        <f>'Sch 95'!B33</f>
        <v>449-459</v>
      </c>
      <c r="D33" s="116">
        <f>'Revenue by Sch RY#1'!D20</f>
        <v>1967511960.3194919</v>
      </c>
      <c r="E33" s="109">
        <v>0</v>
      </c>
      <c r="F33" s="12">
        <f t="shared" ref="F33:F34" si="29">D33*E33</f>
        <v>0</v>
      </c>
      <c r="H33" s="4">
        <f t="shared" ref="H33:I34" si="30">D33</f>
        <v>1967511960.3194919</v>
      </c>
      <c r="I33" s="11">
        <f t="shared" si="30"/>
        <v>0</v>
      </c>
      <c r="J33" s="12">
        <f t="shared" ref="J33:J34" si="31">$I33*H33</f>
        <v>0</v>
      </c>
      <c r="K33" s="12"/>
      <c r="L33" s="116">
        <f>'Revenue by Sch RY#2'!D20</f>
        <v>1964993565.6779518</v>
      </c>
      <c r="M33" s="11">
        <f t="shared" ref="M33:M34" si="32">I33</f>
        <v>0</v>
      </c>
      <c r="N33" s="12">
        <f t="shared" ref="N33:N34" si="33">$M33*L33</f>
        <v>0</v>
      </c>
    </row>
    <row r="34" spans="1:14">
      <c r="A34" s="2">
        <f t="shared" si="0"/>
        <v>27</v>
      </c>
      <c r="B34" s="132" t="str">
        <f>'Sch 95'!B34</f>
        <v>Special Contract</v>
      </c>
      <c r="D34" s="116">
        <f>'Revenue by Sch RY#1'!D21</f>
        <v>304773055.46200001</v>
      </c>
      <c r="E34" s="109">
        <v>0</v>
      </c>
      <c r="F34" s="12">
        <f t="shared" si="29"/>
        <v>0</v>
      </c>
      <c r="H34" s="4">
        <f t="shared" si="30"/>
        <v>304773055.46200001</v>
      </c>
      <c r="I34" s="11">
        <f t="shared" si="30"/>
        <v>0</v>
      </c>
      <c r="J34" s="12">
        <f t="shared" si="31"/>
        <v>0</v>
      </c>
      <c r="K34" s="12"/>
      <c r="L34" s="116">
        <f>'Revenue by Sch RY#2'!D21</f>
        <v>304773055.46200001</v>
      </c>
      <c r="M34" s="11">
        <f t="shared" si="32"/>
        <v>0</v>
      </c>
      <c r="N34" s="12">
        <f t="shared" si="33"/>
        <v>0</v>
      </c>
    </row>
    <row r="35" spans="1:14">
      <c r="A35" s="2">
        <f t="shared" si="0"/>
        <v>28</v>
      </c>
      <c r="B35" s="5"/>
      <c r="C35" s="3" t="s">
        <v>77</v>
      </c>
      <c r="D35" s="6">
        <f>SUM(D33:D34)</f>
        <v>2272285015.7814918</v>
      </c>
      <c r="F35" s="13">
        <f t="shared" ref="F35" si="34">SUM(F33:F34)</f>
        <v>0</v>
      </c>
      <c r="H35" s="6">
        <f>SUM(H33:H34)</f>
        <v>2272285015.7814918</v>
      </c>
      <c r="J35" s="13">
        <f t="shared" ref="J35" si="35">SUM(J33:J34)</f>
        <v>0</v>
      </c>
      <c r="K35" s="12"/>
      <c r="L35" s="6">
        <f>SUM(L33:L34)</f>
        <v>2269766621.1399517</v>
      </c>
      <c r="N35" s="13">
        <f t="shared" ref="N35" si="36">SUM(N33:N34)</f>
        <v>0</v>
      </c>
    </row>
    <row r="36" spans="1:14">
      <c r="A36" s="2">
        <f t="shared" si="0"/>
        <v>29</v>
      </c>
      <c r="B36" s="2"/>
      <c r="D36" s="4"/>
      <c r="F36" s="12"/>
      <c r="H36" s="4"/>
      <c r="J36" s="12"/>
      <c r="K36" s="12"/>
      <c r="L36" s="4"/>
      <c r="N36" s="12"/>
    </row>
    <row r="37" spans="1:14" ht="12" thickBot="1">
      <c r="A37" s="2">
        <f t="shared" si="0"/>
        <v>30</v>
      </c>
      <c r="B37" s="2"/>
      <c r="C37" s="7" t="s">
        <v>15</v>
      </c>
      <c r="D37" s="8">
        <f>SUM(D10,D19,D25,D29,D31,D35)</f>
        <v>23551443434.196022</v>
      </c>
      <c r="F37" s="14">
        <f>SUM(F10,F19,F25,F29,F31,F35)</f>
        <v>0</v>
      </c>
      <c r="H37" s="8">
        <f>SUM(H10,H19,H25,H29,H31,H35)</f>
        <v>23551443434.196022</v>
      </c>
      <c r="J37" s="14">
        <f>SUM(J10,J19,J25,J29,J31,J35)</f>
        <v>0</v>
      </c>
      <c r="K37" s="12"/>
      <c r="L37" s="8">
        <f>SUM(L10,L19,L25,L29,L31,L35)</f>
        <v>23768895895.058746</v>
      </c>
      <c r="N37" s="14">
        <f>SUM(N10,N19,N25,N29,N31,N35)</f>
        <v>0</v>
      </c>
    </row>
    <row r="38" spans="1:14" ht="12" thickTop="1">
      <c r="A38" s="2">
        <f t="shared" si="0"/>
        <v>31</v>
      </c>
      <c r="B38" s="2"/>
      <c r="F38" s="12"/>
      <c r="J38" s="12"/>
      <c r="K38" s="12"/>
      <c r="N38" s="12"/>
    </row>
    <row r="39" spans="1:14">
      <c r="A39" s="2">
        <f t="shared" si="0"/>
        <v>32</v>
      </c>
      <c r="B39" s="132">
        <f>'Sch 95'!B39</f>
        <v>5</v>
      </c>
      <c r="C39" s="3" t="s">
        <v>16</v>
      </c>
      <c r="D39" s="122">
        <f>'Revenue by Sch RY#1'!D22</f>
        <v>6714960.2368700616</v>
      </c>
      <c r="E39" s="109">
        <v>0</v>
      </c>
      <c r="F39" s="13">
        <f>D39*E39</f>
        <v>0</v>
      </c>
      <c r="H39" s="6">
        <f>D39</f>
        <v>6714960.2368700616</v>
      </c>
      <c r="I39" s="11">
        <f>E39</f>
        <v>0</v>
      </c>
      <c r="J39" s="13">
        <f>$I39*H39</f>
        <v>0</v>
      </c>
      <c r="K39" s="12"/>
      <c r="L39" s="122">
        <f>'Revenue by Sch RY#2'!D22</f>
        <v>6710049.8818741431</v>
      </c>
      <c r="M39" s="11">
        <f>I39</f>
        <v>0</v>
      </c>
      <c r="N39" s="12">
        <f>$M39*L39</f>
        <v>0</v>
      </c>
    </row>
    <row r="40" spans="1:14">
      <c r="A40" s="2">
        <f t="shared" si="0"/>
        <v>33</v>
      </c>
      <c r="B40" s="2"/>
      <c r="E40" s="11"/>
      <c r="F40" s="12"/>
      <c r="J40" s="12"/>
      <c r="K40" s="12"/>
      <c r="N40" s="12"/>
    </row>
    <row r="41" spans="1:14" ht="12" thickBot="1">
      <c r="A41" s="2">
        <f t="shared" si="0"/>
        <v>34</v>
      </c>
      <c r="B41" s="2"/>
      <c r="C41" s="110" t="s">
        <v>17</v>
      </c>
      <c r="D41" s="111">
        <f>SUM(D37,D39)</f>
        <v>23558158394.432892</v>
      </c>
      <c r="E41" s="112"/>
      <c r="F41" s="113">
        <f>SUM(F37,F39)</f>
        <v>0</v>
      </c>
      <c r="G41" s="15"/>
      <c r="H41" s="111">
        <f>SUM(H37,H39)</f>
        <v>23558158394.432892</v>
      </c>
      <c r="I41" s="15"/>
      <c r="J41" s="113">
        <f t="shared" ref="J41" si="37">SUM(J37,J39)</f>
        <v>0</v>
      </c>
      <c r="K41" s="114"/>
      <c r="L41" s="111">
        <f>SUM(L37,L39)</f>
        <v>23775605944.94062</v>
      </c>
      <c r="M41" s="15"/>
      <c r="N41" s="113">
        <f t="shared" ref="N41" si="38">SUM(N37,N39)</f>
        <v>0</v>
      </c>
    </row>
    <row r="42" spans="1:14" ht="12" thickTop="1">
      <c r="D42" s="123">
        <f>'Revenue by Sch RY#1'!D24</f>
        <v>23558158394.432896</v>
      </c>
      <c r="H42" s="162">
        <f>D41</f>
        <v>23558158394.432892</v>
      </c>
      <c r="L42" s="123">
        <f>'Revenue by Sch RY#2'!D24</f>
        <v>23775605944.94062</v>
      </c>
    </row>
    <row r="43" spans="1:14">
      <c r="C43" s="17" t="s">
        <v>168</v>
      </c>
      <c r="D43" s="124">
        <f>D41-D42</f>
        <v>0</v>
      </c>
      <c r="H43" s="124">
        <f>H41-H42</f>
        <v>0</v>
      </c>
      <c r="L43" s="124">
        <f>L41-L42</f>
        <v>0</v>
      </c>
    </row>
    <row r="44" spans="1:14">
      <c r="L44" s="4"/>
    </row>
    <row r="45" spans="1:14">
      <c r="B45" s="3" t="s">
        <v>263</v>
      </c>
      <c r="C45" s="101"/>
    </row>
  </sheetData>
  <mergeCells count="7">
    <mergeCell ref="H6:J6"/>
    <mergeCell ref="L6:N6"/>
    <mergeCell ref="A1:N1"/>
    <mergeCell ref="A2:N2"/>
    <mergeCell ref="A3:N3"/>
    <mergeCell ref="A4:N4"/>
    <mergeCell ref="A5:E5"/>
  </mergeCells>
  <pageMargins left="0.7" right="0.7" top="0.75" bottom="0.75" header="0.3" footer="0.3"/>
  <pageSetup scale="81" orientation="landscape" horizontalDpi="360" verticalDpi="360" r:id="rId1"/>
  <headerFooter>
    <oddFooter>&amp;R&amp;F
&amp;A
&amp;P of &amp;N</oddFooter>
  </headerFooter>
  <customProperties>
    <customPr name="_pios_id" r:id="rId2"/>
  </customPropertie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6" tint="0.79998168889431442"/>
    <pageSetUpPr fitToPage="1"/>
  </sheetPr>
  <dimension ref="A1:N45"/>
  <sheetViews>
    <sheetView zoomScaleNormal="100" workbookViewId="0">
      <selection activeCell="U42" sqref="U42"/>
    </sheetView>
  </sheetViews>
  <sheetFormatPr defaultColWidth="8.85546875" defaultRowHeight="11.25"/>
  <cols>
    <col min="1" max="1" width="4.42578125" style="3" bestFit="1" customWidth="1"/>
    <col min="2" max="2" width="14.85546875" style="3" bestFit="1" customWidth="1"/>
    <col min="3" max="3" width="21.7109375" style="3" bestFit="1" customWidth="1"/>
    <col min="4" max="4" width="15.140625" style="3" bestFit="1" customWidth="1"/>
    <col min="5" max="5" width="11" style="3" customWidth="1"/>
    <col min="6" max="6" width="11.85546875" style="3" customWidth="1"/>
    <col min="7" max="7" width="0.85546875" style="3" customWidth="1"/>
    <col min="8" max="8" width="12.85546875" style="3" bestFit="1" customWidth="1"/>
    <col min="9" max="9" width="9.42578125" style="3" bestFit="1" customWidth="1"/>
    <col min="10" max="10" width="11.5703125" style="3" bestFit="1" customWidth="1"/>
    <col min="11" max="11" width="1" style="3" customWidth="1"/>
    <col min="12" max="12" width="12.85546875" style="3" bestFit="1" customWidth="1"/>
    <col min="13" max="13" width="9.42578125" style="3" bestFit="1" customWidth="1"/>
    <col min="14" max="14" width="13.42578125" style="3" customWidth="1"/>
    <col min="15" max="16384" width="8.85546875" style="3"/>
  </cols>
  <sheetData>
    <row r="1" spans="1:14" s="15" customFormat="1" ht="12.75" customHeight="1">
      <c r="A1" s="459" t="str">
        <f>'Exh CTM-8 (Rate Impacts_RY#1)'!A1</f>
        <v>Puget Sound Energy</v>
      </c>
      <c r="B1" s="460"/>
      <c r="C1" s="460"/>
      <c r="D1" s="460"/>
      <c r="E1" s="460"/>
      <c r="F1" s="460"/>
      <c r="G1" s="460"/>
      <c r="H1" s="460"/>
      <c r="I1" s="460"/>
      <c r="J1" s="460"/>
      <c r="K1" s="460"/>
      <c r="L1" s="460"/>
      <c r="M1" s="460"/>
      <c r="N1" s="460"/>
    </row>
    <row r="2" spans="1:14" s="15" customFormat="1" ht="12.75">
      <c r="A2" s="459" t="str">
        <f>'Exh CTM-8 (Rate Impacts_RY#1)'!A2</f>
        <v>2024 General Rate Case Docket No. UE-240004 and UG-240005</v>
      </c>
      <c r="B2" s="460"/>
      <c r="C2" s="460"/>
      <c r="D2" s="460"/>
      <c r="E2" s="460"/>
      <c r="F2" s="460"/>
      <c r="G2" s="460"/>
      <c r="H2" s="460"/>
      <c r="I2" s="460"/>
      <c r="J2" s="460"/>
      <c r="K2" s="460"/>
      <c r="L2" s="460"/>
      <c r="M2" s="460"/>
      <c r="N2" s="460"/>
    </row>
    <row r="3" spans="1:14" s="15" customFormat="1" ht="12.75">
      <c r="A3" s="545" t="s">
        <v>262</v>
      </c>
      <c r="B3" s="470"/>
      <c r="C3" s="470"/>
      <c r="D3" s="470"/>
      <c r="E3" s="470"/>
      <c r="F3" s="471"/>
      <c r="G3" s="471"/>
      <c r="H3" s="471"/>
      <c r="I3" s="471"/>
      <c r="J3" s="471"/>
      <c r="K3" s="471"/>
      <c r="L3" s="471"/>
      <c r="M3" s="471"/>
      <c r="N3" s="471"/>
    </row>
    <row r="4" spans="1:14" s="15" customFormat="1" ht="12.75">
      <c r="A4" s="545" t="s">
        <v>177</v>
      </c>
      <c r="B4" s="470"/>
      <c r="C4" s="470"/>
      <c r="D4" s="470"/>
      <c r="E4" s="470"/>
      <c r="F4" s="471"/>
      <c r="G4" s="471"/>
      <c r="H4" s="471"/>
      <c r="I4" s="471"/>
      <c r="J4" s="471"/>
      <c r="K4" s="471"/>
      <c r="L4" s="471"/>
      <c r="M4" s="471"/>
      <c r="N4" s="471"/>
    </row>
    <row r="5" spans="1:14" s="15" customFormat="1">
      <c r="A5" s="456"/>
      <c r="B5" s="456"/>
      <c r="C5" s="456"/>
      <c r="D5" s="456"/>
      <c r="E5" s="456"/>
      <c r="F5" s="44"/>
    </row>
    <row r="6" spans="1:14" s="15" customFormat="1" ht="12.75">
      <c r="A6" s="45"/>
      <c r="B6" s="44"/>
      <c r="C6" s="44"/>
      <c r="D6" s="44"/>
      <c r="H6" s="546" t="str">
        <f>'Sch 95'!H6</f>
        <v>MYRP January 2025</v>
      </c>
      <c r="I6" s="494"/>
      <c r="J6" s="493"/>
      <c r="K6" s="132">
        <f>'Sch 95'!K6</f>
        <v>0</v>
      </c>
      <c r="L6" s="546" t="str">
        <f>'Sch 95'!L6</f>
        <v>MYRP January 2026</v>
      </c>
      <c r="M6" s="547"/>
      <c r="N6" s="548"/>
    </row>
    <row r="7" spans="1:14" s="15" customFormat="1" ht="45">
      <c r="A7" s="97" t="s">
        <v>2</v>
      </c>
      <c r="B7" s="97" t="s">
        <v>3</v>
      </c>
      <c r="C7" s="97" t="s">
        <v>14</v>
      </c>
      <c r="D7" s="133" t="str">
        <f>'Sch 95'!D7</f>
        <v>12 months ending December 2025 F23 Forecast KWh</v>
      </c>
      <c r="E7" s="133" t="str">
        <f>'Sch 95'!E7</f>
        <v>Current Rates as of January 2024 (1)</v>
      </c>
      <c r="F7" s="133" t="str">
        <f>'Sch 95'!F7</f>
        <v>Annual Delivered $</v>
      </c>
      <c r="G7" s="133">
        <f>'Sch 95'!G7</f>
        <v>0</v>
      </c>
      <c r="H7" s="133" t="str">
        <f>'Sch 95'!H7</f>
        <v>Annual Delivered KWh</v>
      </c>
      <c r="I7" s="133" t="str">
        <f>'Sch 95'!I7</f>
        <v>Rates Effective January 2025</v>
      </c>
      <c r="J7" s="133" t="str">
        <f>'Sch 95'!J7</f>
        <v>Annual Delivered $</v>
      </c>
      <c r="K7" s="133">
        <f>'Sch 95'!K7</f>
        <v>0</v>
      </c>
      <c r="L7" s="133" t="str">
        <f>'Sch 95'!L7</f>
        <v>Annual Delivered KWh</v>
      </c>
      <c r="M7" s="133" t="str">
        <f>'Sch 95'!M7</f>
        <v>Rates Effective January 2026</v>
      </c>
      <c r="N7" s="133" t="str">
        <f>'Sch 95'!N7</f>
        <v>Annual Delivered $</v>
      </c>
    </row>
    <row r="8" spans="1:14">
      <c r="A8" s="2">
        <v>1</v>
      </c>
      <c r="B8" s="132" t="str">
        <f>'Sch 95'!B8</f>
        <v xml:space="preserve"> 7 (307) (317) (327)</v>
      </c>
      <c r="D8" s="116">
        <f>'Revenue by Sch RY#1'!D9</f>
        <v>11278205851.395365</v>
      </c>
      <c r="E8" s="109">
        <v>0</v>
      </c>
      <c r="F8" s="12">
        <f>D8*E8</f>
        <v>0</v>
      </c>
      <c r="H8" s="4">
        <f>D8</f>
        <v>11278205851.395365</v>
      </c>
      <c r="I8" s="11">
        <f>E8</f>
        <v>0</v>
      </c>
      <c r="J8" s="12">
        <f>$I8*H8</f>
        <v>0</v>
      </c>
      <c r="K8" s="12"/>
      <c r="L8" s="116">
        <f>'Revenue by Sch RY#2'!D9</f>
        <v>11447649239.71397</v>
      </c>
      <c r="M8" s="11">
        <f>I8</f>
        <v>0</v>
      </c>
      <c r="N8" s="12">
        <f>$M8*L8</f>
        <v>0</v>
      </c>
    </row>
    <row r="9" spans="1:14">
      <c r="A9" s="2">
        <f t="shared" ref="A9:A41" si="0">+A8+1</f>
        <v>2</v>
      </c>
      <c r="B9" s="132" t="str">
        <f>'Sch 95'!B9</f>
        <v xml:space="preserve">7A </v>
      </c>
      <c r="D9" s="4">
        <v>0</v>
      </c>
      <c r="E9" s="109">
        <v>0</v>
      </c>
      <c r="F9" s="12">
        <f>D9*E9</f>
        <v>0</v>
      </c>
      <c r="H9" s="4">
        <f>D9</f>
        <v>0</v>
      </c>
      <c r="I9" s="11">
        <f>E9</f>
        <v>0</v>
      </c>
      <c r="J9" s="12">
        <f>$I9*H9</f>
        <v>0</v>
      </c>
      <c r="K9" s="12"/>
      <c r="L9" s="4">
        <v>0</v>
      </c>
      <c r="M9" s="11">
        <f>I9</f>
        <v>0</v>
      </c>
      <c r="N9" s="12">
        <f>$M9*L9</f>
        <v>0</v>
      </c>
    </row>
    <row r="10" spans="1:14">
      <c r="A10" s="2">
        <f t="shared" si="0"/>
        <v>3</v>
      </c>
      <c r="B10" s="2"/>
      <c r="C10" s="3" t="s">
        <v>4</v>
      </c>
      <c r="D10" s="6">
        <f>SUM(D8:D9)</f>
        <v>11278205851.395365</v>
      </c>
      <c r="E10" s="11"/>
      <c r="F10" s="13">
        <f t="shared" ref="F10" si="1">SUM(F8:F9)</f>
        <v>0</v>
      </c>
      <c r="H10" s="6">
        <f>SUM(H8:H9)</f>
        <v>11278205851.395365</v>
      </c>
      <c r="I10" s="11"/>
      <c r="J10" s="13">
        <f t="shared" ref="J10" si="2">SUM(J8:J9)</f>
        <v>0</v>
      </c>
      <c r="K10" s="12"/>
      <c r="L10" s="6">
        <f>SUM(L8:L9)</f>
        <v>11447649239.71397</v>
      </c>
      <c r="M10" s="11"/>
      <c r="N10" s="13">
        <f t="shared" ref="N10" si="3">SUM(N8:N9)</f>
        <v>0</v>
      </c>
    </row>
    <row r="11" spans="1:14">
      <c r="A11" s="2">
        <f t="shared" si="0"/>
        <v>4</v>
      </c>
      <c r="B11" s="2"/>
      <c r="D11" s="4"/>
      <c r="E11" s="11"/>
      <c r="F11" s="12"/>
      <c r="H11" s="4"/>
      <c r="I11" s="11"/>
      <c r="J11" s="12"/>
      <c r="K11" s="12"/>
      <c r="L11" s="4"/>
      <c r="M11" s="11"/>
      <c r="N11" s="12"/>
    </row>
    <row r="12" spans="1:14">
      <c r="A12" s="2">
        <f t="shared" si="0"/>
        <v>5</v>
      </c>
      <c r="B12" s="132">
        <f>'Sch 95'!B12</f>
        <v>8</v>
      </c>
      <c r="D12" s="4">
        <v>0</v>
      </c>
      <c r="E12" s="109">
        <v>0</v>
      </c>
      <c r="F12" s="12">
        <f t="shared" ref="F12:F18" si="4">D12*E12</f>
        <v>0</v>
      </c>
      <c r="H12" s="4">
        <f>D12</f>
        <v>0</v>
      </c>
      <c r="I12" s="11">
        <f t="shared" ref="I12:I18" si="5">E12</f>
        <v>0</v>
      </c>
      <c r="J12" s="12">
        <f t="shared" ref="J12:J18" si="6">$I12*H12</f>
        <v>0</v>
      </c>
      <c r="K12" s="12"/>
      <c r="L12" s="4">
        <v>0</v>
      </c>
      <c r="M12" s="11">
        <f t="shared" ref="M12:M18" si="7">I12</f>
        <v>0</v>
      </c>
      <c r="N12" s="12">
        <f t="shared" ref="N12:N18" si="8">$M12*L12</f>
        <v>0</v>
      </c>
    </row>
    <row r="13" spans="1:14">
      <c r="A13" s="2">
        <f t="shared" si="0"/>
        <v>6</v>
      </c>
      <c r="B13" s="132" t="str">
        <f>'Sch 95'!B13</f>
        <v>24 (324)</v>
      </c>
      <c r="D13" s="116">
        <f>'Revenue by Sch RY#1'!D10</f>
        <v>2762635966.1696987</v>
      </c>
      <c r="E13" s="109">
        <v>0</v>
      </c>
      <c r="F13" s="12">
        <f t="shared" si="4"/>
        <v>0</v>
      </c>
      <c r="H13" s="4">
        <f>D13</f>
        <v>2762635966.1696987</v>
      </c>
      <c r="I13" s="11">
        <f t="shared" si="5"/>
        <v>0</v>
      </c>
      <c r="J13" s="12">
        <f t="shared" si="6"/>
        <v>0</v>
      </c>
      <c r="K13" s="12"/>
      <c r="L13" s="116">
        <f>'Revenue by Sch RY#2'!D10</f>
        <v>2774967422.2693906</v>
      </c>
      <c r="M13" s="11">
        <f t="shared" si="7"/>
        <v>0</v>
      </c>
      <c r="N13" s="12">
        <f t="shared" si="8"/>
        <v>0</v>
      </c>
    </row>
    <row r="14" spans="1:14">
      <c r="A14" s="2">
        <f t="shared" si="0"/>
        <v>7</v>
      </c>
      <c r="B14" s="132">
        <f>'Sch 95'!B14</f>
        <v>11</v>
      </c>
      <c r="D14" s="4">
        <v>0</v>
      </c>
      <c r="E14" s="109">
        <v>0</v>
      </c>
      <c r="F14" s="12">
        <f t="shared" si="4"/>
        <v>0</v>
      </c>
      <c r="H14" s="4">
        <f t="shared" ref="H14:H18" si="9">D14</f>
        <v>0</v>
      </c>
      <c r="I14" s="11">
        <f t="shared" si="5"/>
        <v>0</v>
      </c>
      <c r="J14" s="12">
        <f t="shared" si="6"/>
        <v>0</v>
      </c>
      <c r="K14" s="12"/>
      <c r="L14" s="4">
        <v>0</v>
      </c>
      <c r="M14" s="11">
        <f t="shared" si="7"/>
        <v>0</v>
      </c>
      <c r="N14" s="12">
        <f t="shared" si="8"/>
        <v>0</v>
      </c>
    </row>
    <row r="15" spans="1:14">
      <c r="A15" s="2">
        <f t="shared" si="0"/>
        <v>8</v>
      </c>
      <c r="B15" s="132">
        <f>'Sch 95'!B15</f>
        <v>25</v>
      </c>
      <c r="D15" s="116">
        <f>'Revenue by Sch RY#1'!D11</f>
        <v>2960202274.8054705</v>
      </c>
      <c r="E15" s="109">
        <v>0</v>
      </c>
      <c r="F15" s="12">
        <f t="shared" si="4"/>
        <v>0</v>
      </c>
      <c r="H15" s="4">
        <f t="shared" si="9"/>
        <v>2960202274.8054705</v>
      </c>
      <c r="I15" s="11">
        <f t="shared" si="5"/>
        <v>0</v>
      </c>
      <c r="J15" s="12">
        <f t="shared" si="6"/>
        <v>0</v>
      </c>
      <c r="K15" s="12"/>
      <c r="L15" s="116">
        <f>'Revenue by Sch RY#2'!D11</f>
        <v>2968720174.6374388</v>
      </c>
      <c r="M15" s="11">
        <f t="shared" si="7"/>
        <v>0</v>
      </c>
      <c r="N15" s="12">
        <f t="shared" si="8"/>
        <v>0</v>
      </c>
    </row>
    <row r="16" spans="1:14">
      <c r="A16" s="2">
        <f t="shared" si="0"/>
        <v>9</v>
      </c>
      <c r="B16" s="132">
        <f>'Sch 95'!B16</f>
        <v>12</v>
      </c>
      <c r="D16" s="4">
        <v>0</v>
      </c>
      <c r="E16" s="109">
        <v>0</v>
      </c>
      <c r="F16" s="12">
        <f t="shared" si="4"/>
        <v>0</v>
      </c>
      <c r="H16" s="4">
        <f t="shared" si="9"/>
        <v>0</v>
      </c>
      <c r="I16" s="11">
        <f t="shared" si="5"/>
        <v>0</v>
      </c>
      <c r="J16" s="12">
        <f t="shared" si="6"/>
        <v>0</v>
      </c>
      <c r="K16" s="12"/>
      <c r="L16" s="4">
        <v>0</v>
      </c>
      <c r="M16" s="11">
        <f t="shared" si="7"/>
        <v>0</v>
      </c>
      <c r="N16" s="12">
        <f t="shared" si="8"/>
        <v>0</v>
      </c>
    </row>
    <row r="17" spans="1:14">
      <c r="A17" s="2">
        <f t="shared" si="0"/>
        <v>10</v>
      </c>
      <c r="B17" s="132" t="str">
        <f>'Sch 95'!B17</f>
        <v>26 &amp; 26P</v>
      </c>
      <c r="D17" s="116">
        <f>'Revenue by Sch RY#1'!D12</f>
        <v>2013891730.8000479</v>
      </c>
      <c r="E17" s="109">
        <v>0</v>
      </c>
      <c r="F17" s="12">
        <f t="shared" si="4"/>
        <v>0</v>
      </c>
      <c r="H17" s="4">
        <f t="shared" si="9"/>
        <v>2013891730.8000479</v>
      </c>
      <c r="I17" s="11">
        <f t="shared" si="5"/>
        <v>0</v>
      </c>
      <c r="J17" s="12">
        <f t="shared" si="6"/>
        <v>0</v>
      </c>
      <c r="K17" s="12"/>
      <c r="L17" s="116">
        <f>'Revenue by Sch RY#2'!D12</f>
        <v>2056791563.2414525</v>
      </c>
      <c r="M17" s="11">
        <f t="shared" si="7"/>
        <v>0</v>
      </c>
      <c r="N17" s="12">
        <f t="shared" si="8"/>
        <v>0</v>
      </c>
    </row>
    <row r="18" spans="1:14">
      <c r="A18" s="2">
        <f t="shared" si="0"/>
        <v>11</v>
      </c>
      <c r="B18" s="132">
        <f>'Sch 95'!B18</f>
        <v>29</v>
      </c>
      <c r="D18" s="116">
        <f>'Revenue by Sch RY#1'!D13</f>
        <v>14930059.630887466</v>
      </c>
      <c r="E18" s="109">
        <v>0</v>
      </c>
      <c r="F18" s="12">
        <f t="shared" si="4"/>
        <v>0</v>
      </c>
      <c r="H18" s="4">
        <f t="shared" si="9"/>
        <v>14930059.630887466</v>
      </c>
      <c r="I18" s="11">
        <f t="shared" si="5"/>
        <v>0</v>
      </c>
      <c r="J18" s="12">
        <f t="shared" si="6"/>
        <v>0</v>
      </c>
      <c r="K18" s="12"/>
      <c r="L18" s="116">
        <f>'Revenue by Sch RY#2'!D13</f>
        <v>14843026.361509496</v>
      </c>
      <c r="M18" s="11">
        <f t="shared" si="7"/>
        <v>0</v>
      </c>
      <c r="N18" s="12">
        <f t="shared" si="8"/>
        <v>0</v>
      </c>
    </row>
    <row r="19" spans="1:14">
      <c r="A19" s="2">
        <f t="shared" si="0"/>
        <v>12</v>
      </c>
      <c r="B19" s="2"/>
      <c r="C19" s="7" t="s">
        <v>6</v>
      </c>
      <c r="D19" s="6">
        <f>SUM(D12:D18)</f>
        <v>7751660031.4061041</v>
      </c>
      <c r="E19" s="11"/>
      <c r="F19" s="13">
        <f t="shared" ref="F19" si="10">SUM(F12:F18)</f>
        <v>0</v>
      </c>
      <c r="H19" s="6">
        <f>SUM(H12:H18)</f>
        <v>7751660031.4061041</v>
      </c>
      <c r="I19" s="11"/>
      <c r="J19" s="13">
        <f t="shared" ref="J19" si="11">SUM(J12:J18)</f>
        <v>0</v>
      </c>
      <c r="K19" s="12"/>
      <c r="L19" s="6">
        <f>SUM(L12:L18)</f>
        <v>7815322186.5097914</v>
      </c>
      <c r="M19" s="11"/>
      <c r="N19" s="13">
        <f t="shared" ref="N19" si="12">SUM(N12:N18)</f>
        <v>0</v>
      </c>
    </row>
    <row r="20" spans="1:14">
      <c r="A20" s="2">
        <f t="shared" si="0"/>
        <v>13</v>
      </c>
      <c r="B20" s="2"/>
      <c r="D20" s="4"/>
      <c r="E20" s="11"/>
      <c r="F20" s="12"/>
      <c r="H20" s="4"/>
      <c r="I20" s="11"/>
      <c r="J20" s="12"/>
      <c r="K20" s="12"/>
      <c r="L20" s="4"/>
      <c r="M20" s="11"/>
      <c r="N20" s="12"/>
    </row>
    <row r="21" spans="1:14">
      <c r="A21" s="2">
        <f t="shared" si="0"/>
        <v>14</v>
      </c>
      <c r="B21" s="132">
        <f>'Sch 95'!B21</f>
        <v>10</v>
      </c>
      <c r="D21" s="4">
        <v>0</v>
      </c>
      <c r="E21" s="109">
        <v>0</v>
      </c>
      <c r="F21" s="12">
        <f t="shared" ref="F21:F24" si="13">D21*E21</f>
        <v>0</v>
      </c>
      <c r="H21" s="4">
        <f t="shared" ref="H21:I24" si="14">D21</f>
        <v>0</v>
      </c>
      <c r="I21" s="11">
        <f t="shared" si="14"/>
        <v>0</v>
      </c>
      <c r="J21" s="12">
        <f t="shared" ref="J21:J24" si="15">$I21*H21</f>
        <v>0</v>
      </c>
      <c r="K21" s="12"/>
      <c r="L21" s="4">
        <v>0</v>
      </c>
      <c r="M21" s="11">
        <f t="shared" ref="M21:M24" si="16">I21</f>
        <v>0</v>
      </c>
      <c r="N21" s="12">
        <f t="shared" ref="N21:N24" si="17">$M21*L21</f>
        <v>0</v>
      </c>
    </row>
    <row r="22" spans="1:14">
      <c r="A22" s="2">
        <f t="shared" si="0"/>
        <v>15</v>
      </c>
      <c r="B22" s="132">
        <f>'Sch 95'!B22</f>
        <v>31</v>
      </c>
      <c r="D22" s="116">
        <f>'Revenue by Sch RY#1'!D14</f>
        <v>1423586019.4788036</v>
      </c>
      <c r="E22" s="109">
        <v>0</v>
      </c>
      <c r="F22" s="12">
        <f t="shared" si="13"/>
        <v>0</v>
      </c>
      <c r="H22" s="4">
        <f t="shared" si="14"/>
        <v>1423586019.4788036</v>
      </c>
      <c r="I22" s="11">
        <f t="shared" si="14"/>
        <v>0</v>
      </c>
      <c r="J22" s="12">
        <f t="shared" si="15"/>
        <v>0</v>
      </c>
      <c r="K22" s="12"/>
      <c r="L22" s="116">
        <f>'Revenue by Sch RY#2'!D14</f>
        <v>1411297972.0883911</v>
      </c>
      <c r="M22" s="11">
        <f t="shared" si="16"/>
        <v>0</v>
      </c>
      <c r="N22" s="12">
        <f t="shared" si="17"/>
        <v>0</v>
      </c>
    </row>
    <row r="23" spans="1:14">
      <c r="A23" s="2">
        <f t="shared" si="0"/>
        <v>16</v>
      </c>
      <c r="B23" s="132">
        <f>'Sch 95'!B23</f>
        <v>35</v>
      </c>
      <c r="D23" s="116">
        <f>'Revenue by Sch RY#1'!D15</f>
        <v>4407260.1568774413</v>
      </c>
      <c r="E23" s="109">
        <v>0</v>
      </c>
      <c r="F23" s="12">
        <f t="shared" si="13"/>
        <v>0</v>
      </c>
      <c r="H23" s="4">
        <f t="shared" si="14"/>
        <v>4407260.1568774413</v>
      </c>
      <c r="I23" s="11">
        <f t="shared" si="14"/>
        <v>0</v>
      </c>
      <c r="J23" s="12">
        <f t="shared" si="15"/>
        <v>0</v>
      </c>
      <c r="K23" s="12"/>
      <c r="L23" s="116">
        <f>'Revenue by Sch RY#2'!D15</f>
        <v>4380281.1514552524</v>
      </c>
      <c r="M23" s="11">
        <f t="shared" si="16"/>
        <v>0</v>
      </c>
      <c r="N23" s="12">
        <f t="shared" si="17"/>
        <v>0</v>
      </c>
    </row>
    <row r="24" spans="1:14">
      <c r="A24" s="2">
        <f t="shared" si="0"/>
        <v>17</v>
      </c>
      <c r="B24" s="132">
        <f>'Sch 95'!B24</f>
        <v>43</v>
      </c>
      <c r="D24" s="116">
        <f>'Revenue by Sch RY#1'!D16</f>
        <v>122267424.6450724</v>
      </c>
      <c r="E24" s="109">
        <v>0</v>
      </c>
      <c r="F24" s="12">
        <f t="shared" si="13"/>
        <v>0</v>
      </c>
      <c r="H24" s="4">
        <f t="shared" si="14"/>
        <v>122267424.6450724</v>
      </c>
      <c r="I24" s="11">
        <f t="shared" si="14"/>
        <v>0</v>
      </c>
      <c r="J24" s="12">
        <f t="shared" si="15"/>
        <v>0</v>
      </c>
      <c r="K24" s="12"/>
      <c r="L24" s="116">
        <f>'Revenue by Sch RY#2'!D16</f>
        <v>121633779.10385114</v>
      </c>
      <c r="M24" s="11">
        <f t="shared" si="16"/>
        <v>0</v>
      </c>
      <c r="N24" s="12">
        <f t="shared" si="17"/>
        <v>0</v>
      </c>
    </row>
    <row r="25" spans="1:14">
      <c r="A25" s="2">
        <f t="shared" si="0"/>
        <v>18</v>
      </c>
      <c r="B25" s="2"/>
      <c r="C25" s="3" t="s">
        <v>7</v>
      </c>
      <c r="D25" s="6">
        <f>SUM(D21:D24)</f>
        <v>1550260704.2807536</v>
      </c>
      <c r="E25" s="11"/>
      <c r="F25" s="13">
        <f t="shared" ref="F25" si="18">SUM(F21:F24)</f>
        <v>0</v>
      </c>
      <c r="H25" s="6">
        <f>SUM(H21:H24)</f>
        <v>1550260704.2807536</v>
      </c>
      <c r="I25" s="11"/>
      <c r="J25" s="13">
        <f t="shared" ref="J25" si="19">SUM(J21:J24)</f>
        <v>0</v>
      </c>
      <c r="K25" s="12"/>
      <c r="L25" s="6">
        <f>SUM(L21:L24)</f>
        <v>1537312032.3436973</v>
      </c>
      <c r="M25" s="11"/>
      <c r="N25" s="13">
        <f t="shared" ref="N25" si="20">SUM(N21:N24)</f>
        <v>0</v>
      </c>
    </row>
    <row r="26" spans="1:14">
      <c r="A26" s="2">
        <f t="shared" si="0"/>
        <v>19</v>
      </c>
      <c r="B26" s="2"/>
      <c r="D26" s="4"/>
      <c r="E26" s="11"/>
      <c r="F26" s="12"/>
      <c r="H26" s="4"/>
      <c r="I26" s="11"/>
      <c r="J26" s="12"/>
      <c r="K26" s="12"/>
      <c r="L26" s="4"/>
      <c r="M26" s="11"/>
      <c r="N26" s="12"/>
    </row>
    <row r="27" spans="1:14">
      <c r="A27" s="2">
        <f t="shared" si="0"/>
        <v>20</v>
      </c>
      <c r="B27" s="132">
        <f>'Sch 95'!B27</f>
        <v>46</v>
      </c>
      <c r="D27" s="116">
        <f>'Revenue by Sch RY#1'!D17</f>
        <v>96933187.043131709</v>
      </c>
      <c r="E27" s="109">
        <v>0</v>
      </c>
      <c r="F27" s="12">
        <f t="shared" ref="F27:F28" si="21">D27*E27</f>
        <v>0</v>
      </c>
      <c r="H27" s="4">
        <f t="shared" ref="H27:I28" si="22">D27</f>
        <v>96933187.043131709</v>
      </c>
      <c r="I27" s="11">
        <f t="shared" si="22"/>
        <v>0</v>
      </c>
      <c r="J27" s="12">
        <f t="shared" ref="J27:J28" si="23">$I27*H27</f>
        <v>0</v>
      </c>
      <c r="K27" s="12"/>
      <c r="L27" s="116">
        <f>'Revenue by Sch RY#2'!D17</f>
        <v>96918964.527943105</v>
      </c>
      <c r="M27" s="11">
        <f t="shared" ref="M27:M28" si="24">I27</f>
        <v>0</v>
      </c>
      <c r="N27" s="12">
        <f t="shared" ref="N27:N28" si="25">$M27*L27</f>
        <v>0</v>
      </c>
    </row>
    <row r="28" spans="1:14">
      <c r="A28" s="2">
        <f t="shared" si="0"/>
        <v>21</v>
      </c>
      <c r="B28" s="132">
        <f>'Sch 95'!B28</f>
        <v>49</v>
      </c>
      <c r="D28" s="116">
        <f>'Revenue by Sch RY#1'!D18</f>
        <v>534843226.30681556</v>
      </c>
      <c r="E28" s="109">
        <v>0</v>
      </c>
      <c r="F28" s="12">
        <f t="shared" si="21"/>
        <v>0</v>
      </c>
      <c r="H28" s="4">
        <f t="shared" si="22"/>
        <v>534843226.30681556</v>
      </c>
      <c r="I28" s="11">
        <f t="shared" si="22"/>
        <v>0</v>
      </c>
      <c r="J28" s="12">
        <f t="shared" si="23"/>
        <v>0</v>
      </c>
      <c r="K28" s="12"/>
      <c r="L28" s="116">
        <f>'Revenue by Sch RY#2'!D18</f>
        <v>534899242.67952603</v>
      </c>
      <c r="M28" s="11">
        <f t="shared" si="24"/>
        <v>0</v>
      </c>
      <c r="N28" s="12">
        <f t="shared" si="25"/>
        <v>0</v>
      </c>
    </row>
    <row r="29" spans="1:14">
      <c r="A29" s="2">
        <f t="shared" si="0"/>
        <v>22</v>
      </c>
      <c r="B29" s="2"/>
      <c r="C29" s="3" t="s">
        <v>8</v>
      </c>
      <c r="D29" s="6">
        <f>SUM(D27:D28)</f>
        <v>631776413.34994721</v>
      </c>
      <c r="E29" s="11"/>
      <c r="F29" s="13">
        <f t="shared" ref="F29" si="26">SUM(F27:F28)</f>
        <v>0</v>
      </c>
      <c r="H29" s="6">
        <f>SUM(H27:H28)</f>
        <v>631776413.34994721</v>
      </c>
      <c r="I29" s="11"/>
      <c r="J29" s="13">
        <f t="shared" ref="J29" si="27">SUM(J27:J28)</f>
        <v>0</v>
      </c>
      <c r="K29" s="12"/>
      <c r="L29" s="6">
        <f>SUM(L27:L28)</f>
        <v>631818207.20746911</v>
      </c>
      <c r="M29" s="11"/>
      <c r="N29" s="13">
        <f t="shared" ref="N29" si="28">SUM(N27:N28)</f>
        <v>0</v>
      </c>
    </row>
    <row r="30" spans="1:14">
      <c r="A30" s="2">
        <f t="shared" si="0"/>
        <v>23</v>
      </c>
      <c r="B30" s="2"/>
      <c r="D30" s="4"/>
      <c r="E30" s="11"/>
      <c r="F30" s="12"/>
      <c r="H30" s="4"/>
      <c r="I30" s="11"/>
      <c r="J30" s="12"/>
      <c r="K30" s="12"/>
      <c r="L30" s="4"/>
      <c r="M30" s="11"/>
      <c r="N30" s="12"/>
    </row>
    <row r="31" spans="1:14">
      <c r="A31" s="2">
        <f t="shared" si="0"/>
        <v>24</v>
      </c>
      <c r="B31" s="132" t="str">
        <f>'Sch 95'!B31</f>
        <v>03, 50-59</v>
      </c>
      <c r="D31" s="122">
        <f>'Revenue by Sch RY#1'!D19</f>
        <v>67255417.982360825</v>
      </c>
      <c r="E31" s="109">
        <v>0</v>
      </c>
      <c r="F31" s="13">
        <f>D31*E31</f>
        <v>0</v>
      </c>
      <c r="H31" s="6">
        <f>D31</f>
        <v>67255417.982360825</v>
      </c>
      <c r="I31" s="11">
        <f>E31</f>
        <v>0</v>
      </c>
      <c r="J31" s="13">
        <f>$I31*H31</f>
        <v>0</v>
      </c>
      <c r="K31" s="12"/>
      <c r="L31" s="122">
        <f>'Revenue by Sch RY#2'!D19</f>
        <v>67027608.143863305</v>
      </c>
      <c r="M31" s="11">
        <f>I31</f>
        <v>0</v>
      </c>
      <c r="N31" s="13">
        <f>$M31*L31</f>
        <v>0</v>
      </c>
    </row>
    <row r="32" spans="1:14">
      <c r="A32" s="2">
        <f t="shared" si="0"/>
        <v>25</v>
      </c>
      <c r="B32" s="2"/>
      <c r="D32" s="4"/>
      <c r="E32" s="11"/>
      <c r="F32" s="12"/>
      <c r="H32" s="4"/>
      <c r="I32" s="11"/>
      <c r="J32" s="12"/>
      <c r="K32" s="12"/>
      <c r="L32" s="4"/>
      <c r="M32" s="11"/>
      <c r="N32" s="12"/>
    </row>
    <row r="33" spans="1:14">
      <c r="A33" s="2">
        <f t="shared" si="0"/>
        <v>26</v>
      </c>
      <c r="B33" s="132" t="str">
        <f>'Sch 95'!B33</f>
        <v>449-459</v>
      </c>
      <c r="D33" s="116">
        <f>'Revenue by Sch RY#1'!D20</f>
        <v>1967511960.3194919</v>
      </c>
      <c r="E33" s="109">
        <v>0</v>
      </c>
      <c r="F33" s="12">
        <f t="shared" ref="F33:F34" si="29">D33*E33</f>
        <v>0</v>
      </c>
      <c r="H33" s="4">
        <f t="shared" ref="H33:I34" si="30">D33</f>
        <v>1967511960.3194919</v>
      </c>
      <c r="I33" s="11">
        <f t="shared" si="30"/>
        <v>0</v>
      </c>
      <c r="J33" s="12">
        <f t="shared" ref="J33:J34" si="31">$I33*H33</f>
        <v>0</v>
      </c>
      <c r="K33" s="12"/>
      <c r="L33" s="116">
        <f>'Revenue by Sch RY#2'!D20</f>
        <v>1964993565.6779518</v>
      </c>
      <c r="M33" s="11">
        <f t="shared" ref="M33:M34" si="32">I33</f>
        <v>0</v>
      </c>
      <c r="N33" s="12">
        <f t="shared" ref="N33:N34" si="33">$M33*L33</f>
        <v>0</v>
      </c>
    </row>
    <row r="34" spans="1:14">
      <c r="A34" s="2">
        <f t="shared" si="0"/>
        <v>27</v>
      </c>
      <c r="B34" s="132" t="str">
        <f>'Sch 95'!B34</f>
        <v>Special Contract</v>
      </c>
      <c r="D34" s="116">
        <f>'Revenue by Sch RY#1'!D21</f>
        <v>304773055.46200001</v>
      </c>
      <c r="E34" s="109">
        <v>0</v>
      </c>
      <c r="F34" s="12">
        <f t="shared" si="29"/>
        <v>0</v>
      </c>
      <c r="H34" s="4">
        <f t="shared" si="30"/>
        <v>304773055.46200001</v>
      </c>
      <c r="I34" s="11">
        <f t="shared" si="30"/>
        <v>0</v>
      </c>
      <c r="J34" s="12">
        <f t="shared" si="31"/>
        <v>0</v>
      </c>
      <c r="K34" s="12"/>
      <c r="L34" s="116">
        <f>'Revenue by Sch RY#2'!D21</f>
        <v>304773055.46200001</v>
      </c>
      <c r="M34" s="11">
        <f t="shared" si="32"/>
        <v>0</v>
      </c>
      <c r="N34" s="12">
        <f t="shared" si="33"/>
        <v>0</v>
      </c>
    </row>
    <row r="35" spans="1:14">
      <c r="A35" s="2">
        <f t="shared" si="0"/>
        <v>28</v>
      </c>
      <c r="B35" s="5"/>
      <c r="C35" s="3" t="s">
        <v>77</v>
      </c>
      <c r="D35" s="6">
        <f>SUM(D33:D34)</f>
        <v>2272285015.7814918</v>
      </c>
      <c r="F35" s="13">
        <f t="shared" ref="F35" si="34">SUM(F33:F34)</f>
        <v>0</v>
      </c>
      <c r="H35" s="6">
        <f>SUM(H33:H34)</f>
        <v>2272285015.7814918</v>
      </c>
      <c r="J35" s="13">
        <f t="shared" ref="J35" si="35">SUM(J33:J34)</f>
        <v>0</v>
      </c>
      <c r="K35" s="12"/>
      <c r="L35" s="6">
        <f>SUM(L33:L34)</f>
        <v>2269766621.1399517</v>
      </c>
      <c r="N35" s="13">
        <f t="shared" ref="N35" si="36">SUM(N33:N34)</f>
        <v>0</v>
      </c>
    </row>
    <row r="36" spans="1:14">
      <c r="A36" s="2">
        <f t="shared" si="0"/>
        <v>29</v>
      </c>
      <c r="B36" s="2"/>
      <c r="D36" s="4"/>
      <c r="F36" s="12"/>
      <c r="H36" s="4"/>
      <c r="J36" s="12"/>
      <c r="K36" s="12"/>
      <c r="L36" s="4"/>
      <c r="N36" s="12"/>
    </row>
    <row r="37" spans="1:14" ht="12" thickBot="1">
      <c r="A37" s="2">
        <f t="shared" si="0"/>
        <v>30</v>
      </c>
      <c r="B37" s="2"/>
      <c r="C37" s="7" t="s">
        <v>15</v>
      </c>
      <c r="D37" s="8">
        <f>SUM(D10,D19,D25,D29,D31,D35)</f>
        <v>23551443434.196022</v>
      </c>
      <c r="F37" s="14">
        <f>SUM(F10,F19,F25,F29,F31,F35)</f>
        <v>0</v>
      </c>
      <c r="H37" s="8">
        <f>SUM(H10,H19,H25,H29,H31,H35)</f>
        <v>23551443434.196022</v>
      </c>
      <c r="J37" s="14">
        <f>SUM(J10,J19,J25,J29,J31,J35)</f>
        <v>0</v>
      </c>
      <c r="K37" s="12"/>
      <c r="L37" s="8">
        <f>SUM(L10,L19,L25,L29,L31,L35)</f>
        <v>23768895895.058746</v>
      </c>
      <c r="N37" s="14">
        <f>SUM(N10,N19,N25,N29,N31,N35)</f>
        <v>0</v>
      </c>
    </row>
    <row r="38" spans="1:14" ht="12" thickTop="1">
      <c r="A38" s="2">
        <f t="shared" si="0"/>
        <v>31</v>
      </c>
      <c r="B38" s="2"/>
      <c r="F38" s="12"/>
      <c r="J38" s="12"/>
      <c r="K38" s="12"/>
      <c r="N38" s="12"/>
    </row>
    <row r="39" spans="1:14">
      <c r="A39" s="2">
        <f t="shared" si="0"/>
        <v>32</v>
      </c>
      <c r="B39" s="132">
        <f>'Sch 95'!B39</f>
        <v>5</v>
      </c>
      <c r="C39" s="3" t="s">
        <v>16</v>
      </c>
      <c r="D39" s="122">
        <f>'Revenue by Sch RY#1'!D22</f>
        <v>6714960.2368700616</v>
      </c>
      <c r="E39" s="109">
        <v>0</v>
      </c>
      <c r="F39" s="13">
        <f>D39*E39</f>
        <v>0</v>
      </c>
      <c r="H39" s="6">
        <f>D39</f>
        <v>6714960.2368700616</v>
      </c>
      <c r="I39" s="11">
        <f>E39</f>
        <v>0</v>
      </c>
      <c r="J39" s="13">
        <f>$I39*H39</f>
        <v>0</v>
      </c>
      <c r="K39" s="12"/>
      <c r="L39" s="122">
        <f>'Revenue by Sch RY#2'!D22</f>
        <v>6710049.8818741431</v>
      </c>
      <c r="M39" s="11">
        <f>I39</f>
        <v>0</v>
      </c>
      <c r="N39" s="12">
        <f>$M39*L39</f>
        <v>0</v>
      </c>
    </row>
    <row r="40" spans="1:14">
      <c r="A40" s="2">
        <f t="shared" si="0"/>
        <v>33</v>
      </c>
      <c r="B40" s="2"/>
      <c r="E40" s="11"/>
      <c r="F40" s="12"/>
      <c r="J40" s="12"/>
      <c r="K40" s="12"/>
      <c r="N40" s="12"/>
    </row>
    <row r="41" spans="1:14" ht="12" thickBot="1">
      <c r="A41" s="2">
        <f t="shared" si="0"/>
        <v>34</v>
      </c>
      <c r="B41" s="2"/>
      <c r="C41" s="110" t="s">
        <v>17</v>
      </c>
      <c r="D41" s="111">
        <f>SUM(D37,D39)</f>
        <v>23558158394.432892</v>
      </c>
      <c r="E41" s="112"/>
      <c r="F41" s="113">
        <f>SUM(F37,F39)</f>
        <v>0</v>
      </c>
      <c r="G41" s="15"/>
      <c r="H41" s="111">
        <f>SUM(H37,H39)</f>
        <v>23558158394.432892</v>
      </c>
      <c r="I41" s="15"/>
      <c r="J41" s="113">
        <f t="shared" ref="J41" si="37">SUM(J37,J39)</f>
        <v>0</v>
      </c>
      <c r="K41" s="114"/>
      <c r="L41" s="111">
        <f>SUM(L37,L39)</f>
        <v>23775605944.94062</v>
      </c>
      <c r="M41" s="15"/>
      <c r="N41" s="113">
        <f t="shared" ref="N41" si="38">SUM(N37,N39)</f>
        <v>0</v>
      </c>
    </row>
    <row r="42" spans="1:14" ht="12" thickTop="1">
      <c r="D42" s="123">
        <f>'Revenue by Sch RY#1'!D24</f>
        <v>23558158394.432896</v>
      </c>
      <c r="H42" s="162">
        <f>D41</f>
        <v>23558158394.432892</v>
      </c>
      <c r="L42" s="123">
        <f>'Revenue by Sch RY#2'!D24</f>
        <v>23775605944.94062</v>
      </c>
    </row>
    <row r="43" spans="1:14">
      <c r="C43" s="17" t="s">
        <v>168</v>
      </c>
      <c r="D43" s="124">
        <f>D41-D42</f>
        <v>0</v>
      </c>
      <c r="H43" s="124">
        <f>H41-H42</f>
        <v>0</v>
      </c>
      <c r="L43" s="124">
        <f>L41-L42</f>
        <v>0</v>
      </c>
    </row>
    <row r="44" spans="1:14">
      <c r="L44" s="4"/>
    </row>
    <row r="45" spans="1:14">
      <c r="B45" s="3" t="s">
        <v>270</v>
      </c>
      <c r="C45" s="101"/>
    </row>
  </sheetData>
  <mergeCells count="7">
    <mergeCell ref="H6:J6"/>
    <mergeCell ref="L6:N6"/>
    <mergeCell ref="A1:N1"/>
    <mergeCell ref="A2:N2"/>
    <mergeCell ref="A3:N3"/>
    <mergeCell ref="A4:N4"/>
    <mergeCell ref="A5:E5"/>
  </mergeCells>
  <pageMargins left="0.7" right="0.7" top="0.75" bottom="0.75" header="0.3" footer="0.3"/>
  <pageSetup scale="81" orientation="landscape" horizontalDpi="360" verticalDpi="360" r:id="rId1"/>
  <headerFooter>
    <oddFooter>&amp;R&amp;F
&amp;A
&amp;P of &amp;N</oddFooter>
  </headerFooter>
  <customProperties>
    <customPr name="_pios_id" r:id="rId2"/>
  </customPropertie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6" tint="0.79998168889431442"/>
    <pageSetUpPr fitToPage="1"/>
  </sheetPr>
  <dimension ref="A1:V45"/>
  <sheetViews>
    <sheetView zoomScaleNormal="100" workbookViewId="0">
      <pane ySplit="7" topLeftCell="A8" activePane="bottomLeft" state="frozen"/>
      <selection activeCell="U42" sqref="U42"/>
      <selection pane="bottomLeft" activeCell="U42" sqref="U42"/>
    </sheetView>
  </sheetViews>
  <sheetFormatPr defaultColWidth="8.85546875" defaultRowHeight="11.25"/>
  <cols>
    <col min="1" max="1" width="4.42578125" style="3" bestFit="1" customWidth="1"/>
    <col min="2" max="2" width="14.85546875" style="3" bestFit="1" customWidth="1"/>
    <col min="3" max="3" width="21.7109375" style="3" bestFit="1" customWidth="1"/>
    <col min="4" max="4" width="15.140625" style="3" bestFit="1" customWidth="1"/>
    <col min="5" max="5" width="15.140625" style="3" customWidth="1"/>
    <col min="6" max="7" width="11" style="3" customWidth="1"/>
    <col min="8" max="8" width="11.85546875" style="3" customWidth="1"/>
    <col min="9" max="9" width="0.85546875" style="3" customWidth="1"/>
    <col min="10" max="10" width="12.85546875" style="3" bestFit="1" customWidth="1"/>
    <col min="11" max="11" width="12.85546875" style="3" customWidth="1"/>
    <col min="12" max="12" width="10" style="3" bestFit="1" customWidth="1"/>
    <col min="13" max="13" width="9.42578125" style="3" customWidth="1"/>
    <col min="14" max="14" width="11.5703125" style="3" bestFit="1" customWidth="1"/>
    <col min="15" max="15" width="1" style="3" customWidth="1"/>
    <col min="16" max="16" width="12.85546875" style="3" bestFit="1" customWidth="1"/>
    <col min="17" max="17" width="12.85546875" style="3" customWidth="1"/>
    <col min="18" max="18" width="10" style="3" bestFit="1" customWidth="1"/>
    <col min="19" max="19" width="9.42578125" style="3" customWidth="1"/>
    <col min="20" max="20" width="13.42578125" style="3" customWidth="1"/>
    <col min="21" max="21" width="8.85546875" style="3"/>
    <col min="22" max="22" width="9.85546875" style="3" bestFit="1" customWidth="1"/>
    <col min="23" max="16384" width="8.85546875" style="3"/>
  </cols>
  <sheetData>
    <row r="1" spans="1:22" s="15" customFormat="1" ht="12.75" customHeight="1">
      <c r="A1" s="459" t="str">
        <f>'Exh CTM-8 (Rate Impacts_RY#1)'!A1</f>
        <v>Puget Sound Energy</v>
      </c>
      <c r="B1" s="460"/>
      <c r="C1" s="460"/>
      <c r="D1" s="460"/>
      <c r="E1" s="460"/>
      <c r="F1" s="460"/>
      <c r="G1" s="460"/>
      <c r="H1" s="460"/>
      <c r="I1" s="460"/>
      <c r="J1" s="460"/>
      <c r="K1" s="460"/>
      <c r="L1" s="460"/>
      <c r="M1" s="460"/>
      <c r="N1" s="460"/>
      <c r="O1" s="460"/>
      <c r="P1" s="460"/>
      <c r="Q1" s="460"/>
      <c r="R1" s="460"/>
      <c r="S1" s="460"/>
      <c r="T1" s="460"/>
    </row>
    <row r="2" spans="1:22" s="15" customFormat="1" ht="12.75">
      <c r="A2" s="459" t="str">
        <f>'Exh CTM-8 (Rate Impacts_RY#1)'!A2</f>
        <v>2024 General Rate Case Docket No. UE-240004 and UG-240005</v>
      </c>
      <c r="B2" s="460"/>
      <c r="C2" s="460"/>
      <c r="D2" s="460"/>
      <c r="E2" s="460"/>
      <c r="F2" s="460"/>
      <c r="G2" s="460"/>
      <c r="H2" s="460"/>
      <c r="I2" s="460"/>
      <c r="J2" s="460"/>
      <c r="K2" s="460"/>
      <c r="L2" s="460"/>
      <c r="M2" s="460"/>
      <c r="N2" s="460"/>
      <c r="O2" s="460"/>
      <c r="P2" s="460"/>
      <c r="Q2" s="460"/>
      <c r="R2" s="460"/>
      <c r="S2" s="460"/>
      <c r="T2" s="460"/>
    </row>
    <row r="3" spans="1:22" s="15" customFormat="1" ht="12.75">
      <c r="A3" s="545" t="s">
        <v>268</v>
      </c>
      <c r="B3" s="470"/>
      <c r="C3" s="470"/>
      <c r="D3" s="470"/>
      <c r="E3" s="470"/>
      <c r="F3" s="470"/>
      <c r="G3" s="470"/>
      <c r="H3" s="471"/>
      <c r="I3" s="471"/>
      <c r="J3" s="471"/>
      <c r="K3" s="471"/>
      <c r="L3" s="471"/>
      <c r="M3" s="471"/>
      <c r="N3" s="471"/>
      <c r="O3" s="471"/>
      <c r="P3" s="471"/>
      <c r="Q3" s="471"/>
      <c r="R3" s="471"/>
      <c r="S3" s="471"/>
      <c r="T3" s="471"/>
    </row>
    <row r="4" spans="1:22" s="15" customFormat="1" ht="12.75">
      <c r="A4" s="545" t="s">
        <v>177</v>
      </c>
      <c r="B4" s="470"/>
      <c r="C4" s="470"/>
      <c r="D4" s="470"/>
      <c r="E4" s="470"/>
      <c r="F4" s="470"/>
      <c r="G4" s="470"/>
      <c r="H4" s="471"/>
      <c r="I4" s="471"/>
      <c r="J4" s="471"/>
      <c r="K4" s="471"/>
      <c r="L4" s="471"/>
      <c r="M4" s="471"/>
      <c r="N4" s="471"/>
      <c r="O4" s="471"/>
      <c r="P4" s="471"/>
      <c r="Q4" s="471"/>
      <c r="R4" s="471"/>
      <c r="S4" s="471"/>
      <c r="T4" s="471"/>
    </row>
    <row r="5" spans="1:22" s="15" customFormat="1">
      <c r="A5" s="456"/>
      <c r="B5" s="456"/>
      <c r="C5" s="456"/>
      <c r="D5" s="456"/>
      <c r="E5" s="456"/>
      <c r="F5" s="456"/>
      <c r="G5" s="44"/>
      <c r="H5" s="44"/>
    </row>
    <row r="6" spans="1:22" s="15" customFormat="1" ht="12.75">
      <c r="A6" s="45"/>
      <c r="B6" s="44"/>
      <c r="C6" s="44"/>
      <c r="D6" s="44"/>
      <c r="E6" s="44"/>
      <c r="J6" s="546" t="str">
        <f>'Sch 95'!H6</f>
        <v>MYRP January 2025</v>
      </c>
      <c r="K6" s="553"/>
      <c r="L6" s="494"/>
      <c r="M6" s="494"/>
      <c r="N6" s="493"/>
      <c r="O6" s="132">
        <f>'Sch 95'!K6</f>
        <v>0</v>
      </c>
      <c r="P6" s="546" t="str">
        <f>'Sch 95'!L6</f>
        <v>MYRP January 2026</v>
      </c>
      <c r="Q6" s="553"/>
      <c r="R6" s="547"/>
      <c r="S6" s="547"/>
      <c r="T6" s="548"/>
    </row>
    <row r="7" spans="1:22" s="15" customFormat="1" ht="45">
      <c r="A7" s="97" t="s">
        <v>2</v>
      </c>
      <c r="B7" s="97" t="s">
        <v>3</v>
      </c>
      <c r="C7" s="97" t="s">
        <v>14</v>
      </c>
      <c r="D7" s="133" t="str">
        <f>'Sch 95'!D7</f>
        <v>12 months ending December 2025 F23 Forecast KWh</v>
      </c>
      <c r="E7" s="167" t="s">
        <v>240</v>
      </c>
      <c r="F7" s="551" t="str">
        <f>'Sch 95'!E7</f>
        <v>Current Rates as of January 2024 (1)</v>
      </c>
      <c r="G7" s="552"/>
      <c r="H7" s="133" t="str">
        <f>'Sch 95'!F7</f>
        <v>Annual Delivered $</v>
      </c>
      <c r="I7" s="133">
        <f>'Sch 95'!G7</f>
        <v>0</v>
      </c>
      <c r="J7" s="133" t="str">
        <f>'Sch 95'!H7</f>
        <v>Annual Delivered KWh</v>
      </c>
      <c r="K7" s="167" t="s">
        <v>241</v>
      </c>
      <c r="L7" s="553" t="str">
        <f>'Sch 95'!I7</f>
        <v>Rates Effective January 2025</v>
      </c>
      <c r="M7" s="494"/>
      <c r="N7" s="133" t="str">
        <f>'Sch 95'!J7</f>
        <v>Annual Delivered $</v>
      </c>
      <c r="O7" s="133">
        <f>'Sch 95'!K7</f>
        <v>0</v>
      </c>
      <c r="P7" s="133" t="str">
        <f>'Sch 95'!L7</f>
        <v>Annual Delivered KWh</v>
      </c>
      <c r="Q7" s="97" t="str">
        <f>K7</f>
        <v>Annual Delivered KW/Kva</v>
      </c>
      <c r="R7" s="553" t="str">
        <f>'Sch 95'!M7</f>
        <v>Rates Effective January 2026</v>
      </c>
      <c r="S7" s="494"/>
      <c r="T7" s="133" t="str">
        <f>'Sch 95'!N7</f>
        <v>Annual Delivered $</v>
      </c>
    </row>
    <row r="8" spans="1:22">
      <c r="A8" s="2">
        <v>1</v>
      </c>
      <c r="B8" s="132" t="str">
        <f>'Sch 95'!B8</f>
        <v xml:space="preserve"> 7 (307) (317) (327)</v>
      </c>
      <c r="D8" s="116">
        <f>'Revenue by Sch RY#1'!D9</f>
        <v>11278205851.395365</v>
      </c>
      <c r="E8" s="116">
        <v>0</v>
      </c>
      <c r="F8" s="129">
        <v>-3.4759999999999999E-3</v>
      </c>
      <c r="G8" s="168"/>
      <c r="H8" s="12">
        <f>(D8*F8)+(E8*G8)</f>
        <v>-39203043.539450288</v>
      </c>
      <c r="J8" s="4">
        <f t="shared" ref="J8:M9" si="0">D8</f>
        <v>11278205851.395365</v>
      </c>
      <c r="K8" s="4">
        <f t="shared" si="0"/>
        <v>0</v>
      </c>
      <c r="L8" s="11">
        <f t="shared" si="0"/>
        <v>-3.4759999999999999E-3</v>
      </c>
      <c r="M8" s="16">
        <f t="shared" si="0"/>
        <v>0</v>
      </c>
      <c r="N8" s="12">
        <f>(J8*L8)+(K8*M8)</f>
        <v>-39203043.539450288</v>
      </c>
      <c r="O8" s="12"/>
      <c r="P8" s="116">
        <f>'Revenue by Sch RY#2'!D9</f>
        <v>11447649239.71397</v>
      </c>
      <c r="Q8" s="116">
        <v>0</v>
      </c>
      <c r="R8" s="11">
        <f>L8</f>
        <v>-3.4759999999999999E-3</v>
      </c>
      <c r="S8" s="16">
        <f>M8</f>
        <v>0</v>
      </c>
      <c r="T8" s="12">
        <f>(P8*R8)+(Q8*S8)</f>
        <v>-39792028.757245757</v>
      </c>
      <c r="V8" s="15"/>
    </row>
    <row r="9" spans="1:22">
      <c r="A9" s="2">
        <f t="shared" ref="A9:A41" si="1">+A8+1</f>
        <v>2</v>
      </c>
      <c r="B9" s="132" t="str">
        <f>'Sch 95'!B9</f>
        <v xml:space="preserve">7A </v>
      </c>
      <c r="D9" s="115">
        <v>0</v>
      </c>
      <c r="E9" s="115">
        <v>0</v>
      </c>
      <c r="F9" s="129">
        <v>3.1609999999999997E-3</v>
      </c>
      <c r="G9" s="171"/>
      <c r="H9" s="12">
        <f>(D9*F9)+(E9*G9)</f>
        <v>0</v>
      </c>
      <c r="J9" s="4">
        <f t="shared" si="0"/>
        <v>0</v>
      </c>
      <c r="K9" s="4">
        <f t="shared" si="0"/>
        <v>0</v>
      </c>
      <c r="L9" s="11">
        <f t="shared" si="0"/>
        <v>3.1609999999999997E-3</v>
      </c>
      <c r="M9" s="16">
        <f t="shared" si="0"/>
        <v>0</v>
      </c>
      <c r="N9" s="12">
        <f>(J9*L9)+(K9*M9)</f>
        <v>0</v>
      </c>
      <c r="O9" s="12"/>
      <c r="P9" s="4">
        <v>0</v>
      </c>
      <c r="Q9" s="115">
        <v>0</v>
      </c>
      <c r="R9" s="11">
        <f>L9</f>
        <v>3.1609999999999997E-3</v>
      </c>
      <c r="S9" s="16">
        <f>M9</f>
        <v>0</v>
      </c>
      <c r="T9" s="12">
        <f>(P9*R9)+(Q9*S9)</f>
        <v>0</v>
      </c>
      <c r="V9" s="15"/>
    </row>
    <row r="10" spans="1:22">
      <c r="A10" s="2">
        <f t="shared" si="1"/>
        <v>3</v>
      </c>
      <c r="B10" s="2"/>
      <c r="C10" s="3" t="s">
        <v>4</v>
      </c>
      <c r="D10" s="6">
        <f>SUM(D8:D9)</f>
        <v>11278205851.395365</v>
      </c>
      <c r="E10" s="6">
        <f>SUM(E8:E9)</f>
        <v>0</v>
      </c>
      <c r="F10" s="130"/>
      <c r="G10" s="160"/>
      <c r="H10" s="13">
        <f t="shared" ref="H10" si="2">SUM(H8:H9)</f>
        <v>-39203043.539450288</v>
      </c>
      <c r="J10" s="6">
        <f>SUM(J8:J9)</f>
        <v>11278205851.395365</v>
      </c>
      <c r="K10" s="6">
        <f>SUM(K8:K9)</f>
        <v>0</v>
      </c>
      <c r="L10" s="11"/>
      <c r="M10" s="16"/>
      <c r="N10" s="13">
        <f t="shared" ref="N10" si="3">SUM(N8:N9)</f>
        <v>-39203043.539450288</v>
      </c>
      <c r="O10" s="12"/>
      <c r="P10" s="6">
        <f>SUM(P8:P9)</f>
        <v>11447649239.71397</v>
      </c>
      <c r="Q10" s="6">
        <f>SUM(Q8:Q9)</f>
        <v>0</v>
      </c>
      <c r="R10" s="11"/>
      <c r="S10" s="16"/>
      <c r="T10" s="13">
        <f t="shared" ref="T10" si="4">SUM(T8:T9)</f>
        <v>-39792028.757245757</v>
      </c>
      <c r="V10" s="15"/>
    </row>
    <row r="11" spans="1:22">
      <c r="A11" s="2">
        <f t="shared" si="1"/>
        <v>4</v>
      </c>
      <c r="B11" s="2"/>
      <c r="D11" s="4"/>
      <c r="E11" s="4"/>
      <c r="F11" s="130"/>
      <c r="G11" s="160"/>
      <c r="H11" s="12"/>
      <c r="J11" s="4"/>
      <c r="K11" s="4"/>
      <c r="L11" s="11"/>
      <c r="M11" s="16"/>
      <c r="N11" s="12"/>
      <c r="O11" s="12"/>
      <c r="P11" s="4"/>
      <c r="Q11" s="4"/>
      <c r="R11" s="11"/>
      <c r="S11" s="16"/>
      <c r="T11" s="12"/>
      <c r="V11" s="15"/>
    </row>
    <row r="12" spans="1:22">
      <c r="A12" s="2">
        <f t="shared" si="1"/>
        <v>5</v>
      </c>
      <c r="B12" s="132">
        <f>'Sch 95'!B12</f>
        <v>8</v>
      </c>
      <c r="D12" s="115">
        <v>0</v>
      </c>
      <c r="E12" s="115">
        <v>0</v>
      </c>
      <c r="F12" s="129">
        <v>-2.215E-3</v>
      </c>
      <c r="G12" s="168"/>
      <c r="H12" s="12">
        <f t="shared" ref="H12:H18" si="5">(D12*F12)+(E12*G12)</f>
        <v>0</v>
      </c>
      <c r="J12" s="4">
        <f>D12</f>
        <v>0</v>
      </c>
      <c r="K12" s="4">
        <f>E12</f>
        <v>0</v>
      </c>
      <c r="L12" s="11">
        <f t="shared" ref="L12:L18" si="6">F12</f>
        <v>-2.215E-3</v>
      </c>
      <c r="M12" s="16">
        <f t="shared" ref="M12:M18" si="7">G12</f>
        <v>0</v>
      </c>
      <c r="N12" s="12">
        <f t="shared" ref="N12:N18" si="8">(J12*L12)+(K12*M12)</f>
        <v>0</v>
      </c>
      <c r="O12" s="12"/>
      <c r="P12" s="4">
        <v>0</v>
      </c>
      <c r="Q12" s="115">
        <v>0</v>
      </c>
      <c r="R12" s="11">
        <f t="shared" ref="R12:S18" si="9">L12</f>
        <v>-2.215E-3</v>
      </c>
      <c r="S12" s="16">
        <f t="shared" si="9"/>
        <v>0</v>
      </c>
      <c r="T12" s="12">
        <f t="shared" ref="T12:T18" si="10">(P12*R12)+(Q12*S12)</f>
        <v>0</v>
      </c>
      <c r="V12" s="15"/>
    </row>
    <row r="13" spans="1:22">
      <c r="A13" s="2">
        <f t="shared" si="1"/>
        <v>6</v>
      </c>
      <c r="B13" s="132" t="str">
        <f>'Sch 95'!B13</f>
        <v>24 (324)</v>
      </c>
      <c r="D13" s="116">
        <f>'Revenue by Sch RY#1'!D10</f>
        <v>2762635966.1696987</v>
      </c>
      <c r="E13" s="115">
        <v>0</v>
      </c>
      <c r="F13" s="130">
        <f>+F12</f>
        <v>-2.215E-3</v>
      </c>
      <c r="G13" s="160"/>
      <c r="H13" s="12">
        <f t="shared" si="5"/>
        <v>-6119238.6650658827</v>
      </c>
      <c r="J13" s="4">
        <f>D13</f>
        <v>2762635966.1696987</v>
      </c>
      <c r="K13" s="4">
        <f>E13</f>
        <v>0</v>
      </c>
      <c r="L13" s="11">
        <f t="shared" si="6"/>
        <v>-2.215E-3</v>
      </c>
      <c r="M13" s="16">
        <f t="shared" si="7"/>
        <v>0</v>
      </c>
      <c r="N13" s="12">
        <f t="shared" si="8"/>
        <v>-6119238.6650658827</v>
      </c>
      <c r="O13" s="12"/>
      <c r="P13" s="116">
        <f>'Revenue by Sch RY#2'!D10</f>
        <v>2774967422.2693906</v>
      </c>
      <c r="Q13" s="115">
        <v>0</v>
      </c>
      <c r="R13" s="11">
        <f t="shared" si="9"/>
        <v>-2.215E-3</v>
      </c>
      <c r="S13" s="16">
        <f t="shared" si="9"/>
        <v>0</v>
      </c>
      <c r="T13" s="12">
        <f t="shared" si="10"/>
        <v>-6146552.8403267004</v>
      </c>
      <c r="V13" s="15"/>
    </row>
    <row r="14" spans="1:22">
      <c r="A14" s="2">
        <f t="shared" si="1"/>
        <v>7</v>
      </c>
      <c r="B14" s="132">
        <f>'Sch 95'!B14</f>
        <v>11</v>
      </c>
      <c r="D14" s="115">
        <v>0</v>
      </c>
      <c r="E14" s="115">
        <v>0</v>
      </c>
      <c r="F14" s="130">
        <f>F9</f>
        <v>3.1609999999999997E-3</v>
      </c>
      <c r="G14" s="166"/>
      <c r="H14" s="12">
        <f t="shared" si="5"/>
        <v>0</v>
      </c>
      <c r="J14" s="4">
        <f t="shared" ref="J14:K18" si="11">D14</f>
        <v>0</v>
      </c>
      <c r="K14" s="4">
        <f t="shared" si="11"/>
        <v>0</v>
      </c>
      <c r="L14" s="11">
        <f t="shared" si="6"/>
        <v>3.1609999999999997E-3</v>
      </c>
      <c r="M14" s="16">
        <f t="shared" si="7"/>
        <v>0</v>
      </c>
      <c r="N14" s="12">
        <f t="shared" si="8"/>
        <v>0</v>
      </c>
      <c r="O14" s="12"/>
      <c r="P14" s="4">
        <v>0</v>
      </c>
      <c r="Q14" s="115">
        <v>0</v>
      </c>
      <c r="R14" s="11">
        <f t="shared" si="9"/>
        <v>3.1609999999999997E-3</v>
      </c>
      <c r="S14" s="16">
        <f t="shared" si="9"/>
        <v>0</v>
      </c>
      <c r="T14" s="12">
        <f t="shared" si="10"/>
        <v>0</v>
      </c>
    </row>
    <row r="15" spans="1:22">
      <c r="A15" s="2">
        <f t="shared" si="1"/>
        <v>8</v>
      </c>
      <c r="B15" s="132">
        <f>'Sch 95'!B15</f>
        <v>25</v>
      </c>
      <c r="D15" s="116">
        <f>'Revenue by Sch RY#1'!D11</f>
        <v>2960202274.8054705</v>
      </c>
      <c r="E15" s="116">
        <v>4517887.0072913375</v>
      </c>
      <c r="F15" s="130">
        <f>+F14</f>
        <v>3.1609999999999997E-3</v>
      </c>
      <c r="G15" s="166"/>
      <c r="H15" s="12">
        <f t="shared" si="5"/>
        <v>9357199.3906600922</v>
      </c>
      <c r="J15" s="4">
        <f t="shared" si="11"/>
        <v>2960202274.8054705</v>
      </c>
      <c r="K15" s="4">
        <f t="shared" si="11"/>
        <v>4517887.0072913375</v>
      </c>
      <c r="L15" s="11">
        <f t="shared" si="6"/>
        <v>3.1609999999999997E-3</v>
      </c>
      <c r="M15" s="16">
        <f t="shared" si="7"/>
        <v>0</v>
      </c>
      <c r="N15" s="12">
        <f t="shared" si="8"/>
        <v>9357199.3906600922</v>
      </c>
      <c r="O15" s="12"/>
      <c r="P15" s="116">
        <f>'Revenue by Sch RY#2'!D11</f>
        <v>2968720174.6374388</v>
      </c>
      <c r="Q15" s="116">
        <v>4515508.9451899873</v>
      </c>
      <c r="R15" s="11">
        <f t="shared" si="9"/>
        <v>3.1609999999999997E-3</v>
      </c>
      <c r="S15" s="16">
        <f t="shared" si="9"/>
        <v>0</v>
      </c>
      <c r="T15" s="12">
        <f t="shared" si="10"/>
        <v>9384124.4720289428</v>
      </c>
    </row>
    <row r="16" spans="1:22">
      <c r="A16" s="2">
        <f t="shared" si="1"/>
        <v>9</v>
      </c>
      <c r="B16" s="132">
        <f>'Sch 95'!B16</f>
        <v>12</v>
      </c>
      <c r="D16" s="115">
        <v>0</v>
      </c>
      <c r="E16" s="115">
        <v>0</v>
      </c>
      <c r="F16" s="129">
        <v>4.8200000000000001E-4</v>
      </c>
      <c r="G16" s="165">
        <v>0.55000000000000004</v>
      </c>
      <c r="H16" s="12">
        <f t="shared" si="5"/>
        <v>0</v>
      </c>
      <c r="J16" s="4">
        <f t="shared" si="11"/>
        <v>0</v>
      </c>
      <c r="K16" s="4">
        <f t="shared" si="11"/>
        <v>0</v>
      </c>
      <c r="L16" s="11">
        <f t="shared" si="6"/>
        <v>4.8200000000000001E-4</v>
      </c>
      <c r="M16" s="16">
        <f t="shared" si="7"/>
        <v>0.55000000000000004</v>
      </c>
      <c r="N16" s="12">
        <f t="shared" si="8"/>
        <v>0</v>
      </c>
      <c r="O16" s="12"/>
      <c r="P16" s="4">
        <v>0</v>
      </c>
      <c r="Q16" s="115">
        <v>0</v>
      </c>
      <c r="R16" s="11">
        <f t="shared" si="9"/>
        <v>4.8200000000000001E-4</v>
      </c>
      <c r="S16" s="16">
        <f t="shared" si="9"/>
        <v>0.55000000000000004</v>
      </c>
      <c r="T16" s="12">
        <f t="shared" si="10"/>
        <v>0</v>
      </c>
    </row>
    <row r="17" spans="1:20">
      <c r="A17" s="2">
        <f t="shared" si="1"/>
        <v>10</v>
      </c>
      <c r="B17" s="132" t="str">
        <f>'Sch 95'!B17</f>
        <v>26 &amp; 26P</v>
      </c>
      <c r="D17" s="116">
        <f>'Revenue by Sch RY#1'!D12</f>
        <v>2013891730.8000479</v>
      </c>
      <c r="E17" s="116">
        <v>4944273.2866841257</v>
      </c>
      <c r="F17" s="130">
        <f>+F16</f>
        <v>4.8200000000000001E-4</v>
      </c>
      <c r="G17" s="166">
        <f>+G16</f>
        <v>0.55000000000000004</v>
      </c>
      <c r="H17" s="12">
        <f t="shared" si="5"/>
        <v>3690046.1219218923</v>
      </c>
      <c r="J17" s="4">
        <f t="shared" si="11"/>
        <v>2013891730.8000479</v>
      </c>
      <c r="K17" s="4">
        <f t="shared" si="11"/>
        <v>4944273.2866841257</v>
      </c>
      <c r="L17" s="11">
        <f t="shared" si="6"/>
        <v>4.8200000000000001E-4</v>
      </c>
      <c r="M17" s="16">
        <f t="shared" si="7"/>
        <v>0.55000000000000004</v>
      </c>
      <c r="N17" s="12">
        <f t="shared" si="8"/>
        <v>3690046.1219218923</v>
      </c>
      <c r="O17" s="12"/>
      <c r="P17" s="116">
        <f>'Revenue by Sch RY#2'!D12</f>
        <v>2056791563.2414525</v>
      </c>
      <c r="Q17" s="116">
        <v>5032131.2804961493</v>
      </c>
      <c r="R17" s="11">
        <f t="shared" si="9"/>
        <v>4.8200000000000001E-4</v>
      </c>
      <c r="S17" s="16">
        <f t="shared" si="9"/>
        <v>0.55000000000000004</v>
      </c>
      <c r="T17" s="12">
        <f t="shared" si="10"/>
        <v>3759045.7377552628</v>
      </c>
    </row>
    <row r="18" spans="1:20">
      <c r="A18" s="2">
        <f t="shared" si="1"/>
        <v>11</v>
      </c>
      <c r="B18" s="132">
        <f>'Sch 95'!B18</f>
        <v>29</v>
      </c>
      <c r="D18" s="116">
        <f>'Revenue by Sch RY#1'!D13</f>
        <v>14930059.630887466</v>
      </c>
      <c r="E18" s="116">
        <v>6359.1483786280214</v>
      </c>
      <c r="F18" s="129">
        <v>3.1609999999999997E-3</v>
      </c>
      <c r="G18" s="165"/>
      <c r="H18" s="12">
        <f t="shared" si="5"/>
        <v>47193.918493235273</v>
      </c>
      <c r="J18" s="4">
        <f t="shared" si="11"/>
        <v>14930059.630887466</v>
      </c>
      <c r="K18" s="4">
        <f t="shared" si="11"/>
        <v>6359.1483786280214</v>
      </c>
      <c r="L18" s="11">
        <f t="shared" si="6"/>
        <v>3.1609999999999997E-3</v>
      </c>
      <c r="M18" s="16">
        <f t="shared" si="7"/>
        <v>0</v>
      </c>
      <c r="N18" s="12">
        <f t="shared" si="8"/>
        <v>47193.918493235273</v>
      </c>
      <c r="O18" s="12"/>
      <c r="P18" s="116">
        <f>'Revenue by Sch RY#2'!D13</f>
        <v>14843026.361509496</v>
      </c>
      <c r="Q18" s="116">
        <v>6312.6225193658393</v>
      </c>
      <c r="R18" s="11">
        <f t="shared" si="9"/>
        <v>3.1609999999999997E-3</v>
      </c>
      <c r="S18" s="16">
        <f t="shared" si="9"/>
        <v>0</v>
      </c>
      <c r="T18" s="12">
        <f t="shared" si="10"/>
        <v>46918.806328731516</v>
      </c>
    </row>
    <row r="19" spans="1:20">
      <c r="A19" s="2">
        <f t="shared" si="1"/>
        <v>12</v>
      </c>
      <c r="B19" s="2"/>
      <c r="C19" s="7" t="s">
        <v>6</v>
      </c>
      <c r="D19" s="6">
        <f>SUM(D12:D18)</f>
        <v>7751660031.4061041</v>
      </c>
      <c r="E19" s="6">
        <f>SUM(E12:E18)</f>
        <v>9468519.4423540905</v>
      </c>
      <c r="F19" s="130"/>
      <c r="G19" s="160"/>
      <c r="H19" s="13">
        <f t="shared" ref="H19" si="12">SUM(H12:H18)</f>
        <v>6975200.7660093373</v>
      </c>
      <c r="J19" s="6">
        <f>SUM(J12:J18)</f>
        <v>7751660031.4061041</v>
      </c>
      <c r="K19" s="6">
        <f>SUM(K12:K18)</f>
        <v>9468519.4423540905</v>
      </c>
      <c r="L19" s="11"/>
      <c r="M19" s="16"/>
      <c r="N19" s="13">
        <f t="shared" ref="N19" si="13">SUM(N12:N18)</f>
        <v>6975200.7660093373</v>
      </c>
      <c r="O19" s="12"/>
      <c r="P19" s="6">
        <f>SUM(P12:P18)</f>
        <v>7815322186.5097914</v>
      </c>
      <c r="Q19" s="6">
        <f>SUM(Q12:Q18)</f>
        <v>9553952.8482055031</v>
      </c>
      <c r="R19" s="11"/>
      <c r="S19" s="16"/>
      <c r="T19" s="13">
        <f t="shared" ref="T19" si="14">SUM(T12:T18)</f>
        <v>7043536.1757862372</v>
      </c>
    </row>
    <row r="20" spans="1:20">
      <c r="A20" s="2">
        <f t="shared" si="1"/>
        <v>13</v>
      </c>
      <c r="B20" s="2"/>
      <c r="D20" s="4"/>
      <c r="E20" s="4"/>
      <c r="F20" s="130"/>
      <c r="G20" s="160"/>
      <c r="H20" s="12"/>
      <c r="J20" s="4"/>
      <c r="K20" s="4"/>
      <c r="L20" s="11"/>
      <c r="M20" s="16"/>
      <c r="N20" s="12"/>
      <c r="O20" s="12"/>
      <c r="P20" s="4"/>
      <c r="Q20" s="4"/>
      <c r="R20" s="11"/>
      <c r="S20" s="16"/>
      <c r="T20" s="12"/>
    </row>
    <row r="21" spans="1:20">
      <c r="A21" s="2">
        <f t="shared" si="1"/>
        <v>14</v>
      </c>
      <c r="B21" s="132">
        <f>'Sch 95'!B21</f>
        <v>10</v>
      </c>
      <c r="D21" s="115">
        <v>0</v>
      </c>
      <c r="E21" s="115">
        <v>0</v>
      </c>
      <c r="F21" s="129">
        <v>-9.68E-4</v>
      </c>
      <c r="G21" s="165">
        <v>0.55000000000000004</v>
      </c>
      <c r="H21" s="12">
        <f t="shared" ref="H21:H24" si="15">(D21*F21)+(E21*G21)</f>
        <v>0</v>
      </c>
      <c r="J21" s="4">
        <f t="shared" ref="J21:K24" si="16">D21</f>
        <v>0</v>
      </c>
      <c r="K21" s="4">
        <f t="shared" si="16"/>
        <v>0</v>
      </c>
      <c r="L21" s="11">
        <f t="shared" ref="L21:L24" si="17">F21</f>
        <v>-9.68E-4</v>
      </c>
      <c r="M21" s="16">
        <f>G21</f>
        <v>0.55000000000000004</v>
      </c>
      <c r="N21" s="12">
        <f t="shared" ref="N21:N24" si="18">(J21*L21)+(K21*M21)</f>
        <v>0</v>
      </c>
      <c r="O21" s="12"/>
      <c r="P21" s="4">
        <v>0</v>
      </c>
      <c r="Q21" s="115">
        <v>0</v>
      </c>
      <c r="R21" s="11">
        <f t="shared" ref="R21:R24" si="19">L21</f>
        <v>-9.68E-4</v>
      </c>
      <c r="S21" s="16">
        <f>M21</f>
        <v>0.55000000000000004</v>
      </c>
      <c r="T21" s="12">
        <f t="shared" ref="T21:T24" si="20">(P21*R21)+(Q21*S21)</f>
        <v>0</v>
      </c>
    </row>
    <row r="22" spans="1:20">
      <c r="A22" s="2">
        <f t="shared" si="1"/>
        <v>15</v>
      </c>
      <c r="B22" s="132">
        <f>'Sch 95'!B22</f>
        <v>31</v>
      </c>
      <c r="D22" s="116">
        <f>'Revenue by Sch RY#1'!D14</f>
        <v>1423586019.4788036</v>
      </c>
      <c r="E22" s="116">
        <v>3383993.070775318</v>
      </c>
      <c r="F22" s="130">
        <f>+F21</f>
        <v>-9.68E-4</v>
      </c>
      <c r="G22" s="166">
        <f>+G21</f>
        <v>0.55000000000000004</v>
      </c>
      <c r="H22" s="12">
        <f t="shared" si="15"/>
        <v>483164.92207094305</v>
      </c>
      <c r="J22" s="4">
        <f t="shared" si="16"/>
        <v>1423586019.4788036</v>
      </c>
      <c r="K22" s="4">
        <f t="shared" si="16"/>
        <v>3383993.070775318</v>
      </c>
      <c r="L22" s="11">
        <f t="shared" si="17"/>
        <v>-9.68E-4</v>
      </c>
      <c r="M22" s="16">
        <f>G22</f>
        <v>0.55000000000000004</v>
      </c>
      <c r="N22" s="12">
        <f t="shared" si="18"/>
        <v>483164.92207094305</v>
      </c>
      <c r="O22" s="12"/>
      <c r="P22" s="116">
        <f>'Revenue by Sch RY#2'!D14</f>
        <v>1411297972.0883911</v>
      </c>
      <c r="Q22" s="116">
        <v>3344757.4708671863</v>
      </c>
      <c r="R22" s="11">
        <f t="shared" si="19"/>
        <v>-9.68E-4</v>
      </c>
      <c r="S22" s="16">
        <f>M22</f>
        <v>0.55000000000000004</v>
      </c>
      <c r="T22" s="12">
        <f t="shared" si="20"/>
        <v>473480.17199539021</v>
      </c>
    </row>
    <row r="23" spans="1:20">
      <c r="A23" s="2">
        <f t="shared" si="1"/>
        <v>16</v>
      </c>
      <c r="B23" s="132">
        <f>'Sch 95'!B23</f>
        <v>35</v>
      </c>
      <c r="D23" s="116">
        <f>'Revenue by Sch RY#1'!D15</f>
        <v>4407260.1568774413</v>
      </c>
      <c r="E23" s="116">
        <v>8196.3679379811347</v>
      </c>
      <c r="F23" s="129">
        <v>3.1609999999999997E-3</v>
      </c>
      <c r="G23" s="165"/>
      <c r="H23" s="12">
        <f t="shared" si="15"/>
        <v>13931.349355889592</v>
      </c>
      <c r="J23" s="4">
        <f t="shared" si="16"/>
        <v>4407260.1568774413</v>
      </c>
      <c r="K23" s="4">
        <f t="shared" si="16"/>
        <v>8196.3679379811347</v>
      </c>
      <c r="L23" s="11">
        <f t="shared" si="17"/>
        <v>3.1609999999999997E-3</v>
      </c>
      <c r="M23" s="16">
        <f>G23</f>
        <v>0</v>
      </c>
      <c r="N23" s="12">
        <f t="shared" si="18"/>
        <v>13931.349355889592</v>
      </c>
      <c r="O23" s="12"/>
      <c r="P23" s="116">
        <f>'Revenue by Sch RY#2'!D15</f>
        <v>4380281.1514552524</v>
      </c>
      <c r="Q23" s="116">
        <v>8146.3096768096348</v>
      </c>
      <c r="R23" s="11">
        <f t="shared" si="19"/>
        <v>3.1609999999999997E-3</v>
      </c>
      <c r="S23" s="16">
        <f>M23</f>
        <v>0</v>
      </c>
      <c r="T23" s="12">
        <f t="shared" si="20"/>
        <v>13846.068719750052</v>
      </c>
    </row>
    <row r="24" spans="1:20">
      <c r="A24" s="2">
        <f t="shared" si="1"/>
        <v>17</v>
      </c>
      <c r="B24" s="132">
        <f>'Sch 95'!B24</f>
        <v>43</v>
      </c>
      <c r="D24" s="116">
        <f>'Revenue by Sch RY#1'!D16</f>
        <v>122267424.6450724</v>
      </c>
      <c r="E24" s="116">
        <v>579230.53698067076</v>
      </c>
      <c r="F24" s="129">
        <v>3.1609999999999997E-3</v>
      </c>
      <c r="G24" s="165"/>
      <c r="H24" s="12">
        <f t="shared" si="15"/>
        <v>386487.32930307381</v>
      </c>
      <c r="J24" s="4">
        <f t="shared" si="16"/>
        <v>122267424.6450724</v>
      </c>
      <c r="K24" s="4">
        <f t="shared" si="16"/>
        <v>579230.53698067076</v>
      </c>
      <c r="L24" s="11">
        <f t="shared" si="17"/>
        <v>3.1609999999999997E-3</v>
      </c>
      <c r="M24" s="16">
        <f>G24</f>
        <v>0</v>
      </c>
      <c r="N24" s="12">
        <f t="shared" si="18"/>
        <v>386487.32930307381</v>
      </c>
      <c r="O24" s="12"/>
      <c r="P24" s="116">
        <f>'Revenue by Sch RY#2'!D16</f>
        <v>121633779.10385114</v>
      </c>
      <c r="Q24" s="116">
        <v>573967.09159726952</v>
      </c>
      <c r="R24" s="11">
        <f t="shared" si="19"/>
        <v>3.1609999999999997E-3</v>
      </c>
      <c r="S24" s="16">
        <f>M24</f>
        <v>0</v>
      </c>
      <c r="T24" s="12">
        <f t="shared" si="20"/>
        <v>384484.37574727344</v>
      </c>
    </row>
    <row r="25" spans="1:20">
      <c r="A25" s="2">
        <f t="shared" si="1"/>
        <v>18</v>
      </c>
      <c r="B25" s="2"/>
      <c r="C25" s="3" t="s">
        <v>7</v>
      </c>
      <c r="D25" s="6">
        <f>SUM(D21:D24)</f>
        <v>1550260704.2807536</v>
      </c>
      <c r="E25" s="6">
        <f>SUM(E21:E24)</f>
        <v>3971419.97569397</v>
      </c>
      <c r="F25" s="130"/>
      <c r="G25" s="160"/>
      <c r="H25" s="13">
        <f t="shared" ref="H25" si="21">SUM(H21:H24)</f>
        <v>883583.60072990647</v>
      </c>
      <c r="J25" s="6">
        <f>SUM(J21:J24)</f>
        <v>1550260704.2807536</v>
      </c>
      <c r="K25" s="6">
        <f>SUM(K21:K24)</f>
        <v>3971419.97569397</v>
      </c>
      <c r="L25" s="11"/>
      <c r="M25" s="16"/>
      <c r="N25" s="13">
        <f t="shared" ref="N25" si="22">SUM(N21:N24)</f>
        <v>883583.60072990647</v>
      </c>
      <c r="O25" s="12"/>
      <c r="P25" s="6">
        <f>SUM(P21:P24)</f>
        <v>1537312032.3436973</v>
      </c>
      <c r="Q25" s="6">
        <f>SUM(Q21:Q24)</f>
        <v>3926870.8721412653</v>
      </c>
      <c r="R25" s="11"/>
      <c r="S25" s="16"/>
      <c r="T25" s="13">
        <f t="shared" ref="T25" si="23">SUM(T21:T24)</f>
        <v>871810.61646241369</v>
      </c>
    </row>
    <row r="26" spans="1:20">
      <c r="A26" s="2">
        <f t="shared" si="1"/>
        <v>19</v>
      </c>
      <c r="B26" s="2"/>
      <c r="D26" s="4"/>
      <c r="E26" s="4"/>
      <c r="F26" s="130"/>
      <c r="G26" s="173"/>
      <c r="H26" s="12"/>
      <c r="J26" s="4"/>
      <c r="K26" s="4"/>
      <c r="L26" s="11"/>
      <c r="M26" s="16"/>
      <c r="N26" s="12"/>
      <c r="O26" s="12"/>
      <c r="P26" s="4"/>
      <c r="Q26" s="4"/>
      <c r="R26" s="11"/>
      <c r="S26" s="16"/>
      <c r="T26" s="12"/>
    </row>
    <row r="27" spans="1:20">
      <c r="A27" s="2">
        <f t="shared" si="1"/>
        <v>20</v>
      </c>
      <c r="B27" s="132">
        <f>'Sch 95'!B27</f>
        <v>46</v>
      </c>
      <c r="D27" s="116">
        <f>'Revenue by Sch RY#1'!D17</f>
        <v>96933187.043131709</v>
      </c>
      <c r="E27" s="116">
        <v>454913.76433003857</v>
      </c>
      <c r="F27" s="129">
        <v>0</v>
      </c>
      <c r="G27" s="171"/>
      <c r="H27" s="12">
        <f t="shared" ref="H27:H28" si="24">(D27*F27)+(E27*G27)</f>
        <v>0</v>
      </c>
      <c r="J27" s="4">
        <f>D27</f>
        <v>96933187.043131709</v>
      </c>
      <c r="K27" s="4">
        <f>E27</f>
        <v>454913.76433003857</v>
      </c>
      <c r="L27" s="11">
        <f t="shared" ref="L27:L28" si="25">F27</f>
        <v>0</v>
      </c>
      <c r="M27" s="16">
        <f>G27</f>
        <v>0</v>
      </c>
      <c r="N27" s="12">
        <f t="shared" ref="N27:N28" si="26">(J27*L27)+(K27*M27)</f>
        <v>0</v>
      </c>
      <c r="O27" s="12"/>
      <c r="P27" s="116">
        <f>'Revenue by Sch RY#2'!D17</f>
        <v>96918964.527943105</v>
      </c>
      <c r="Q27" s="116">
        <v>453901.97661419428</v>
      </c>
      <c r="R27" s="11">
        <f t="shared" ref="R27:R28" si="27">L27</f>
        <v>0</v>
      </c>
      <c r="S27" s="16">
        <f>M27</f>
        <v>0</v>
      </c>
      <c r="T27" s="12">
        <f t="shared" ref="T27:T28" si="28">(P27*R27)+(Q27*S27)</f>
        <v>0</v>
      </c>
    </row>
    <row r="28" spans="1:20">
      <c r="A28" s="2">
        <f t="shared" si="1"/>
        <v>21</v>
      </c>
      <c r="B28" s="132">
        <f>'Sch 95'!B28</f>
        <v>49</v>
      </c>
      <c r="D28" s="116">
        <f>'Revenue by Sch RY#1'!D18</f>
        <v>534843226.30681556</v>
      </c>
      <c r="E28" s="116">
        <v>1325042.9814690738</v>
      </c>
      <c r="F28" s="129">
        <v>0</v>
      </c>
      <c r="G28" s="171"/>
      <c r="H28" s="12">
        <f t="shared" si="24"/>
        <v>0</v>
      </c>
      <c r="J28" s="4">
        <f>D28</f>
        <v>534843226.30681556</v>
      </c>
      <c r="K28" s="4">
        <f>E28</f>
        <v>1325042.9814690738</v>
      </c>
      <c r="L28" s="11">
        <f t="shared" si="25"/>
        <v>0</v>
      </c>
      <c r="M28" s="16">
        <f>G28</f>
        <v>0</v>
      </c>
      <c r="N28" s="12">
        <f t="shared" si="26"/>
        <v>0</v>
      </c>
      <c r="O28" s="12"/>
      <c r="P28" s="116">
        <f>'Revenue by Sch RY#2'!D18</f>
        <v>534899242.67952603</v>
      </c>
      <c r="Q28" s="116">
        <v>1321250.3262371249</v>
      </c>
      <c r="R28" s="11">
        <f t="shared" si="27"/>
        <v>0</v>
      </c>
      <c r="S28" s="16">
        <f>M28</f>
        <v>0</v>
      </c>
      <c r="T28" s="12">
        <f t="shared" si="28"/>
        <v>0</v>
      </c>
    </row>
    <row r="29" spans="1:20">
      <c r="A29" s="2">
        <f t="shared" si="1"/>
        <v>22</v>
      </c>
      <c r="B29" s="2"/>
      <c r="C29" s="3" t="s">
        <v>8</v>
      </c>
      <c r="D29" s="6">
        <f>SUM(D27:D28)</f>
        <v>631776413.34994721</v>
      </c>
      <c r="E29" s="6">
        <f>SUM(E27:E28)</f>
        <v>1779956.7457991124</v>
      </c>
      <c r="F29" s="11"/>
      <c r="G29" s="117"/>
      <c r="H29" s="13">
        <f t="shared" ref="H29" si="29">SUM(H27:H28)</f>
        <v>0</v>
      </c>
      <c r="J29" s="6">
        <f>SUM(J27:J28)</f>
        <v>631776413.34994721</v>
      </c>
      <c r="K29" s="6">
        <f>SUM(K27:K28)</f>
        <v>1779956.7457991124</v>
      </c>
      <c r="L29" s="11"/>
      <c r="M29" s="16"/>
      <c r="N29" s="13">
        <f t="shared" ref="N29" si="30">SUM(N27:N28)</f>
        <v>0</v>
      </c>
      <c r="O29" s="12"/>
      <c r="P29" s="6">
        <f>SUM(P27:P28)</f>
        <v>631818207.20746911</v>
      </c>
      <c r="Q29" s="6">
        <f>SUM(Q27:Q28)</f>
        <v>1775152.3028513191</v>
      </c>
      <c r="R29" s="11"/>
      <c r="S29" s="16"/>
      <c r="T29" s="13">
        <f t="shared" ref="T29" si="31">SUM(T27:T28)</f>
        <v>0</v>
      </c>
    </row>
    <row r="30" spans="1:20">
      <c r="A30" s="2">
        <f t="shared" si="1"/>
        <v>23</v>
      </c>
      <c r="B30" s="2"/>
      <c r="D30" s="4"/>
      <c r="E30" s="4"/>
      <c r="F30" s="11"/>
      <c r="G30" s="117"/>
      <c r="H30" s="12"/>
      <c r="J30" s="4"/>
      <c r="K30" s="4"/>
      <c r="L30" s="11"/>
      <c r="M30" s="16"/>
      <c r="N30" s="12"/>
      <c r="O30" s="12"/>
      <c r="P30" s="4"/>
      <c r="Q30" s="4"/>
      <c r="R30" s="11"/>
      <c r="S30" s="16"/>
      <c r="T30" s="12"/>
    </row>
    <row r="31" spans="1:20">
      <c r="A31" s="2">
        <f t="shared" si="1"/>
        <v>24</v>
      </c>
      <c r="B31" s="132" t="str">
        <f>'Sch 95'!B31</f>
        <v>03, 50-59</v>
      </c>
      <c r="D31" s="122">
        <f>'Revenue by Sch RY#1'!D19</f>
        <v>67255417.982360825</v>
      </c>
      <c r="E31" s="122">
        <v>0</v>
      </c>
      <c r="F31" s="117">
        <v>0</v>
      </c>
      <c r="G31" s="168"/>
      <c r="H31" s="13">
        <f>(D31*F31)+(E31*G31)</f>
        <v>0</v>
      </c>
      <c r="J31" s="6">
        <f>D31</f>
        <v>67255417.982360825</v>
      </c>
      <c r="K31" s="6">
        <f>E31</f>
        <v>0</v>
      </c>
      <c r="L31" s="11">
        <f>F31</f>
        <v>0</v>
      </c>
      <c r="M31" s="16">
        <f>G31</f>
        <v>0</v>
      </c>
      <c r="N31" s="13">
        <f>(J31*L31)+(K31*M31)</f>
        <v>0</v>
      </c>
      <c r="O31" s="12"/>
      <c r="P31" s="122">
        <f>'Revenue by Sch RY#2'!D19</f>
        <v>67027608.143863305</v>
      </c>
      <c r="Q31" s="122">
        <v>0</v>
      </c>
      <c r="R31" s="11">
        <f>L31</f>
        <v>0</v>
      </c>
      <c r="S31" s="16">
        <f>M31</f>
        <v>0</v>
      </c>
      <c r="T31" s="13">
        <f>(P31*R31)+(Q31*S31)</f>
        <v>0</v>
      </c>
    </row>
    <row r="32" spans="1:20">
      <c r="A32" s="2">
        <f t="shared" si="1"/>
        <v>25</v>
      </c>
      <c r="B32" s="2"/>
      <c r="D32" s="4"/>
      <c r="E32" s="4"/>
      <c r="F32" s="11"/>
      <c r="G32" s="117"/>
      <c r="H32" s="12"/>
      <c r="J32" s="4"/>
      <c r="K32" s="4"/>
      <c r="L32" s="11"/>
      <c r="M32" s="16"/>
      <c r="N32" s="12"/>
      <c r="O32" s="12"/>
      <c r="P32" s="4"/>
      <c r="Q32" s="4"/>
      <c r="R32" s="11"/>
      <c r="S32" s="16"/>
      <c r="T32" s="12"/>
    </row>
    <row r="33" spans="1:20">
      <c r="A33" s="2">
        <f t="shared" si="1"/>
        <v>26</v>
      </c>
      <c r="B33" s="132" t="str">
        <f>'Sch 95'!B33</f>
        <v>449-459</v>
      </c>
      <c r="D33" s="116">
        <f>'Revenue by Sch RY#1'!D20</f>
        <v>1967511960.3194919</v>
      </c>
      <c r="E33" s="116">
        <v>0</v>
      </c>
      <c r="F33" s="117">
        <v>0</v>
      </c>
      <c r="G33" s="168"/>
      <c r="H33" s="12">
        <f t="shared" ref="H33:H34" si="32">(D33*F33)+(E33*G33)</f>
        <v>0</v>
      </c>
      <c r="J33" s="4">
        <f>D33</f>
        <v>1967511960.3194919</v>
      </c>
      <c r="K33" s="4">
        <f>E33</f>
        <v>0</v>
      </c>
      <c r="L33" s="11">
        <f t="shared" ref="L33:L34" si="33">F33</f>
        <v>0</v>
      </c>
      <c r="M33" s="16">
        <f>G33</f>
        <v>0</v>
      </c>
      <c r="N33" s="12">
        <f t="shared" ref="N33:N34" si="34">(J33*L33)+(K33*M33)</f>
        <v>0</v>
      </c>
      <c r="O33" s="12"/>
      <c r="P33" s="116">
        <f>'Revenue by Sch RY#2'!D20</f>
        <v>1964993565.6779518</v>
      </c>
      <c r="Q33" s="116">
        <v>0</v>
      </c>
      <c r="R33" s="11">
        <f t="shared" ref="R33:R34" si="35">L33</f>
        <v>0</v>
      </c>
      <c r="S33" s="16">
        <f>M33</f>
        <v>0</v>
      </c>
      <c r="T33" s="12">
        <f t="shared" ref="T33:T34" si="36">(P33*R33)+(Q33*S33)</f>
        <v>0</v>
      </c>
    </row>
    <row r="34" spans="1:20">
      <c r="A34" s="2">
        <f t="shared" si="1"/>
        <v>27</v>
      </c>
      <c r="B34" s="132" t="str">
        <f>'Sch 95'!B34</f>
        <v>Special Contract</v>
      </c>
      <c r="D34" s="116">
        <f>'Revenue by Sch RY#1'!D21</f>
        <v>304773055.46200001</v>
      </c>
      <c r="E34" s="116">
        <v>0</v>
      </c>
      <c r="F34" s="117">
        <v>1.206E-3</v>
      </c>
      <c r="G34" s="168"/>
      <c r="H34" s="12">
        <f t="shared" si="32"/>
        <v>367556.30488717201</v>
      </c>
      <c r="J34" s="4">
        <f>D34</f>
        <v>304773055.46200001</v>
      </c>
      <c r="K34" s="4">
        <f>E34</f>
        <v>0</v>
      </c>
      <c r="L34" s="11">
        <f t="shared" si="33"/>
        <v>1.206E-3</v>
      </c>
      <c r="M34" s="16">
        <f>G34</f>
        <v>0</v>
      </c>
      <c r="N34" s="12">
        <f t="shared" si="34"/>
        <v>367556.30488717201</v>
      </c>
      <c r="O34" s="12"/>
      <c r="P34" s="116">
        <f>'Revenue by Sch RY#2'!D21</f>
        <v>304773055.46200001</v>
      </c>
      <c r="Q34" s="116">
        <v>0</v>
      </c>
      <c r="R34" s="11">
        <f t="shared" si="35"/>
        <v>1.206E-3</v>
      </c>
      <c r="S34" s="16">
        <f>M34</f>
        <v>0</v>
      </c>
      <c r="T34" s="12">
        <f t="shared" si="36"/>
        <v>367556.30488717201</v>
      </c>
    </row>
    <row r="35" spans="1:20">
      <c r="A35" s="2">
        <f t="shared" si="1"/>
        <v>28</v>
      </c>
      <c r="B35" s="5"/>
      <c r="C35" s="3" t="s">
        <v>77</v>
      </c>
      <c r="D35" s="6">
        <f>SUM(D33:D34)</f>
        <v>2272285015.7814918</v>
      </c>
      <c r="E35" s="6">
        <f>SUM(E33:E34)</f>
        <v>0</v>
      </c>
      <c r="F35" s="11"/>
      <c r="G35" s="117"/>
      <c r="H35" s="13">
        <f t="shared" ref="H35" si="37">SUM(H33:H34)</f>
        <v>367556.30488717201</v>
      </c>
      <c r="J35" s="6">
        <f>SUM(J33:J34)</f>
        <v>2272285015.7814918</v>
      </c>
      <c r="K35" s="6">
        <f>SUM(K33:K34)</f>
        <v>0</v>
      </c>
      <c r="M35" s="16"/>
      <c r="N35" s="13">
        <f t="shared" ref="N35" si="38">SUM(N33:N34)</f>
        <v>367556.30488717201</v>
      </c>
      <c r="O35" s="12"/>
      <c r="P35" s="6">
        <f>SUM(P33:P34)</f>
        <v>2269766621.1399517</v>
      </c>
      <c r="Q35" s="6">
        <f>SUM(Q33:Q34)</f>
        <v>0</v>
      </c>
      <c r="S35" s="16"/>
      <c r="T35" s="13">
        <f t="shared" ref="T35" si="39">SUM(T33:T34)</f>
        <v>367556.30488717201</v>
      </c>
    </row>
    <row r="36" spans="1:20">
      <c r="A36" s="2">
        <f t="shared" si="1"/>
        <v>29</v>
      </c>
      <c r="B36" s="2"/>
      <c r="D36" s="4"/>
      <c r="E36" s="4"/>
      <c r="F36" s="11"/>
      <c r="G36" s="117"/>
      <c r="H36" s="12"/>
      <c r="J36" s="4"/>
      <c r="K36" s="4"/>
      <c r="M36" s="16"/>
      <c r="N36" s="12"/>
      <c r="O36" s="12"/>
      <c r="P36" s="4"/>
      <c r="Q36" s="4"/>
      <c r="S36" s="16"/>
      <c r="T36" s="12"/>
    </row>
    <row r="37" spans="1:20" ht="12" thickBot="1">
      <c r="A37" s="2">
        <f t="shared" si="1"/>
        <v>30</v>
      </c>
      <c r="B37" s="2"/>
      <c r="C37" s="7" t="s">
        <v>15</v>
      </c>
      <c r="D37" s="8">
        <f>SUM(D10,D19,D25,D29,D31,D35)</f>
        <v>23551443434.196022</v>
      </c>
      <c r="E37" s="8">
        <f>SUM(E10,E19,E25,E29,E31,E35)</f>
        <v>15219896.163847174</v>
      </c>
      <c r="F37" s="11"/>
      <c r="G37" s="117"/>
      <c r="H37" s="14">
        <f>SUM(H10,H19,H25,H29,H31,H35)</f>
        <v>-30976702.867823873</v>
      </c>
      <c r="J37" s="8">
        <f>SUM(J10,J19,J25,J29,J31,J35)</f>
        <v>23551443434.196022</v>
      </c>
      <c r="K37" s="8">
        <f>SUM(K10,K19,K25,K29,K31,K35)</f>
        <v>15219896.163847174</v>
      </c>
      <c r="M37" s="16"/>
      <c r="N37" s="14">
        <f>SUM(N10,N19,N25,N29,N31,N35)</f>
        <v>-30976702.867823873</v>
      </c>
      <c r="O37" s="12"/>
      <c r="P37" s="8">
        <f>SUM(P10,P19,P25,P29,P31,P35)</f>
        <v>23768895895.058746</v>
      </c>
      <c r="Q37" s="8">
        <f>SUM(Q10,Q19,Q25,Q29,Q31,Q35)</f>
        <v>15255976.023198087</v>
      </c>
      <c r="S37" s="16"/>
      <c r="T37" s="14">
        <f>SUM(T10,T19,T25,T29,T31,T35)</f>
        <v>-31509125.660109933</v>
      </c>
    </row>
    <row r="38" spans="1:20" ht="12" thickTop="1">
      <c r="A38" s="2">
        <f t="shared" si="1"/>
        <v>31</v>
      </c>
      <c r="B38" s="2"/>
      <c r="F38" s="11"/>
      <c r="G38" s="117"/>
      <c r="H38" s="12"/>
      <c r="M38" s="16"/>
      <c r="N38" s="12"/>
      <c r="O38" s="12"/>
      <c r="S38" s="16"/>
      <c r="T38" s="12"/>
    </row>
    <row r="39" spans="1:20">
      <c r="A39" s="2">
        <f t="shared" si="1"/>
        <v>32</v>
      </c>
      <c r="B39" s="132">
        <f>'Sch 95'!B39</f>
        <v>5</v>
      </c>
      <c r="C39" s="3" t="s">
        <v>16</v>
      </c>
      <c r="D39" s="122">
        <f>'Revenue by Sch RY#1'!D22</f>
        <v>6714960.2368700616</v>
      </c>
      <c r="E39" s="122">
        <v>13394.355918136085</v>
      </c>
      <c r="F39" s="117">
        <v>0</v>
      </c>
      <c r="G39" s="171"/>
      <c r="H39" s="13">
        <f>(D39*F39)+(E39*G39)</f>
        <v>0</v>
      </c>
      <c r="J39" s="6">
        <f>D39</f>
        <v>6714960.2368700616</v>
      </c>
      <c r="K39" s="6">
        <f>E39</f>
        <v>13394.355918136085</v>
      </c>
      <c r="L39" s="11">
        <f>F39</f>
        <v>0</v>
      </c>
      <c r="M39" s="16">
        <f>G39</f>
        <v>0</v>
      </c>
      <c r="N39" s="13">
        <f>(J39*L39)+(K39*M39)</f>
        <v>0</v>
      </c>
      <c r="O39" s="12"/>
      <c r="P39" s="122">
        <f>'Revenue by Sch RY#2'!D22</f>
        <v>6710049.8818741431</v>
      </c>
      <c r="Q39" s="122">
        <v>13319.835934941628</v>
      </c>
      <c r="R39" s="11">
        <f>L39</f>
        <v>0</v>
      </c>
      <c r="S39" s="16">
        <f>M39</f>
        <v>0</v>
      </c>
      <c r="T39" s="13">
        <f>(P39*R39)+(Q39*S39)</f>
        <v>0</v>
      </c>
    </row>
    <row r="40" spans="1:20">
      <c r="A40" s="2">
        <f t="shared" si="1"/>
        <v>33</v>
      </c>
      <c r="B40" s="2"/>
      <c r="F40" s="117"/>
      <c r="G40" s="117"/>
      <c r="H40" s="12"/>
      <c r="N40" s="12"/>
      <c r="O40" s="12"/>
      <c r="T40" s="12"/>
    </row>
    <row r="41" spans="1:20" ht="12" thickBot="1">
      <c r="A41" s="2">
        <f t="shared" si="1"/>
        <v>34</v>
      </c>
      <c r="B41" s="2"/>
      <c r="C41" s="110" t="s">
        <v>17</v>
      </c>
      <c r="D41" s="111">
        <f>SUM(D37,D39)</f>
        <v>23558158394.432892</v>
      </c>
      <c r="E41" s="111">
        <f>SUM(E37,E39)</f>
        <v>15233290.51976531</v>
      </c>
      <c r="F41" s="169"/>
      <c r="G41" s="169"/>
      <c r="H41" s="113">
        <f>SUM(H37,H39)</f>
        <v>-30976702.867823873</v>
      </c>
      <c r="I41" s="15"/>
      <c r="J41" s="111">
        <f>SUM(J37,J39)</f>
        <v>23558158394.432892</v>
      </c>
      <c r="K41" s="111">
        <f>SUM(K37,K39)</f>
        <v>15233290.51976531</v>
      </c>
      <c r="L41" s="15"/>
      <c r="M41" s="15"/>
      <c r="N41" s="113">
        <f>SUM(N37,N39)</f>
        <v>-30976702.867823873</v>
      </c>
      <c r="O41" s="114"/>
      <c r="P41" s="111">
        <f>SUM(P37,P39)</f>
        <v>23775605944.94062</v>
      </c>
      <c r="Q41" s="111">
        <f>SUM(Q37,Q39)</f>
        <v>15269295.859133027</v>
      </c>
      <c r="R41" s="15"/>
      <c r="S41" s="15"/>
      <c r="T41" s="113">
        <f>SUM(T37,T39)</f>
        <v>-31509125.660109933</v>
      </c>
    </row>
    <row r="42" spans="1:20" ht="12" thickTop="1">
      <c r="D42" s="123">
        <f>'Revenue by Sch RY#1'!D24</f>
        <v>23558158394.432896</v>
      </c>
      <c r="E42" s="123">
        <v>15233290.519765308</v>
      </c>
      <c r="F42" s="170"/>
      <c r="G42" s="170"/>
      <c r="J42" s="162">
        <f>D41</f>
        <v>23558158394.432892</v>
      </c>
      <c r="K42" s="162">
        <f>E41</f>
        <v>15233290.51976531</v>
      </c>
      <c r="P42" s="123">
        <f>'Revenue by Sch RY#2'!D24</f>
        <v>23775605944.94062</v>
      </c>
      <c r="Q42" s="123">
        <v>15269295.859133029</v>
      </c>
    </row>
    <row r="43" spans="1:20">
      <c r="C43" s="17" t="s">
        <v>168</v>
      </c>
      <c r="D43" s="124">
        <f>D41-D42</f>
        <v>0</v>
      </c>
      <c r="E43" s="124">
        <f>E41-E42</f>
        <v>0</v>
      </c>
      <c r="F43" s="170"/>
      <c r="G43" s="170"/>
      <c r="J43" s="124">
        <f>J41-J42</f>
        <v>0</v>
      </c>
      <c r="K43" s="124">
        <f>K41-K42</f>
        <v>0</v>
      </c>
      <c r="P43" s="124">
        <f>P41-P42</f>
        <v>0</v>
      </c>
      <c r="Q43" s="124">
        <f>Q41-Q42</f>
        <v>0</v>
      </c>
    </row>
    <row r="44" spans="1:20">
      <c r="F44" s="170"/>
      <c r="G44" s="170"/>
      <c r="P44" s="4"/>
      <c r="Q44" s="4"/>
    </row>
    <row r="45" spans="1:20">
      <c r="B45" s="3" t="s">
        <v>269</v>
      </c>
      <c r="C45" s="101"/>
      <c r="F45" s="170"/>
      <c r="G45" s="170"/>
    </row>
  </sheetData>
  <mergeCells count="10">
    <mergeCell ref="A4:T4"/>
    <mergeCell ref="A5:F5"/>
    <mergeCell ref="A1:T1"/>
    <mergeCell ref="A2:T2"/>
    <mergeCell ref="A3:T3"/>
    <mergeCell ref="J6:N6"/>
    <mergeCell ref="P6:T6"/>
    <mergeCell ref="F7:G7"/>
    <mergeCell ref="L7:M7"/>
    <mergeCell ref="R7:S7"/>
  </mergeCells>
  <pageMargins left="0.7" right="0.7" top="0.75" bottom="0.75" header="0.3" footer="0.3"/>
  <pageSetup scale="55" orientation="landscape" horizontalDpi="360" verticalDpi="360" r:id="rId1"/>
  <headerFooter>
    <oddFooter>&amp;R&amp;F
&amp;A
&amp;P of &amp;N</oddFooter>
  </headerFooter>
  <customProperties>
    <customPr name="_pios_id" r:id="rId2"/>
  </customPropertie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theme="6" tint="0.79998168889431442"/>
    <pageSetUpPr fitToPage="1"/>
  </sheetPr>
  <dimension ref="A1:V45"/>
  <sheetViews>
    <sheetView zoomScaleNormal="100" workbookViewId="0">
      <pane ySplit="7" topLeftCell="A8" activePane="bottomLeft" state="frozen"/>
      <selection activeCell="U42" sqref="U42"/>
      <selection pane="bottomLeft" activeCell="U42" sqref="U42"/>
    </sheetView>
  </sheetViews>
  <sheetFormatPr defaultColWidth="8.85546875" defaultRowHeight="11.25"/>
  <cols>
    <col min="1" max="1" width="4.42578125" style="3" bestFit="1" customWidth="1"/>
    <col min="2" max="2" width="14.85546875" style="3" bestFit="1" customWidth="1"/>
    <col min="3" max="3" width="21.7109375" style="3" bestFit="1" customWidth="1"/>
    <col min="4" max="4" width="15.140625" style="3" bestFit="1" customWidth="1"/>
    <col min="5" max="5" width="15.140625" style="3" customWidth="1"/>
    <col min="6" max="7" width="11" style="3" customWidth="1"/>
    <col min="8" max="8" width="11.85546875" style="3" customWidth="1"/>
    <col min="9" max="9" width="0.85546875" style="3" customWidth="1"/>
    <col min="10" max="10" width="12.85546875" style="3" bestFit="1" customWidth="1"/>
    <col min="11" max="11" width="12.85546875" style="3" customWidth="1"/>
    <col min="12" max="12" width="10" style="3" bestFit="1" customWidth="1"/>
    <col min="13" max="13" width="9.42578125" style="3" customWidth="1"/>
    <col min="14" max="14" width="11.5703125" style="3" bestFit="1" customWidth="1"/>
    <col min="15" max="15" width="1" style="3" customWidth="1"/>
    <col min="16" max="16" width="12.85546875" style="3" bestFit="1" customWidth="1"/>
    <col min="17" max="17" width="12.85546875" style="3" customWidth="1"/>
    <col min="18" max="18" width="10" style="3" bestFit="1" customWidth="1"/>
    <col min="19" max="19" width="9.42578125" style="3" customWidth="1"/>
    <col min="20" max="20" width="13.42578125" style="3" customWidth="1"/>
    <col min="21" max="21" width="8.85546875" style="3"/>
    <col min="22" max="22" width="9.85546875" style="3" bestFit="1" customWidth="1"/>
    <col min="23" max="16384" width="8.85546875" style="3"/>
  </cols>
  <sheetData>
    <row r="1" spans="1:22" s="15" customFormat="1" ht="12.75" customHeight="1">
      <c r="A1" s="459" t="str">
        <f>'Exh CTM-8 (Rate Impacts_RY#1)'!A1</f>
        <v>Puget Sound Energy</v>
      </c>
      <c r="B1" s="460"/>
      <c r="C1" s="460"/>
      <c r="D1" s="460"/>
      <c r="E1" s="460"/>
      <c r="F1" s="460"/>
      <c r="G1" s="460"/>
      <c r="H1" s="460"/>
      <c r="I1" s="460"/>
      <c r="J1" s="460"/>
      <c r="K1" s="460"/>
      <c r="L1" s="460"/>
      <c r="M1" s="460"/>
      <c r="N1" s="460"/>
      <c r="O1" s="460"/>
      <c r="P1" s="460"/>
      <c r="Q1" s="460"/>
      <c r="R1" s="460"/>
      <c r="S1" s="460"/>
      <c r="T1" s="460"/>
    </row>
    <row r="2" spans="1:22" s="15" customFormat="1" ht="12.75">
      <c r="A2" s="459" t="str">
        <f>'Exh CTM-8 (Rate Impacts_RY#1)'!A2</f>
        <v>2024 General Rate Case Docket No. UE-240004 and UG-240005</v>
      </c>
      <c r="B2" s="460"/>
      <c r="C2" s="460"/>
      <c r="D2" s="460"/>
      <c r="E2" s="460"/>
      <c r="F2" s="460"/>
      <c r="G2" s="460"/>
      <c r="H2" s="460"/>
      <c r="I2" s="460"/>
      <c r="J2" s="460"/>
      <c r="K2" s="460"/>
      <c r="L2" s="460"/>
      <c r="M2" s="460"/>
      <c r="N2" s="460"/>
      <c r="O2" s="460"/>
      <c r="P2" s="460"/>
      <c r="Q2" s="460"/>
      <c r="R2" s="460"/>
      <c r="S2" s="460"/>
      <c r="T2" s="460"/>
    </row>
    <row r="3" spans="1:22" s="15" customFormat="1" ht="12.75">
      <c r="A3" s="545" t="s">
        <v>272</v>
      </c>
      <c r="B3" s="470"/>
      <c r="C3" s="470"/>
      <c r="D3" s="470"/>
      <c r="E3" s="470"/>
      <c r="F3" s="470"/>
      <c r="G3" s="470"/>
      <c r="H3" s="471"/>
      <c r="I3" s="471"/>
      <c r="J3" s="471"/>
      <c r="K3" s="471"/>
      <c r="L3" s="471"/>
      <c r="M3" s="471"/>
      <c r="N3" s="471"/>
      <c r="O3" s="471"/>
      <c r="P3" s="471"/>
      <c r="Q3" s="471"/>
      <c r="R3" s="471"/>
      <c r="S3" s="471"/>
      <c r="T3" s="471"/>
    </row>
    <row r="4" spans="1:22" s="15" customFormat="1" ht="12.75">
      <c r="A4" s="545" t="s">
        <v>177</v>
      </c>
      <c r="B4" s="470"/>
      <c r="C4" s="470"/>
      <c r="D4" s="470"/>
      <c r="E4" s="470"/>
      <c r="F4" s="470"/>
      <c r="G4" s="470"/>
      <c r="H4" s="471"/>
      <c r="I4" s="471"/>
      <c r="J4" s="471"/>
      <c r="K4" s="471"/>
      <c r="L4" s="471"/>
      <c r="M4" s="471"/>
      <c r="N4" s="471"/>
      <c r="O4" s="471"/>
      <c r="P4" s="471"/>
      <c r="Q4" s="471"/>
      <c r="R4" s="471"/>
      <c r="S4" s="471"/>
      <c r="T4" s="471"/>
    </row>
    <row r="5" spans="1:22" s="15" customFormat="1">
      <c r="A5" s="456"/>
      <c r="B5" s="456"/>
      <c r="C5" s="456"/>
      <c r="D5" s="456"/>
      <c r="E5" s="456"/>
      <c r="F5" s="456"/>
      <c r="G5" s="44"/>
      <c r="H5" s="44"/>
    </row>
    <row r="6" spans="1:22" s="15" customFormat="1" ht="12.75">
      <c r="A6" s="45"/>
      <c r="B6" s="44"/>
      <c r="C6" s="44"/>
      <c r="D6" s="44"/>
      <c r="E6" s="44"/>
      <c r="J6" s="546" t="str">
        <f>'Sch 95'!H6</f>
        <v>MYRP January 2025</v>
      </c>
      <c r="K6" s="553"/>
      <c r="L6" s="494"/>
      <c r="M6" s="494"/>
      <c r="N6" s="493"/>
      <c r="O6" s="132">
        <f>'Sch 95'!K6</f>
        <v>0</v>
      </c>
      <c r="P6" s="546" t="str">
        <f>'Sch 95'!L6</f>
        <v>MYRP January 2026</v>
      </c>
      <c r="Q6" s="553"/>
      <c r="R6" s="547"/>
      <c r="S6" s="547"/>
      <c r="T6" s="548"/>
    </row>
    <row r="7" spans="1:22" s="15" customFormat="1" ht="45">
      <c r="A7" s="97" t="s">
        <v>2</v>
      </c>
      <c r="B7" s="97" t="s">
        <v>3</v>
      </c>
      <c r="C7" s="97" t="s">
        <v>14</v>
      </c>
      <c r="D7" s="133" t="str">
        <f>'Sch 95'!D7</f>
        <v>12 months ending December 2025 F23 Forecast KWh</v>
      </c>
      <c r="E7" s="167" t="s">
        <v>240</v>
      </c>
      <c r="F7" s="551" t="str">
        <f>'Sch 95'!E7</f>
        <v>Current Rates as of January 2024 (1)</v>
      </c>
      <c r="G7" s="552"/>
      <c r="H7" s="133" t="str">
        <f>'Sch 95'!F7</f>
        <v>Annual Delivered $</v>
      </c>
      <c r="I7" s="133">
        <f>'Sch 95'!G7</f>
        <v>0</v>
      </c>
      <c r="J7" s="133" t="str">
        <f>'Sch 95'!H7</f>
        <v>Annual Delivered KWh</v>
      </c>
      <c r="K7" s="167" t="s">
        <v>241</v>
      </c>
      <c r="L7" s="553" t="str">
        <f>'Sch 95'!I7</f>
        <v>Rates Effective January 2025</v>
      </c>
      <c r="M7" s="494"/>
      <c r="N7" s="133" t="str">
        <f>'Sch 95'!J7</f>
        <v>Annual Delivered $</v>
      </c>
      <c r="O7" s="133">
        <f>'Sch 95'!K7</f>
        <v>0</v>
      </c>
      <c r="P7" s="133" t="str">
        <f>'Sch 95'!L7</f>
        <v>Annual Delivered KWh</v>
      </c>
      <c r="Q7" s="97" t="str">
        <f>K7</f>
        <v>Annual Delivered KW/Kva</v>
      </c>
      <c r="R7" s="553" t="str">
        <f>'Sch 95'!M7</f>
        <v>Rates Effective January 2026</v>
      </c>
      <c r="S7" s="494"/>
      <c r="T7" s="133" t="str">
        <f>'Sch 95'!N7</f>
        <v>Annual Delivered $</v>
      </c>
    </row>
    <row r="8" spans="1:22">
      <c r="A8" s="2">
        <v>1</v>
      </c>
      <c r="B8" s="132" t="str">
        <f>'Sch 95'!B8</f>
        <v xml:space="preserve"> 7 (307) (317) (327)</v>
      </c>
      <c r="D8" s="116">
        <f>'Revenue by Sch RY#1'!D9</f>
        <v>11278205851.395365</v>
      </c>
      <c r="E8" s="116">
        <v>0</v>
      </c>
      <c r="F8" s="109">
        <v>0</v>
      </c>
      <c r="G8" s="109">
        <v>0</v>
      </c>
      <c r="H8" s="12">
        <f>(D8*F8)+(E8*G8)</f>
        <v>0</v>
      </c>
      <c r="J8" s="4">
        <f t="shared" ref="J8:M9" si="0">D8</f>
        <v>11278205851.395365</v>
      </c>
      <c r="K8" s="4">
        <f t="shared" si="0"/>
        <v>0</v>
      </c>
      <c r="L8" s="11">
        <f t="shared" si="0"/>
        <v>0</v>
      </c>
      <c r="M8" s="16">
        <f t="shared" si="0"/>
        <v>0</v>
      </c>
      <c r="N8" s="12">
        <f>(J8*L8)+(K8*M8)</f>
        <v>0</v>
      </c>
      <c r="O8" s="12"/>
      <c r="P8" s="116">
        <f>'Revenue by Sch RY#2'!D9</f>
        <v>11447649239.71397</v>
      </c>
      <c r="Q8" s="116">
        <v>0</v>
      </c>
      <c r="R8" s="11">
        <f>L8</f>
        <v>0</v>
      </c>
      <c r="S8" s="16">
        <f>M8</f>
        <v>0</v>
      </c>
      <c r="T8" s="12">
        <f>(P8*R8)+(Q8*S8)</f>
        <v>0</v>
      </c>
      <c r="V8" s="15"/>
    </row>
    <row r="9" spans="1:22">
      <c r="A9" s="2">
        <f t="shared" ref="A9:A41" si="1">+A8+1</f>
        <v>2</v>
      </c>
      <c r="B9" s="132" t="str">
        <f>'Sch 95'!B9</f>
        <v xml:space="preserve">7A </v>
      </c>
      <c r="D9" s="115">
        <v>0</v>
      </c>
      <c r="E9" s="115">
        <v>0</v>
      </c>
      <c r="F9" s="109">
        <v>0</v>
      </c>
      <c r="G9" s="109">
        <v>0</v>
      </c>
      <c r="H9" s="12">
        <f>(D9*F9)+(E9*G9)</f>
        <v>0</v>
      </c>
      <c r="J9" s="4">
        <f t="shared" si="0"/>
        <v>0</v>
      </c>
      <c r="K9" s="4">
        <f t="shared" si="0"/>
        <v>0</v>
      </c>
      <c r="L9" s="11">
        <f t="shared" si="0"/>
        <v>0</v>
      </c>
      <c r="M9" s="16">
        <f t="shared" si="0"/>
        <v>0</v>
      </c>
      <c r="N9" s="12">
        <f>(J9*L9)+(K9*M9)</f>
        <v>0</v>
      </c>
      <c r="O9" s="12"/>
      <c r="P9" s="4">
        <v>0</v>
      </c>
      <c r="Q9" s="115">
        <v>0</v>
      </c>
      <c r="R9" s="11">
        <f>L9</f>
        <v>0</v>
      </c>
      <c r="S9" s="16">
        <f>M9</f>
        <v>0</v>
      </c>
      <c r="T9" s="12">
        <f>(P9*R9)+(Q9*S9)</f>
        <v>0</v>
      </c>
      <c r="V9" s="15"/>
    </row>
    <row r="10" spans="1:22">
      <c r="A10" s="2">
        <f t="shared" si="1"/>
        <v>3</v>
      </c>
      <c r="B10" s="2"/>
      <c r="C10" s="3" t="s">
        <v>4</v>
      </c>
      <c r="D10" s="6">
        <f>SUM(D8:D9)</f>
        <v>11278205851.395365</v>
      </c>
      <c r="E10" s="6">
        <f>SUM(E8:E9)</f>
        <v>0</v>
      </c>
      <c r="F10" s="11"/>
      <c r="G10" s="11"/>
      <c r="H10" s="13">
        <f t="shared" ref="H10" si="2">SUM(H8:H9)</f>
        <v>0</v>
      </c>
      <c r="J10" s="6">
        <f>SUM(J8:J9)</f>
        <v>11278205851.395365</v>
      </c>
      <c r="K10" s="6">
        <f>SUM(K8:K9)</f>
        <v>0</v>
      </c>
      <c r="L10" s="11"/>
      <c r="M10" s="16"/>
      <c r="N10" s="13">
        <f t="shared" ref="N10" si="3">SUM(N8:N9)</f>
        <v>0</v>
      </c>
      <c r="O10" s="12"/>
      <c r="P10" s="6">
        <f>SUM(P8:P9)</f>
        <v>11447649239.71397</v>
      </c>
      <c r="Q10" s="6">
        <f>SUM(Q8:Q9)</f>
        <v>0</v>
      </c>
      <c r="R10" s="11"/>
      <c r="S10" s="16"/>
      <c r="T10" s="13">
        <f t="shared" ref="T10" si="4">SUM(T8:T9)</f>
        <v>0</v>
      </c>
      <c r="V10" s="15"/>
    </row>
    <row r="11" spans="1:22">
      <c r="A11" s="2">
        <f t="shared" si="1"/>
        <v>4</v>
      </c>
      <c r="B11" s="2"/>
      <c r="D11" s="4"/>
      <c r="E11" s="4"/>
      <c r="F11" s="11"/>
      <c r="G11" s="11"/>
      <c r="H11" s="12"/>
      <c r="J11" s="4"/>
      <c r="K11" s="4"/>
      <c r="L11" s="11"/>
      <c r="M11" s="16"/>
      <c r="N11" s="12"/>
      <c r="O11" s="12"/>
      <c r="P11" s="4"/>
      <c r="Q11" s="4"/>
      <c r="R11" s="11"/>
      <c r="S11" s="16"/>
      <c r="T11" s="12"/>
      <c r="V11" s="15"/>
    </row>
    <row r="12" spans="1:22">
      <c r="A12" s="2">
        <f t="shared" si="1"/>
        <v>5</v>
      </c>
      <c r="B12" s="132">
        <f>'Sch 95'!B12</f>
        <v>8</v>
      </c>
      <c r="D12" s="115">
        <v>0</v>
      </c>
      <c r="E12" s="115">
        <v>0</v>
      </c>
      <c r="F12" s="109">
        <v>0</v>
      </c>
      <c r="G12" s="109">
        <v>0</v>
      </c>
      <c r="H12" s="12">
        <f t="shared" ref="H12:H18" si="5">(D12*F12)+(E12*G12)</f>
        <v>0</v>
      </c>
      <c r="J12" s="4">
        <f>D12</f>
        <v>0</v>
      </c>
      <c r="K12" s="4">
        <f>E12</f>
        <v>0</v>
      </c>
      <c r="L12" s="11">
        <f t="shared" ref="L12:M18" si="6">F12</f>
        <v>0</v>
      </c>
      <c r="M12" s="16">
        <f t="shared" si="6"/>
        <v>0</v>
      </c>
      <c r="N12" s="12">
        <f t="shared" ref="N12:N18" si="7">(J12*L12)+(K12*M12)</f>
        <v>0</v>
      </c>
      <c r="O12" s="12"/>
      <c r="P12" s="4">
        <v>0</v>
      </c>
      <c r="Q12" s="115">
        <v>0</v>
      </c>
      <c r="R12" s="11">
        <f t="shared" ref="R12:S18" si="8">L12</f>
        <v>0</v>
      </c>
      <c r="S12" s="16">
        <f t="shared" si="8"/>
        <v>0</v>
      </c>
      <c r="T12" s="12">
        <f t="shared" ref="T12:T18" si="9">(P12*R12)+(Q12*S12)</f>
        <v>0</v>
      </c>
      <c r="V12" s="15"/>
    </row>
    <row r="13" spans="1:22">
      <c r="A13" s="2">
        <f t="shared" si="1"/>
        <v>6</v>
      </c>
      <c r="B13" s="132" t="str">
        <f>'Sch 95'!B13</f>
        <v>24 (324)</v>
      </c>
      <c r="D13" s="116">
        <f>'Revenue by Sch RY#1'!D10</f>
        <v>2762635966.1696987</v>
      </c>
      <c r="E13" s="115">
        <v>0</v>
      </c>
      <c r="F13" s="109">
        <v>0</v>
      </c>
      <c r="G13" s="109">
        <v>0</v>
      </c>
      <c r="H13" s="12">
        <f t="shared" si="5"/>
        <v>0</v>
      </c>
      <c r="J13" s="4">
        <f>D13</f>
        <v>2762635966.1696987</v>
      </c>
      <c r="K13" s="4">
        <f>E13</f>
        <v>0</v>
      </c>
      <c r="L13" s="11">
        <f t="shared" si="6"/>
        <v>0</v>
      </c>
      <c r="M13" s="16">
        <f t="shared" si="6"/>
        <v>0</v>
      </c>
      <c r="N13" s="12">
        <f t="shared" si="7"/>
        <v>0</v>
      </c>
      <c r="O13" s="12"/>
      <c r="P13" s="116">
        <f>'Revenue by Sch RY#2'!D10</f>
        <v>2774967422.2693906</v>
      </c>
      <c r="Q13" s="115">
        <v>0</v>
      </c>
      <c r="R13" s="11">
        <f t="shared" si="8"/>
        <v>0</v>
      </c>
      <c r="S13" s="16">
        <f t="shared" si="8"/>
        <v>0</v>
      </c>
      <c r="T13" s="12">
        <f t="shared" si="9"/>
        <v>0</v>
      </c>
      <c r="V13" s="15"/>
    </row>
    <row r="14" spans="1:22">
      <c r="A14" s="2">
        <f t="shared" si="1"/>
        <v>7</v>
      </c>
      <c r="B14" s="132">
        <f>'Sch 95'!B14</f>
        <v>11</v>
      </c>
      <c r="D14" s="115">
        <v>0</v>
      </c>
      <c r="E14" s="115">
        <v>0</v>
      </c>
      <c r="F14" s="109">
        <v>0</v>
      </c>
      <c r="G14" s="109">
        <v>0</v>
      </c>
      <c r="H14" s="12">
        <f t="shared" si="5"/>
        <v>0</v>
      </c>
      <c r="J14" s="4">
        <f t="shared" ref="J14:K18" si="10">D14</f>
        <v>0</v>
      </c>
      <c r="K14" s="4">
        <f t="shared" si="10"/>
        <v>0</v>
      </c>
      <c r="L14" s="11">
        <f t="shared" si="6"/>
        <v>0</v>
      </c>
      <c r="M14" s="16">
        <f t="shared" si="6"/>
        <v>0</v>
      </c>
      <c r="N14" s="12">
        <f t="shared" si="7"/>
        <v>0</v>
      </c>
      <c r="O14" s="12"/>
      <c r="P14" s="4">
        <v>0</v>
      </c>
      <c r="Q14" s="115">
        <v>0</v>
      </c>
      <c r="R14" s="11">
        <f t="shared" si="8"/>
        <v>0</v>
      </c>
      <c r="S14" s="16">
        <f t="shared" si="8"/>
        <v>0</v>
      </c>
      <c r="T14" s="12">
        <f t="shared" si="9"/>
        <v>0</v>
      </c>
    </row>
    <row r="15" spans="1:22">
      <c r="A15" s="2">
        <f t="shared" si="1"/>
        <v>8</v>
      </c>
      <c r="B15" s="132">
        <f>'Sch 95'!B15</f>
        <v>25</v>
      </c>
      <c r="D15" s="116">
        <f>'Revenue by Sch RY#1'!D11</f>
        <v>2960202274.8054705</v>
      </c>
      <c r="E15" s="116">
        <v>4517887.0072913375</v>
      </c>
      <c r="F15" s="109">
        <v>0</v>
      </c>
      <c r="G15" s="109">
        <v>0</v>
      </c>
      <c r="H15" s="12">
        <f t="shared" si="5"/>
        <v>0</v>
      </c>
      <c r="J15" s="4">
        <f t="shared" si="10"/>
        <v>2960202274.8054705</v>
      </c>
      <c r="K15" s="4">
        <f t="shared" si="10"/>
        <v>4517887.0072913375</v>
      </c>
      <c r="L15" s="11">
        <f t="shared" si="6"/>
        <v>0</v>
      </c>
      <c r="M15" s="16">
        <f t="shared" si="6"/>
        <v>0</v>
      </c>
      <c r="N15" s="12">
        <f t="shared" si="7"/>
        <v>0</v>
      </c>
      <c r="O15" s="12"/>
      <c r="P15" s="116">
        <f>'Revenue by Sch RY#2'!D11</f>
        <v>2968720174.6374388</v>
      </c>
      <c r="Q15" s="116">
        <v>4515508.9451899873</v>
      </c>
      <c r="R15" s="11">
        <f t="shared" si="8"/>
        <v>0</v>
      </c>
      <c r="S15" s="16">
        <f t="shared" si="8"/>
        <v>0</v>
      </c>
      <c r="T15" s="12">
        <f t="shared" si="9"/>
        <v>0</v>
      </c>
    </row>
    <row r="16" spans="1:22">
      <c r="A16" s="2">
        <f t="shared" si="1"/>
        <v>9</v>
      </c>
      <c r="B16" s="132">
        <f>'Sch 95'!B16</f>
        <v>12</v>
      </c>
      <c r="D16" s="115">
        <v>0</v>
      </c>
      <c r="E16" s="115">
        <v>0</v>
      </c>
      <c r="F16" s="109">
        <v>0</v>
      </c>
      <c r="G16" s="109">
        <v>0</v>
      </c>
      <c r="H16" s="12">
        <f t="shared" si="5"/>
        <v>0</v>
      </c>
      <c r="J16" s="4">
        <f t="shared" si="10"/>
        <v>0</v>
      </c>
      <c r="K16" s="4">
        <f t="shared" si="10"/>
        <v>0</v>
      </c>
      <c r="L16" s="11">
        <f t="shared" si="6"/>
        <v>0</v>
      </c>
      <c r="M16" s="16">
        <f t="shared" si="6"/>
        <v>0</v>
      </c>
      <c r="N16" s="12">
        <f t="shared" si="7"/>
        <v>0</v>
      </c>
      <c r="O16" s="12"/>
      <c r="P16" s="4">
        <v>0</v>
      </c>
      <c r="Q16" s="115">
        <v>0</v>
      </c>
      <c r="R16" s="11">
        <f t="shared" si="8"/>
        <v>0</v>
      </c>
      <c r="S16" s="16">
        <f t="shared" si="8"/>
        <v>0</v>
      </c>
      <c r="T16" s="12">
        <f t="shared" si="9"/>
        <v>0</v>
      </c>
    </row>
    <row r="17" spans="1:20">
      <c r="A17" s="2">
        <f t="shared" si="1"/>
        <v>10</v>
      </c>
      <c r="B17" s="132" t="str">
        <f>'Sch 95'!B17</f>
        <v>26 &amp; 26P</v>
      </c>
      <c r="D17" s="116">
        <f>'Revenue by Sch RY#1'!D12</f>
        <v>2013891730.8000479</v>
      </c>
      <c r="E17" s="116">
        <v>4944273.2866841257</v>
      </c>
      <c r="F17" s="109">
        <v>0</v>
      </c>
      <c r="G17" s="109">
        <v>0</v>
      </c>
      <c r="H17" s="12">
        <f t="shared" si="5"/>
        <v>0</v>
      </c>
      <c r="J17" s="4">
        <f t="shared" si="10"/>
        <v>2013891730.8000479</v>
      </c>
      <c r="K17" s="4">
        <f t="shared" si="10"/>
        <v>4944273.2866841257</v>
      </c>
      <c r="L17" s="11">
        <f t="shared" si="6"/>
        <v>0</v>
      </c>
      <c r="M17" s="16">
        <f t="shared" si="6"/>
        <v>0</v>
      </c>
      <c r="N17" s="12">
        <f t="shared" si="7"/>
        <v>0</v>
      </c>
      <c r="O17" s="12"/>
      <c r="P17" s="116">
        <f>'Revenue by Sch RY#2'!D12</f>
        <v>2056791563.2414525</v>
      </c>
      <c r="Q17" s="116">
        <v>5032131.2804961493</v>
      </c>
      <c r="R17" s="11">
        <f t="shared" si="8"/>
        <v>0</v>
      </c>
      <c r="S17" s="16">
        <f t="shared" si="8"/>
        <v>0</v>
      </c>
      <c r="T17" s="12">
        <f t="shared" si="9"/>
        <v>0</v>
      </c>
    </row>
    <row r="18" spans="1:20">
      <c r="A18" s="2">
        <f t="shared" si="1"/>
        <v>11</v>
      </c>
      <c r="B18" s="132">
        <f>'Sch 95'!B18</f>
        <v>29</v>
      </c>
      <c r="D18" s="116">
        <f>'Revenue by Sch RY#1'!D13</f>
        <v>14930059.630887466</v>
      </c>
      <c r="E18" s="116">
        <v>6359.1483786280214</v>
      </c>
      <c r="F18" s="109">
        <v>0</v>
      </c>
      <c r="G18" s="109">
        <v>0</v>
      </c>
      <c r="H18" s="12">
        <f t="shared" si="5"/>
        <v>0</v>
      </c>
      <c r="J18" s="4">
        <f t="shared" si="10"/>
        <v>14930059.630887466</v>
      </c>
      <c r="K18" s="4">
        <f t="shared" si="10"/>
        <v>6359.1483786280214</v>
      </c>
      <c r="L18" s="11">
        <f t="shared" si="6"/>
        <v>0</v>
      </c>
      <c r="M18" s="16">
        <f t="shared" si="6"/>
        <v>0</v>
      </c>
      <c r="N18" s="12">
        <f t="shared" si="7"/>
        <v>0</v>
      </c>
      <c r="O18" s="12"/>
      <c r="P18" s="116">
        <f>'Revenue by Sch RY#2'!D13</f>
        <v>14843026.361509496</v>
      </c>
      <c r="Q18" s="116">
        <v>6312.6225193658393</v>
      </c>
      <c r="R18" s="11">
        <f t="shared" si="8"/>
        <v>0</v>
      </c>
      <c r="S18" s="16">
        <f t="shared" si="8"/>
        <v>0</v>
      </c>
      <c r="T18" s="12">
        <f t="shared" si="9"/>
        <v>0</v>
      </c>
    </row>
    <row r="19" spans="1:20">
      <c r="A19" s="2">
        <f t="shared" si="1"/>
        <v>12</v>
      </c>
      <c r="B19" s="2"/>
      <c r="C19" s="7" t="s">
        <v>6</v>
      </c>
      <c r="D19" s="6">
        <f>SUM(D12:D18)</f>
        <v>7751660031.4061041</v>
      </c>
      <c r="E19" s="6">
        <f>SUM(E12:E18)</f>
        <v>9468519.4423540905</v>
      </c>
      <c r="F19" s="11"/>
      <c r="G19" s="11"/>
      <c r="H19" s="13">
        <f t="shared" ref="H19" si="11">SUM(H12:H18)</f>
        <v>0</v>
      </c>
      <c r="J19" s="6">
        <f>SUM(J12:J18)</f>
        <v>7751660031.4061041</v>
      </c>
      <c r="K19" s="6">
        <f>SUM(K12:K18)</f>
        <v>9468519.4423540905</v>
      </c>
      <c r="L19" s="11"/>
      <c r="M19" s="16"/>
      <c r="N19" s="13">
        <f t="shared" ref="N19" si="12">SUM(N12:N18)</f>
        <v>0</v>
      </c>
      <c r="O19" s="12"/>
      <c r="P19" s="6">
        <f>SUM(P12:P18)</f>
        <v>7815322186.5097914</v>
      </c>
      <c r="Q19" s="6">
        <f>SUM(Q12:Q18)</f>
        <v>9553952.8482055031</v>
      </c>
      <c r="R19" s="11"/>
      <c r="S19" s="16"/>
      <c r="T19" s="13">
        <f t="shared" ref="T19" si="13">SUM(T12:T18)</f>
        <v>0</v>
      </c>
    </row>
    <row r="20" spans="1:20">
      <c r="A20" s="2">
        <f t="shared" si="1"/>
        <v>13</v>
      </c>
      <c r="B20" s="2"/>
      <c r="D20" s="4"/>
      <c r="E20" s="4"/>
      <c r="F20" s="11"/>
      <c r="G20" s="11"/>
      <c r="H20" s="12"/>
      <c r="J20" s="4"/>
      <c r="K20" s="4"/>
      <c r="L20" s="11"/>
      <c r="M20" s="16"/>
      <c r="N20" s="12"/>
      <c r="O20" s="12"/>
      <c r="P20" s="4"/>
      <c r="Q20" s="4"/>
      <c r="R20" s="11"/>
      <c r="S20" s="16"/>
      <c r="T20" s="12"/>
    </row>
    <row r="21" spans="1:20">
      <c r="A21" s="2">
        <f t="shared" si="1"/>
        <v>14</v>
      </c>
      <c r="B21" s="132">
        <f>'Sch 95'!B21</f>
        <v>10</v>
      </c>
      <c r="D21" s="115">
        <v>0</v>
      </c>
      <c r="E21" s="115">
        <v>0</v>
      </c>
      <c r="F21" s="109">
        <v>0</v>
      </c>
      <c r="G21" s="109">
        <v>0</v>
      </c>
      <c r="H21" s="12">
        <f t="shared" ref="H21:H24" si="14">(D21*F21)+(E21*G21)</f>
        <v>0</v>
      </c>
      <c r="J21" s="4">
        <f t="shared" ref="J21:L24" si="15">D21</f>
        <v>0</v>
      </c>
      <c r="K21" s="4">
        <f t="shared" si="15"/>
        <v>0</v>
      </c>
      <c r="L21" s="11">
        <f t="shared" si="15"/>
        <v>0</v>
      </c>
      <c r="M21" s="16">
        <f>G21</f>
        <v>0</v>
      </c>
      <c r="N21" s="12">
        <f t="shared" ref="N21:N24" si="16">(J21*L21)+(K21*M21)</f>
        <v>0</v>
      </c>
      <c r="O21" s="12"/>
      <c r="P21" s="4">
        <v>0</v>
      </c>
      <c r="Q21" s="115">
        <v>0</v>
      </c>
      <c r="R21" s="11">
        <f t="shared" ref="R21:R24" si="17">L21</f>
        <v>0</v>
      </c>
      <c r="S21" s="16">
        <f>M21</f>
        <v>0</v>
      </c>
      <c r="T21" s="12">
        <f t="shared" ref="T21:T24" si="18">(P21*R21)+(Q21*S21)</f>
        <v>0</v>
      </c>
    </row>
    <row r="22" spans="1:20">
      <c r="A22" s="2">
        <f t="shared" si="1"/>
        <v>15</v>
      </c>
      <c r="B22" s="132">
        <f>'Sch 95'!B22</f>
        <v>31</v>
      </c>
      <c r="D22" s="116">
        <f>'Revenue by Sch RY#1'!D14</f>
        <v>1423586019.4788036</v>
      </c>
      <c r="E22" s="116">
        <v>3383993.070775318</v>
      </c>
      <c r="F22" s="109">
        <v>0</v>
      </c>
      <c r="G22" s="109">
        <v>0</v>
      </c>
      <c r="H22" s="12">
        <f t="shared" si="14"/>
        <v>0</v>
      </c>
      <c r="J22" s="4">
        <f t="shared" si="15"/>
        <v>1423586019.4788036</v>
      </c>
      <c r="K22" s="4">
        <f t="shared" si="15"/>
        <v>3383993.070775318</v>
      </c>
      <c r="L22" s="11">
        <f t="shared" si="15"/>
        <v>0</v>
      </c>
      <c r="M22" s="16">
        <f>G22</f>
        <v>0</v>
      </c>
      <c r="N22" s="12">
        <f t="shared" si="16"/>
        <v>0</v>
      </c>
      <c r="O22" s="12"/>
      <c r="P22" s="116">
        <f>'Revenue by Sch RY#2'!D14</f>
        <v>1411297972.0883911</v>
      </c>
      <c r="Q22" s="116">
        <v>3344757.4708671863</v>
      </c>
      <c r="R22" s="11">
        <f t="shared" si="17"/>
        <v>0</v>
      </c>
      <c r="S22" s="16">
        <f>M22</f>
        <v>0</v>
      </c>
      <c r="T22" s="12">
        <f t="shared" si="18"/>
        <v>0</v>
      </c>
    </row>
    <row r="23" spans="1:20">
      <c r="A23" s="2">
        <f t="shared" si="1"/>
        <v>16</v>
      </c>
      <c r="B23" s="132">
        <f>'Sch 95'!B23</f>
        <v>35</v>
      </c>
      <c r="D23" s="116">
        <f>'Revenue by Sch RY#1'!D15</f>
        <v>4407260.1568774413</v>
      </c>
      <c r="E23" s="116">
        <v>8196.3679379811347</v>
      </c>
      <c r="F23" s="109">
        <v>0</v>
      </c>
      <c r="G23" s="109">
        <v>0</v>
      </c>
      <c r="H23" s="12">
        <f t="shared" si="14"/>
        <v>0</v>
      </c>
      <c r="J23" s="4">
        <f t="shared" si="15"/>
        <v>4407260.1568774413</v>
      </c>
      <c r="K23" s="4">
        <f t="shared" si="15"/>
        <v>8196.3679379811347</v>
      </c>
      <c r="L23" s="11">
        <f t="shared" si="15"/>
        <v>0</v>
      </c>
      <c r="M23" s="16">
        <f>G23</f>
        <v>0</v>
      </c>
      <c r="N23" s="12">
        <f t="shared" si="16"/>
        <v>0</v>
      </c>
      <c r="O23" s="12"/>
      <c r="P23" s="116">
        <f>'Revenue by Sch RY#2'!D15</f>
        <v>4380281.1514552524</v>
      </c>
      <c r="Q23" s="116">
        <v>8146.3096768096348</v>
      </c>
      <c r="R23" s="11">
        <f t="shared" si="17"/>
        <v>0</v>
      </c>
      <c r="S23" s="16">
        <f>M23</f>
        <v>0</v>
      </c>
      <c r="T23" s="12">
        <f t="shared" si="18"/>
        <v>0</v>
      </c>
    </row>
    <row r="24" spans="1:20">
      <c r="A24" s="2">
        <f t="shared" si="1"/>
        <v>17</v>
      </c>
      <c r="B24" s="132">
        <f>'Sch 95'!B24</f>
        <v>43</v>
      </c>
      <c r="D24" s="116">
        <f>'Revenue by Sch RY#1'!D16</f>
        <v>122267424.6450724</v>
      </c>
      <c r="E24" s="116">
        <v>579230.53698067076</v>
      </c>
      <c r="F24" s="109">
        <v>0</v>
      </c>
      <c r="G24" s="109">
        <v>0</v>
      </c>
      <c r="H24" s="12">
        <f t="shared" si="14"/>
        <v>0</v>
      </c>
      <c r="J24" s="4">
        <f t="shared" si="15"/>
        <v>122267424.6450724</v>
      </c>
      <c r="K24" s="4">
        <f t="shared" si="15"/>
        <v>579230.53698067076</v>
      </c>
      <c r="L24" s="11">
        <f t="shared" si="15"/>
        <v>0</v>
      </c>
      <c r="M24" s="16">
        <f>G24</f>
        <v>0</v>
      </c>
      <c r="N24" s="12">
        <f t="shared" si="16"/>
        <v>0</v>
      </c>
      <c r="O24" s="12"/>
      <c r="P24" s="116">
        <f>'Revenue by Sch RY#2'!D16</f>
        <v>121633779.10385114</v>
      </c>
      <c r="Q24" s="116">
        <v>573967.09159726952</v>
      </c>
      <c r="R24" s="11">
        <f t="shared" si="17"/>
        <v>0</v>
      </c>
      <c r="S24" s="16">
        <f>M24</f>
        <v>0</v>
      </c>
      <c r="T24" s="12">
        <f t="shared" si="18"/>
        <v>0</v>
      </c>
    </row>
    <row r="25" spans="1:20">
      <c r="A25" s="2">
        <f t="shared" si="1"/>
        <v>18</v>
      </c>
      <c r="B25" s="2"/>
      <c r="C25" s="3" t="s">
        <v>7</v>
      </c>
      <c r="D25" s="6">
        <f>SUM(D21:D24)</f>
        <v>1550260704.2807536</v>
      </c>
      <c r="E25" s="6">
        <f>SUM(E21:E24)</f>
        <v>3971419.97569397</v>
      </c>
      <c r="F25" s="11"/>
      <c r="G25" s="11"/>
      <c r="H25" s="13">
        <f t="shared" ref="H25" si="19">SUM(H21:H24)</f>
        <v>0</v>
      </c>
      <c r="J25" s="6">
        <f>SUM(J21:J24)</f>
        <v>1550260704.2807536</v>
      </c>
      <c r="K25" s="6">
        <f>SUM(K21:K24)</f>
        <v>3971419.97569397</v>
      </c>
      <c r="L25" s="11"/>
      <c r="M25" s="16"/>
      <c r="N25" s="13">
        <f t="shared" ref="N25" si="20">SUM(N21:N24)</f>
        <v>0</v>
      </c>
      <c r="O25" s="12"/>
      <c r="P25" s="6">
        <f>SUM(P21:P24)</f>
        <v>1537312032.3436973</v>
      </c>
      <c r="Q25" s="6">
        <f>SUM(Q21:Q24)</f>
        <v>3926870.8721412653</v>
      </c>
      <c r="R25" s="11"/>
      <c r="S25" s="16"/>
      <c r="T25" s="13">
        <f t="shared" ref="T25" si="21">SUM(T21:T24)</f>
        <v>0</v>
      </c>
    </row>
    <row r="26" spans="1:20">
      <c r="A26" s="2">
        <f t="shared" si="1"/>
        <v>19</v>
      </c>
      <c r="B26" s="2"/>
      <c r="D26" s="4"/>
      <c r="E26" s="4"/>
      <c r="F26" s="11"/>
      <c r="G26" s="11"/>
      <c r="H26" s="12"/>
      <c r="J26" s="4"/>
      <c r="K26" s="4"/>
      <c r="L26" s="11"/>
      <c r="M26" s="16"/>
      <c r="N26" s="12"/>
      <c r="O26" s="12"/>
      <c r="P26" s="4"/>
      <c r="Q26" s="4"/>
      <c r="R26" s="11"/>
      <c r="S26" s="16"/>
      <c r="T26" s="12"/>
    </row>
    <row r="27" spans="1:20">
      <c r="A27" s="2">
        <f t="shared" si="1"/>
        <v>20</v>
      </c>
      <c r="B27" s="132">
        <f>'Sch 95'!B27</f>
        <v>46</v>
      </c>
      <c r="D27" s="116">
        <f>'Revenue by Sch RY#1'!D17</f>
        <v>96933187.043131709</v>
      </c>
      <c r="E27" s="116">
        <v>454913.76433003857</v>
      </c>
      <c r="F27" s="109">
        <v>0</v>
      </c>
      <c r="G27" s="109">
        <v>0</v>
      </c>
      <c r="H27" s="12">
        <f t="shared" ref="H27:H28" si="22">(D27*F27)+(E27*G27)</f>
        <v>0</v>
      </c>
      <c r="J27" s="4">
        <f>D27</f>
        <v>96933187.043131709</v>
      </c>
      <c r="K27" s="4">
        <f>E27</f>
        <v>454913.76433003857</v>
      </c>
      <c r="L27" s="11">
        <f t="shared" ref="L27:L28" si="23">F27</f>
        <v>0</v>
      </c>
      <c r="M27" s="16">
        <f>G27</f>
        <v>0</v>
      </c>
      <c r="N27" s="12">
        <f t="shared" ref="N27:N28" si="24">(J27*L27)+(K27*M27)</f>
        <v>0</v>
      </c>
      <c r="O27" s="12"/>
      <c r="P27" s="116">
        <f>'Revenue by Sch RY#2'!D17</f>
        <v>96918964.527943105</v>
      </c>
      <c r="Q27" s="116">
        <v>453901.97661419428</v>
      </c>
      <c r="R27" s="11">
        <f t="shared" ref="R27:R28" si="25">L27</f>
        <v>0</v>
      </c>
      <c r="S27" s="16">
        <f>M27</f>
        <v>0</v>
      </c>
      <c r="T27" s="12">
        <f t="shared" ref="T27:T28" si="26">(P27*R27)+(Q27*S27)</f>
        <v>0</v>
      </c>
    </row>
    <row r="28" spans="1:20">
      <c r="A28" s="2">
        <f t="shared" si="1"/>
        <v>21</v>
      </c>
      <c r="B28" s="132">
        <f>'Sch 95'!B28</f>
        <v>49</v>
      </c>
      <c r="D28" s="116">
        <f>'Revenue by Sch RY#1'!D18</f>
        <v>534843226.30681556</v>
      </c>
      <c r="E28" s="116">
        <v>1325042.9814690738</v>
      </c>
      <c r="F28" s="109">
        <v>0</v>
      </c>
      <c r="G28" s="109">
        <v>0</v>
      </c>
      <c r="H28" s="12">
        <f t="shared" si="22"/>
        <v>0</v>
      </c>
      <c r="J28" s="4">
        <f>D28</f>
        <v>534843226.30681556</v>
      </c>
      <c r="K28" s="4">
        <f>E28</f>
        <v>1325042.9814690738</v>
      </c>
      <c r="L28" s="11">
        <f t="shared" si="23"/>
        <v>0</v>
      </c>
      <c r="M28" s="16">
        <f>G28</f>
        <v>0</v>
      </c>
      <c r="N28" s="12">
        <f t="shared" si="24"/>
        <v>0</v>
      </c>
      <c r="O28" s="12"/>
      <c r="P28" s="116">
        <f>'Revenue by Sch RY#2'!D18</f>
        <v>534899242.67952603</v>
      </c>
      <c r="Q28" s="116">
        <v>1321250.3262371249</v>
      </c>
      <c r="R28" s="11">
        <f t="shared" si="25"/>
        <v>0</v>
      </c>
      <c r="S28" s="16">
        <f>M28</f>
        <v>0</v>
      </c>
      <c r="T28" s="12">
        <f t="shared" si="26"/>
        <v>0</v>
      </c>
    </row>
    <row r="29" spans="1:20">
      <c r="A29" s="2">
        <f t="shared" si="1"/>
        <v>22</v>
      </c>
      <c r="B29" s="2"/>
      <c r="C29" s="3" t="s">
        <v>8</v>
      </c>
      <c r="D29" s="6">
        <f>SUM(D27:D28)</f>
        <v>631776413.34994721</v>
      </c>
      <c r="E29" s="6">
        <f>SUM(E27:E28)</f>
        <v>1779956.7457991124</v>
      </c>
      <c r="F29" s="11"/>
      <c r="G29" s="11"/>
      <c r="H29" s="13">
        <f t="shared" ref="H29" si="27">SUM(H27:H28)</f>
        <v>0</v>
      </c>
      <c r="J29" s="6">
        <f>SUM(J27:J28)</f>
        <v>631776413.34994721</v>
      </c>
      <c r="K29" s="6">
        <f>SUM(K27:K28)</f>
        <v>1779956.7457991124</v>
      </c>
      <c r="L29" s="11"/>
      <c r="M29" s="16"/>
      <c r="N29" s="13">
        <f t="shared" ref="N29" si="28">SUM(N27:N28)</f>
        <v>0</v>
      </c>
      <c r="O29" s="12"/>
      <c r="P29" s="6">
        <f>SUM(P27:P28)</f>
        <v>631818207.20746911</v>
      </c>
      <c r="Q29" s="6">
        <f>SUM(Q27:Q28)</f>
        <v>1775152.3028513191</v>
      </c>
      <c r="R29" s="11"/>
      <c r="S29" s="16"/>
      <c r="T29" s="13">
        <f t="shared" ref="T29" si="29">SUM(T27:T28)</f>
        <v>0</v>
      </c>
    </row>
    <row r="30" spans="1:20">
      <c r="A30" s="2">
        <f t="shared" si="1"/>
        <v>23</v>
      </c>
      <c r="B30" s="2"/>
      <c r="D30" s="4"/>
      <c r="E30" s="4"/>
      <c r="F30" s="11"/>
      <c r="G30" s="11"/>
      <c r="H30" s="12"/>
      <c r="J30" s="4"/>
      <c r="K30" s="4"/>
      <c r="L30" s="11"/>
      <c r="M30" s="16"/>
      <c r="N30" s="12"/>
      <c r="O30" s="12"/>
      <c r="P30" s="4"/>
      <c r="Q30" s="4"/>
      <c r="R30" s="11"/>
      <c r="S30" s="16"/>
      <c r="T30" s="12"/>
    </row>
    <row r="31" spans="1:20">
      <c r="A31" s="2">
        <f t="shared" si="1"/>
        <v>24</v>
      </c>
      <c r="B31" s="132" t="str">
        <f>'Sch 95'!B31</f>
        <v>03, 50-59</v>
      </c>
      <c r="D31" s="122">
        <f>'Revenue by Sch RY#1'!D19</f>
        <v>67255417.982360825</v>
      </c>
      <c r="E31" s="122">
        <v>0</v>
      </c>
      <c r="F31" s="109">
        <v>0</v>
      </c>
      <c r="G31" s="109">
        <v>0</v>
      </c>
      <c r="H31" s="13">
        <f>(D31*F31)+(E31*G31)</f>
        <v>0</v>
      </c>
      <c r="J31" s="6">
        <f>D31</f>
        <v>67255417.982360825</v>
      </c>
      <c r="K31" s="6">
        <f>E31</f>
        <v>0</v>
      </c>
      <c r="L31" s="11">
        <f>F31</f>
        <v>0</v>
      </c>
      <c r="M31" s="16">
        <f>G31</f>
        <v>0</v>
      </c>
      <c r="N31" s="13">
        <f>(J31*L31)+(K31*M31)</f>
        <v>0</v>
      </c>
      <c r="O31" s="12"/>
      <c r="P31" s="122">
        <f>'Revenue by Sch RY#2'!D19</f>
        <v>67027608.143863305</v>
      </c>
      <c r="Q31" s="122">
        <v>0</v>
      </c>
      <c r="R31" s="11">
        <f>L31</f>
        <v>0</v>
      </c>
      <c r="S31" s="16">
        <f>M31</f>
        <v>0</v>
      </c>
      <c r="T31" s="13">
        <f>(P31*R31)+(Q31*S31)</f>
        <v>0</v>
      </c>
    </row>
    <row r="32" spans="1:20">
      <c r="A32" s="2">
        <f t="shared" si="1"/>
        <v>25</v>
      </c>
      <c r="B32" s="2"/>
      <c r="D32" s="4"/>
      <c r="E32" s="4"/>
      <c r="F32" s="11"/>
      <c r="G32" s="11"/>
      <c r="H32" s="12"/>
      <c r="J32" s="4"/>
      <c r="K32" s="4"/>
      <c r="L32" s="11"/>
      <c r="M32" s="16"/>
      <c r="N32" s="12"/>
      <c r="O32" s="12"/>
      <c r="P32" s="4"/>
      <c r="Q32" s="4"/>
      <c r="R32" s="11"/>
      <c r="S32" s="16"/>
      <c r="T32" s="12"/>
    </row>
    <row r="33" spans="1:20">
      <c r="A33" s="2">
        <f t="shared" si="1"/>
        <v>26</v>
      </c>
      <c r="B33" s="132" t="str">
        <f>'Sch 95'!B33</f>
        <v>449-459</v>
      </c>
      <c r="D33" s="116">
        <f>'Revenue by Sch RY#1'!D20</f>
        <v>1967511960.3194919</v>
      </c>
      <c r="E33" s="116">
        <v>0</v>
      </c>
      <c r="F33" s="109">
        <v>0</v>
      </c>
      <c r="G33" s="109">
        <v>0</v>
      </c>
      <c r="H33" s="12">
        <f t="shared" ref="H33:H34" si="30">(D33*F33)+(E33*G33)</f>
        <v>0</v>
      </c>
      <c r="J33" s="4">
        <f>D33</f>
        <v>1967511960.3194919</v>
      </c>
      <c r="K33" s="4">
        <f>E33</f>
        <v>0</v>
      </c>
      <c r="L33" s="11">
        <f t="shared" ref="L33:L34" si="31">F33</f>
        <v>0</v>
      </c>
      <c r="M33" s="16">
        <f>G33</f>
        <v>0</v>
      </c>
      <c r="N33" s="12">
        <f t="shared" ref="N33:N34" si="32">(J33*L33)+(K33*M33)</f>
        <v>0</v>
      </c>
      <c r="O33" s="12"/>
      <c r="P33" s="116">
        <f>'Revenue by Sch RY#2'!D20</f>
        <v>1964993565.6779518</v>
      </c>
      <c r="Q33" s="116">
        <v>0</v>
      </c>
      <c r="R33" s="11">
        <f t="shared" ref="R33:R34" si="33">L33</f>
        <v>0</v>
      </c>
      <c r="S33" s="16">
        <f>M33</f>
        <v>0</v>
      </c>
      <c r="T33" s="12">
        <f t="shared" ref="T33:T34" si="34">(P33*R33)+(Q33*S33)</f>
        <v>0</v>
      </c>
    </row>
    <row r="34" spans="1:20">
      <c r="A34" s="2">
        <f t="shared" si="1"/>
        <v>27</v>
      </c>
      <c r="B34" s="132" t="str">
        <f>'Sch 95'!B34</f>
        <v>Special Contract</v>
      </c>
      <c r="D34" s="116">
        <f>'Revenue by Sch RY#1'!D21</f>
        <v>304773055.46200001</v>
      </c>
      <c r="E34" s="116">
        <v>0</v>
      </c>
      <c r="F34" s="109">
        <v>0</v>
      </c>
      <c r="G34" s="109">
        <v>0</v>
      </c>
      <c r="H34" s="12">
        <f t="shared" si="30"/>
        <v>0</v>
      </c>
      <c r="J34" s="4">
        <f>D34</f>
        <v>304773055.46200001</v>
      </c>
      <c r="K34" s="4">
        <f>E34</f>
        <v>0</v>
      </c>
      <c r="L34" s="11">
        <f t="shared" si="31"/>
        <v>0</v>
      </c>
      <c r="M34" s="16">
        <f>G34</f>
        <v>0</v>
      </c>
      <c r="N34" s="12">
        <f t="shared" si="32"/>
        <v>0</v>
      </c>
      <c r="O34" s="12"/>
      <c r="P34" s="116">
        <f>'Revenue by Sch RY#2'!D21</f>
        <v>304773055.46200001</v>
      </c>
      <c r="Q34" s="116">
        <v>0</v>
      </c>
      <c r="R34" s="11">
        <f t="shared" si="33"/>
        <v>0</v>
      </c>
      <c r="S34" s="16">
        <f>M34</f>
        <v>0</v>
      </c>
      <c r="T34" s="12">
        <f t="shared" si="34"/>
        <v>0</v>
      </c>
    </row>
    <row r="35" spans="1:20">
      <c r="A35" s="2">
        <f t="shared" si="1"/>
        <v>28</v>
      </c>
      <c r="B35" s="5"/>
      <c r="C35" s="3" t="s">
        <v>77</v>
      </c>
      <c r="D35" s="6">
        <f>SUM(D33:D34)</f>
        <v>2272285015.7814918</v>
      </c>
      <c r="E35" s="6">
        <f>SUM(E33:E34)</f>
        <v>0</v>
      </c>
      <c r="H35" s="13">
        <f t="shared" ref="H35" si="35">SUM(H33:H34)</f>
        <v>0</v>
      </c>
      <c r="J35" s="6">
        <f>SUM(J33:J34)</f>
        <v>2272285015.7814918</v>
      </c>
      <c r="K35" s="6">
        <f>SUM(K33:K34)</f>
        <v>0</v>
      </c>
      <c r="M35" s="16"/>
      <c r="N35" s="13">
        <f t="shared" ref="N35" si="36">SUM(N33:N34)</f>
        <v>0</v>
      </c>
      <c r="O35" s="12"/>
      <c r="P35" s="6">
        <f>SUM(P33:P34)</f>
        <v>2269766621.1399517</v>
      </c>
      <c r="Q35" s="6">
        <f>SUM(Q33:Q34)</f>
        <v>0</v>
      </c>
      <c r="S35" s="16"/>
      <c r="T35" s="13">
        <f t="shared" ref="T35" si="37">SUM(T33:T34)</f>
        <v>0</v>
      </c>
    </row>
    <row r="36" spans="1:20">
      <c r="A36" s="2">
        <f t="shared" si="1"/>
        <v>29</v>
      </c>
      <c r="B36" s="2"/>
      <c r="D36" s="4"/>
      <c r="E36" s="4"/>
      <c r="H36" s="12"/>
      <c r="J36" s="4"/>
      <c r="K36" s="4"/>
      <c r="M36" s="16"/>
      <c r="N36" s="12"/>
      <c r="O36" s="12"/>
      <c r="P36" s="4"/>
      <c r="Q36" s="4"/>
      <c r="S36" s="16"/>
      <c r="T36" s="12"/>
    </row>
    <row r="37" spans="1:20" ht="12" thickBot="1">
      <c r="A37" s="2">
        <f t="shared" si="1"/>
        <v>30</v>
      </c>
      <c r="B37" s="2"/>
      <c r="C37" s="7" t="s">
        <v>15</v>
      </c>
      <c r="D37" s="8">
        <f>SUM(D10,D19,D25,D29,D31,D35)</f>
        <v>23551443434.196022</v>
      </c>
      <c r="E37" s="8">
        <f>SUM(E10,E19,E25,E29,E31,E35)</f>
        <v>15219896.163847174</v>
      </c>
      <c r="H37" s="14">
        <f>SUM(H10,H19,H25,H29,H31,H35)</f>
        <v>0</v>
      </c>
      <c r="J37" s="8">
        <f>SUM(J10,J19,J25,J29,J31,J35)</f>
        <v>23551443434.196022</v>
      </c>
      <c r="K37" s="8">
        <f>SUM(K10,K19,K25,K29,K31,K35)</f>
        <v>15219896.163847174</v>
      </c>
      <c r="M37" s="16"/>
      <c r="N37" s="14">
        <f>SUM(N10,N19,N25,N29,N31,N35)</f>
        <v>0</v>
      </c>
      <c r="O37" s="12"/>
      <c r="P37" s="8">
        <f>SUM(P10,P19,P25,P29,P31,P35)</f>
        <v>23768895895.058746</v>
      </c>
      <c r="Q37" s="8">
        <f>SUM(Q10,Q19,Q25,Q29,Q31,Q35)</f>
        <v>15255976.023198087</v>
      </c>
      <c r="S37" s="16"/>
      <c r="T37" s="14">
        <f>SUM(T10,T19,T25,T29,T31,T35)</f>
        <v>0</v>
      </c>
    </row>
    <row r="38" spans="1:20" ht="12" thickTop="1">
      <c r="A38" s="2">
        <f t="shared" si="1"/>
        <v>31</v>
      </c>
      <c r="B38" s="2"/>
      <c r="H38" s="12"/>
      <c r="M38" s="16"/>
      <c r="N38" s="12"/>
      <c r="O38" s="12"/>
      <c r="S38" s="16"/>
      <c r="T38" s="12"/>
    </row>
    <row r="39" spans="1:20">
      <c r="A39" s="2">
        <f t="shared" si="1"/>
        <v>32</v>
      </c>
      <c r="B39" s="132">
        <f>'Sch 95'!B39</f>
        <v>5</v>
      </c>
      <c r="C39" s="3" t="s">
        <v>16</v>
      </c>
      <c r="D39" s="122">
        <f>'Revenue by Sch RY#1'!D22</f>
        <v>6714960.2368700616</v>
      </c>
      <c r="E39" s="122">
        <v>13394.355918136085</v>
      </c>
      <c r="F39" s="109">
        <v>0</v>
      </c>
      <c r="G39" s="109">
        <v>0</v>
      </c>
      <c r="H39" s="13">
        <f>(D39*F39)+(E39*G39)</f>
        <v>0</v>
      </c>
      <c r="J39" s="6">
        <f>D39</f>
        <v>6714960.2368700616</v>
      </c>
      <c r="K39" s="6">
        <f>E39</f>
        <v>13394.355918136085</v>
      </c>
      <c r="L39" s="11">
        <f>F39</f>
        <v>0</v>
      </c>
      <c r="M39" s="16">
        <f>G39</f>
        <v>0</v>
      </c>
      <c r="N39" s="13">
        <f>(J39*L39)+(K39*M39)</f>
        <v>0</v>
      </c>
      <c r="O39" s="12"/>
      <c r="P39" s="122">
        <f>'Revenue by Sch RY#2'!D22</f>
        <v>6710049.8818741431</v>
      </c>
      <c r="Q39" s="122">
        <v>13319.835934941628</v>
      </c>
      <c r="R39" s="11">
        <f>L39</f>
        <v>0</v>
      </c>
      <c r="S39" s="16">
        <f>M39</f>
        <v>0</v>
      </c>
      <c r="T39" s="13">
        <f>(P39*R39)+(Q39*S39)</f>
        <v>0</v>
      </c>
    </row>
    <row r="40" spans="1:20">
      <c r="A40" s="2">
        <f t="shared" si="1"/>
        <v>33</v>
      </c>
      <c r="B40" s="2"/>
      <c r="F40" s="11"/>
      <c r="G40" s="11"/>
      <c r="H40" s="12"/>
      <c r="N40" s="12"/>
      <c r="O40" s="12"/>
      <c r="T40" s="12"/>
    </row>
    <row r="41" spans="1:20" ht="12" thickBot="1">
      <c r="A41" s="2">
        <f t="shared" si="1"/>
        <v>34</v>
      </c>
      <c r="B41" s="2"/>
      <c r="C41" s="110" t="s">
        <v>17</v>
      </c>
      <c r="D41" s="111">
        <f>SUM(D37,D39)</f>
        <v>23558158394.432892</v>
      </c>
      <c r="E41" s="111">
        <f>SUM(E37,E39)</f>
        <v>15233290.51976531</v>
      </c>
      <c r="F41" s="169"/>
      <c r="G41" s="169"/>
      <c r="H41" s="113">
        <f>SUM(H37,H39)</f>
        <v>0</v>
      </c>
      <c r="I41" s="15"/>
      <c r="J41" s="111">
        <f>SUM(J37,J39)</f>
        <v>23558158394.432892</v>
      </c>
      <c r="K41" s="111">
        <f>SUM(K37,K39)</f>
        <v>15233290.51976531</v>
      </c>
      <c r="L41" s="15"/>
      <c r="M41" s="15"/>
      <c r="N41" s="113">
        <f>SUM(N37,N39)</f>
        <v>0</v>
      </c>
      <c r="O41" s="114"/>
      <c r="P41" s="111">
        <f>SUM(P37,P39)</f>
        <v>23775605944.94062</v>
      </c>
      <c r="Q41" s="111">
        <f>SUM(Q37,Q39)</f>
        <v>15269295.859133027</v>
      </c>
      <c r="R41" s="15"/>
      <c r="S41" s="15"/>
      <c r="T41" s="113">
        <f>SUM(T37,T39)</f>
        <v>0</v>
      </c>
    </row>
    <row r="42" spans="1:20" ht="12" thickTop="1">
      <c r="D42" s="123">
        <f>'Revenue by Sch RY#1'!D24</f>
        <v>23558158394.432896</v>
      </c>
      <c r="E42" s="123">
        <v>15233290.519765308</v>
      </c>
      <c r="F42" s="170"/>
      <c r="G42" s="170"/>
      <c r="J42" s="162">
        <f>D41</f>
        <v>23558158394.432892</v>
      </c>
      <c r="K42" s="162">
        <f>E41</f>
        <v>15233290.51976531</v>
      </c>
      <c r="P42" s="123">
        <f>'Revenue by Sch RY#2'!D24</f>
        <v>23775605944.94062</v>
      </c>
      <c r="Q42" s="123">
        <v>15269295.859133029</v>
      </c>
    </row>
    <row r="43" spans="1:20">
      <c r="C43" s="17" t="s">
        <v>168</v>
      </c>
      <c r="D43" s="124">
        <f>D41-D42</f>
        <v>0</v>
      </c>
      <c r="E43" s="124">
        <f>E41-E42</f>
        <v>0</v>
      </c>
      <c r="F43" s="170"/>
      <c r="G43" s="170"/>
      <c r="J43" s="124">
        <f>J41-J42</f>
        <v>0</v>
      </c>
      <c r="K43" s="124">
        <f>K41-K42</f>
        <v>0</v>
      </c>
      <c r="P43" s="124">
        <f>P41-P42</f>
        <v>0</v>
      </c>
      <c r="Q43" s="124">
        <f>Q41-Q42</f>
        <v>0</v>
      </c>
    </row>
    <row r="44" spans="1:20">
      <c r="F44" s="170"/>
      <c r="G44" s="170"/>
      <c r="P44" s="4"/>
      <c r="Q44" s="4"/>
    </row>
    <row r="45" spans="1:20">
      <c r="B45" s="3" t="s">
        <v>273</v>
      </c>
      <c r="C45" s="101"/>
      <c r="F45" s="170"/>
      <c r="G45" s="170"/>
    </row>
  </sheetData>
  <mergeCells count="10">
    <mergeCell ref="F7:G7"/>
    <mergeCell ref="L7:M7"/>
    <mergeCell ref="R7:S7"/>
    <mergeCell ref="A1:T1"/>
    <mergeCell ref="A2:T2"/>
    <mergeCell ref="A3:T3"/>
    <mergeCell ref="A4:T4"/>
    <mergeCell ref="A5:F5"/>
    <mergeCell ref="J6:N6"/>
    <mergeCell ref="P6:T6"/>
  </mergeCells>
  <pageMargins left="0.7" right="0.7" top="0.75" bottom="0.75" header="0.3" footer="0.3"/>
  <pageSetup scale="55" orientation="landscape" horizontalDpi="360" verticalDpi="360" r:id="rId1"/>
  <headerFooter>
    <oddFooter>&amp;R&amp;F
&amp;A
&amp;P of &amp;N</oddFooter>
  </headerFooter>
  <customProperties>
    <customPr name="_pios_id" r:id="rId2"/>
  </customPropertie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theme="6" tint="0.79998168889431442"/>
    <pageSetUpPr fitToPage="1"/>
  </sheetPr>
  <dimension ref="A1:N46"/>
  <sheetViews>
    <sheetView zoomScaleNormal="100" workbookViewId="0">
      <pane ySplit="7" topLeftCell="A8" activePane="bottomLeft" state="frozen"/>
      <selection activeCell="U42" sqref="U42"/>
      <selection pane="bottomLeft" activeCell="U42" sqref="U42"/>
    </sheetView>
  </sheetViews>
  <sheetFormatPr defaultColWidth="8.85546875" defaultRowHeight="11.25"/>
  <cols>
    <col min="1" max="1" width="4.42578125" style="3" bestFit="1" customWidth="1"/>
    <col min="2" max="2" width="14.85546875" style="3" bestFit="1" customWidth="1"/>
    <col min="3" max="3" width="21.7109375" style="3" bestFit="1" customWidth="1"/>
    <col min="4" max="4" width="15.140625" style="3" bestFit="1" customWidth="1"/>
    <col min="5" max="5" width="11" style="3" customWidth="1"/>
    <col min="6" max="6" width="11.85546875" style="3" customWidth="1"/>
    <col min="7" max="7" width="0.85546875" style="3" customWidth="1"/>
    <col min="8" max="8" width="12.85546875" style="3" bestFit="1" customWidth="1"/>
    <col min="9" max="9" width="10" style="3" bestFit="1" customWidth="1"/>
    <col min="10" max="10" width="12.140625" style="3" bestFit="1" customWidth="1"/>
    <col min="11" max="11" width="1" style="3" customWidth="1"/>
    <col min="12" max="12" width="12.85546875" style="3" bestFit="1" customWidth="1"/>
    <col min="13" max="13" width="10" style="3" bestFit="1" customWidth="1"/>
    <col min="14" max="14" width="13.42578125" style="3" customWidth="1"/>
    <col min="15" max="16384" width="8.85546875" style="3"/>
  </cols>
  <sheetData>
    <row r="1" spans="1:14" s="15" customFormat="1" ht="12.75" customHeight="1">
      <c r="A1" s="459" t="str">
        <f>'Exh CTM-8 (Rate Impacts_RY#1)'!A1</f>
        <v>Puget Sound Energy</v>
      </c>
      <c r="B1" s="460"/>
      <c r="C1" s="460"/>
      <c r="D1" s="460"/>
      <c r="E1" s="460"/>
      <c r="F1" s="460"/>
      <c r="G1" s="460"/>
      <c r="H1" s="460"/>
      <c r="I1" s="460"/>
      <c r="J1" s="460"/>
      <c r="K1" s="460"/>
      <c r="L1" s="460"/>
      <c r="M1" s="460"/>
      <c r="N1" s="460"/>
    </row>
    <row r="2" spans="1:14" s="15" customFormat="1" ht="12.75">
      <c r="A2" s="459" t="str">
        <f>'Exh CTM-8 (Rate Impacts_RY#1)'!A2</f>
        <v>2024 General Rate Case Docket No. UE-240004 and UG-240005</v>
      </c>
      <c r="B2" s="460"/>
      <c r="C2" s="460"/>
      <c r="D2" s="460"/>
      <c r="E2" s="460"/>
      <c r="F2" s="460"/>
      <c r="G2" s="460"/>
      <c r="H2" s="460"/>
      <c r="I2" s="460"/>
      <c r="J2" s="460"/>
      <c r="K2" s="460"/>
      <c r="L2" s="460"/>
      <c r="M2" s="460"/>
      <c r="N2" s="460"/>
    </row>
    <row r="3" spans="1:14" s="15" customFormat="1" ht="12.75">
      <c r="A3" s="545" t="s">
        <v>274</v>
      </c>
      <c r="B3" s="470"/>
      <c r="C3" s="470"/>
      <c r="D3" s="470"/>
      <c r="E3" s="470"/>
      <c r="F3" s="471"/>
      <c r="G3" s="471"/>
      <c r="H3" s="471"/>
      <c r="I3" s="471"/>
      <c r="J3" s="471"/>
      <c r="K3" s="471"/>
      <c r="L3" s="471"/>
      <c r="M3" s="471"/>
      <c r="N3" s="471"/>
    </row>
    <row r="4" spans="1:14" s="15" customFormat="1" ht="12.75">
      <c r="A4" s="545" t="s">
        <v>177</v>
      </c>
      <c r="B4" s="470"/>
      <c r="C4" s="470"/>
      <c r="D4" s="470"/>
      <c r="E4" s="470"/>
      <c r="F4" s="471"/>
      <c r="G4" s="471"/>
      <c r="H4" s="471"/>
      <c r="I4" s="471"/>
      <c r="J4" s="471"/>
      <c r="K4" s="471"/>
      <c r="L4" s="471"/>
      <c r="M4" s="471"/>
      <c r="N4" s="471"/>
    </row>
    <row r="5" spans="1:14" s="15" customFormat="1">
      <c r="A5" s="456"/>
      <c r="B5" s="456"/>
      <c r="C5" s="456"/>
      <c r="D5" s="456"/>
      <c r="E5" s="456"/>
      <c r="F5" s="44"/>
    </row>
    <row r="6" spans="1:14" s="15" customFormat="1" ht="12.75">
      <c r="A6" s="45"/>
      <c r="B6" s="44"/>
      <c r="C6" s="44"/>
      <c r="D6" s="44"/>
      <c r="H6" s="546" t="str">
        <f>'Sch 95'!H6</f>
        <v>MYRP January 2025</v>
      </c>
      <c r="I6" s="494"/>
      <c r="J6" s="493"/>
      <c r="K6" s="132">
        <f>'Sch 95'!K6</f>
        <v>0</v>
      </c>
      <c r="L6" s="546" t="str">
        <f>'Sch 95'!L6</f>
        <v>MYRP January 2026</v>
      </c>
      <c r="M6" s="547"/>
      <c r="N6" s="548"/>
    </row>
    <row r="7" spans="1:14" s="15" customFormat="1" ht="45">
      <c r="A7" s="97" t="s">
        <v>2</v>
      </c>
      <c r="B7" s="97" t="s">
        <v>3</v>
      </c>
      <c r="C7" s="97" t="s">
        <v>14</v>
      </c>
      <c r="D7" s="133" t="str">
        <f>'Sch 95'!D7</f>
        <v>12 months ending December 2025 F23 Forecast KWh</v>
      </c>
      <c r="E7" s="133" t="str">
        <f>'Sch 95'!E7</f>
        <v>Current Rates as of January 2024 (1)</v>
      </c>
      <c r="F7" s="133" t="str">
        <f>'Sch 95'!F7</f>
        <v>Annual Delivered $</v>
      </c>
      <c r="G7" s="133">
        <f>'Sch 95'!G7</f>
        <v>0</v>
      </c>
      <c r="H7" s="133" t="str">
        <f>'Sch 95'!H7</f>
        <v>Annual Delivered KWh</v>
      </c>
      <c r="I7" s="133" t="str">
        <f>'Sch 95'!I7</f>
        <v>Rates Effective January 2025</v>
      </c>
      <c r="J7" s="133" t="str">
        <f>'Sch 95'!J7</f>
        <v>Annual Delivered $</v>
      </c>
      <c r="K7" s="133">
        <f>'Sch 95'!K7</f>
        <v>0</v>
      </c>
      <c r="L7" s="133" t="str">
        <f>'Sch 95'!L7</f>
        <v>Annual Delivered KWh</v>
      </c>
      <c r="M7" s="133" t="str">
        <f>'Sch 95'!M7</f>
        <v>Rates Effective January 2026</v>
      </c>
      <c r="N7" s="133" t="str">
        <f>'Sch 95'!N7</f>
        <v>Annual Delivered $</v>
      </c>
    </row>
    <row r="8" spans="1:14">
      <c r="A8" s="2">
        <v>1</v>
      </c>
      <c r="B8" s="132" t="str">
        <f>'Sch 95'!B8</f>
        <v xml:space="preserve"> 7 (307) (317) (327)</v>
      </c>
      <c r="D8" s="116">
        <v>11278205851.395367</v>
      </c>
      <c r="E8" s="129">
        <v>-7.5339999999999999E-3</v>
      </c>
      <c r="F8" s="12">
        <f>D8*E8</f>
        <v>-84970002.884412691</v>
      </c>
      <c r="H8" s="4">
        <f>D8</f>
        <v>11278205851.395367</v>
      </c>
      <c r="I8" s="11">
        <f>E8</f>
        <v>-7.5339999999999999E-3</v>
      </c>
      <c r="J8" s="12">
        <f>H8*I8</f>
        <v>-84970002.884412691</v>
      </c>
      <c r="K8" s="12"/>
      <c r="L8" s="116">
        <v>11447649239.713972</v>
      </c>
      <c r="M8" s="11">
        <f>I8</f>
        <v>-7.5339999999999999E-3</v>
      </c>
      <c r="N8" s="12">
        <f>L8*M8</f>
        <v>-86246589.37200506</v>
      </c>
    </row>
    <row r="9" spans="1:14">
      <c r="A9" s="2">
        <f t="shared" ref="A9:A42" si="0">+A8+1</f>
        <v>2</v>
      </c>
      <c r="B9" s="132" t="str">
        <f>'Sch 95'!B9</f>
        <v xml:space="preserve">7A </v>
      </c>
      <c r="D9" s="116">
        <v>2499149.8928571432</v>
      </c>
      <c r="E9" s="130">
        <f>$E$8</f>
        <v>-7.5339999999999999E-3</v>
      </c>
      <c r="F9" s="12">
        <f>D9*E9</f>
        <v>-18828.595292785718</v>
      </c>
      <c r="H9" s="4">
        <f>D9</f>
        <v>2499149.8928571432</v>
      </c>
      <c r="I9" s="11">
        <f>E9</f>
        <v>-7.5339999999999999E-3</v>
      </c>
      <c r="J9" s="12">
        <f>H9*I9</f>
        <v>-18828.595292785718</v>
      </c>
      <c r="K9" s="12"/>
      <c r="L9" s="116">
        <v>2499149.8928571432</v>
      </c>
      <c r="M9" s="11">
        <f>I9</f>
        <v>-7.5339999999999999E-3</v>
      </c>
      <c r="N9" s="12">
        <f>L9*M9</f>
        <v>-18828.595292785718</v>
      </c>
    </row>
    <row r="10" spans="1:14">
      <c r="A10" s="2">
        <f t="shared" si="0"/>
        <v>3</v>
      </c>
      <c r="B10" s="2"/>
      <c r="C10" s="3" t="s">
        <v>4</v>
      </c>
      <c r="D10" s="6">
        <f>SUM(D8:D9)</f>
        <v>11280705001.288223</v>
      </c>
      <c r="E10" s="130" t="s">
        <v>276</v>
      </c>
      <c r="F10" s="13">
        <f t="shared" ref="F10" si="1">SUM(F8:F9)</f>
        <v>-84988831.479705483</v>
      </c>
      <c r="H10" s="6">
        <f>SUM(H8:H9)</f>
        <v>11280705001.288223</v>
      </c>
      <c r="I10" s="11"/>
      <c r="J10" s="13">
        <f t="shared" ref="J10" si="2">SUM(J8:J9)</f>
        <v>-84988831.479705483</v>
      </c>
      <c r="K10" s="12"/>
      <c r="L10" s="6">
        <f>SUM(L8:L9)</f>
        <v>11450148389.606829</v>
      </c>
      <c r="M10" s="11"/>
      <c r="N10" s="13">
        <f t="shared" ref="N10" si="3">SUM(N8:N9)</f>
        <v>-86265417.967297852</v>
      </c>
    </row>
    <row r="11" spans="1:14">
      <c r="A11" s="2">
        <f t="shared" si="0"/>
        <v>4</v>
      </c>
      <c r="B11" s="2"/>
      <c r="D11" s="4"/>
      <c r="E11" s="130"/>
      <c r="F11" s="12"/>
      <c r="H11" s="4"/>
      <c r="I11" s="11"/>
      <c r="J11" s="12"/>
      <c r="K11" s="12"/>
      <c r="L11" s="4"/>
      <c r="M11" s="11"/>
      <c r="N11" s="12"/>
    </row>
    <row r="12" spans="1:14">
      <c r="A12" s="2">
        <f t="shared" si="0"/>
        <v>5</v>
      </c>
      <c r="B12" s="132">
        <f>'Sch 95'!B12</f>
        <v>8</v>
      </c>
      <c r="D12" s="116">
        <v>255563155.48724547</v>
      </c>
      <c r="E12" s="130">
        <f>$E$8</f>
        <v>-7.5339999999999999E-3</v>
      </c>
      <c r="F12" s="12">
        <f t="shared" ref="F12:F18" si="4">D12*E12</f>
        <v>-1925412.8134409073</v>
      </c>
      <c r="H12" s="4">
        <f>D12</f>
        <v>255563155.48724547</v>
      </c>
      <c r="I12" s="11">
        <f t="shared" ref="I12:I18" si="5">E12</f>
        <v>-7.5339999999999999E-3</v>
      </c>
      <c r="J12" s="12">
        <f t="shared" ref="J12:J18" si="6">H12*I12</f>
        <v>-1925412.8134409073</v>
      </c>
      <c r="K12" s="12"/>
      <c r="L12" s="116">
        <v>254219756.30708286</v>
      </c>
      <c r="M12" s="11">
        <f t="shared" ref="M12:M18" si="7">I12</f>
        <v>-7.5339999999999999E-3</v>
      </c>
      <c r="N12" s="12">
        <f t="shared" ref="N12:N18" si="8">L12*M12</f>
        <v>-1915291.6440175623</v>
      </c>
    </row>
    <row r="13" spans="1:14">
      <c r="A13" s="2">
        <f t="shared" si="0"/>
        <v>6</v>
      </c>
      <c r="B13" s="132" t="str">
        <f>'Sch 95'!B13</f>
        <v>24 (324)</v>
      </c>
      <c r="D13" s="116"/>
      <c r="E13" s="130"/>
      <c r="F13" s="12">
        <f t="shared" si="4"/>
        <v>0</v>
      </c>
      <c r="H13" s="4">
        <f>D13</f>
        <v>0</v>
      </c>
      <c r="I13" s="11">
        <f t="shared" si="5"/>
        <v>0</v>
      </c>
      <c r="J13" s="12">
        <f t="shared" si="6"/>
        <v>0</v>
      </c>
      <c r="K13" s="12"/>
      <c r="L13" s="116"/>
      <c r="M13" s="11">
        <f t="shared" si="7"/>
        <v>0</v>
      </c>
      <c r="N13" s="12">
        <f t="shared" si="8"/>
        <v>0</v>
      </c>
    </row>
    <row r="14" spans="1:14">
      <c r="A14" s="2">
        <f t="shared" si="0"/>
        <v>7</v>
      </c>
      <c r="B14" s="132">
        <f>'Sch 95'!B14</f>
        <v>11</v>
      </c>
      <c r="D14" s="116">
        <v>131826547.02674414</v>
      </c>
      <c r="E14" s="130">
        <f>$E$8</f>
        <v>-7.5339999999999999E-3</v>
      </c>
      <c r="F14" s="12">
        <f t="shared" si="4"/>
        <v>-993181.20529949036</v>
      </c>
      <c r="H14" s="4">
        <f t="shared" ref="H14:H18" si="9">D14</f>
        <v>131826547.02674414</v>
      </c>
      <c r="I14" s="11">
        <f t="shared" si="5"/>
        <v>-7.5339999999999999E-3</v>
      </c>
      <c r="J14" s="12">
        <f t="shared" si="6"/>
        <v>-993181.20529949036</v>
      </c>
      <c r="K14" s="12"/>
      <c r="L14" s="116">
        <v>131545302.91167332</v>
      </c>
      <c r="M14" s="11">
        <f t="shared" si="7"/>
        <v>-7.5339999999999999E-3</v>
      </c>
      <c r="N14" s="12">
        <f t="shared" si="8"/>
        <v>-991062.31213654683</v>
      </c>
    </row>
    <row r="15" spans="1:14">
      <c r="A15" s="2">
        <f t="shared" si="0"/>
        <v>8</v>
      </c>
      <c r="B15" s="132">
        <f>'Sch 95'!B15</f>
        <v>25</v>
      </c>
      <c r="D15" s="116"/>
      <c r="E15" s="130"/>
      <c r="F15" s="12">
        <f t="shared" si="4"/>
        <v>0</v>
      </c>
      <c r="H15" s="4">
        <f t="shared" si="9"/>
        <v>0</v>
      </c>
      <c r="I15" s="11">
        <f t="shared" si="5"/>
        <v>0</v>
      </c>
      <c r="J15" s="12">
        <f t="shared" si="6"/>
        <v>0</v>
      </c>
      <c r="K15" s="12"/>
      <c r="L15" s="116"/>
      <c r="M15" s="11">
        <f t="shared" si="7"/>
        <v>0</v>
      </c>
      <c r="N15" s="12">
        <f t="shared" si="8"/>
        <v>0</v>
      </c>
    </row>
    <row r="16" spans="1:14">
      <c r="A16" s="2">
        <f t="shared" si="0"/>
        <v>9</v>
      </c>
      <c r="B16" s="132">
        <f>'Sch 95'!B16</f>
        <v>12</v>
      </c>
      <c r="D16" s="116">
        <v>16673418.74944664</v>
      </c>
      <c r="E16" s="130">
        <f>$E$8</f>
        <v>-7.5339999999999999E-3</v>
      </c>
      <c r="F16" s="12">
        <f t="shared" si="4"/>
        <v>-125617.53685833098</v>
      </c>
      <c r="H16" s="4">
        <f t="shared" si="9"/>
        <v>16673418.74944664</v>
      </c>
      <c r="I16" s="11">
        <f t="shared" si="5"/>
        <v>-7.5339999999999999E-3</v>
      </c>
      <c r="J16" s="12">
        <f t="shared" si="6"/>
        <v>-125617.53685833098</v>
      </c>
      <c r="K16" s="12"/>
      <c r="L16" s="116">
        <v>16443466.644561742</v>
      </c>
      <c r="M16" s="11">
        <f t="shared" si="7"/>
        <v>-7.5339999999999999E-3</v>
      </c>
      <c r="N16" s="12">
        <f t="shared" si="8"/>
        <v>-123885.07770012815</v>
      </c>
    </row>
    <row r="17" spans="1:14">
      <c r="A17" s="2">
        <f t="shared" si="0"/>
        <v>10</v>
      </c>
      <c r="B17" s="132" t="str">
        <f>'Sch 95'!B17</f>
        <v>26 &amp; 26P</v>
      </c>
      <c r="D17" s="116"/>
      <c r="E17" s="130"/>
      <c r="F17" s="12">
        <f t="shared" si="4"/>
        <v>0</v>
      </c>
      <c r="H17" s="4">
        <f t="shared" si="9"/>
        <v>0</v>
      </c>
      <c r="I17" s="11">
        <f t="shared" si="5"/>
        <v>0</v>
      </c>
      <c r="J17" s="12">
        <f t="shared" si="6"/>
        <v>0</v>
      </c>
      <c r="K17" s="12"/>
      <c r="L17" s="116"/>
      <c r="M17" s="11">
        <f t="shared" si="7"/>
        <v>0</v>
      </c>
      <c r="N17" s="12">
        <f t="shared" si="8"/>
        <v>0</v>
      </c>
    </row>
    <row r="18" spans="1:14">
      <c r="A18" s="2">
        <f t="shared" si="0"/>
        <v>11</v>
      </c>
      <c r="B18" s="132">
        <f>'Sch 95'!B18</f>
        <v>29</v>
      </c>
      <c r="D18" s="116">
        <v>14930059.630887466</v>
      </c>
      <c r="E18" s="130">
        <f>$E$8</f>
        <v>-7.5339999999999999E-3</v>
      </c>
      <c r="F18" s="12">
        <f t="shared" si="4"/>
        <v>-112483.06925910617</v>
      </c>
      <c r="H18" s="4">
        <f t="shared" si="9"/>
        <v>14930059.630887466</v>
      </c>
      <c r="I18" s="11">
        <f t="shared" si="5"/>
        <v>-7.5339999999999999E-3</v>
      </c>
      <c r="J18" s="12">
        <f t="shared" si="6"/>
        <v>-112483.06925910617</v>
      </c>
      <c r="K18" s="12"/>
      <c r="L18" s="116">
        <v>14843026.361509494</v>
      </c>
      <c r="M18" s="11">
        <f t="shared" si="7"/>
        <v>-7.5339999999999999E-3</v>
      </c>
      <c r="N18" s="12">
        <f t="shared" si="8"/>
        <v>-111827.36060761253</v>
      </c>
    </row>
    <row r="19" spans="1:14">
      <c r="A19" s="2">
        <f t="shared" si="0"/>
        <v>12</v>
      </c>
      <c r="B19" s="2"/>
      <c r="C19" s="7" t="s">
        <v>6</v>
      </c>
      <c r="D19" s="6">
        <f>SUM(D12:D18)</f>
        <v>418993180.89432371</v>
      </c>
      <c r="E19" s="130"/>
      <c r="F19" s="13">
        <f t="shared" ref="F19" si="10">SUM(F12:F18)</f>
        <v>-3156694.624857835</v>
      </c>
      <c r="H19" s="6">
        <f>SUM(H12:H18)</f>
        <v>418993180.89432371</v>
      </c>
      <c r="I19" s="11"/>
      <c r="J19" s="13">
        <f t="shared" ref="J19" si="11">SUM(J12:J18)</f>
        <v>-3156694.624857835</v>
      </c>
      <c r="K19" s="12"/>
      <c r="L19" s="6">
        <f>SUM(L12:L18)</f>
        <v>417051552.22482747</v>
      </c>
      <c r="M19" s="11"/>
      <c r="N19" s="13">
        <f t="shared" ref="N19" si="12">SUM(N12:N18)</f>
        <v>-3142066.3944618497</v>
      </c>
    </row>
    <row r="20" spans="1:14">
      <c r="A20" s="2">
        <f t="shared" si="0"/>
        <v>13</v>
      </c>
      <c r="B20" s="2"/>
      <c r="D20" s="4"/>
      <c r="E20" s="130"/>
      <c r="F20" s="12"/>
      <c r="H20" s="4"/>
      <c r="I20" s="11"/>
      <c r="J20" s="12"/>
      <c r="K20" s="12"/>
      <c r="L20" s="4"/>
      <c r="M20" s="11"/>
      <c r="N20" s="12"/>
    </row>
    <row r="21" spans="1:14">
      <c r="A21" s="2">
        <f t="shared" si="0"/>
        <v>14</v>
      </c>
      <c r="B21" s="132">
        <f>'Sch 95'!B21</f>
        <v>10</v>
      </c>
      <c r="D21" s="116">
        <v>23337498.154354464</v>
      </c>
      <c r="E21" s="130">
        <f>$E$8</f>
        <v>-7.5339999999999999E-3</v>
      </c>
      <c r="F21" s="12">
        <f t="shared" ref="F21:F24" si="13">D21*E21</f>
        <v>-175824.71109490652</v>
      </c>
      <c r="H21" s="4">
        <f t="shared" ref="H21:I24" si="14">D21</f>
        <v>23337498.154354464</v>
      </c>
      <c r="I21" s="11">
        <f t="shared" si="14"/>
        <v>-7.5339999999999999E-3</v>
      </c>
      <c r="J21" s="12">
        <f t="shared" ref="J21:J24" si="15">H21*I21</f>
        <v>-175824.71109490652</v>
      </c>
      <c r="K21" s="12"/>
      <c r="L21" s="116">
        <v>23020674.115198232</v>
      </c>
      <c r="M21" s="11">
        <f t="shared" ref="M21:M24" si="16">I21</f>
        <v>-7.5339999999999999E-3</v>
      </c>
      <c r="N21" s="12">
        <f t="shared" ref="N21:N24" si="17">L21*M21</f>
        <v>-173437.75878390347</v>
      </c>
    </row>
    <row r="22" spans="1:14">
      <c r="A22" s="2">
        <f t="shared" si="0"/>
        <v>15</v>
      </c>
      <c r="B22" s="132">
        <f>'Sch 95'!B22</f>
        <v>31</v>
      </c>
      <c r="D22" s="116"/>
      <c r="E22" s="130"/>
      <c r="F22" s="12">
        <f t="shared" si="13"/>
        <v>0</v>
      </c>
      <c r="H22" s="4">
        <f t="shared" si="14"/>
        <v>0</v>
      </c>
      <c r="I22" s="11">
        <f t="shared" si="14"/>
        <v>0</v>
      </c>
      <c r="J22" s="12">
        <f t="shared" si="15"/>
        <v>0</v>
      </c>
      <c r="K22" s="12"/>
      <c r="L22" s="116"/>
      <c r="M22" s="11">
        <f t="shared" si="16"/>
        <v>0</v>
      </c>
      <c r="N22" s="12">
        <f t="shared" si="17"/>
        <v>0</v>
      </c>
    </row>
    <row r="23" spans="1:14">
      <c r="A23" s="2">
        <f t="shared" si="0"/>
        <v>16</v>
      </c>
      <c r="B23" s="132">
        <f>'Sch 95'!B23</f>
        <v>35</v>
      </c>
      <c r="D23" s="116">
        <v>4407260.1568774413</v>
      </c>
      <c r="E23" s="130">
        <f>$E$8</f>
        <v>-7.5339999999999999E-3</v>
      </c>
      <c r="F23" s="12">
        <f t="shared" si="13"/>
        <v>-33204.298021914641</v>
      </c>
      <c r="H23" s="4">
        <f t="shared" si="14"/>
        <v>4407260.1568774413</v>
      </c>
      <c r="I23" s="11">
        <f t="shared" si="14"/>
        <v>-7.5339999999999999E-3</v>
      </c>
      <c r="J23" s="12">
        <f t="shared" si="15"/>
        <v>-33204.298021914641</v>
      </c>
      <c r="K23" s="12"/>
      <c r="L23" s="116">
        <v>4380281.1514552524</v>
      </c>
      <c r="M23" s="11">
        <f t="shared" si="16"/>
        <v>-7.5339999999999999E-3</v>
      </c>
      <c r="N23" s="12">
        <f t="shared" si="17"/>
        <v>-33001.038195063869</v>
      </c>
    </row>
    <row r="24" spans="1:14">
      <c r="A24" s="2">
        <f t="shared" si="0"/>
        <v>17</v>
      </c>
      <c r="B24" s="132">
        <f>'Sch 95'!B24</f>
        <v>43</v>
      </c>
      <c r="D24" s="116"/>
      <c r="E24" s="130"/>
      <c r="F24" s="12">
        <f t="shared" si="13"/>
        <v>0</v>
      </c>
      <c r="H24" s="4">
        <f t="shared" si="14"/>
        <v>0</v>
      </c>
      <c r="I24" s="11">
        <f t="shared" si="14"/>
        <v>0</v>
      </c>
      <c r="J24" s="12">
        <f t="shared" si="15"/>
        <v>0</v>
      </c>
      <c r="K24" s="12"/>
      <c r="L24" s="116"/>
      <c r="M24" s="11">
        <f t="shared" si="16"/>
        <v>0</v>
      </c>
      <c r="N24" s="12">
        <f t="shared" si="17"/>
        <v>0</v>
      </c>
    </row>
    <row r="25" spans="1:14">
      <c r="A25" s="2">
        <f t="shared" si="0"/>
        <v>18</v>
      </c>
      <c r="B25" s="2"/>
      <c r="C25" s="3" t="s">
        <v>7</v>
      </c>
      <c r="D25" s="6">
        <f>SUM(D21:D24)</f>
        <v>27744758.311231904</v>
      </c>
      <c r="E25" s="130"/>
      <c r="F25" s="13">
        <f t="shared" ref="F25" si="18">SUM(F21:F24)</f>
        <v>-209029.00911682117</v>
      </c>
      <c r="H25" s="6">
        <f>SUM(H21:H24)</f>
        <v>27744758.311231904</v>
      </c>
      <c r="I25" s="11"/>
      <c r="J25" s="13">
        <f t="shared" ref="J25" si="19">SUM(J21:J24)</f>
        <v>-209029.00911682117</v>
      </c>
      <c r="K25" s="12"/>
      <c r="L25" s="6">
        <f>SUM(L21:L24)</f>
        <v>27400955.266653486</v>
      </c>
      <c r="M25" s="11"/>
      <c r="N25" s="13">
        <f t="shared" ref="N25" si="20">SUM(N21:N24)</f>
        <v>-206438.79697896732</v>
      </c>
    </row>
    <row r="26" spans="1:14">
      <c r="A26" s="2">
        <f t="shared" si="0"/>
        <v>19</v>
      </c>
      <c r="B26" s="2"/>
      <c r="D26" s="4"/>
      <c r="E26" s="130"/>
      <c r="F26" s="12"/>
      <c r="H26" s="4"/>
      <c r="I26" s="11"/>
      <c r="J26" s="12"/>
      <c r="K26" s="12"/>
      <c r="L26" s="4"/>
      <c r="M26" s="11"/>
      <c r="N26" s="12"/>
    </row>
    <row r="27" spans="1:14">
      <c r="A27" s="2">
        <f t="shared" si="0"/>
        <v>20</v>
      </c>
      <c r="B27" s="132">
        <f>'Sch 95'!B27</f>
        <v>46</v>
      </c>
      <c r="D27" s="116"/>
      <c r="E27" s="130"/>
      <c r="F27" s="12">
        <f t="shared" ref="F27:F28" si="21">D27*E27</f>
        <v>0</v>
      </c>
      <c r="H27" s="4">
        <f t="shared" ref="H27:I28" si="22">D27</f>
        <v>0</v>
      </c>
      <c r="I27" s="11">
        <f t="shared" si="22"/>
        <v>0</v>
      </c>
      <c r="J27" s="12">
        <f t="shared" ref="J27:J28" si="23">H27*I27</f>
        <v>0</v>
      </c>
      <c r="K27" s="12"/>
      <c r="L27" s="116"/>
      <c r="M27" s="11">
        <f t="shared" ref="M27:M28" si="24">I27</f>
        <v>0</v>
      </c>
      <c r="N27" s="12">
        <f t="shared" ref="N27:N28" si="25">L27*M27</f>
        <v>0</v>
      </c>
    </row>
    <row r="28" spans="1:14">
      <c r="A28" s="2">
        <f t="shared" si="0"/>
        <v>21</v>
      </c>
      <c r="B28" s="132">
        <f>'Sch 95'!B28</f>
        <v>49</v>
      </c>
      <c r="D28" s="116"/>
      <c r="E28" s="130"/>
      <c r="F28" s="12">
        <f t="shared" si="21"/>
        <v>0</v>
      </c>
      <c r="H28" s="4">
        <f t="shared" si="22"/>
        <v>0</v>
      </c>
      <c r="I28" s="11">
        <f t="shared" si="22"/>
        <v>0</v>
      </c>
      <c r="J28" s="12">
        <f t="shared" si="23"/>
        <v>0</v>
      </c>
      <c r="K28" s="12"/>
      <c r="L28" s="116"/>
      <c r="M28" s="11">
        <f t="shared" si="24"/>
        <v>0</v>
      </c>
      <c r="N28" s="12">
        <f t="shared" si="25"/>
        <v>0</v>
      </c>
    </row>
    <row r="29" spans="1:14">
      <c r="A29" s="2">
        <f t="shared" si="0"/>
        <v>22</v>
      </c>
      <c r="B29" s="2"/>
      <c r="C29" s="3" t="s">
        <v>8</v>
      </c>
      <c r="D29" s="6">
        <f>SUM(D27:D28)</f>
        <v>0</v>
      </c>
      <c r="E29" s="130"/>
      <c r="F29" s="13">
        <f t="shared" ref="F29" si="26">SUM(F27:F28)</f>
        <v>0</v>
      </c>
      <c r="H29" s="6">
        <f>SUM(H27:H28)</f>
        <v>0</v>
      </c>
      <c r="I29" s="11"/>
      <c r="J29" s="13">
        <f t="shared" ref="J29" si="27">SUM(J27:J28)</f>
        <v>0</v>
      </c>
      <c r="K29" s="12"/>
      <c r="L29" s="6">
        <f>SUM(L27:L28)</f>
        <v>0</v>
      </c>
      <c r="M29" s="11"/>
      <c r="N29" s="13">
        <f t="shared" ref="N29" si="28">SUM(N27:N28)</f>
        <v>0</v>
      </c>
    </row>
    <row r="30" spans="1:14">
      <c r="A30" s="2">
        <f t="shared" si="0"/>
        <v>23</v>
      </c>
      <c r="B30" s="2"/>
      <c r="D30" s="4"/>
      <c r="E30" s="130"/>
      <c r="F30" s="12"/>
      <c r="H30" s="4"/>
      <c r="I30" s="11"/>
      <c r="J30" s="12"/>
      <c r="K30" s="12"/>
      <c r="L30" s="4"/>
      <c r="M30" s="11"/>
      <c r="N30" s="12"/>
    </row>
    <row r="31" spans="1:14">
      <c r="A31" s="2">
        <f t="shared" si="0"/>
        <v>24</v>
      </c>
      <c r="B31" s="107" t="s">
        <v>275</v>
      </c>
      <c r="D31" s="122">
        <v>1723083.3619833291</v>
      </c>
      <c r="E31" s="130">
        <f>$E$8</f>
        <v>-7.5339999999999999E-3</v>
      </c>
      <c r="F31" s="13">
        <f>D31*E31</f>
        <v>-12981.7100491824</v>
      </c>
      <c r="H31" s="6">
        <f>D31</f>
        <v>1723083.3619833291</v>
      </c>
      <c r="I31" s="11">
        <f>E31</f>
        <v>-7.5339999999999999E-3</v>
      </c>
      <c r="J31" s="13">
        <f>H31*I31</f>
        <v>-12981.7100491824</v>
      </c>
      <c r="K31" s="12"/>
      <c r="L31" s="122">
        <v>1695262.0564906732</v>
      </c>
      <c r="M31" s="11">
        <f>I31</f>
        <v>-7.5339999999999999E-3</v>
      </c>
      <c r="N31" s="13">
        <f>L31*M31</f>
        <v>-12772.104333600731</v>
      </c>
    </row>
    <row r="32" spans="1:14">
      <c r="A32" s="2">
        <f t="shared" si="0"/>
        <v>25</v>
      </c>
      <c r="B32" s="132" t="str">
        <f>'Sch 95'!B31</f>
        <v>03, 50-59</v>
      </c>
      <c r="D32" s="122"/>
      <c r="E32" s="130"/>
      <c r="F32" s="13">
        <f>ROUND(D32*E32,0)</f>
        <v>0</v>
      </c>
      <c r="H32" s="6">
        <f>D32</f>
        <v>0</v>
      </c>
      <c r="I32" s="11"/>
      <c r="J32" s="13">
        <f>ROUND(H32*I32,0)</f>
        <v>0</v>
      </c>
      <c r="K32" s="12"/>
      <c r="L32" s="122"/>
      <c r="M32" s="11"/>
      <c r="N32" s="13">
        <f>ROUND(L32*M32,0)</f>
        <v>0</v>
      </c>
    </row>
    <row r="33" spans="1:14">
      <c r="A33" s="2">
        <f t="shared" si="0"/>
        <v>26</v>
      </c>
      <c r="B33" s="2"/>
      <c r="D33" s="4"/>
      <c r="E33" s="11"/>
      <c r="F33" s="12"/>
      <c r="H33" s="4"/>
      <c r="I33" s="11"/>
      <c r="J33" s="12"/>
      <c r="K33" s="12"/>
      <c r="L33" s="4"/>
      <c r="M33" s="11"/>
      <c r="N33" s="12"/>
    </row>
    <row r="34" spans="1:14">
      <c r="A34" s="2">
        <f t="shared" si="0"/>
        <v>27</v>
      </c>
      <c r="B34" s="132" t="str">
        <f>'Sch 95'!B33</f>
        <v>449-459</v>
      </c>
      <c r="D34" s="116"/>
      <c r="E34" s="130"/>
      <c r="F34" s="12">
        <f t="shared" ref="F34:F35" si="29">D34*E34</f>
        <v>0</v>
      </c>
      <c r="H34" s="4">
        <f t="shared" ref="H34:H35" si="30">D34</f>
        <v>0</v>
      </c>
      <c r="I34" s="11"/>
      <c r="J34" s="12">
        <f t="shared" ref="J34:J35" si="31">H34*I34</f>
        <v>0</v>
      </c>
      <c r="K34" s="12"/>
      <c r="L34" s="116"/>
      <c r="M34" s="11"/>
      <c r="N34" s="12">
        <f t="shared" ref="N34:N35" si="32">L34*M34</f>
        <v>0</v>
      </c>
    </row>
    <row r="35" spans="1:14">
      <c r="A35" s="2">
        <f t="shared" si="0"/>
        <v>28</v>
      </c>
      <c r="B35" s="132" t="str">
        <f>'Sch 95'!B34</f>
        <v>Special Contract</v>
      </c>
      <c r="D35" s="116"/>
      <c r="E35" s="130"/>
      <c r="F35" s="12">
        <f t="shared" si="29"/>
        <v>0</v>
      </c>
      <c r="H35" s="4">
        <f t="shared" si="30"/>
        <v>0</v>
      </c>
      <c r="I35" s="11"/>
      <c r="J35" s="12">
        <f t="shared" si="31"/>
        <v>0</v>
      </c>
      <c r="K35" s="12"/>
      <c r="L35" s="116"/>
      <c r="M35" s="11"/>
      <c r="N35" s="12">
        <f t="shared" si="32"/>
        <v>0</v>
      </c>
    </row>
    <row r="36" spans="1:14">
      <c r="A36" s="2">
        <f t="shared" si="0"/>
        <v>29</v>
      </c>
      <c r="B36" s="5"/>
      <c r="C36" s="3" t="s">
        <v>77</v>
      </c>
      <c r="D36" s="6">
        <f>SUM(D34:D35)</f>
        <v>0</v>
      </c>
      <c r="E36" s="11"/>
      <c r="F36" s="13">
        <f t="shared" ref="F36" si="33">SUM(F34:F35)</f>
        <v>0</v>
      </c>
      <c r="H36" s="6">
        <f>SUM(H34:H35)</f>
        <v>0</v>
      </c>
      <c r="J36" s="13">
        <f t="shared" ref="J36" si="34">SUM(J34:J35)</f>
        <v>0</v>
      </c>
      <c r="K36" s="12"/>
      <c r="L36" s="6">
        <f>SUM(L34:L35)</f>
        <v>0</v>
      </c>
      <c r="N36" s="13">
        <f t="shared" ref="N36" si="35">SUM(N34:N35)</f>
        <v>0</v>
      </c>
    </row>
    <row r="37" spans="1:14">
      <c r="A37" s="2">
        <f t="shared" si="0"/>
        <v>30</v>
      </c>
      <c r="B37" s="2"/>
      <c r="D37" s="4"/>
      <c r="E37" s="11"/>
      <c r="F37" s="12"/>
      <c r="H37" s="4"/>
      <c r="J37" s="12"/>
      <c r="K37" s="12"/>
      <c r="L37" s="4"/>
      <c r="N37" s="12"/>
    </row>
    <row r="38" spans="1:14" ht="12" thickBot="1">
      <c r="A38" s="2">
        <f t="shared" si="0"/>
        <v>31</v>
      </c>
      <c r="B38" s="2"/>
      <c r="C38" s="7" t="s">
        <v>15</v>
      </c>
      <c r="D38" s="8">
        <f>SUM(D10,D19,D25,D29,D32,D31,D36)</f>
        <v>11729166023.855762</v>
      </c>
      <c r="E38" s="11"/>
      <c r="F38" s="14">
        <f>SUM(F10,F19,F25,F29,F32,F31,F36)</f>
        <v>-88367536.823729321</v>
      </c>
      <c r="H38" s="8">
        <f>SUM(H10,H19,H25,H29,H32,H31,H36)</f>
        <v>11729166023.855762</v>
      </c>
      <c r="J38" s="14">
        <f>SUM(J10,J19,J25,J29,J32,J31,J36)</f>
        <v>-88367536.823729321</v>
      </c>
      <c r="K38" s="12"/>
      <c r="L38" s="8">
        <f>SUM(L10,L19,L25,L29,L32,L31,L36)</f>
        <v>11896296159.154799</v>
      </c>
      <c r="N38" s="14">
        <f>SUM(N10,N19,N25,N29,N32,N31,N36)</f>
        <v>-89626695.263072267</v>
      </c>
    </row>
    <row r="39" spans="1:14" ht="12" thickTop="1">
      <c r="A39" s="2">
        <f t="shared" si="0"/>
        <v>32</v>
      </c>
      <c r="B39" s="2"/>
      <c r="E39" s="11"/>
      <c r="F39" s="12"/>
      <c r="J39" s="12"/>
      <c r="K39" s="12"/>
      <c r="N39" s="12"/>
    </row>
    <row r="40" spans="1:14">
      <c r="A40" s="2">
        <f t="shared" si="0"/>
        <v>33</v>
      </c>
      <c r="B40" s="132">
        <f>'Sch 95'!B39</f>
        <v>5</v>
      </c>
      <c r="C40" s="3" t="s">
        <v>16</v>
      </c>
      <c r="D40" s="122"/>
      <c r="E40" s="130"/>
      <c r="F40" s="13">
        <f>D40*E40</f>
        <v>0</v>
      </c>
      <c r="H40" s="6">
        <f>D40</f>
        <v>0</v>
      </c>
      <c r="I40" s="11"/>
      <c r="J40" s="13">
        <f>H40*I40</f>
        <v>0</v>
      </c>
      <c r="K40" s="12"/>
      <c r="L40" s="122"/>
      <c r="M40" s="11"/>
      <c r="N40" s="13">
        <f>L40*M40</f>
        <v>0</v>
      </c>
    </row>
    <row r="41" spans="1:14">
      <c r="A41" s="2">
        <f t="shared" si="0"/>
        <v>34</v>
      </c>
      <c r="B41" s="2"/>
      <c r="E41" s="11"/>
      <c r="F41" s="12"/>
      <c r="J41" s="12"/>
      <c r="K41" s="12"/>
      <c r="N41" s="12"/>
    </row>
    <row r="42" spans="1:14" ht="12" thickBot="1">
      <c r="A42" s="2">
        <f t="shared" si="0"/>
        <v>35</v>
      </c>
      <c r="B42" s="2"/>
      <c r="C42" s="110" t="s">
        <v>17</v>
      </c>
      <c r="D42" s="111">
        <f>SUM(D38,D40)</f>
        <v>11729166023.855762</v>
      </c>
      <c r="E42" s="112"/>
      <c r="F42" s="113">
        <f>SUM(F38,F40)</f>
        <v>-88367536.823729321</v>
      </c>
      <c r="G42" s="15"/>
      <c r="H42" s="111">
        <f>SUM(H38,H40)</f>
        <v>11729166023.855762</v>
      </c>
      <c r="I42" s="15"/>
      <c r="J42" s="113">
        <f>SUM(J38,J40)</f>
        <v>-88367536.823729321</v>
      </c>
      <c r="K42" s="114"/>
      <c r="L42" s="111">
        <f>SUM(L38,L40)</f>
        <v>11896296159.154799</v>
      </c>
      <c r="M42" s="15"/>
      <c r="N42" s="113">
        <f>SUM(N38,N40)</f>
        <v>-89626695.263072267</v>
      </c>
    </row>
    <row r="43" spans="1:14" ht="12" thickTop="1">
      <c r="D43" s="123">
        <v>11729166023.855766</v>
      </c>
      <c r="H43" s="162">
        <f>D42</f>
        <v>11729166023.855762</v>
      </c>
      <c r="L43" s="123">
        <v>11896296159.154802</v>
      </c>
    </row>
    <row r="44" spans="1:14">
      <c r="C44" s="17" t="s">
        <v>168</v>
      </c>
      <c r="D44" s="124">
        <f>D42-D43</f>
        <v>0</v>
      </c>
      <c r="H44" s="124">
        <f>H42-H43</f>
        <v>0</v>
      </c>
      <c r="L44" s="124">
        <f>L42-L43</f>
        <v>0</v>
      </c>
    </row>
    <row r="45" spans="1:14">
      <c r="L45" s="4"/>
    </row>
    <row r="46" spans="1:14">
      <c r="B46" s="3" t="s">
        <v>277</v>
      </c>
      <c r="C46" s="101"/>
    </row>
  </sheetData>
  <mergeCells count="7">
    <mergeCell ref="H6:J6"/>
    <mergeCell ref="L6:N6"/>
    <mergeCell ref="A1:N1"/>
    <mergeCell ref="A2:N2"/>
    <mergeCell ref="A3:N3"/>
    <mergeCell ref="A4:N4"/>
    <mergeCell ref="A5:E5"/>
  </mergeCells>
  <pageMargins left="0.7" right="0.7" top="0.75" bottom="0.75" header="0.3" footer="0.3"/>
  <pageSetup scale="81" orientation="landscape" horizontalDpi="360" verticalDpi="360" r:id="rId1"/>
  <headerFooter>
    <oddFooter>&amp;R&amp;F
&amp;A
&amp;P of &amp;N</oddFooter>
  </headerFooter>
  <customProperties>
    <customPr name="_pios_id" r:id="rId2"/>
  </customPropertie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theme="4" tint="0.39997558519241921"/>
    <pageSetUpPr fitToPage="1"/>
  </sheetPr>
  <dimension ref="A1:V45"/>
  <sheetViews>
    <sheetView workbookViewId="0">
      <pane ySplit="7" topLeftCell="A20" activePane="bottomLeft" state="frozen"/>
      <selection activeCell="U42" sqref="U42"/>
      <selection pane="bottomLeft" activeCell="U42" sqref="U42"/>
    </sheetView>
  </sheetViews>
  <sheetFormatPr defaultColWidth="8.85546875" defaultRowHeight="11.25"/>
  <cols>
    <col min="1" max="1" width="4.42578125" style="3" bestFit="1" customWidth="1"/>
    <col min="2" max="2" width="14.85546875" style="3" bestFit="1" customWidth="1"/>
    <col min="3" max="3" width="21.7109375" style="3" bestFit="1" customWidth="1"/>
    <col min="4" max="4" width="15.140625" style="3" bestFit="1" customWidth="1"/>
    <col min="5" max="5" width="15.140625" style="3" customWidth="1"/>
    <col min="6" max="6" width="11" style="3" customWidth="1"/>
    <col min="7" max="7" width="9.42578125" style="3" bestFit="1" customWidth="1"/>
    <col min="8" max="8" width="11.85546875" style="3" customWidth="1"/>
    <col min="9" max="9" width="0.85546875" style="3" customWidth="1"/>
    <col min="10" max="10" width="12.85546875" style="3" bestFit="1" customWidth="1"/>
    <col min="11" max="11" width="12.85546875" style="3" customWidth="1"/>
    <col min="12" max="12" width="9.42578125" style="3" bestFit="1" customWidth="1"/>
    <col min="13" max="13" width="9.42578125" style="3" customWidth="1"/>
    <col min="14" max="14" width="10.7109375" style="3" bestFit="1" customWidth="1"/>
    <col min="15" max="15" width="1" style="3" customWidth="1"/>
    <col min="16" max="16" width="12.85546875" style="3" bestFit="1" customWidth="1"/>
    <col min="17" max="17" width="12.85546875" style="3" customWidth="1"/>
    <col min="18" max="18" width="9.42578125" style="3" bestFit="1" customWidth="1"/>
    <col min="19" max="19" width="9.42578125" style="3" customWidth="1"/>
    <col min="20" max="20" width="15.7109375" style="3" bestFit="1" customWidth="1"/>
    <col min="21" max="21" width="8.85546875" style="3"/>
    <col min="22" max="22" width="9.85546875" style="3" bestFit="1" customWidth="1"/>
    <col min="23" max="16384" width="8.85546875" style="3"/>
  </cols>
  <sheetData>
    <row r="1" spans="1:22" s="15" customFormat="1" ht="12.75" customHeight="1">
      <c r="A1" s="459" t="str">
        <f>'Exh CTM-8 (Rate Impacts_RY#1)'!A1</f>
        <v>Puget Sound Energy</v>
      </c>
      <c r="B1" s="460"/>
      <c r="C1" s="460"/>
      <c r="D1" s="460"/>
      <c r="E1" s="460"/>
      <c r="F1" s="460"/>
      <c r="G1" s="460"/>
      <c r="H1" s="460"/>
      <c r="I1" s="460"/>
      <c r="J1" s="460"/>
      <c r="K1" s="460"/>
      <c r="L1" s="460"/>
      <c r="M1" s="460"/>
      <c r="N1" s="460"/>
      <c r="O1" s="460"/>
      <c r="P1" s="460"/>
      <c r="Q1" s="460"/>
      <c r="R1" s="460"/>
      <c r="S1" s="460"/>
      <c r="T1" s="460"/>
    </row>
    <row r="2" spans="1:22" s="15" customFormat="1" ht="12.75">
      <c r="A2" s="459" t="str">
        <f>'Exh CTM-8 (Rate Impacts_RY#1)'!A2</f>
        <v>2024 General Rate Case Docket No. UE-240004 and UG-240005</v>
      </c>
      <c r="B2" s="460"/>
      <c r="C2" s="460"/>
      <c r="D2" s="460"/>
      <c r="E2" s="460"/>
      <c r="F2" s="460"/>
      <c r="G2" s="460"/>
      <c r="H2" s="460"/>
      <c r="I2" s="460"/>
      <c r="J2" s="460"/>
      <c r="K2" s="460"/>
      <c r="L2" s="460"/>
      <c r="M2" s="460"/>
      <c r="N2" s="460"/>
      <c r="O2" s="460"/>
      <c r="P2" s="460"/>
      <c r="Q2" s="460"/>
      <c r="R2" s="460"/>
      <c r="S2" s="460"/>
      <c r="T2" s="460"/>
    </row>
    <row r="3" spans="1:22" s="15" customFormat="1" ht="12.75">
      <c r="A3" s="545" t="s">
        <v>305</v>
      </c>
      <c r="B3" s="470"/>
      <c r="C3" s="470"/>
      <c r="D3" s="470"/>
      <c r="E3" s="470"/>
      <c r="F3" s="470"/>
      <c r="G3" s="470"/>
      <c r="H3" s="471"/>
      <c r="I3" s="471"/>
      <c r="J3" s="471"/>
      <c r="K3" s="471"/>
      <c r="L3" s="471"/>
      <c r="M3" s="471"/>
      <c r="N3" s="471"/>
      <c r="O3" s="471"/>
      <c r="P3" s="471"/>
      <c r="Q3" s="471"/>
      <c r="R3" s="471"/>
      <c r="S3" s="471"/>
      <c r="T3" s="471"/>
    </row>
    <row r="4" spans="1:22" s="15" customFormat="1" ht="13.5" thickBot="1">
      <c r="A4" s="545" t="s">
        <v>177</v>
      </c>
      <c r="B4" s="470"/>
      <c r="C4" s="470"/>
      <c r="D4" s="470"/>
      <c r="E4" s="470"/>
      <c r="F4" s="470"/>
      <c r="G4" s="470"/>
      <c r="H4" s="471"/>
      <c r="I4" s="471"/>
      <c r="J4" s="471"/>
      <c r="K4" s="471"/>
      <c r="L4" s="471"/>
      <c r="M4" s="471"/>
      <c r="N4" s="471"/>
      <c r="O4" s="471"/>
      <c r="P4" s="471"/>
      <c r="Q4" s="471"/>
      <c r="R4" s="471"/>
      <c r="S4" s="471"/>
      <c r="T4" s="471"/>
    </row>
    <row r="5" spans="1:22" s="15" customFormat="1" ht="13.5" thickBot="1">
      <c r="A5" s="456"/>
      <c r="B5" s="456"/>
      <c r="C5" s="456"/>
      <c r="D5" s="456"/>
      <c r="E5" s="456"/>
      <c r="F5" s="456"/>
      <c r="G5" s="44"/>
      <c r="H5" s="44"/>
      <c r="P5" s="554" t="s">
        <v>306</v>
      </c>
      <c r="Q5" s="555"/>
      <c r="R5" s="555"/>
      <c r="S5" s="555"/>
      <c r="T5" s="556"/>
    </row>
    <row r="6" spans="1:22" s="15" customFormat="1" ht="12.75">
      <c r="A6" s="45"/>
      <c r="B6" s="44"/>
      <c r="C6" s="44"/>
      <c r="D6" s="44"/>
      <c r="E6" s="44"/>
      <c r="J6" s="546" t="str">
        <f>'Sch 95'!H6</f>
        <v>MYRP January 2025</v>
      </c>
      <c r="K6" s="553"/>
      <c r="L6" s="494"/>
      <c r="M6" s="494"/>
      <c r="N6" s="493"/>
      <c r="O6" s="132">
        <f>'Sch 95'!K6</f>
        <v>0</v>
      </c>
      <c r="P6" s="557" t="str">
        <f>'Sch 95'!L6</f>
        <v>MYRP January 2026</v>
      </c>
      <c r="Q6" s="551"/>
      <c r="R6" s="558"/>
      <c r="S6" s="558"/>
      <c r="T6" s="559"/>
    </row>
    <row r="7" spans="1:22" s="15" customFormat="1" ht="45">
      <c r="A7" s="97" t="s">
        <v>2</v>
      </c>
      <c r="B7" s="97" t="s">
        <v>3</v>
      </c>
      <c r="C7" s="97" t="s">
        <v>14</v>
      </c>
      <c r="D7" s="133" t="str">
        <f>'Sch 95'!D7</f>
        <v>12 months ending December 2025 F23 Forecast KWh</v>
      </c>
      <c r="E7" s="133" t="str">
        <f>'Sch 141CEI'!E7</f>
        <v>12 months ending December 2025 F23 Forecast KW/KVA</v>
      </c>
      <c r="F7" s="551" t="str">
        <f>'Sch 95'!E7</f>
        <v>Current Rates as of January 2024 (1)</v>
      </c>
      <c r="G7" s="552"/>
      <c r="H7" s="133" t="str">
        <f>'Sch 95'!F7</f>
        <v>Annual Delivered $</v>
      </c>
      <c r="I7" s="133">
        <f>'Sch 95'!G7</f>
        <v>0</v>
      </c>
      <c r="J7" s="133" t="str">
        <f>'Sch 95'!H7</f>
        <v>Annual Delivered KWh</v>
      </c>
      <c r="K7" s="133" t="str">
        <f>'Sch 141CEI'!K7</f>
        <v>Annual Delivered KW/Kva</v>
      </c>
      <c r="L7" s="553" t="str">
        <f>'Sch 95'!I7</f>
        <v>Rates Effective January 2025</v>
      </c>
      <c r="M7" s="494"/>
      <c r="N7" s="133" t="str">
        <f>'Sch 95'!J7</f>
        <v>Annual Delivered $</v>
      </c>
      <c r="O7" s="133">
        <f>'Sch 95'!K7</f>
        <v>0</v>
      </c>
      <c r="P7" s="133" t="str">
        <f>'Sch 95'!L7</f>
        <v>Annual Delivered KWh</v>
      </c>
      <c r="Q7" s="97" t="str">
        <f>K7</f>
        <v>Annual Delivered KW/Kva</v>
      </c>
      <c r="R7" s="553" t="str">
        <f>'Sch 95'!M7</f>
        <v>Rates Effective January 2026</v>
      </c>
      <c r="S7" s="494"/>
      <c r="T7" s="133" t="str">
        <f>'Sch 95'!N7</f>
        <v>Annual Delivered $</v>
      </c>
    </row>
    <row r="8" spans="1:22">
      <c r="A8" s="2">
        <v>1</v>
      </c>
      <c r="B8" s="132" t="str">
        <f>'Sch 95'!B8</f>
        <v xml:space="preserve"> 7 (307) (317) (327)</v>
      </c>
      <c r="D8" s="116">
        <f>'Revenue by Sch RY#1'!D9</f>
        <v>11278205851.395365</v>
      </c>
      <c r="E8" s="116">
        <v>0</v>
      </c>
      <c r="F8" s="109">
        <v>0</v>
      </c>
      <c r="G8" s="109">
        <v>0</v>
      </c>
      <c r="H8" s="12">
        <f>(D8*F8)+(E8*G8)</f>
        <v>0</v>
      </c>
      <c r="J8" s="4">
        <f>D8</f>
        <v>11278205851.395365</v>
      </c>
      <c r="K8" s="4">
        <f>E8</f>
        <v>0</v>
      </c>
      <c r="L8" s="117">
        <v>3.6546388924765497E-3</v>
      </c>
      <c r="M8" s="16"/>
      <c r="N8" s="12">
        <f>(J8*L8)+(K8*M8)</f>
        <v>41217769.741866097</v>
      </c>
      <c r="O8" s="12"/>
      <c r="P8" s="116">
        <f>'Revenue by Sch RY#2'!D9</f>
        <v>11447649239.71397</v>
      </c>
      <c r="Q8" s="116">
        <v>0</v>
      </c>
      <c r="R8" s="117">
        <v>4.5261007972291056E-3</v>
      </c>
      <c r="S8" s="16"/>
      <c r="T8" s="12">
        <f>(P8*R8)+(Q8*S8)</f>
        <v>51813214.350268565</v>
      </c>
      <c r="V8" s="15"/>
    </row>
    <row r="9" spans="1:22">
      <c r="A9" s="2">
        <f t="shared" ref="A9:A41" si="0">+A8+1</f>
        <v>2</v>
      </c>
      <c r="B9" s="132" t="str">
        <f>'Sch 95'!B9</f>
        <v xml:space="preserve">7A </v>
      </c>
      <c r="D9" s="115">
        <v>0</v>
      </c>
      <c r="E9" s="115">
        <v>0</v>
      </c>
      <c r="F9" s="109">
        <v>0</v>
      </c>
      <c r="G9" s="109">
        <v>0</v>
      </c>
      <c r="H9" s="12">
        <f>(D9*F9)+(E9*G9)</f>
        <v>0</v>
      </c>
      <c r="J9" s="4">
        <f>D9</f>
        <v>0</v>
      </c>
      <c r="K9" s="4">
        <f>E9</f>
        <v>0</v>
      </c>
      <c r="L9" s="117">
        <v>1.0093506537375539E-3</v>
      </c>
      <c r="M9" s="202">
        <v>1.5388940268406825</v>
      </c>
      <c r="N9" s="12">
        <f>(J9*L9)+(K9*M9)</f>
        <v>0</v>
      </c>
      <c r="O9" s="12"/>
      <c r="P9" s="4">
        <v>0</v>
      </c>
      <c r="Q9" s="115">
        <v>0</v>
      </c>
      <c r="R9" s="117">
        <v>1.2652290691821497E-3</v>
      </c>
      <c r="S9" s="202">
        <v>1.9355854134556583</v>
      </c>
      <c r="T9" s="12">
        <f>(P9*R9)+(Q9*S9)</f>
        <v>0</v>
      </c>
      <c r="V9" s="15"/>
    </row>
    <row r="10" spans="1:22">
      <c r="A10" s="2">
        <f t="shared" si="0"/>
        <v>3</v>
      </c>
      <c r="B10" s="2"/>
      <c r="C10" s="3" t="s">
        <v>4</v>
      </c>
      <c r="D10" s="6">
        <f>SUM(D8:D9)</f>
        <v>11278205851.395365</v>
      </c>
      <c r="E10" s="6">
        <f>SUM(E8:E9)</f>
        <v>0</v>
      </c>
      <c r="F10" s="11"/>
      <c r="G10" s="11"/>
      <c r="H10" s="13">
        <f t="shared" ref="H10" si="1">SUM(H8:H9)</f>
        <v>0</v>
      </c>
      <c r="J10" s="6">
        <f>SUM(J8:J9)</f>
        <v>11278205851.395365</v>
      </c>
      <c r="K10" s="6">
        <f>SUM(K8:K9)</f>
        <v>0</v>
      </c>
      <c r="L10" s="11"/>
      <c r="M10" s="16"/>
      <c r="N10" s="13">
        <f t="shared" ref="N10" si="2">SUM(N8:N9)</f>
        <v>41217769.741866097</v>
      </c>
      <c r="O10" s="12"/>
      <c r="P10" s="6">
        <f>SUM(P8:P9)</f>
        <v>11447649239.71397</v>
      </c>
      <c r="Q10" s="6">
        <f>SUM(Q8:Q9)</f>
        <v>0</v>
      </c>
      <c r="R10" s="11"/>
      <c r="S10" s="16"/>
      <c r="T10" s="13">
        <f t="shared" ref="T10" si="3">SUM(T8:T9)</f>
        <v>51813214.350268565</v>
      </c>
      <c r="V10" s="15"/>
    </row>
    <row r="11" spans="1:22">
      <c r="A11" s="2">
        <f t="shared" si="0"/>
        <v>4</v>
      </c>
      <c r="B11" s="2"/>
      <c r="D11" s="4"/>
      <c r="E11" s="4"/>
      <c r="F11" s="11"/>
      <c r="G11" s="11"/>
      <c r="H11" s="12"/>
      <c r="J11" s="4"/>
      <c r="K11" s="4"/>
      <c r="L11" s="11"/>
      <c r="M11" s="16"/>
      <c r="N11" s="12"/>
      <c r="O11" s="12"/>
      <c r="P11" s="4"/>
      <c r="Q11" s="4"/>
      <c r="R11" s="11"/>
      <c r="S11" s="16"/>
      <c r="T11" s="12"/>
      <c r="V11" s="15"/>
    </row>
    <row r="12" spans="1:22">
      <c r="A12" s="2">
        <f t="shared" si="0"/>
        <v>5</v>
      </c>
      <c r="B12" s="132">
        <f>'Sch 95'!B12</f>
        <v>8</v>
      </c>
      <c r="D12" s="115">
        <v>0</v>
      </c>
      <c r="E12" s="115">
        <v>0</v>
      </c>
      <c r="F12" s="109">
        <v>0</v>
      </c>
      <c r="G12" s="109">
        <v>0</v>
      </c>
      <c r="H12" s="12">
        <f t="shared" ref="H12:H18" si="4">(D12*F12)+(E12*G12)</f>
        <v>0</v>
      </c>
      <c r="J12" s="4">
        <f>D12</f>
        <v>0</v>
      </c>
      <c r="K12" s="4">
        <f>E12</f>
        <v>0</v>
      </c>
      <c r="L12" s="117">
        <v>3.2694180092110192E-3</v>
      </c>
      <c r="M12" s="16"/>
      <c r="N12" s="12">
        <f t="shared" ref="N12:N18" si="5">(J12*L12)+(K12*M12)</f>
        <v>0</v>
      </c>
      <c r="O12" s="12"/>
      <c r="P12" s="4">
        <v>0</v>
      </c>
      <c r="Q12" s="115">
        <v>0</v>
      </c>
      <c r="R12" s="117">
        <v>4.0915915206471499E-3</v>
      </c>
      <c r="S12" s="16"/>
      <c r="T12" s="12">
        <f t="shared" ref="T12:T18" si="6">(P12*R12)+(Q12*S12)</f>
        <v>0</v>
      </c>
      <c r="V12" s="15"/>
    </row>
    <row r="13" spans="1:22">
      <c r="A13" s="2">
        <f t="shared" si="0"/>
        <v>6</v>
      </c>
      <c r="B13" s="132" t="str">
        <f>'Sch 95'!B13</f>
        <v>24 (324)</v>
      </c>
      <c r="D13" s="116">
        <f>'Revenue by Sch RY#1'!D10</f>
        <v>2762635966.1696987</v>
      </c>
      <c r="E13" s="115">
        <v>0</v>
      </c>
      <c r="F13" s="109">
        <v>0</v>
      </c>
      <c r="G13" s="109">
        <v>0</v>
      </c>
      <c r="H13" s="12">
        <f t="shared" si="4"/>
        <v>0</v>
      </c>
      <c r="J13" s="4">
        <f>D13</f>
        <v>2762635966.1696987</v>
      </c>
      <c r="K13" s="4">
        <f>E13</f>
        <v>0</v>
      </c>
      <c r="L13" s="11">
        <f>L12</f>
        <v>3.2694180092110192E-3</v>
      </c>
      <c r="M13" s="16"/>
      <c r="N13" s="12">
        <f t="shared" si="5"/>
        <v>9032211.7806892972</v>
      </c>
      <c r="O13" s="12"/>
      <c r="P13" s="116">
        <f>'Revenue by Sch RY#2'!D10</f>
        <v>2774967422.2693906</v>
      </c>
      <c r="Q13" s="115">
        <v>0</v>
      </c>
      <c r="R13" s="11">
        <f>R12</f>
        <v>4.0915915206471499E-3</v>
      </c>
      <c r="S13" s="16"/>
      <c r="T13" s="12">
        <f t="shared" si="6"/>
        <v>11354033.175029518</v>
      </c>
      <c r="V13" s="15"/>
    </row>
    <row r="14" spans="1:22">
      <c r="A14" s="2">
        <f t="shared" si="0"/>
        <v>7</v>
      </c>
      <c r="B14" s="132">
        <f>'Sch 95'!B14</f>
        <v>11</v>
      </c>
      <c r="D14" s="115">
        <v>0</v>
      </c>
      <c r="E14" s="115">
        <v>0</v>
      </c>
      <c r="F14" s="109">
        <v>0</v>
      </c>
      <c r="G14" s="109">
        <v>0</v>
      </c>
      <c r="H14" s="12">
        <f t="shared" si="4"/>
        <v>0</v>
      </c>
      <c r="J14" s="4">
        <f t="shared" ref="J14:K18" si="7">D14</f>
        <v>0</v>
      </c>
      <c r="K14" s="4">
        <f t="shared" si="7"/>
        <v>0</v>
      </c>
      <c r="L14" s="11">
        <f>L9</f>
        <v>1.0093506537375539E-3</v>
      </c>
      <c r="M14" s="16">
        <f>M9</f>
        <v>1.5388940268406825</v>
      </c>
      <c r="N14" s="12">
        <f t="shared" si="5"/>
        <v>0</v>
      </c>
      <c r="O14" s="12"/>
      <c r="P14" s="4">
        <v>0</v>
      </c>
      <c r="Q14" s="115">
        <v>0</v>
      </c>
      <c r="R14" s="11">
        <f>R9</f>
        <v>1.2652290691821497E-3</v>
      </c>
      <c r="S14" s="16">
        <f>S9</f>
        <v>1.9355854134556583</v>
      </c>
      <c r="T14" s="12">
        <f t="shared" si="6"/>
        <v>0</v>
      </c>
    </row>
    <row r="15" spans="1:22">
      <c r="A15" s="2">
        <f t="shared" si="0"/>
        <v>8</v>
      </c>
      <c r="B15" s="132">
        <f>'Sch 95'!B15</f>
        <v>25</v>
      </c>
      <c r="D15" s="116">
        <f>'Revenue by Sch RY#1'!D11</f>
        <v>2960202274.8054705</v>
      </c>
      <c r="E15" s="116">
        <v>4517887.0072913375</v>
      </c>
      <c r="F15" s="109">
        <v>0</v>
      </c>
      <c r="G15" s="109">
        <v>0</v>
      </c>
      <c r="H15" s="12">
        <f t="shared" si="4"/>
        <v>0</v>
      </c>
      <c r="J15" s="4">
        <f t="shared" si="7"/>
        <v>2960202274.8054705</v>
      </c>
      <c r="K15" s="4">
        <f t="shared" si="7"/>
        <v>4517887.0072913375</v>
      </c>
      <c r="L15" s="11">
        <f>L14</f>
        <v>1.0093506537375539E-3</v>
      </c>
      <c r="M15" s="16">
        <f>M14</f>
        <v>1.5388940268406825</v>
      </c>
      <c r="N15" s="12">
        <f t="shared" si="5"/>
        <v>9940431.4307320621</v>
      </c>
      <c r="O15" s="12"/>
      <c r="P15" s="116">
        <f>'Revenue by Sch RY#2'!D11</f>
        <v>2968720174.6374388</v>
      </c>
      <c r="Q15" s="116">
        <v>4515508.9451899873</v>
      </c>
      <c r="R15" s="11">
        <f>R14</f>
        <v>1.2652290691821497E-3</v>
      </c>
      <c r="S15" s="16">
        <f>S14</f>
        <v>1.9355854134556583</v>
      </c>
      <c r="T15" s="12">
        <f t="shared" si="6"/>
        <v>12496264.311857082</v>
      </c>
    </row>
    <row r="16" spans="1:22">
      <c r="A16" s="2">
        <f t="shared" si="0"/>
        <v>9</v>
      </c>
      <c r="B16" s="132">
        <f>'Sch 95'!B16</f>
        <v>12</v>
      </c>
      <c r="D16" s="115">
        <v>0</v>
      </c>
      <c r="E16" s="115">
        <v>0</v>
      </c>
      <c r="F16" s="109">
        <v>0</v>
      </c>
      <c r="G16" s="109">
        <v>0</v>
      </c>
      <c r="H16" s="12">
        <f t="shared" si="4"/>
        <v>0</v>
      </c>
      <c r="J16" s="4">
        <f t="shared" si="7"/>
        <v>0</v>
      </c>
      <c r="K16" s="4">
        <f t="shared" si="7"/>
        <v>0</v>
      </c>
      <c r="L16" s="117">
        <v>8.4571042049831472E-4</v>
      </c>
      <c r="M16" s="202">
        <v>0.80155984954352011</v>
      </c>
      <c r="N16" s="12">
        <f t="shared" si="5"/>
        <v>0</v>
      </c>
      <c r="O16" s="12"/>
      <c r="P16" s="4">
        <v>0</v>
      </c>
      <c r="Q16" s="115">
        <v>0</v>
      </c>
      <c r="R16" s="117">
        <v>1.0409348891093082E-3</v>
      </c>
      <c r="S16" s="202">
        <v>0.99001666892985041</v>
      </c>
      <c r="T16" s="12">
        <f t="shared" si="6"/>
        <v>0</v>
      </c>
    </row>
    <row r="17" spans="1:20">
      <c r="A17" s="2">
        <f t="shared" si="0"/>
        <v>10</v>
      </c>
      <c r="B17" s="132" t="str">
        <f>'Sch 95'!B17</f>
        <v>26 &amp; 26P</v>
      </c>
      <c r="D17" s="116">
        <f>'Revenue by Sch RY#1'!D12</f>
        <v>2013891730.8000479</v>
      </c>
      <c r="E17" s="116">
        <v>4944273.2866841257</v>
      </c>
      <c r="F17" s="109">
        <v>0</v>
      </c>
      <c r="G17" s="109">
        <v>0</v>
      </c>
      <c r="H17" s="12">
        <f t="shared" si="4"/>
        <v>0</v>
      </c>
      <c r="J17" s="4">
        <f t="shared" si="7"/>
        <v>2013891730.8000479</v>
      </c>
      <c r="K17" s="4">
        <f t="shared" si="7"/>
        <v>4944273.2866841257</v>
      </c>
      <c r="L17" s="11">
        <f>L16</f>
        <v>8.4571042049831472E-4</v>
      </c>
      <c r="M17" s="16">
        <f>M16</f>
        <v>0.80155984954352011</v>
      </c>
      <c r="N17" s="12">
        <f t="shared" si="5"/>
        <v>5666300.1742695607</v>
      </c>
      <c r="O17" s="12"/>
      <c r="P17" s="116">
        <f>'Revenue by Sch RY#2'!D12</f>
        <v>2056791563.2414525</v>
      </c>
      <c r="Q17" s="116">
        <v>5032131.2804961493</v>
      </c>
      <c r="R17" s="11">
        <f>R16</f>
        <v>1.0409348891093082E-3</v>
      </c>
      <c r="S17" s="16">
        <f>S16</f>
        <v>0.99001666892985041</v>
      </c>
      <c r="T17" s="12">
        <f t="shared" si="6"/>
        <v>7122879.945738202</v>
      </c>
    </row>
    <row r="18" spans="1:20">
      <c r="A18" s="2">
        <f t="shared" si="0"/>
        <v>11</v>
      </c>
      <c r="B18" s="132">
        <f>'Sch 95'!B18</f>
        <v>29</v>
      </c>
      <c r="D18" s="116">
        <f>'Revenue by Sch RY#1'!D13</f>
        <v>14930059.630887466</v>
      </c>
      <c r="E18" s="116">
        <v>6359.1483786280214</v>
      </c>
      <c r="F18" s="109">
        <v>0</v>
      </c>
      <c r="G18" s="109">
        <v>0</v>
      </c>
      <c r="H18" s="12">
        <f t="shared" si="4"/>
        <v>0</v>
      </c>
      <c r="J18" s="4">
        <f t="shared" si="7"/>
        <v>14930059.630887466</v>
      </c>
      <c r="K18" s="4">
        <f t="shared" si="7"/>
        <v>6359.1483786280214</v>
      </c>
      <c r="L18" s="117">
        <v>1.0093506537375541E-3</v>
      </c>
      <c r="M18" s="202">
        <v>5.5142350533027704</v>
      </c>
      <c r="N18" s="12">
        <f t="shared" si="5"/>
        <v>50135.504347361042</v>
      </c>
      <c r="O18" s="12"/>
      <c r="P18" s="116">
        <f>'Revenue by Sch RY#2'!D13</f>
        <v>14843026.361509496</v>
      </c>
      <c r="Q18" s="116">
        <v>6312.6225193658393</v>
      </c>
      <c r="R18" s="117">
        <v>1.2652290691821495E-3</v>
      </c>
      <c r="S18" s="202">
        <v>6.9224913576097977</v>
      </c>
      <c r="T18" s="12">
        <f t="shared" si="6"/>
        <v>62478.903261381776</v>
      </c>
    </row>
    <row r="19" spans="1:20">
      <c r="A19" s="2">
        <f t="shared" si="0"/>
        <v>12</v>
      </c>
      <c r="B19" s="2"/>
      <c r="C19" s="7" t="s">
        <v>6</v>
      </c>
      <c r="D19" s="6">
        <f>SUM(D12:D18)</f>
        <v>7751660031.4061041</v>
      </c>
      <c r="E19" s="6">
        <f>SUM(E12:E18)</f>
        <v>9468519.4423540905</v>
      </c>
      <c r="F19" s="11"/>
      <c r="G19" s="11"/>
      <c r="H19" s="13">
        <f t="shared" ref="H19" si="8">SUM(H12:H18)</f>
        <v>0</v>
      </c>
      <c r="J19" s="6">
        <f>SUM(J12:J18)</f>
        <v>7751660031.4061041</v>
      </c>
      <c r="K19" s="6">
        <f>SUM(K12:K18)</f>
        <v>9468519.4423540905</v>
      </c>
      <c r="L19" s="11"/>
      <c r="M19" s="16"/>
      <c r="N19" s="13">
        <f t="shared" ref="N19" si="9">SUM(N12:N18)</f>
        <v>24689078.890038282</v>
      </c>
      <c r="O19" s="12"/>
      <c r="P19" s="6">
        <f>SUM(P12:P18)</f>
        <v>7815322186.5097914</v>
      </c>
      <c r="Q19" s="6">
        <f>SUM(Q12:Q18)</f>
        <v>9553952.8482055031</v>
      </c>
      <c r="R19" s="11"/>
      <c r="S19" s="16"/>
      <c r="T19" s="13">
        <f t="shared" ref="T19" si="10">SUM(T12:T18)</f>
        <v>31035656.335886184</v>
      </c>
    </row>
    <row r="20" spans="1:20">
      <c r="A20" s="2">
        <f t="shared" si="0"/>
        <v>13</v>
      </c>
      <c r="B20" s="2"/>
      <c r="D20" s="4"/>
      <c r="E20" s="4"/>
      <c r="F20" s="11"/>
      <c r="G20" s="11"/>
      <c r="H20" s="12"/>
      <c r="J20" s="4"/>
      <c r="K20" s="4"/>
      <c r="L20" s="11"/>
      <c r="M20" s="16"/>
      <c r="N20" s="12"/>
      <c r="O20" s="12"/>
      <c r="P20" s="4"/>
      <c r="Q20" s="4"/>
      <c r="R20" s="11"/>
      <c r="S20" s="16"/>
      <c r="T20" s="12"/>
    </row>
    <row r="21" spans="1:20">
      <c r="A21" s="2">
        <f t="shared" si="0"/>
        <v>14</v>
      </c>
      <c r="B21" s="132">
        <f>'Sch 95'!B21</f>
        <v>10</v>
      </c>
      <c r="D21" s="115">
        <v>0</v>
      </c>
      <c r="E21" s="115">
        <v>0</v>
      </c>
      <c r="F21" s="109">
        <v>0</v>
      </c>
      <c r="G21" s="109">
        <v>0</v>
      </c>
      <c r="H21" s="12">
        <f t="shared" ref="H21:H24" si="11">(D21*F21)+(E21*G21)</f>
        <v>0</v>
      </c>
      <c r="J21" s="4">
        <f t="shared" ref="J21:K24" si="12">D21</f>
        <v>0</v>
      </c>
      <c r="K21" s="4">
        <f t="shared" si="12"/>
        <v>0</v>
      </c>
      <c r="L21" s="117">
        <v>8.3519569423806607E-4</v>
      </c>
      <c r="M21" s="202">
        <v>0.81756655715906246</v>
      </c>
      <c r="N21" s="12">
        <f t="shared" ref="N21:N24" si="13">(J21*L21)+(K21*M21)</f>
        <v>0</v>
      </c>
      <c r="O21" s="12"/>
      <c r="P21" s="4">
        <v>0</v>
      </c>
      <c r="Q21" s="115">
        <v>0</v>
      </c>
      <c r="R21" s="117">
        <v>1.0590325053609745E-3</v>
      </c>
      <c r="S21" s="202">
        <v>1.0397860764920355</v>
      </c>
      <c r="T21" s="12">
        <f t="shared" ref="T21:T24" si="14">(P21*R21)+(Q21*S21)</f>
        <v>0</v>
      </c>
    </row>
    <row r="22" spans="1:20">
      <c r="A22" s="2">
        <f t="shared" si="0"/>
        <v>15</v>
      </c>
      <c r="B22" s="132">
        <f>'Sch 95'!B22</f>
        <v>31</v>
      </c>
      <c r="D22" s="116">
        <f>'Revenue by Sch RY#1'!D14</f>
        <v>1423586019.4788036</v>
      </c>
      <c r="E22" s="116">
        <v>3383993.070775318</v>
      </c>
      <c r="F22" s="109">
        <v>0</v>
      </c>
      <c r="G22" s="109">
        <v>0</v>
      </c>
      <c r="H22" s="12">
        <f t="shared" si="11"/>
        <v>0</v>
      </c>
      <c r="J22" s="4">
        <f t="shared" si="12"/>
        <v>1423586019.4788036</v>
      </c>
      <c r="K22" s="4">
        <f t="shared" si="12"/>
        <v>3383993.070775318</v>
      </c>
      <c r="L22" s="11">
        <f>L21</f>
        <v>8.3519569423806607E-4</v>
      </c>
      <c r="M22" s="16">
        <f>M21</f>
        <v>0.81756655715906246</v>
      </c>
      <c r="N22" s="12">
        <f t="shared" si="13"/>
        <v>3955612.4781701048</v>
      </c>
      <c r="O22" s="12"/>
      <c r="P22" s="116">
        <f>'Revenue by Sch RY#2'!D14</f>
        <v>1411297972.0883911</v>
      </c>
      <c r="Q22" s="116">
        <v>3344757.4708671863</v>
      </c>
      <c r="R22" s="11">
        <f>R21</f>
        <v>1.0590325053609745E-3</v>
      </c>
      <c r="S22" s="16">
        <f>S21</f>
        <v>1.0397860764920355</v>
      </c>
      <c r="T22" s="12">
        <f t="shared" si="14"/>
        <v>4972442.6746420469</v>
      </c>
    </row>
    <row r="23" spans="1:20">
      <c r="A23" s="2">
        <f t="shared" si="0"/>
        <v>16</v>
      </c>
      <c r="B23" s="132">
        <f>'Sch 95'!B23</f>
        <v>35</v>
      </c>
      <c r="D23" s="116">
        <f>'Revenue by Sch RY#1'!D15</f>
        <v>4407260.1568774413</v>
      </c>
      <c r="E23" s="116">
        <v>8196.3679379811347</v>
      </c>
      <c r="F23" s="109">
        <v>0</v>
      </c>
      <c r="G23" s="109">
        <v>0</v>
      </c>
      <c r="H23" s="12">
        <f t="shared" si="11"/>
        <v>0</v>
      </c>
      <c r="J23" s="4">
        <f t="shared" si="12"/>
        <v>4407260.1568774413</v>
      </c>
      <c r="K23" s="4">
        <f t="shared" si="12"/>
        <v>8196.3679379811347</v>
      </c>
      <c r="L23" s="117">
        <v>7.6947979550909967E-4</v>
      </c>
      <c r="M23" s="202">
        <v>0.96277562087978685</v>
      </c>
      <c r="N23" s="12">
        <f t="shared" si="13"/>
        <v>11282.560874718421</v>
      </c>
      <c r="O23" s="12"/>
      <c r="P23" s="116">
        <f>'Revenue by Sch RY#2'!D15</f>
        <v>4380281.1514552524</v>
      </c>
      <c r="Q23" s="116">
        <v>8146.3096768096348</v>
      </c>
      <c r="R23" s="117">
        <v>9.7324004042994726E-4</v>
      </c>
      <c r="S23" s="202">
        <v>1.2177038012793753</v>
      </c>
      <c r="T23" s="12">
        <f t="shared" si="14"/>
        <v>14182.857264786897</v>
      </c>
    </row>
    <row r="24" spans="1:20">
      <c r="A24" s="2">
        <f t="shared" si="0"/>
        <v>17</v>
      </c>
      <c r="B24" s="132">
        <f>'Sch 95'!B24</f>
        <v>43</v>
      </c>
      <c r="D24" s="116">
        <f>'Revenue by Sch RY#1'!D16</f>
        <v>122267424.6450724</v>
      </c>
      <c r="E24" s="116">
        <v>579230.53698067076</v>
      </c>
      <c r="F24" s="109">
        <v>0</v>
      </c>
      <c r="G24" s="109">
        <v>0</v>
      </c>
      <c r="H24" s="12">
        <f t="shared" si="11"/>
        <v>0</v>
      </c>
      <c r="J24" s="4">
        <f t="shared" si="12"/>
        <v>122267424.6450724</v>
      </c>
      <c r="K24" s="4">
        <f t="shared" si="12"/>
        <v>579230.53698067076</v>
      </c>
      <c r="L24" s="117">
        <v>2.9656847430787388E-4</v>
      </c>
      <c r="M24" s="202">
        <v>0.1456682557972124</v>
      </c>
      <c r="N24" s="12">
        <f t="shared" si="13"/>
        <v>120636.1656109991</v>
      </c>
      <c r="O24" s="12"/>
      <c r="P24" s="116">
        <f>'Revenue by Sch RY#2'!D16</f>
        <v>121633779.10385114</v>
      </c>
      <c r="Q24" s="116">
        <v>573967.09159726952</v>
      </c>
      <c r="R24" s="117">
        <v>3.7474650752848589E-4</v>
      </c>
      <c r="S24" s="202">
        <v>0.18479296076263735</v>
      </c>
      <c r="T24" s="12">
        <f t="shared" si="14"/>
        <v>151646.91215323884</v>
      </c>
    </row>
    <row r="25" spans="1:20">
      <c r="A25" s="2">
        <f t="shared" si="0"/>
        <v>18</v>
      </c>
      <c r="B25" s="2"/>
      <c r="C25" s="3" t="s">
        <v>7</v>
      </c>
      <c r="D25" s="6">
        <f>SUM(D21:D24)</f>
        <v>1550260704.2807536</v>
      </c>
      <c r="E25" s="6">
        <f>SUM(E21:E24)</f>
        <v>3971419.97569397</v>
      </c>
      <c r="F25" s="11"/>
      <c r="G25" s="11"/>
      <c r="H25" s="13">
        <f t="shared" ref="H25" si="15">SUM(H21:H24)</f>
        <v>0</v>
      </c>
      <c r="J25" s="6">
        <f>SUM(J21:J24)</f>
        <v>1550260704.2807536</v>
      </c>
      <c r="K25" s="6">
        <f>SUM(K21:K24)</f>
        <v>3971419.97569397</v>
      </c>
      <c r="L25" s="11"/>
      <c r="M25" s="16"/>
      <c r="N25" s="13">
        <f t="shared" ref="N25" si="16">SUM(N21:N24)</f>
        <v>4087531.2046558224</v>
      </c>
      <c r="O25" s="12"/>
      <c r="P25" s="6">
        <f>SUM(P21:P24)</f>
        <v>1537312032.3436973</v>
      </c>
      <c r="Q25" s="6">
        <f>SUM(Q21:Q24)</f>
        <v>3926870.8721412653</v>
      </c>
      <c r="R25" s="11"/>
      <c r="S25" s="16"/>
      <c r="T25" s="13">
        <f t="shared" ref="T25" si="17">SUM(T21:T24)</f>
        <v>5138272.4440600723</v>
      </c>
    </row>
    <row r="26" spans="1:20">
      <c r="A26" s="2">
        <f t="shared" si="0"/>
        <v>19</v>
      </c>
      <c r="B26" s="2"/>
      <c r="D26" s="4"/>
      <c r="E26" s="4"/>
      <c r="F26" s="11"/>
      <c r="G26" s="11"/>
      <c r="H26" s="12"/>
      <c r="J26" s="4"/>
      <c r="K26" s="4"/>
      <c r="L26" s="11"/>
      <c r="M26" s="16"/>
      <c r="N26" s="12"/>
      <c r="O26" s="12"/>
      <c r="P26" s="4"/>
      <c r="Q26" s="4"/>
      <c r="R26" s="11"/>
      <c r="S26" s="16"/>
      <c r="T26" s="12"/>
    </row>
    <row r="27" spans="1:20">
      <c r="A27" s="2">
        <f t="shared" si="0"/>
        <v>20</v>
      </c>
      <c r="B27" s="132">
        <f>'Sch 95'!B27</f>
        <v>46</v>
      </c>
      <c r="D27" s="116">
        <f>'Revenue by Sch RY#1'!D17</f>
        <v>96933187.043131709</v>
      </c>
      <c r="E27" s="116">
        <v>454913.76433003857</v>
      </c>
      <c r="F27" s="109">
        <v>0</v>
      </c>
      <c r="G27" s="109">
        <v>0</v>
      </c>
      <c r="H27" s="12">
        <f t="shared" ref="H27:H28" si="18">(D27*F27)+(E27*G27)</f>
        <v>0</v>
      </c>
      <c r="J27" s="4">
        <f>D27</f>
        <v>96933187.043131709</v>
      </c>
      <c r="K27" s="4">
        <f>E27</f>
        <v>454913.76433003857</v>
      </c>
      <c r="L27" s="117">
        <v>7.2747420206110221E-4</v>
      </c>
      <c r="M27" s="202">
        <v>0.36069625538111971</v>
      </c>
      <c r="N27" s="12">
        <f t="shared" ref="N27:N28" si="19">(J27*L27)+(K27*M27)</f>
        <v>234602.08421261591</v>
      </c>
      <c r="O27" s="12"/>
      <c r="P27" s="116">
        <f>'Revenue by Sch RY#2'!D17</f>
        <v>96918964.527943105</v>
      </c>
      <c r="Q27" s="116">
        <v>453901.97661419428</v>
      </c>
      <c r="R27" s="117">
        <v>9.1441831227747066E-4</v>
      </c>
      <c r="S27" s="202">
        <v>0.45433085129489609</v>
      </c>
      <c r="T27" s="12">
        <f t="shared" ref="T27:T28" si="20">(P27*R27)+(Q27*S27)</f>
        <v>294846.14741088467</v>
      </c>
    </row>
    <row r="28" spans="1:20">
      <c r="A28" s="2">
        <f t="shared" si="0"/>
        <v>21</v>
      </c>
      <c r="B28" s="132">
        <f>'Sch 95'!B28</f>
        <v>49</v>
      </c>
      <c r="D28" s="116">
        <f>'Revenue by Sch RY#1'!D18</f>
        <v>534843226.30681556</v>
      </c>
      <c r="E28" s="116">
        <v>1325042.9814690738</v>
      </c>
      <c r="F28" s="109">
        <v>0</v>
      </c>
      <c r="G28" s="109">
        <v>0</v>
      </c>
      <c r="H28" s="12">
        <f t="shared" si="18"/>
        <v>0</v>
      </c>
      <c r="J28" s="4">
        <f>D28</f>
        <v>534843226.30681556</v>
      </c>
      <c r="K28" s="4">
        <f>E28</f>
        <v>1325042.9814690738</v>
      </c>
      <c r="L28" s="117">
        <v>7.274742020611021E-4</v>
      </c>
      <c r="M28" s="202">
        <v>0.68327377616414464</v>
      </c>
      <c r="N28" s="12">
        <f t="shared" si="19"/>
        <v>1294451.7708135068</v>
      </c>
      <c r="O28" s="12"/>
      <c r="P28" s="116">
        <f>'Revenue by Sch RY#2'!D18</f>
        <v>534899242.67952603</v>
      </c>
      <c r="Q28" s="116">
        <v>1321250.3262371249</v>
      </c>
      <c r="R28" s="117">
        <v>9.1441831227747077E-4</v>
      </c>
      <c r="S28" s="360">
        <v>0.86141496528087924</v>
      </c>
      <c r="T28" s="12">
        <f t="shared" si="20"/>
        <v>1627266.4666324127</v>
      </c>
    </row>
    <row r="29" spans="1:20">
      <c r="A29" s="2">
        <f t="shared" si="0"/>
        <v>22</v>
      </c>
      <c r="B29" s="2"/>
      <c r="C29" s="3" t="s">
        <v>8</v>
      </c>
      <c r="D29" s="6">
        <f>SUM(D27:D28)</f>
        <v>631776413.34994721</v>
      </c>
      <c r="E29" s="6">
        <f>SUM(E27:E28)</f>
        <v>1779956.7457991124</v>
      </c>
      <c r="F29" s="11"/>
      <c r="G29" s="11"/>
      <c r="H29" s="13">
        <f t="shared" ref="H29" si="21">SUM(H27:H28)</f>
        <v>0</v>
      </c>
      <c r="J29" s="6">
        <f>SUM(J27:J28)</f>
        <v>631776413.34994721</v>
      </c>
      <c r="K29" s="6">
        <f>SUM(K27:K28)</f>
        <v>1779956.7457991124</v>
      </c>
      <c r="L29" s="11"/>
      <c r="M29" s="16"/>
      <c r="N29" s="13">
        <f t="shared" ref="N29" si="22">SUM(N27:N28)</f>
        <v>1529053.8550261226</v>
      </c>
      <c r="O29" s="12"/>
      <c r="P29" s="6">
        <f>SUM(P27:P28)</f>
        <v>631818207.20746911</v>
      </c>
      <c r="Q29" s="6">
        <f>SUM(Q27:Q28)</f>
        <v>1775152.3028513191</v>
      </c>
      <c r="R29" s="11"/>
      <c r="S29" s="16"/>
      <c r="T29" s="13">
        <f t="shared" ref="T29" si="23">SUM(T27:T28)</f>
        <v>1922112.6140432975</v>
      </c>
    </row>
    <row r="30" spans="1:20">
      <c r="A30" s="2">
        <f t="shared" si="0"/>
        <v>23</v>
      </c>
      <c r="B30" s="2"/>
      <c r="D30" s="4"/>
      <c r="E30" s="4"/>
      <c r="F30" s="11"/>
      <c r="G30" s="11"/>
      <c r="H30" s="12"/>
      <c r="J30" s="4"/>
      <c r="K30" s="4"/>
      <c r="L30" s="11"/>
      <c r="M30" s="16"/>
      <c r="N30" s="12"/>
      <c r="O30" s="12"/>
      <c r="P30" s="4"/>
      <c r="Q30" s="4"/>
      <c r="R30" s="11"/>
      <c r="S30" s="16"/>
      <c r="T30" s="12"/>
    </row>
    <row r="31" spans="1:20">
      <c r="A31" s="2">
        <f t="shared" si="0"/>
        <v>24</v>
      </c>
      <c r="B31" s="132" t="str">
        <f>'Sch 95'!B31</f>
        <v>03, 50-59</v>
      </c>
      <c r="D31" s="122">
        <f>'Revenue by Sch RY#1'!D19</f>
        <v>67255417.982360825</v>
      </c>
      <c r="E31" s="122">
        <v>0</v>
      </c>
      <c r="F31" s="109">
        <v>0</v>
      </c>
      <c r="G31" s="109">
        <v>0</v>
      </c>
      <c r="H31" s="13">
        <f>(D31*F31)+(E31*G31)</f>
        <v>0</v>
      </c>
      <c r="J31" s="6">
        <f>D31</f>
        <v>67255417.982360825</v>
      </c>
      <c r="K31" s="6">
        <f>E31</f>
        <v>0</v>
      </c>
      <c r="L31" s="117">
        <v>1.6721025560510871E-3</v>
      </c>
      <c r="M31" s="202"/>
      <c r="N31" s="13">
        <f>ROUND((J31*L31)+(K31*M31),0)</f>
        <v>112458</v>
      </c>
      <c r="O31" s="12"/>
      <c r="P31" s="122">
        <f>'Revenue by Sch RY#2'!D19</f>
        <v>67027608.143863305</v>
      </c>
      <c r="Q31" s="122">
        <v>0</v>
      </c>
      <c r="R31" s="117">
        <v>2.1090773691037688E-3</v>
      </c>
      <c r="S31" s="202"/>
      <c r="T31" s="13">
        <f>(P31*R31)+(Q31*S31)</f>
        <v>141366.41144137757</v>
      </c>
    </row>
    <row r="32" spans="1:20">
      <c r="A32" s="2">
        <f t="shared" si="0"/>
        <v>25</v>
      </c>
      <c r="B32" s="2"/>
      <c r="D32" s="4"/>
      <c r="E32" s="4"/>
      <c r="F32" s="11"/>
      <c r="G32" s="11"/>
      <c r="H32" s="12"/>
      <c r="J32" s="4"/>
      <c r="K32" s="4"/>
      <c r="L32" s="11"/>
      <c r="M32" s="16"/>
      <c r="N32" s="12"/>
      <c r="O32" s="12"/>
      <c r="P32" s="4"/>
      <c r="Q32" s="4"/>
      <c r="R32" s="11"/>
      <c r="S32" s="16"/>
      <c r="T32" s="12"/>
    </row>
    <row r="33" spans="1:20">
      <c r="A33" s="2">
        <f t="shared" si="0"/>
        <v>26</v>
      </c>
      <c r="B33" s="132" t="str">
        <f>'Sch 95'!B33</f>
        <v>449-459</v>
      </c>
      <c r="D33" s="116">
        <f>'Revenue by Sch RY#1'!D20</f>
        <v>1967511960.3194919</v>
      </c>
      <c r="E33" s="116">
        <v>0</v>
      </c>
      <c r="F33" s="109">
        <v>0</v>
      </c>
      <c r="G33" s="109">
        <v>0</v>
      </c>
      <c r="H33" s="12">
        <f t="shared" ref="H33:H34" si="24">(D33*F33)+(E33*G33)</f>
        <v>0</v>
      </c>
      <c r="J33" s="4">
        <f>D33</f>
        <v>1967511960.3194919</v>
      </c>
      <c r="K33" s="4">
        <f>E33</f>
        <v>0</v>
      </c>
      <c r="L33" s="117">
        <v>0</v>
      </c>
      <c r="M33" s="202"/>
      <c r="N33" s="12">
        <f t="shared" ref="N33:N34" si="25">(J33*L33)+(K33*M33)</f>
        <v>0</v>
      </c>
      <c r="O33" s="12"/>
      <c r="P33" s="116">
        <f>'Revenue by Sch RY#2'!D20</f>
        <v>1964993565.6779518</v>
      </c>
      <c r="Q33" s="116">
        <v>0</v>
      </c>
      <c r="R33" s="117">
        <v>0</v>
      </c>
      <c r="S33" s="202"/>
      <c r="T33" s="12">
        <f t="shared" ref="T33:T34" si="26">(P33*R33)+(Q33*S33)</f>
        <v>0</v>
      </c>
    </row>
    <row r="34" spans="1:20">
      <c r="A34" s="2">
        <f t="shared" si="0"/>
        <v>27</v>
      </c>
      <c r="B34" s="132" t="str">
        <f>'Sch 95'!B34</f>
        <v>Special Contract</v>
      </c>
      <c r="D34" s="116">
        <f>'Revenue by Sch RY#1'!D21</f>
        <v>304773055.46200001</v>
      </c>
      <c r="E34" s="116">
        <v>0</v>
      </c>
      <c r="F34" s="109">
        <v>0</v>
      </c>
      <c r="G34" s="109">
        <v>0</v>
      </c>
      <c r="H34" s="12">
        <f t="shared" si="24"/>
        <v>0</v>
      </c>
      <c r="J34" s="4">
        <f>D34</f>
        <v>304773055.46200001</v>
      </c>
      <c r="K34" s="4">
        <f>E34</f>
        <v>0</v>
      </c>
      <c r="L34" s="117">
        <v>0</v>
      </c>
      <c r="M34" s="202"/>
      <c r="N34" s="12">
        <f t="shared" si="25"/>
        <v>0</v>
      </c>
      <c r="O34" s="12"/>
      <c r="P34" s="116">
        <f>'Revenue by Sch RY#2'!D21</f>
        <v>304773055.46200001</v>
      </c>
      <c r="Q34" s="116">
        <v>0</v>
      </c>
      <c r="R34" s="117">
        <v>0</v>
      </c>
      <c r="S34" s="202"/>
      <c r="T34" s="12">
        <f t="shared" si="26"/>
        <v>0</v>
      </c>
    </row>
    <row r="35" spans="1:20">
      <c r="A35" s="2">
        <f t="shared" si="0"/>
        <v>28</v>
      </c>
      <c r="B35" s="5"/>
      <c r="C35" s="3" t="s">
        <v>77</v>
      </c>
      <c r="D35" s="6">
        <f>SUM(D33:D34)</f>
        <v>2272285015.7814918</v>
      </c>
      <c r="E35" s="6">
        <f>SUM(E33:E34)</f>
        <v>0</v>
      </c>
      <c r="H35" s="13">
        <f t="shared" ref="H35" si="27">SUM(H33:H34)</f>
        <v>0</v>
      </c>
      <c r="J35" s="6">
        <f>SUM(J33:J34)</f>
        <v>2272285015.7814918</v>
      </c>
      <c r="K35" s="6">
        <f>SUM(K33:K34)</f>
        <v>0</v>
      </c>
      <c r="M35" s="16"/>
      <c r="N35" s="13">
        <f t="shared" ref="N35" si="28">SUM(N33:N34)</f>
        <v>0</v>
      </c>
      <c r="O35" s="12"/>
      <c r="P35" s="6">
        <f>SUM(P33:P34)</f>
        <v>2269766621.1399517</v>
      </c>
      <c r="Q35" s="6">
        <f>SUM(Q33:Q34)</f>
        <v>0</v>
      </c>
      <c r="S35" s="16"/>
      <c r="T35" s="13">
        <f t="shared" ref="T35" si="29">SUM(T33:T34)</f>
        <v>0</v>
      </c>
    </row>
    <row r="36" spans="1:20">
      <c r="A36" s="2">
        <f t="shared" si="0"/>
        <v>29</v>
      </c>
      <c r="B36" s="2"/>
      <c r="D36" s="4"/>
      <c r="E36" s="4"/>
      <c r="H36" s="12"/>
      <c r="J36" s="4"/>
      <c r="K36" s="4"/>
      <c r="M36" s="16"/>
      <c r="N36" s="12"/>
      <c r="O36" s="12"/>
      <c r="P36" s="4"/>
      <c r="Q36" s="4"/>
      <c r="S36" s="16"/>
      <c r="T36" s="12"/>
    </row>
    <row r="37" spans="1:20" ht="12" thickBot="1">
      <c r="A37" s="2">
        <f t="shared" si="0"/>
        <v>30</v>
      </c>
      <c r="B37" s="2"/>
      <c r="C37" s="7" t="s">
        <v>15</v>
      </c>
      <c r="D37" s="8">
        <f>SUM(D10,D19,D25,D29,D31,D35)</f>
        <v>23551443434.196022</v>
      </c>
      <c r="E37" s="8">
        <f>SUM(E10,E19,E25,E29,E31,E35)</f>
        <v>15219896.163847174</v>
      </c>
      <c r="H37" s="14">
        <f>SUM(H10,H19,H25,H29,H31,H35)</f>
        <v>0</v>
      </c>
      <c r="J37" s="8">
        <f>SUM(J10,J19,J25,J29,J31,J35)</f>
        <v>23551443434.196022</v>
      </c>
      <c r="K37" s="8">
        <f>SUM(K10,K19,K25,K29,K31,K35)</f>
        <v>15219896.163847174</v>
      </c>
      <c r="M37" s="16"/>
      <c r="N37" s="14">
        <f>SUM(N10,N19,N25,N29,N31,N35)</f>
        <v>71635891.691586331</v>
      </c>
      <c r="O37" s="12"/>
      <c r="P37" s="8">
        <f>SUM(P10,P19,P25,P29,P31,P35)</f>
        <v>23768895895.058746</v>
      </c>
      <c r="Q37" s="8">
        <f>SUM(Q10,Q19,Q25,Q29,Q31,Q35)</f>
        <v>15255976.023198087</v>
      </c>
      <c r="S37" s="16"/>
      <c r="T37" s="14">
        <f>SUM(T10,T19,T25,T29,T31,T35)</f>
        <v>90050622.155699492</v>
      </c>
    </row>
    <row r="38" spans="1:20" ht="12" thickTop="1">
      <c r="A38" s="2">
        <f t="shared" si="0"/>
        <v>31</v>
      </c>
      <c r="B38" s="2"/>
      <c r="H38" s="12"/>
      <c r="M38" s="16"/>
      <c r="N38" s="12"/>
      <c r="O38" s="12"/>
      <c r="S38" s="16"/>
      <c r="T38" s="12"/>
    </row>
    <row r="39" spans="1:20">
      <c r="A39" s="2">
        <f t="shared" si="0"/>
        <v>32</v>
      </c>
      <c r="B39" s="132">
        <f>'Sch 95'!B39</f>
        <v>5</v>
      </c>
      <c r="C39" s="3" t="s">
        <v>16</v>
      </c>
      <c r="D39" s="122">
        <f>'Revenue by Sch RY#1'!D22</f>
        <v>6714960.2368700616</v>
      </c>
      <c r="E39" s="122">
        <v>13394.355918136085</v>
      </c>
      <c r="F39" s="109">
        <v>0</v>
      </c>
      <c r="G39" s="109">
        <v>0</v>
      </c>
      <c r="H39" s="13">
        <f>(D39*F39)+(E39*G39)</f>
        <v>0</v>
      </c>
      <c r="J39" s="6">
        <f>D39</f>
        <v>6714960.2368700616</v>
      </c>
      <c r="K39" s="6">
        <f>E39</f>
        <v>13394.355918136085</v>
      </c>
      <c r="L39" s="117">
        <v>3.018459016395819E-3</v>
      </c>
      <c r="M39" s="202"/>
      <c r="N39" s="13">
        <f>(J39*L39)+(K39*M39)</f>
        <v>20268.832271719843</v>
      </c>
      <c r="O39" s="12"/>
      <c r="P39" s="122">
        <f>'Revenue by Sch RY#2'!D22</f>
        <v>6710049.8818741431</v>
      </c>
      <c r="Q39" s="122">
        <v>13319.835934941628</v>
      </c>
      <c r="R39" s="117">
        <v>3.797161133580443E-3</v>
      </c>
      <c r="S39" s="202"/>
      <c r="T39" s="13">
        <f>(P39*R39)+(Q39*S39)</f>
        <v>25479.14061583854</v>
      </c>
    </row>
    <row r="40" spans="1:20">
      <c r="A40" s="2">
        <f t="shared" si="0"/>
        <v>33</v>
      </c>
      <c r="B40" s="2"/>
      <c r="H40" s="12"/>
      <c r="N40" s="12"/>
      <c r="O40" s="12"/>
      <c r="T40" s="12"/>
    </row>
    <row r="41" spans="1:20" ht="12" thickBot="1">
      <c r="A41" s="2">
        <f t="shared" si="0"/>
        <v>34</v>
      </c>
      <c r="B41" s="2"/>
      <c r="C41" s="110" t="s">
        <v>17</v>
      </c>
      <c r="D41" s="111">
        <f>SUM(D37,D39)</f>
        <v>23558158394.432892</v>
      </c>
      <c r="E41" s="111">
        <f>SUM(E37,E39)</f>
        <v>15233290.51976531</v>
      </c>
      <c r="F41" s="169"/>
      <c r="G41" s="169"/>
      <c r="H41" s="113">
        <f>SUM(H37,H39)</f>
        <v>0</v>
      </c>
      <c r="I41" s="15"/>
      <c r="J41" s="111">
        <f>SUM(J37,J39)</f>
        <v>23558158394.432892</v>
      </c>
      <c r="K41" s="111">
        <f>SUM(K37,K39)</f>
        <v>15233290.51976531</v>
      </c>
      <c r="L41" s="15"/>
      <c r="M41" s="15"/>
      <c r="N41" s="113">
        <f>SUM(N37,N39)</f>
        <v>71656160.523858055</v>
      </c>
      <c r="O41" s="114"/>
      <c r="P41" s="111">
        <f>SUM(P37,P39)</f>
        <v>23775605944.94062</v>
      </c>
      <c r="Q41" s="111">
        <f>SUM(Q37,Q39)</f>
        <v>15269295.859133027</v>
      </c>
      <c r="R41" s="15"/>
      <c r="S41" s="15"/>
      <c r="T41" s="113">
        <f>SUM(T37,T39)</f>
        <v>90076101.296315327</v>
      </c>
    </row>
    <row r="42" spans="1:20" ht="12" thickTop="1">
      <c r="D42" s="123">
        <f>'Revenue by Sch RY#1'!D24</f>
        <v>23558158394.432896</v>
      </c>
      <c r="E42" s="123">
        <v>15233290.519765308</v>
      </c>
      <c r="F42" s="170"/>
      <c r="G42" s="170"/>
      <c r="J42" s="162">
        <f>D41</f>
        <v>23558158394.432892</v>
      </c>
      <c r="K42" s="162">
        <f>E41</f>
        <v>15233290.51976531</v>
      </c>
      <c r="N42" s="203">
        <v>71656160.480174646</v>
      </c>
      <c r="P42" s="123">
        <f>'Revenue by Sch RY#2'!D24</f>
        <v>23775605944.94062</v>
      </c>
      <c r="Q42" s="123">
        <v>15269295.859133029</v>
      </c>
      <c r="T42" s="203">
        <v>90076101.296315312</v>
      </c>
    </row>
    <row r="43" spans="1:20">
      <c r="C43" s="17" t="s">
        <v>168</v>
      </c>
      <c r="D43" s="124">
        <f>D41-D42</f>
        <v>0</v>
      </c>
      <c r="E43" s="124">
        <f>E41-E42</f>
        <v>0</v>
      </c>
      <c r="F43" s="170"/>
      <c r="G43" s="170"/>
      <c r="J43" s="124">
        <f>J41-J42</f>
        <v>0</v>
      </c>
      <c r="K43" s="124">
        <f>K41-K42</f>
        <v>0</v>
      </c>
      <c r="N43" s="124">
        <f>N41-N42</f>
        <v>4.3683409690856934E-2</v>
      </c>
      <c r="P43" s="124">
        <f>P41-P42</f>
        <v>0</v>
      </c>
      <c r="Q43" s="124">
        <f>Q41-Q42</f>
        <v>0</v>
      </c>
      <c r="T43" s="124">
        <f>T41-T42</f>
        <v>0</v>
      </c>
    </row>
    <row r="44" spans="1:20">
      <c r="F44" s="170"/>
      <c r="G44" s="170"/>
      <c r="P44" s="4"/>
      <c r="Q44" s="4"/>
      <c r="T44" s="70"/>
    </row>
    <row r="45" spans="1:20">
      <c r="C45" s="101"/>
      <c r="F45" s="170"/>
      <c r="G45" s="170"/>
    </row>
  </sheetData>
  <mergeCells count="11">
    <mergeCell ref="F7:G7"/>
    <mergeCell ref="L7:M7"/>
    <mergeCell ref="R7:S7"/>
    <mergeCell ref="P5:T5"/>
    <mergeCell ref="A1:T1"/>
    <mergeCell ref="A2:T2"/>
    <mergeCell ref="A3:T3"/>
    <mergeCell ref="A4:T4"/>
    <mergeCell ref="A5:F5"/>
    <mergeCell ref="J6:N6"/>
    <mergeCell ref="P6:T6"/>
  </mergeCells>
  <pageMargins left="0.7" right="0.7" top="0.75" bottom="0.75" header="0.3" footer="0.3"/>
  <pageSetup scale="55" orientation="landscape" horizontalDpi="360" verticalDpi="360" r:id="rId1"/>
  <headerFooter>
    <oddFooter>&amp;R&amp;F
&amp;A
&amp;P of &amp;N</oddFooter>
  </headerFooter>
  <customProperties>
    <customPr name="_pios_id" r:id="rId2"/>
  </customPropertie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theme="4" tint="0.39997558519241921"/>
    <pageSetUpPr fitToPage="1"/>
  </sheetPr>
  <dimension ref="A1:P45"/>
  <sheetViews>
    <sheetView workbookViewId="0">
      <pane ySplit="7" topLeftCell="A26" activePane="bottomLeft" state="frozen"/>
      <selection activeCell="U42" sqref="U42"/>
      <selection pane="bottomLeft" activeCell="U42" sqref="U42"/>
    </sheetView>
  </sheetViews>
  <sheetFormatPr defaultColWidth="8.85546875" defaultRowHeight="11.25"/>
  <cols>
    <col min="1" max="1" width="4.42578125" style="3" bestFit="1" customWidth="1"/>
    <col min="2" max="2" width="14.85546875" style="3" bestFit="1" customWidth="1"/>
    <col min="3" max="3" width="21.7109375" style="3" bestFit="1" customWidth="1"/>
    <col min="4" max="4" width="16.140625" style="3" bestFit="1" customWidth="1"/>
    <col min="5" max="5" width="11" style="3" customWidth="1"/>
    <col min="6" max="6" width="11.85546875" style="3" customWidth="1"/>
    <col min="7" max="7" width="0.85546875" style="3" customWidth="1"/>
    <col min="8" max="8" width="12.85546875" style="3" bestFit="1" customWidth="1"/>
    <col min="9" max="9" width="9.42578125" style="3" bestFit="1" customWidth="1"/>
    <col min="10" max="10" width="11.5703125" style="3" bestFit="1" customWidth="1"/>
    <col min="11" max="11" width="1" style="3" customWidth="1"/>
    <col min="12" max="12" width="12.85546875" style="3" bestFit="1" customWidth="1"/>
    <col min="13" max="13" width="9.42578125" style="3" bestFit="1" customWidth="1"/>
    <col min="14" max="14" width="13.42578125" style="3" customWidth="1"/>
    <col min="15" max="15" width="8.85546875" style="3"/>
    <col min="16" max="16" width="9.42578125" style="3" bestFit="1" customWidth="1"/>
    <col min="17" max="16384" width="8.85546875" style="3"/>
  </cols>
  <sheetData>
    <row r="1" spans="1:16" s="15" customFormat="1" ht="12.75" customHeight="1">
      <c r="A1" s="459" t="str">
        <f>'Exh CTM-8 (Rate Impacts_RY#1)'!A1</f>
        <v>Puget Sound Energy</v>
      </c>
      <c r="B1" s="460"/>
      <c r="C1" s="460"/>
      <c r="D1" s="460"/>
      <c r="E1" s="460"/>
      <c r="F1" s="460"/>
      <c r="G1" s="460"/>
      <c r="H1" s="460"/>
      <c r="I1" s="460"/>
      <c r="J1" s="460"/>
      <c r="K1" s="460"/>
      <c r="L1" s="460"/>
      <c r="M1" s="460"/>
      <c r="N1" s="460"/>
    </row>
    <row r="2" spans="1:16" s="15" customFormat="1" ht="12.75">
      <c r="A2" s="459" t="str">
        <f>'Exh CTM-8 (Rate Impacts_RY#1)'!A2</f>
        <v>2024 General Rate Case Docket No. UE-240004 and UG-240005</v>
      </c>
      <c r="B2" s="460"/>
      <c r="C2" s="460"/>
      <c r="D2" s="460"/>
      <c r="E2" s="460"/>
      <c r="F2" s="460"/>
      <c r="G2" s="460"/>
      <c r="H2" s="460"/>
      <c r="I2" s="460"/>
      <c r="J2" s="460"/>
      <c r="K2" s="460"/>
      <c r="L2" s="460"/>
      <c r="M2" s="460"/>
      <c r="N2" s="460"/>
    </row>
    <row r="3" spans="1:16" s="15" customFormat="1" ht="12.75">
      <c r="A3" s="545" t="s">
        <v>307</v>
      </c>
      <c r="B3" s="470"/>
      <c r="C3" s="470"/>
      <c r="D3" s="470"/>
      <c r="E3" s="470"/>
      <c r="F3" s="471"/>
      <c r="G3" s="471"/>
      <c r="H3" s="471"/>
      <c r="I3" s="471"/>
      <c r="J3" s="471"/>
      <c r="K3" s="471"/>
      <c r="L3" s="471"/>
      <c r="M3" s="471"/>
      <c r="N3" s="471"/>
    </row>
    <row r="4" spans="1:16" s="15" customFormat="1" ht="13.5" thickBot="1">
      <c r="A4" s="545" t="s">
        <v>177</v>
      </c>
      <c r="B4" s="470"/>
      <c r="C4" s="470"/>
      <c r="D4" s="470"/>
      <c r="E4" s="470"/>
      <c r="F4" s="471"/>
      <c r="G4" s="471"/>
      <c r="H4" s="471"/>
      <c r="I4" s="471"/>
      <c r="J4" s="471"/>
      <c r="K4" s="471"/>
      <c r="L4" s="471"/>
      <c r="M4" s="471"/>
      <c r="N4" s="471"/>
    </row>
    <row r="5" spans="1:16" s="15" customFormat="1" ht="27.75" customHeight="1" thickBot="1">
      <c r="A5" s="456"/>
      <c r="B5" s="456"/>
      <c r="C5" s="456"/>
      <c r="D5" s="456"/>
      <c r="E5" s="456"/>
      <c r="F5" s="44"/>
      <c r="L5" s="554" t="s">
        <v>306</v>
      </c>
      <c r="M5" s="555"/>
      <c r="N5" s="556"/>
    </row>
    <row r="6" spans="1:16" s="15" customFormat="1" ht="12.75">
      <c r="A6" s="45"/>
      <c r="B6" s="44"/>
      <c r="C6" s="44"/>
      <c r="D6" s="44"/>
      <c r="H6" s="546" t="str">
        <f>'Sch 95'!H6</f>
        <v>MYRP January 2025</v>
      </c>
      <c r="I6" s="494"/>
      <c r="J6" s="493"/>
      <c r="K6" s="132">
        <f>'Sch 95'!K6</f>
        <v>0</v>
      </c>
      <c r="L6" s="546" t="str">
        <f>'Sch 95'!L6</f>
        <v>MYRP January 2026</v>
      </c>
      <c r="M6" s="547"/>
      <c r="N6" s="548"/>
    </row>
    <row r="7" spans="1:16" s="15" customFormat="1" ht="45">
      <c r="A7" s="97" t="s">
        <v>2</v>
      </c>
      <c r="B7" s="97" t="s">
        <v>3</v>
      </c>
      <c r="C7" s="97" t="s">
        <v>14</v>
      </c>
      <c r="D7" s="133" t="str">
        <f>'Sch 95'!D7</f>
        <v>12 months ending December 2025 F23 Forecast KWh</v>
      </c>
      <c r="E7" s="133" t="str">
        <f>'Sch 95'!E7</f>
        <v>Current Rates as of January 2024 (1)</v>
      </c>
      <c r="F7" s="133" t="str">
        <f>'Sch 95'!F7</f>
        <v>Annual Delivered $</v>
      </c>
      <c r="G7" s="133">
        <f>'Sch 95'!G7</f>
        <v>0</v>
      </c>
      <c r="H7" s="133" t="str">
        <f>'Sch 95'!H7</f>
        <v>Annual Delivered KWh</v>
      </c>
      <c r="I7" s="133" t="str">
        <f>'Sch 95'!I7</f>
        <v>Rates Effective January 2025</v>
      </c>
      <c r="J7" s="133" t="str">
        <f>'Sch 95'!J7</f>
        <v>Annual Delivered $</v>
      </c>
      <c r="K7" s="133">
        <f>'Sch 95'!K7</f>
        <v>0</v>
      </c>
      <c r="L7" s="133" t="str">
        <f>'Sch 95'!L7</f>
        <v>Annual Delivered KWh</v>
      </c>
      <c r="M7" s="133" t="str">
        <f>'Sch 95'!M7</f>
        <v>Rates Effective January 2026</v>
      </c>
      <c r="N7" s="133" t="str">
        <f>'Sch 95'!N7</f>
        <v>Annual Delivered $</v>
      </c>
    </row>
    <row r="8" spans="1:16">
      <c r="A8" s="2">
        <v>1</v>
      </c>
      <c r="B8" s="132" t="str">
        <f>'Sch 95'!B8</f>
        <v xml:space="preserve"> 7 (307) (317) (327)</v>
      </c>
      <c r="D8" s="116">
        <f>'Revenue by Sch RY#1'!D9</f>
        <v>11278205851.395365</v>
      </c>
      <c r="E8" s="109">
        <v>0</v>
      </c>
      <c r="F8" s="12">
        <f>D8*E8</f>
        <v>0</v>
      </c>
      <c r="H8" s="4">
        <f>D8</f>
        <v>11278205851.395365</v>
      </c>
      <c r="I8" s="117">
        <v>5.8928686002258457E-4</v>
      </c>
      <c r="J8" s="12">
        <f>$I8*H8</f>
        <v>6646098.5128571149</v>
      </c>
      <c r="K8" s="12"/>
      <c r="L8" s="116">
        <f>'Revenue by Sch RY#2'!D9</f>
        <v>11447649239.71397</v>
      </c>
      <c r="M8" s="117">
        <v>5.8056447867048497E-4</v>
      </c>
      <c r="N8" s="12">
        <f>$M8*L8</f>
        <v>6646098.5128571149</v>
      </c>
      <c r="P8" s="11"/>
    </row>
    <row r="9" spans="1:16">
      <c r="A9" s="2">
        <f t="shared" ref="A9:A41" si="0">+A8+1</f>
        <v>2</v>
      </c>
      <c r="B9" s="132" t="str">
        <f>'Sch 95'!B9</f>
        <v xml:space="preserve">7A </v>
      </c>
      <c r="D9" s="4">
        <v>0</v>
      </c>
      <c r="E9" s="109">
        <v>0</v>
      </c>
      <c r="F9" s="12">
        <f>D9*E9</f>
        <v>0</v>
      </c>
      <c r="H9" s="4">
        <f>D9</f>
        <v>0</v>
      </c>
      <c r="I9" s="117">
        <v>2.4277708300260852E-5</v>
      </c>
      <c r="J9" s="12">
        <f>$I9*H9</f>
        <v>0</v>
      </c>
      <c r="K9" s="12"/>
      <c r="L9" s="4">
        <v>0</v>
      </c>
      <c r="M9" s="117">
        <v>2.4239506646092717E-5</v>
      </c>
      <c r="N9" s="12">
        <f>$M9*L9</f>
        <v>0</v>
      </c>
      <c r="P9" s="11"/>
    </row>
    <row r="10" spans="1:16">
      <c r="A10" s="2">
        <f t="shared" si="0"/>
        <v>3</v>
      </c>
      <c r="B10" s="2"/>
      <c r="C10" s="3" t="s">
        <v>4</v>
      </c>
      <c r="D10" s="6">
        <f>SUM(D8:D9)</f>
        <v>11278205851.395365</v>
      </c>
      <c r="E10" s="11"/>
      <c r="F10" s="13">
        <f t="shared" ref="F10" si="1">SUM(F8:F9)</f>
        <v>0</v>
      </c>
      <c r="H10" s="6">
        <f>SUM(H8:H9)</f>
        <v>11278205851.395365</v>
      </c>
      <c r="I10" s="11"/>
      <c r="J10" s="13">
        <f t="shared" ref="J10" si="2">SUM(J8:J9)</f>
        <v>6646098.5128571149</v>
      </c>
      <c r="K10" s="12"/>
      <c r="L10" s="6">
        <f>SUM(L8:L9)</f>
        <v>11447649239.71397</v>
      </c>
      <c r="M10" s="11"/>
      <c r="N10" s="13">
        <f t="shared" ref="N10" si="3">SUM(N8:N9)</f>
        <v>6646098.5128571149</v>
      </c>
    </row>
    <row r="11" spans="1:16">
      <c r="A11" s="2">
        <f t="shared" si="0"/>
        <v>4</v>
      </c>
      <c r="B11" s="2"/>
      <c r="D11" s="4"/>
      <c r="E11" s="11"/>
      <c r="F11" s="12"/>
      <c r="H11" s="4"/>
      <c r="I11" s="11"/>
      <c r="J11" s="12"/>
      <c r="K11" s="12"/>
      <c r="L11" s="4"/>
      <c r="M11" s="11"/>
      <c r="N11" s="12"/>
    </row>
    <row r="12" spans="1:16">
      <c r="A12" s="2">
        <f t="shared" si="0"/>
        <v>5</v>
      </c>
      <c r="B12" s="132">
        <f>'Sch 95'!B12</f>
        <v>8</v>
      </c>
      <c r="D12" s="4">
        <v>0</v>
      </c>
      <c r="E12" s="109">
        <v>0</v>
      </c>
      <c r="F12" s="12">
        <f t="shared" ref="F12:F18" si="4">D12*E12</f>
        <v>0</v>
      </c>
      <c r="H12" s="4">
        <f t="shared" ref="H12:H18" si="5">D12</f>
        <v>0</v>
      </c>
      <c r="I12" s="117">
        <v>2.8727030798653835E-4</v>
      </c>
      <c r="J12" s="12">
        <f t="shared" ref="J12:J18" si="6">$I12*H12</f>
        <v>0</v>
      </c>
      <c r="K12" s="12"/>
      <c r="L12" s="4">
        <v>0</v>
      </c>
      <c r="M12" s="117">
        <v>2.8599373040827478E-4</v>
      </c>
      <c r="N12" s="12">
        <f t="shared" ref="N12:N18" si="7">$M12*L12</f>
        <v>0</v>
      </c>
    </row>
    <row r="13" spans="1:16">
      <c r="A13" s="2">
        <f t="shared" si="0"/>
        <v>6</v>
      </c>
      <c r="B13" s="132" t="str">
        <f>'Sch 95'!B13</f>
        <v>24 (324)</v>
      </c>
      <c r="D13" s="116">
        <f>'Revenue by Sch RY#1'!D10</f>
        <v>2762635966.1696987</v>
      </c>
      <c r="E13" s="109">
        <v>0</v>
      </c>
      <c r="F13" s="12">
        <f t="shared" si="4"/>
        <v>0</v>
      </c>
      <c r="H13" s="4">
        <f t="shared" si="5"/>
        <v>2762635966.1696987</v>
      </c>
      <c r="I13" s="11">
        <f>I12</f>
        <v>2.8727030798653835E-4</v>
      </c>
      <c r="J13" s="12">
        <f t="shared" si="6"/>
        <v>793623.28485625726</v>
      </c>
      <c r="K13" s="12"/>
      <c r="L13" s="116">
        <f>'Revenue by Sch RY#2'!D10</f>
        <v>2774967422.2693906</v>
      </c>
      <c r="M13" s="11">
        <f>M12</f>
        <v>2.8599373040827478E-4</v>
      </c>
      <c r="N13" s="12">
        <f t="shared" si="7"/>
        <v>793623.28485625726</v>
      </c>
    </row>
    <row r="14" spans="1:16">
      <c r="A14" s="2">
        <f t="shared" si="0"/>
        <v>7</v>
      </c>
      <c r="B14" s="132">
        <f>'Sch 95'!B14</f>
        <v>11</v>
      </c>
      <c r="D14" s="4">
        <v>0</v>
      </c>
      <c r="E14" s="109">
        <v>0</v>
      </c>
      <c r="F14" s="12">
        <f t="shared" si="4"/>
        <v>0</v>
      </c>
      <c r="H14" s="4">
        <f t="shared" si="5"/>
        <v>0</v>
      </c>
      <c r="I14" s="11">
        <f>I9</f>
        <v>2.4277708300260852E-5</v>
      </c>
      <c r="J14" s="12">
        <f t="shared" si="6"/>
        <v>0</v>
      </c>
      <c r="K14" s="12"/>
      <c r="L14" s="4">
        <v>0</v>
      </c>
      <c r="M14" s="11">
        <f>M9</f>
        <v>2.4239506646092717E-5</v>
      </c>
      <c r="N14" s="12">
        <f t="shared" si="7"/>
        <v>0</v>
      </c>
    </row>
    <row r="15" spans="1:16">
      <c r="A15" s="2">
        <f t="shared" si="0"/>
        <v>8</v>
      </c>
      <c r="B15" s="132">
        <f>'Sch 95'!B15</f>
        <v>25</v>
      </c>
      <c r="D15" s="116">
        <f>'Revenue by Sch RY#1'!D11</f>
        <v>2960202274.8054705</v>
      </c>
      <c r="E15" s="109">
        <v>0</v>
      </c>
      <c r="F15" s="12">
        <f t="shared" si="4"/>
        <v>0</v>
      </c>
      <c r="H15" s="4">
        <f t="shared" si="5"/>
        <v>2960202274.8054705</v>
      </c>
      <c r="I15" s="11">
        <f>I14</f>
        <v>2.4277708300260852E-5</v>
      </c>
      <c r="J15" s="12">
        <f t="shared" si="6"/>
        <v>71866.927337495828</v>
      </c>
      <c r="K15" s="12"/>
      <c r="L15" s="116">
        <f>'Revenue by Sch RY#2'!D11</f>
        <v>2968720174.6374388</v>
      </c>
      <c r="M15" s="11">
        <f>M14</f>
        <v>2.4239506646092717E-5</v>
      </c>
      <c r="N15" s="12">
        <f t="shared" si="7"/>
        <v>71960.31240351373</v>
      </c>
    </row>
    <row r="16" spans="1:16">
      <c r="A16" s="2">
        <f t="shared" si="0"/>
        <v>9</v>
      </c>
      <c r="B16" s="132">
        <f>'Sch 95'!B16</f>
        <v>12</v>
      </c>
      <c r="D16" s="4">
        <v>0</v>
      </c>
      <c r="E16" s="109">
        <v>0</v>
      </c>
      <c r="F16" s="12">
        <f t="shared" si="4"/>
        <v>0</v>
      </c>
      <c r="H16" s="4">
        <f t="shared" si="5"/>
        <v>0</v>
      </c>
      <c r="I16" s="117">
        <v>1.7865849255524671E-5</v>
      </c>
      <c r="J16" s="12">
        <f t="shared" si="6"/>
        <v>0</v>
      </c>
      <c r="K16" s="12"/>
      <c r="L16" s="4">
        <v>0</v>
      </c>
      <c r="M16" s="117">
        <v>1.7493209677852782E-5</v>
      </c>
      <c r="N16" s="12">
        <f t="shared" si="7"/>
        <v>0</v>
      </c>
    </row>
    <row r="17" spans="1:14">
      <c r="A17" s="2">
        <f t="shared" si="0"/>
        <v>10</v>
      </c>
      <c r="B17" s="132" t="str">
        <f>'Sch 95'!B17</f>
        <v>26 &amp; 26P</v>
      </c>
      <c r="D17" s="116">
        <f>'Revenue by Sch RY#1'!D12</f>
        <v>2013891730.8000479</v>
      </c>
      <c r="E17" s="109">
        <v>0</v>
      </c>
      <c r="F17" s="12">
        <f t="shared" si="4"/>
        <v>0</v>
      </c>
      <c r="H17" s="4">
        <f t="shared" si="5"/>
        <v>2013891730.8000479</v>
      </c>
      <c r="I17" s="11">
        <f>I16</f>
        <v>1.7865849255524671E-5</v>
      </c>
      <c r="J17" s="12">
        <f t="shared" si="6"/>
        <v>35979.886079421325</v>
      </c>
      <c r="K17" s="12"/>
      <c r="L17" s="116">
        <f>'Revenue by Sch RY#2'!D12</f>
        <v>2056791563.2414525</v>
      </c>
      <c r="M17" s="11">
        <f>M16</f>
        <v>1.7493209677852782E-5</v>
      </c>
      <c r="N17" s="12">
        <f t="shared" si="7"/>
        <v>35979.886079421325</v>
      </c>
    </row>
    <row r="18" spans="1:14">
      <c r="A18" s="2">
        <f t="shared" si="0"/>
        <v>11</v>
      </c>
      <c r="B18" s="132">
        <f>'Sch 95'!B18</f>
        <v>29</v>
      </c>
      <c r="D18" s="116">
        <f>'Revenue by Sch RY#1'!D13</f>
        <v>14930059.630887466</v>
      </c>
      <c r="E18" s="109">
        <v>0</v>
      </c>
      <c r="F18" s="12">
        <f t="shared" si="4"/>
        <v>0</v>
      </c>
      <c r="H18" s="4">
        <f t="shared" si="5"/>
        <v>14930059.630887466</v>
      </c>
      <c r="I18" s="117">
        <v>3.51317007453705E-4</v>
      </c>
      <c r="J18" s="12">
        <f t="shared" si="6"/>
        <v>5245.1838706287517</v>
      </c>
      <c r="K18" s="12"/>
      <c r="L18" s="116">
        <f>'Revenue by Sch RY#2'!D13</f>
        <v>14843026.361509496</v>
      </c>
      <c r="M18" s="117">
        <v>3.470854715969747E-4</v>
      </c>
      <c r="N18" s="12">
        <f t="shared" si="7"/>
        <v>5151.7988046108512</v>
      </c>
    </row>
    <row r="19" spans="1:14">
      <c r="A19" s="2">
        <f t="shared" si="0"/>
        <v>12</v>
      </c>
      <c r="B19" s="2"/>
      <c r="C19" s="7" t="s">
        <v>6</v>
      </c>
      <c r="D19" s="6">
        <f>SUM(D12:D18)</f>
        <v>7751660031.4061041</v>
      </c>
      <c r="E19" s="11"/>
      <c r="F19" s="13">
        <f t="shared" ref="F19" si="8">SUM(F12:F18)</f>
        <v>0</v>
      </c>
      <c r="H19" s="6">
        <f>SUM(H12:H18)</f>
        <v>7751660031.4061041</v>
      </c>
      <c r="I19" s="11"/>
      <c r="J19" s="13">
        <f t="shared" ref="J19" si="9">SUM(J12:J18)</f>
        <v>906715.28214380308</v>
      </c>
      <c r="K19" s="12"/>
      <c r="L19" s="6">
        <f>SUM(L12:L18)</f>
        <v>7815322186.5097914</v>
      </c>
      <c r="M19" s="11"/>
      <c r="N19" s="13">
        <f t="shared" ref="N19" si="10">SUM(N12:N18)</f>
        <v>906715.2821438032</v>
      </c>
    </row>
    <row r="20" spans="1:14">
      <c r="A20" s="2">
        <f t="shared" si="0"/>
        <v>13</v>
      </c>
      <c r="B20" s="2"/>
      <c r="D20" s="4"/>
      <c r="E20" s="11"/>
      <c r="F20" s="12"/>
      <c r="H20" s="4"/>
      <c r="I20" s="11"/>
      <c r="J20" s="12"/>
      <c r="K20" s="12"/>
      <c r="L20" s="4"/>
      <c r="M20" s="11"/>
      <c r="N20" s="12"/>
    </row>
    <row r="21" spans="1:14">
      <c r="A21" s="2">
        <f t="shared" si="0"/>
        <v>14</v>
      </c>
      <c r="B21" s="132">
        <f>'Sch 95'!B21</f>
        <v>10</v>
      </c>
      <c r="D21" s="4">
        <v>0</v>
      </c>
      <c r="E21" s="109">
        <v>0</v>
      </c>
      <c r="F21" s="12">
        <f t="shared" ref="F21:F24" si="11">D21*E21</f>
        <v>0</v>
      </c>
      <c r="H21" s="4">
        <f>D21</f>
        <v>0</v>
      </c>
      <c r="I21" s="117">
        <v>2.0758385255745017E-5</v>
      </c>
      <c r="J21" s="12">
        <f t="shared" ref="J21:J24" si="12">$I21*H21</f>
        <v>0</v>
      </c>
      <c r="K21" s="12"/>
      <c r="L21" s="4">
        <v>0</v>
      </c>
      <c r="M21" s="117">
        <v>2.0939126691512533E-5</v>
      </c>
      <c r="N21" s="12">
        <f t="shared" ref="N21:N24" si="13">$M21*L21</f>
        <v>0</v>
      </c>
    </row>
    <row r="22" spans="1:14">
      <c r="A22" s="2">
        <f t="shared" si="0"/>
        <v>15</v>
      </c>
      <c r="B22" s="132">
        <f>'Sch 95'!B22</f>
        <v>31</v>
      </c>
      <c r="D22" s="116">
        <f>'Revenue by Sch RY#1'!D14</f>
        <v>1423586019.4788036</v>
      </c>
      <c r="E22" s="109">
        <v>0</v>
      </c>
      <c r="F22" s="12">
        <f t="shared" si="11"/>
        <v>0</v>
      </c>
      <c r="H22" s="4">
        <f>D22</f>
        <v>1423586019.4788036</v>
      </c>
      <c r="I22" s="11">
        <f>I21</f>
        <v>2.0758385255745017E-5</v>
      </c>
      <c r="J22" s="12">
        <f t="shared" si="12"/>
        <v>29551.347037033534</v>
      </c>
      <c r="K22" s="12"/>
      <c r="L22" s="116">
        <f>'Revenue by Sch RY#2'!D14</f>
        <v>1411297972.0883911</v>
      </c>
      <c r="M22" s="11">
        <f>M21</f>
        <v>2.0939126691512533E-5</v>
      </c>
      <c r="N22" s="12">
        <f t="shared" si="13"/>
        <v>29551.347037033538</v>
      </c>
    </row>
    <row r="23" spans="1:14">
      <c r="A23" s="2">
        <f t="shared" si="0"/>
        <v>16</v>
      </c>
      <c r="B23" s="132">
        <f>'Sch 95'!B23</f>
        <v>35</v>
      </c>
      <c r="D23" s="116">
        <f>'Revenue by Sch RY#1'!D15</f>
        <v>4407260.1568774413</v>
      </c>
      <c r="E23" s="109">
        <v>0</v>
      </c>
      <c r="F23" s="12">
        <f t="shared" si="11"/>
        <v>0</v>
      </c>
      <c r="H23" s="4">
        <f>D23</f>
        <v>4407260.1568774413</v>
      </c>
      <c r="I23" s="117">
        <v>2.1466669287422211E-6</v>
      </c>
      <c r="J23" s="12">
        <f t="shared" si="12"/>
        <v>9.4609196251320569</v>
      </c>
      <c r="K23" s="12"/>
      <c r="L23" s="116">
        <f>'Revenue by Sch RY#2'!D15</f>
        <v>4380281.1514552524</v>
      </c>
      <c r="M23" s="117">
        <v>2.1598886687875901E-6</v>
      </c>
      <c r="N23" s="12">
        <f t="shared" si="13"/>
        <v>9.4609196251320569</v>
      </c>
    </row>
    <row r="24" spans="1:14">
      <c r="A24" s="2">
        <f t="shared" si="0"/>
        <v>17</v>
      </c>
      <c r="B24" s="132">
        <f>'Sch 95'!B24</f>
        <v>43</v>
      </c>
      <c r="D24" s="116">
        <f>'Revenue by Sch RY#1'!D16</f>
        <v>122267424.6450724</v>
      </c>
      <c r="E24" s="109">
        <v>0</v>
      </c>
      <c r="F24" s="12">
        <f t="shared" si="11"/>
        <v>0</v>
      </c>
      <c r="H24" s="4">
        <f>D24</f>
        <v>122267424.6450724</v>
      </c>
      <c r="I24" s="117">
        <v>2.817704600253105E-5</v>
      </c>
      <c r="J24" s="12">
        <f t="shared" si="12"/>
        <v>3445.1348488352037</v>
      </c>
      <c r="K24" s="12"/>
      <c r="L24" s="116">
        <f>'Revenue by Sch RY#2'!D16</f>
        <v>121633779.10385114</v>
      </c>
      <c r="M24" s="117">
        <v>2.8323833019228493E-5</v>
      </c>
      <c r="N24" s="12">
        <f t="shared" si="13"/>
        <v>3445.1348488352037</v>
      </c>
    </row>
    <row r="25" spans="1:14">
      <c r="A25" s="2">
        <f t="shared" si="0"/>
        <v>18</v>
      </c>
      <c r="B25" s="2"/>
      <c r="C25" s="3" t="s">
        <v>7</v>
      </c>
      <c r="D25" s="6">
        <f>SUM(D21:D24)</f>
        <v>1550260704.2807536</v>
      </c>
      <c r="E25" s="11"/>
      <c r="F25" s="13">
        <f t="shared" ref="F25" si="14">SUM(F21:F24)</f>
        <v>0</v>
      </c>
      <c r="H25" s="6">
        <f>SUM(H21:H24)</f>
        <v>1550260704.2807536</v>
      </c>
      <c r="I25" s="11"/>
      <c r="J25" s="13">
        <f t="shared" ref="J25" si="15">SUM(J21:J24)</f>
        <v>33005.942805493869</v>
      </c>
      <c r="K25" s="12"/>
      <c r="L25" s="6">
        <f>SUM(L21:L24)</f>
        <v>1537312032.3436973</v>
      </c>
      <c r="M25" s="11"/>
      <c r="N25" s="13">
        <f t="shared" ref="N25" si="16">SUM(N21:N24)</f>
        <v>33005.942805493876</v>
      </c>
    </row>
    <row r="26" spans="1:14">
      <c r="A26" s="2">
        <f t="shared" si="0"/>
        <v>19</v>
      </c>
      <c r="B26" s="2"/>
      <c r="D26" s="4"/>
      <c r="E26" s="11"/>
      <c r="F26" s="12"/>
      <c r="H26" s="4"/>
      <c r="I26" s="11"/>
      <c r="J26" s="12"/>
      <c r="K26" s="12"/>
      <c r="L26" s="4"/>
      <c r="M26" s="11"/>
      <c r="N26" s="12"/>
    </row>
    <row r="27" spans="1:14">
      <c r="A27" s="2">
        <f t="shared" si="0"/>
        <v>20</v>
      </c>
      <c r="B27" s="132">
        <f>'Sch 95'!B27</f>
        <v>46</v>
      </c>
      <c r="D27" s="116">
        <f>'Revenue by Sch RY#1'!D17</f>
        <v>96933187.043131709</v>
      </c>
      <c r="E27" s="109">
        <v>0</v>
      </c>
      <c r="F27" s="12">
        <f t="shared" ref="F27:F28" si="17">D27*E27</f>
        <v>0</v>
      </c>
      <c r="H27" s="4">
        <f>D27</f>
        <v>96933187.043131709</v>
      </c>
      <c r="I27" s="117">
        <v>5.1948687657628185E-5</v>
      </c>
      <c r="J27" s="12">
        <f t="shared" ref="J27:J28" si="18">$I27*H27</f>
        <v>5035.5518573621002</v>
      </c>
      <c r="K27" s="12"/>
      <c r="L27" s="116">
        <f>'Revenue by Sch RY#2'!D17</f>
        <v>96918964.527943105</v>
      </c>
      <c r="M27" s="117">
        <v>5.1956310943770761E-5</v>
      </c>
      <c r="N27" s="12">
        <f t="shared" ref="N27:N28" si="19">$M27*L27</f>
        <v>5035.5518573621002</v>
      </c>
    </row>
    <row r="28" spans="1:14">
      <c r="A28" s="2">
        <f t="shared" si="0"/>
        <v>21</v>
      </c>
      <c r="B28" s="132">
        <f>'Sch 95'!B28</f>
        <v>49</v>
      </c>
      <c r="D28" s="116">
        <f>'Revenue by Sch RY#1'!D18</f>
        <v>534843226.30681556</v>
      </c>
      <c r="E28" s="109">
        <v>0</v>
      </c>
      <c r="F28" s="12">
        <f t="shared" si="17"/>
        <v>0</v>
      </c>
      <c r="H28" s="4">
        <f>D28</f>
        <v>534843226.30681556</v>
      </c>
      <c r="I28" s="117">
        <v>2.6675848599058547E-5</v>
      </c>
      <c r="J28" s="12">
        <f t="shared" si="18"/>
        <v>14267.396929192619</v>
      </c>
      <c r="K28" s="12"/>
      <c r="L28" s="116">
        <f>'Revenue by Sch RY#2'!D18</f>
        <v>534899242.67952603</v>
      </c>
      <c r="M28" s="117">
        <v>2.6673055018215156E-5</v>
      </c>
      <c r="N28" s="12">
        <f t="shared" si="19"/>
        <v>14267.396929192619</v>
      </c>
    </row>
    <row r="29" spans="1:14">
      <c r="A29" s="2">
        <f t="shared" si="0"/>
        <v>22</v>
      </c>
      <c r="B29" s="2"/>
      <c r="C29" s="3" t="s">
        <v>8</v>
      </c>
      <c r="D29" s="6">
        <f>SUM(D27:D28)</f>
        <v>631776413.34994721</v>
      </c>
      <c r="E29" s="11"/>
      <c r="F29" s="13">
        <f t="shared" ref="F29" si="20">SUM(F27:F28)</f>
        <v>0</v>
      </c>
      <c r="H29" s="6">
        <f>SUM(H27:H28)</f>
        <v>631776413.34994721</v>
      </c>
      <c r="I29" s="11"/>
      <c r="J29" s="13">
        <f t="shared" ref="J29" si="21">SUM(J27:J28)</f>
        <v>19302.94878655472</v>
      </c>
      <c r="K29" s="12"/>
      <c r="L29" s="6">
        <f>SUM(L27:L28)</f>
        <v>631818207.20746911</v>
      </c>
      <c r="M29" s="11"/>
      <c r="N29" s="13">
        <f t="shared" ref="N29" si="22">SUM(N27:N28)</f>
        <v>19302.94878655472</v>
      </c>
    </row>
    <row r="30" spans="1:14">
      <c r="A30" s="2">
        <f t="shared" si="0"/>
        <v>23</v>
      </c>
      <c r="B30" s="2"/>
      <c r="D30" s="4"/>
      <c r="E30" s="11"/>
      <c r="F30" s="12"/>
      <c r="H30" s="4"/>
      <c r="I30" s="11"/>
      <c r="J30" s="12"/>
      <c r="K30" s="12"/>
      <c r="L30" s="4"/>
      <c r="M30" s="11"/>
      <c r="N30" s="12"/>
    </row>
    <row r="31" spans="1:14">
      <c r="A31" s="2">
        <f t="shared" si="0"/>
        <v>24</v>
      </c>
      <c r="B31" s="132" t="str">
        <f>'Sch 95'!B31</f>
        <v>03, 50-59</v>
      </c>
      <c r="D31" s="122">
        <f>'Revenue by Sch RY#1'!D19</f>
        <v>67255417.982360825</v>
      </c>
      <c r="E31" s="109">
        <v>0</v>
      </c>
      <c r="F31" s="13">
        <f>D31*E31</f>
        <v>0</v>
      </c>
      <c r="H31" s="6">
        <f>D31</f>
        <v>67255417.982360825</v>
      </c>
      <c r="I31" s="117">
        <v>8.019505468123228E-4</v>
      </c>
      <c r="J31" s="13">
        <f>$I31*H31</f>
        <v>53935.519227045588</v>
      </c>
      <c r="K31" s="12"/>
      <c r="L31" s="122">
        <f>'Revenue by Sch RY#2'!D19</f>
        <v>67027608.143863305</v>
      </c>
      <c r="M31" s="117">
        <v>8.0467617330581473E-4</v>
      </c>
      <c r="N31" s="13">
        <f>$M31*L31</f>
        <v>53935.519227045588</v>
      </c>
    </row>
    <row r="32" spans="1:14">
      <c r="A32" s="2">
        <f t="shared" si="0"/>
        <v>25</v>
      </c>
      <c r="B32" s="2"/>
      <c r="D32" s="4"/>
      <c r="E32" s="11"/>
      <c r="F32" s="12"/>
      <c r="H32" s="4"/>
      <c r="I32" s="11"/>
      <c r="J32" s="12"/>
      <c r="K32" s="12"/>
      <c r="L32" s="4"/>
      <c r="M32" s="11"/>
      <c r="N32" s="12"/>
    </row>
    <row r="33" spans="1:14">
      <c r="A33" s="2">
        <f t="shared" si="0"/>
        <v>26</v>
      </c>
      <c r="B33" s="132" t="str">
        <f>'Sch 95'!B33</f>
        <v>449-459</v>
      </c>
      <c r="D33" s="116">
        <f>'Revenue by Sch RY#1'!D20</f>
        <v>1967511960.3194919</v>
      </c>
      <c r="E33" s="109">
        <v>0</v>
      </c>
      <c r="F33" s="12">
        <f t="shared" ref="F33:F34" si="23">D33*E33</f>
        <v>0</v>
      </c>
      <c r="H33" s="4">
        <f>D33</f>
        <v>1967511960.3194919</v>
      </c>
      <c r="I33" s="117">
        <v>5.7378502209090002E-6</v>
      </c>
      <c r="J33" s="12">
        <f t="shared" ref="J33:J34" si="24">$I33*H33</f>
        <v>11289.288936160296</v>
      </c>
      <c r="K33" s="12"/>
      <c r="L33" s="116">
        <f>'Revenue by Sch RY#2'!D20</f>
        <v>1964993565.6779518</v>
      </c>
      <c r="M33" s="117">
        <v>5.745204021706465E-6</v>
      </c>
      <c r="N33" s="12">
        <f t="shared" ref="N33:N34" si="25">$M33*L33</f>
        <v>11289.288936160296</v>
      </c>
    </row>
    <row r="34" spans="1:14">
      <c r="A34" s="2">
        <f t="shared" si="0"/>
        <v>27</v>
      </c>
      <c r="B34" s="132" t="str">
        <f>'Sch 95'!B34</f>
        <v>Special Contract</v>
      </c>
      <c r="D34" s="116">
        <f>'Revenue by Sch RY#1'!D21</f>
        <v>304773055.46200001</v>
      </c>
      <c r="E34" s="109">
        <v>0</v>
      </c>
      <c r="F34" s="12">
        <f t="shared" si="23"/>
        <v>0</v>
      </c>
      <c r="H34" s="4">
        <f>D34</f>
        <v>304773055.46200001</v>
      </c>
      <c r="I34" s="117">
        <v>1.0021217112831002E-5</v>
      </c>
      <c r="J34" s="12">
        <f t="shared" si="24"/>
        <v>3054.1969589255868</v>
      </c>
      <c r="K34" s="12"/>
      <c r="L34" s="116">
        <f>'Revenue by Sch RY#2'!D21</f>
        <v>304773055.46200001</v>
      </c>
      <c r="M34" s="117">
        <v>1.0021217112831002E-5</v>
      </c>
      <c r="N34" s="12">
        <f t="shared" si="25"/>
        <v>3054.1969589255868</v>
      </c>
    </row>
    <row r="35" spans="1:14">
      <c r="A35" s="2">
        <f t="shared" si="0"/>
        <v>28</v>
      </c>
      <c r="B35" s="5"/>
      <c r="C35" s="3" t="s">
        <v>77</v>
      </c>
      <c r="D35" s="6">
        <f>SUM(D33:D34)</f>
        <v>2272285015.7814918</v>
      </c>
      <c r="F35" s="13">
        <f t="shared" ref="F35" si="26">SUM(F33:F34)</f>
        <v>0</v>
      </c>
      <c r="H35" s="6">
        <f>SUM(H33:H34)</f>
        <v>2272285015.7814918</v>
      </c>
      <c r="J35" s="13">
        <f t="shared" ref="J35" si="27">SUM(J33:J34)</f>
        <v>14343.485895085883</v>
      </c>
      <c r="K35" s="12"/>
      <c r="L35" s="6">
        <f>SUM(L33:L34)</f>
        <v>2269766621.1399517</v>
      </c>
      <c r="N35" s="13">
        <f t="shared" ref="N35" si="28">SUM(N33:N34)</f>
        <v>14343.485895085883</v>
      </c>
    </row>
    <row r="36" spans="1:14">
      <c r="A36" s="2">
        <f t="shared" si="0"/>
        <v>29</v>
      </c>
      <c r="B36" s="2"/>
      <c r="D36" s="4"/>
      <c r="F36" s="12"/>
      <c r="H36" s="4"/>
      <c r="J36" s="12"/>
      <c r="K36" s="12"/>
      <c r="L36" s="4"/>
      <c r="N36" s="12"/>
    </row>
    <row r="37" spans="1:14" ht="12" thickBot="1">
      <c r="A37" s="2">
        <f t="shared" si="0"/>
        <v>30</v>
      </c>
      <c r="B37" s="2"/>
      <c r="C37" s="7" t="s">
        <v>15</v>
      </c>
      <c r="D37" s="8">
        <f>SUM(D10,D19,D25,D29,D31,D35)</f>
        <v>23551443434.196022</v>
      </c>
      <c r="F37" s="14">
        <f>SUM(F10,F19,F25,F29,F31,F35)</f>
        <v>0</v>
      </c>
      <c r="H37" s="8">
        <f>SUM(H10,H19,H25,H29,H31,H35)</f>
        <v>23551443434.196022</v>
      </c>
      <c r="J37" s="14">
        <f>SUM(J10,J19,J25,J29,J31,J35)</f>
        <v>7673401.6917150989</v>
      </c>
      <c r="K37" s="12"/>
      <c r="L37" s="8">
        <f>SUM(L10,L19,L25,L29,L31,L35)</f>
        <v>23768895895.058746</v>
      </c>
      <c r="N37" s="14">
        <f>SUM(N10,N19,N25,N29,N31,N35)</f>
        <v>7673401.6917150989</v>
      </c>
    </row>
    <row r="38" spans="1:14" ht="12" thickTop="1">
      <c r="A38" s="2">
        <f t="shared" si="0"/>
        <v>31</v>
      </c>
      <c r="B38" s="2"/>
      <c r="F38" s="12"/>
      <c r="J38" s="12"/>
      <c r="K38" s="12"/>
      <c r="N38" s="12"/>
    </row>
    <row r="39" spans="1:14">
      <c r="A39" s="2">
        <f t="shared" si="0"/>
        <v>32</v>
      </c>
      <c r="B39" s="132">
        <f>'Sch 95'!B39</f>
        <v>5</v>
      </c>
      <c r="C39" s="3" t="s">
        <v>16</v>
      </c>
      <c r="D39" s="122">
        <f>'Revenue by Sch RY#1'!D22</f>
        <v>6714960.2368700616</v>
      </c>
      <c r="E39" s="109">
        <v>0</v>
      </c>
      <c r="F39" s="13">
        <f>D39*E39</f>
        <v>0</v>
      </c>
      <c r="H39" s="6">
        <f>D39</f>
        <v>6714960.2368700616</v>
      </c>
      <c r="I39" s="117">
        <v>7.43213651160858E-6</v>
      </c>
      <c r="J39" s="13">
        <f>$I39*H39</f>
        <v>49.906501150441784</v>
      </c>
      <c r="K39" s="12"/>
      <c r="L39" s="122">
        <f>'Revenue by Sch RY#2'!D22</f>
        <v>6710049.8818741431</v>
      </c>
      <c r="M39" s="117">
        <v>7.43757528319636E-6</v>
      </c>
      <c r="N39" s="12">
        <f>$M39*L39</f>
        <v>49.906501150441784</v>
      </c>
    </row>
    <row r="40" spans="1:14">
      <c r="A40" s="2">
        <f t="shared" si="0"/>
        <v>33</v>
      </c>
      <c r="B40" s="2"/>
      <c r="E40" s="11"/>
      <c r="F40" s="12"/>
      <c r="J40" s="12"/>
      <c r="K40" s="12"/>
      <c r="N40" s="12"/>
    </row>
    <row r="41" spans="1:14" ht="12" thickBot="1">
      <c r="A41" s="2">
        <f t="shared" si="0"/>
        <v>34</v>
      </c>
      <c r="B41" s="2"/>
      <c r="C41" s="110" t="s">
        <v>17</v>
      </c>
      <c r="D41" s="111">
        <f>SUM(D37,D39)</f>
        <v>23558158394.432892</v>
      </c>
      <c r="E41" s="112"/>
      <c r="F41" s="113">
        <f>SUM(F37,F39)</f>
        <v>0</v>
      </c>
      <c r="G41" s="15"/>
      <c r="H41" s="111">
        <f>SUM(H37,H39)</f>
        <v>23558158394.432892</v>
      </c>
      <c r="I41" s="15"/>
      <c r="J41" s="113">
        <f t="shared" ref="J41" si="29">SUM(J37,J39)</f>
        <v>7673451.5982162496</v>
      </c>
      <c r="K41" s="114"/>
      <c r="L41" s="111">
        <f>SUM(L37,L39)</f>
        <v>23775605944.94062</v>
      </c>
      <c r="M41" s="15"/>
      <c r="N41" s="113">
        <f t="shared" ref="N41" si="30">SUM(N37,N39)</f>
        <v>7673451.5982162496</v>
      </c>
    </row>
    <row r="42" spans="1:14" ht="12" thickTop="1">
      <c r="D42" s="123">
        <f>'Revenue by Sch RY#1'!D24</f>
        <v>23558158394.432896</v>
      </c>
      <c r="H42" s="162">
        <f>D42</f>
        <v>23558158394.432896</v>
      </c>
      <c r="J42" s="203">
        <v>7673451.5982162477</v>
      </c>
      <c r="L42" s="123">
        <f>'Revenue by Sch RY#2'!D24</f>
        <v>23775605944.94062</v>
      </c>
      <c r="N42" s="203">
        <v>7673451.5982162487</v>
      </c>
    </row>
    <row r="43" spans="1:14">
      <c r="C43" s="17" t="s">
        <v>168</v>
      </c>
      <c r="D43" s="124">
        <f>D41-D42</f>
        <v>0</v>
      </c>
      <c r="H43" s="124">
        <f>H41-H42</f>
        <v>0</v>
      </c>
      <c r="J43" s="124">
        <f>J41-J42</f>
        <v>0</v>
      </c>
      <c r="L43" s="124">
        <f>L41-L42</f>
        <v>0</v>
      </c>
      <c r="N43" s="124">
        <f>N41-N42</f>
        <v>0</v>
      </c>
    </row>
    <row r="45" spans="1:14">
      <c r="C45" s="101"/>
      <c r="D45" s="101"/>
    </row>
  </sheetData>
  <mergeCells count="8">
    <mergeCell ref="H6:J6"/>
    <mergeCell ref="L6:N6"/>
    <mergeCell ref="L5:N5"/>
    <mergeCell ref="A1:N1"/>
    <mergeCell ref="A2:N2"/>
    <mergeCell ref="A3:N3"/>
    <mergeCell ref="A4:N4"/>
    <mergeCell ref="A5:E5"/>
  </mergeCells>
  <pageMargins left="0.7" right="0.7" top="0.75" bottom="0.75" header="0.3" footer="0.3"/>
  <pageSetup scale="81" orientation="landscape" horizontalDpi="360" verticalDpi="360" r:id="rId1"/>
  <headerFooter>
    <oddFooter>&amp;R&amp;F
&amp;A
&amp;P of &amp;N</oddFooter>
  </headerFooter>
  <customProperties>
    <customPr name="_pios_id" r:id="rId2"/>
  </customPropertie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theme="4" tint="0.39997558519241921"/>
    <pageSetUpPr fitToPage="1"/>
  </sheetPr>
  <dimension ref="A1:V45"/>
  <sheetViews>
    <sheetView workbookViewId="0">
      <pane ySplit="7" topLeftCell="A20" activePane="bottomLeft" state="frozen"/>
      <selection activeCell="C32" sqref="C32"/>
      <selection pane="bottomLeft" activeCell="U42" sqref="U42"/>
    </sheetView>
  </sheetViews>
  <sheetFormatPr defaultColWidth="8.85546875" defaultRowHeight="11.25"/>
  <cols>
    <col min="1" max="1" width="4.42578125" style="3" bestFit="1" customWidth="1"/>
    <col min="2" max="2" width="14.85546875" style="3" bestFit="1" customWidth="1"/>
    <col min="3" max="3" width="21.7109375" style="3" bestFit="1" customWidth="1"/>
    <col min="4" max="4" width="15.140625" style="3" bestFit="1" customWidth="1"/>
    <col min="5" max="5" width="15.140625" style="3" customWidth="1"/>
    <col min="6" max="6" width="11" style="3" customWidth="1"/>
    <col min="7" max="7" width="9.42578125" style="3" bestFit="1" customWidth="1"/>
    <col min="8" max="8" width="11.85546875" style="3" customWidth="1"/>
    <col min="9" max="9" width="0.85546875" style="3" customWidth="1"/>
    <col min="10" max="10" width="12.85546875" style="3" bestFit="1" customWidth="1"/>
    <col min="11" max="11" width="12.85546875" style="3" customWidth="1"/>
    <col min="12" max="12" width="9.42578125" style="3" bestFit="1" customWidth="1"/>
    <col min="13" max="13" width="9.42578125" style="3" customWidth="1"/>
    <col min="14" max="14" width="10.7109375" style="3" bestFit="1" customWidth="1"/>
    <col min="15" max="15" width="1" style="3" customWidth="1"/>
    <col min="16" max="16" width="12.85546875" style="3" bestFit="1" customWidth="1"/>
    <col min="17" max="17" width="12.85546875" style="3" customWidth="1"/>
    <col min="18" max="18" width="9.42578125" style="3" bestFit="1" customWidth="1"/>
    <col min="19" max="19" width="9.42578125" style="3" customWidth="1"/>
    <col min="20" max="20" width="15.7109375" style="3" bestFit="1" customWidth="1"/>
    <col min="21" max="21" width="8.85546875" style="3"/>
    <col min="22" max="22" width="9.85546875" style="3" bestFit="1" customWidth="1"/>
    <col min="23" max="16384" width="8.85546875" style="3"/>
  </cols>
  <sheetData>
    <row r="1" spans="1:22" s="15" customFormat="1" ht="12.75" customHeight="1">
      <c r="A1" s="459" t="str">
        <f>'Exh CTM-8 (Rate Impacts_RY#1)'!A1</f>
        <v>Puget Sound Energy</v>
      </c>
      <c r="B1" s="460"/>
      <c r="C1" s="460"/>
      <c r="D1" s="460"/>
      <c r="E1" s="460"/>
      <c r="F1" s="460"/>
      <c r="G1" s="460"/>
      <c r="H1" s="460"/>
      <c r="I1" s="460"/>
      <c r="J1" s="460"/>
      <c r="K1" s="460"/>
      <c r="L1" s="460"/>
      <c r="M1" s="460"/>
      <c r="N1" s="460"/>
      <c r="O1" s="460"/>
      <c r="P1" s="460"/>
      <c r="Q1" s="460"/>
      <c r="R1" s="460"/>
      <c r="S1" s="460"/>
      <c r="T1" s="460"/>
    </row>
    <row r="2" spans="1:22" s="15" customFormat="1" ht="12.75">
      <c r="A2" s="459" t="str">
        <f>'Exh CTM-8 (Rate Impacts_RY#1)'!A2</f>
        <v>2024 General Rate Case Docket No. UE-240004 and UG-240005</v>
      </c>
      <c r="B2" s="460"/>
      <c r="C2" s="460"/>
      <c r="D2" s="460"/>
      <c r="E2" s="460"/>
      <c r="F2" s="460"/>
      <c r="G2" s="460"/>
      <c r="H2" s="460"/>
      <c r="I2" s="460"/>
      <c r="J2" s="460"/>
      <c r="K2" s="460"/>
      <c r="L2" s="460"/>
      <c r="M2" s="460"/>
      <c r="N2" s="460"/>
      <c r="O2" s="460"/>
      <c r="P2" s="460"/>
      <c r="Q2" s="460"/>
      <c r="R2" s="460"/>
      <c r="S2" s="460"/>
      <c r="T2" s="460"/>
    </row>
    <row r="3" spans="1:22" s="15" customFormat="1" ht="12.75">
      <c r="A3" s="545" t="s">
        <v>308</v>
      </c>
      <c r="B3" s="470"/>
      <c r="C3" s="470"/>
      <c r="D3" s="470"/>
      <c r="E3" s="470"/>
      <c r="F3" s="470"/>
      <c r="G3" s="470"/>
      <c r="H3" s="471"/>
      <c r="I3" s="471"/>
      <c r="J3" s="471"/>
      <c r="K3" s="471"/>
      <c r="L3" s="471"/>
      <c r="M3" s="471"/>
      <c r="N3" s="471"/>
      <c r="O3" s="471"/>
      <c r="P3" s="471"/>
      <c r="Q3" s="471"/>
      <c r="R3" s="471"/>
      <c r="S3" s="471"/>
      <c r="T3" s="471"/>
    </row>
    <row r="4" spans="1:22" s="15" customFormat="1" ht="13.5" thickBot="1">
      <c r="A4" s="545" t="s">
        <v>177</v>
      </c>
      <c r="B4" s="470"/>
      <c r="C4" s="470"/>
      <c r="D4" s="470"/>
      <c r="E4" s="470"/>
      <c r="F4" s="470"/>
      <c r="G4" s="470"/>
      <c r="H4" s="471"/>
      <c r="I4" s="471"/>
      <c r="J4" s="471"/>
      <c r="K4" s="471"/>
      <c r="L4" s="471"/>
      <c r="M4" s="471"/>
      <c r="N4" s="471"/>
      <c r="O4" s="471"/>
      <c r="P4" s="471"/>
      <c r="Q4" s="471"/>
      <c r="R4" s="471"/>
      <c r="S4" s="471"/>
      <c r="T4" s="471"/>
    </row>
    <row r="5" spans="1:22" s="15" customFormat="1" ht="13.5" thickBot="1">
      <c r="A5" s="456"/>
      <c r="B5" s="456"/>
      <c r="C5" s="456"/>
      <c r="D5" s="456"/>
      <c r="E5" s="456"/>
      <c r="F5" s="456"/>
      <c r="G5" s="44"/>
      <c r="H5" s="44"/>
      <c r="P5" s="554" t="s">
        <v>306</v>
      </c>
      <c r="Q5" s="555"/>
      <c r="R5" s="555"/>
      <c r="S5" s="555"/>
      <c r="T5" s="556"/>
    </row>
    <row r="6" spans="1:22" s="15" customFormat="1" ht="12.75">
      <c r="A6" s="45"/>
      <c r="B6" s="44"/>
      <c r="C6" s="44"/>
      <c r="D6" s="44"/>
      <c r="E6" s="44"/>
      <c r="J6" s="546" t="str">
        <f>'Sch 95'!H6</f>
        <v>MYRP January 2025</v>
      </c>
      <c r="K6" s="553"/>
      <c r="L6" s="494"/>
      <c r="M6" s="494"/>
      <c r="N6" s="493"/>
      <c r="O6" s="132">
        <f>'Sch 95'!K6</f>
        <v>0</v>
      </c>
      <c r="P6" s="557" t="str">
        <f>'Sch 95'!L6</f>
        <v>MYRP January 2026</v>
      </c>
      <c r="Q6" s="551"/>
      <c r="R6" s="558"/>
      <c r="S6" s="558"/>
      <c r="T6" s="559"/>
    </row>
    <row r="7" spans="1:22" s="15" customFormat="1" ht="45">
      <c r="A7" s="97" t="s">
        <v>2</v>
      </c>
      <c r="B7" s="97" t="s">
        <v>3</v>
      </c>
      <c r="C7" s="97" t="s">
        <v>14</v>
      </c>
      <c r="D7" s="133" t="str">
        <f>'Sch 95'!D7</f>
        <v>12 months ending December 2025 F23 Forecast KWh</v>
      </c>
      <c r="E7" s="133" t="str">
        <f>'Sch 141CEI'!E7</f>
        <v>12 months ending December 2025 F23 Forecast KW/KVA</v>
      </c>
      <c r="F7" s="551" t="str">
        <f>'Sch 95'!E7</f>
        <v>Current Rates as of January 2024 (1)</v>
      </c>
      <c r="G7" s="552"/>
      <c r="H7" s="133" t="str">
        <f>'Sch 95'!F7</f>
        <v>Annual Delivered $</v>
      </c>
      <c r="I7" s="133">
        <f>'Sch 95'!G7</f>
        <v>0</v>
      </c>
      <c r="J7" s="133" t="str">
        <f>'Sch 95'!H7</f>
        <v>Annual Delivered KWh</v>
      </c>
      <c r="K7" s="133" t="str">
        <f>'Sch 141CEI'!K7</f>
        <v>Annual Delivered KW/Kva</v>
      </c>
      <c r="L7" s="553" t="str">
        <f>'Sch 95'!I7</f>
        <v>Rates Effective January 2025</v>
      </c>
      <c r="M7" s="494"/>
      <c r="N7" s="133" t="str">
        <f>'Sch 95'!J7</f>
        <v>Annual Delivered $</v>
      </c>
      <c r="O7" s="133">
        <f>'Sch 95'!K7</f>
        <v>0</v>
      </c>
      <c r="P7" s="133" t="str">
        <f>'Sch 95'!L7</f>
        <v>Annual Delivered KWh</v>
      </c>
      <c r="Q7" s="97" t="str">
        <f>K7</f>
        <v>Annual Delivered KW/Kva</v>
      </c>
      <c r="R7" s="553" t="str">
        <f>'Sch 95'!M7</f>
        <v>Rates Effective January 2026</v>
      </c>
      <c r="S7" s="494"/>
      <c r="T7" s="133" t="str">
        <f>'Sch 95'!N7</f>
        <v>Annual Delivered $</v>
      </c>
    </row>
    <row r="8" spans="1:22">
      <c r="A8" s="2">
        <v>1</v>
      </c>
      <c r="B8" s="132" t="str">
        <f>'Sch 95'!B8</f>
        <v xml:space="preserve"> 7 (307) (317) (327)</v>
      </c>
      <c r="D8" s="116">
        <f>'Revenue by Sch RY#1'!D9</f>
        <v>11278205851.395365</v>
      </c>
      <c r="E8" s="116">
        <v>0</v>
      </c>
      <c r="F8" s="109">
        <v>0</v>
      </c>
      <c r="G8" s="109">
        <v>0</v>
      </c>
      <c r="H8" s="12">
        <f>(D8*F8)+(E8*G8)</f>
        <v>0</v>
      </c>
      <c r="J8" s="4">
        <f>D8</f>
        <v>11278205851.395365</v>
      </c>
      <c r="K8" s="4">
        <f>E8</f>
        <v>0</v>
      </c>
      <c r="L8" s="117">
        <v>1.4121617168578967E-3</v>
      </c>
      <c r="M8" s="16"/>
      <c r="N8" s="12">
        <f>(J8*L8)+(K8*M8)</f>
        <v>15926650.538183255</v>
      </c>
      <c r="O8" s="12"/>
      <c r="P8" s="116">
        <f>'Revenue by Sch RY#2'!D9</f>
        <v>11447649239.71397</v>
      </c>
      <c r="Q8" s="116">
        <v>0</v>
      </c>
      <c r="R8" s="117">
        <v>1.7370387957768129E-3</v>
      </c>
      <c r="S8" s="16"/>
      <c r="T8" s="12">
        <f>(P8*R8)+(Q8*S8)</f>
        <v>19885010.849828102</v>
      </c>
      <c r="V8" s="15"/>
    </row>
    <row r="9" spans="1:22">
      <c r="A9" s="2">
        <f t="shared" ref="A9:A41" si="0">+A8+1</f>
        <v>2</v>
      </c>
      <c r="B9" s="132" t="str">
        <f>'Sch 95'!B9</f>
        <v xml:space="preserve">7A </v>
      </c>
      <c r="D9" s="115">
        <v>0</v>
      </c>
      <c r="E9" s="115">
        <v>0</v>
      </c>
      <c r="F9" s="109">
        <v>0</v>
      </c>
      <c r="G9" s="109">
        <v>0</v>
      </c>
      <c r="H9" s="12">
        <f>(D9*F9)+(E9*G9)</f>
        <v>0</v>
      </c>
      <c r="J9" s="4">
        <f>D9</f>
        <v>0</v>
      </c>
      <c r="K9" s="4">
        <f>E9</f>
        <v>0</v>
      </c>
      <c r="L9" s="117">
        <v>1.1827771338917468E-5</v>
      </c>
      <c r="M9" s="202">
        <v>0.77970524985560141</v>
      </c>
      <c r="N9" s="12">
        <f>(J9*L9)+(K9*M9)</f>
        <v>0</v>
      </c>
      <c r="O9" s="12"/>
      <c r="P9" s="4">
        <v>0</v>
      </c>
      <c r="Q9" s="115">
        <v>0</v>
      </c>
      <c r="R9" s="117">
        <v>1.472503804331429E-5</v>
      </c>
      <c r="S9" s="202">
        <v>0.97400345588645243</v>
      </c>
      <c r="T9" s="12">
        <f>(P9*R9)+(Q9*S9)</f>
        <v>0</v>
      </c>
      <c r="V9" s="15"/>
    </row>
    <row r="10" spans="1:22">
      <c r="A10" s="2">
        <f t="shared" si="0"/>
        <v>3</v>
      </c>
      <c r="B10" s="2"/>
      <c r="C10" s="3" t="s">
        <v>4</v>
      </c>
      <c r="D10" s="6">
        <f>SUM(D8:D9)</f>
        <v>11278205851.395365</v>
      </c>
      <c r="E10" s="6">
        <f>SUM(E8:E9)</f>
        <v>0</v>
      </c>
      <c r="F10" s="11"/>
      <c r="G10" s="11"/>
      <c r="H10" s="13">
        <f t="shared" ref="H10" si="1">SUM(H8:H9)</f>
        <v>0</v>
      </c>
      <c r="J10" s="6">
        <f>SUM(J8:J9)</f>
        <v>11278205851.395365</v>
      </c>
      <c r="K10" s="6">
        <f>SUM(K8:K9)</f>
        <v>0</v>
      </c>
      <c r="L10" s="11"/>
      <c r="M10" s="16"/>
      <c r="N10" s="13">
        <f t="shared" ref="N10" si="2">SUM(N8:N9)</f>
        <v>15926650.538183255</v>
      </c>
      <c r="O10" s="12"/>
      <c r="P10" s="6">
        <f>SUM(P8:P9)</f>
        <v>11447649239.71397</v>
      </c>
      <c r="Q10" s="6">
        <f>SUM(Q8:Q9)</f>
        <v>0</v>
      </c>
      <c r="R10" s="11"/>
      <c r="S10" s="16"/>
      <c r="T10" s="13">
        <f t="shared" ref="T10" si="3">SUM(T8:T9)</f>
        <v>19885010.849828102</v>
      </c>
      <c r="V10" s="15"/>
    </row>
    <row r="11" spans="1:22">
      <c r="A11" s="2">
        <f t="shared" si="0"/>
        <v>4</v>
      </c>
      <c r="B11" s="2"/>
      <c r="D11" s="4"/>
      <c r="E11" s="4"/>
      <c r="F11" s="11"/>
      <c r="G11" s="11"/>
      <c r="H11" s="12"/>
      <c r="J11" s="4"/>
      <c r="K11" s="4"/>
      <c r="L11" s="11"/>
      <c r="M11" s="16"/>
      <c r="N11" s="12"/>
      <c r="O11" s="12"/>
      <c r="P11" s="4"/>
      <c r="Q11" s="4"/>
      <c r="R11" s="11"/>
      <c r="S11" s="16"/>
      <c r="T11" s="12"/>
      <c r="V11" s="15"/>
    </row>
    <row r="12" spans="1:22">
      <c r="A12" s="2">
        <f t="shared" si="0"/>
        <v>5</v>
      </c>
      <c r="B12" s="132">
        <f>'Sch 95'!B12</f>
        <v>8</v>
      </c>
      <c r="D12" s="115">
        <v>0</v>
      </c>
      <c r="E12" s="115">
        <v>0</v>
      </c>
      <c r="F12" s="109">
        <v>0</v>
      </c>
      <c r="G12" s="109">
        <v>0</v>
      </c>
      <c r="H12" s="12">
        <f t="shared" ref="H12:H18" si="4">(D12*F12)+(E12*G12)</f>
        <v>0</v>
      </c>
      <c r="J12" s="4">
        <f>D12</f>
        <v>0</v>
      </c>
      <c r="K12" s="4">
        <f>E12</f>
        <v>0</v>
      </c>
      <c r="L12" s="117">
        <v>1.2333166741210985E-3</v>
      </c>
      <c r="M12" s="16"/>
      <c r="N12" s="12">
        <f t="shared" ref="N12:N18" si="5">(J12*L12)+(K12*M12)</f>
        <v>0</v>
      </c>
      <c r="O12" s="12"/>
      <c r="P12" s="4">
        <v>0</v>
      </c>
      <c r="Q12" s="115">
        <v>0</v>
      </c>
      <c r="R12" s="117">
        <v>1.5329985957903459E-3</v>
      </c>
      <c r="S12" s="16"/>
      <c r="T12" s="12">
        <f t="shared" ref="T12:T18" si="6">(P12*R12)+(Q12*S12)</f>
        <v>0</v>
      </c>
      <c r="V12" s="15"/>
    </row>
    <row r="13" spans="1:22">
      <c r="A13" s="2">
        <f t="shared" si="0"/>
        <v>6</v>
      </c>
      <c r="B13" s="132" t="str">
        <f>'Sch 95'!B13</f>
        <v>24 (324)</v>
      </c>
      <c r="D13" s="116">
        <f>'Revenue by Sch RY#1'!D10</f>
        <v>2762635966.1696987</v>
      </c>
      <c r="E13" s="115">
        <v>0</v>
      </c>
      <c r="F13" s="109">
        <v>0</v>
      </c>
      <c r="G13" s="109">
        <v>0</v>
      </c>
      <c r="H13" s="12">
        <f t="shared" si="4"/>
        <v>0</v>
      </c>
      <c r="J13" s="4">
        <f>D13</f>
        <v>2762635966.1696987</v>
      </c>
      <c r="K13" s="4">
        <f>E13</f>
        <v>0</v>
      </c>
      <c r="L13" s="11">
        <f>L12</f>
        <v>1.2333166741210985E-3</v>
      </c>
      <c r="M13" s="16"/>
      <c r="N13" s="12">
        <f t="shared" si="5"/>
        <v>3407205.0016037403</v>
      </c>
      <c r="O13" s="12"/>
      <c r="P13" s="116">
        <f>'Revenue by Sch RY#2'!D10</f>
        <v>2774967422.2693906</v>
      </c>
      <c r="Q13" s="115">
        <v>0</v>
      </c>
      <c r="R13" s="11">
        <f>R12</f>
        <v>1.5329985957903459E-3</v>
      </c>
      <c r="S13" s="16"/>
      <c r="T13" s="12">
        <f t="shared" si="6"/>
        <v>4254021.1617029319</v>
      </c>
      <c r="V13" s="15"/>
    </row>
    <row r="14" spans="1:22">
      <c r="A14" s="2">
        <f t="shared" si="0"/>
        <v>7</v>
      </c>
      <c r="B14" s="132">
        <f>'Sch 95'!B14</f>
        <v>11</v>
      </c>
      <c r="D14" s="115">
        <v>0</v>
      </c>
      <c r="E14" s="115">
        <v>0</v>
      </c>
      <c r="F14" s="109">
        <v>0</v>
      </c>
      <c r="G14" s="109">
        <v>0</v>
      </c>
      <c r="H14" s="12">
        <f t="shared" si="4"/>
        <v>0</v>
      </c>
      <c r="J14" s="4">
        <f t="shared" ref="J14:K18" si="7">D14</f>
        <v>0</v>
      </c>
      <c r="K14" s="4">
        <f t="shared" si="7"/>
        <v>0</v>
      </c>
      <c r="L14" s="11">
        <f>L9</f>
        <v>1.1827771338917468E-5</v>
      </c>
      <c r="M14" s="16">
        <f>M9</f>
        <v>0.77970524985560141</v>
      </c>
      <c r="N14" s="12">
        <f t="shared" si="5"/>
        <v>0</v>
      </c>
      <c r="O14" s="12"/>
      <c r="P14" s="4">
        <v>0</v>
      </c>
      <c r="Q14" s="115">
        <v>0</v>
      </c>
      <c r="R14" s="11">
        <f>R9</f>
        <v>1.472503804331429E-5</v>
      </c>
      <c r="S14" s="16">
        <f>S9</f>
        <v>0.97400345588645243</v>
      </c>
      <c r="T14" s="12">
        <f t="shared" si="6"/>
        <v>0</v>
      </c>
    </row>
    <row r="15" spans="1:22">
      <c r="A15" s="2">
        <f t="shared" si="0"/>
        <v>8</v>
      </c>
      <c r="B15" s="132">
        <f>'Sch 95'!B15</f>
        <v>25</v>
      </c>
      <c r="D15" s="116">
        <f>'Revenue by Sch RY#1'!D11</f>
        <v>2960202274.8054705</v>
      </c>
      <c r="E15" s="116">
        <v>4517887.0072913375</v>
      </c>
      <c r="F15" s="109">
        <v>0</v>
      </c>
      <c r="G15" s="109">
        <v>0</v>
      </c>
      <c r="H15" s="12">
        <f t="shared" si="4"/>
        <v>0</v>
      </c>
      <c r="J15" s="4">
        <f t="shared" si="7"/>
        <v>2960202274.8054705</v>
      </c>
      <c r="K15" s="4">
        <f t="shared" si="7"/>
        <v>4517887.0072913375</v>
      </c>
      <c r="L15" s="11">
        <f>L14</f>
        <v>1.1827771338917468E-5</v>
      </c>
      <c r="M15" s="16">
        <f>M14</f>
        <v>0.77970524985560141</v>
      </c>
      <c r="N15" s="12">
        <f t="shared" si="5"/>
        <v>3557632.8134628101</v>
      </c>
      <c r="O15" s="12"/>
      <c r="P15" s="116">
        <f>'Revenue by Sch RY#2'!D11</f>
        <v>2968720174.6374388</v>
      </c>
      <c r="Q15" s="116">
        <v>4515508.9451899873</v>
      </c>
      <c r="R15" s="11">
        <f>R14</f>
        <v>1.472503804331429E-5</v>
      </c>
      <c r="S15" s="16">
        <f>S14</f>
        <v>0.97400345588645243</v>
      </c>
      <c r="T15" s="12">
        <f t="shared" si="6"/>
        <v>4441835.835212728</v>
      </c>
    </row>
    <row r="16" spans="1:22">
      <c r="A16" s="2">
        <f t="shared" si="0"/>
        <v>9</v>
      </c>
      <c r="B16" s="132">
        <f>'Sch 95'!B16</f>
        <v>12</v>
      </c>
      <c r="D16" s="115">
        <v>0</v>
      </c>
      <c r="E16" s="115">
        <v>0</v>
      </c>
      <c r="F16" s="109">
        <v>0</v>
      </c>
      <c r="G16" s="109">
        <v>0</v>
      </c>
      <c r="H16" s="12">
        <f t="shared" si="4"/>
        <v>0</v>
      </c>
      <c r="J16" s="4">
        <f t="shared" si="7"/>
        <v>0</v>
      </c>
      <c r="K16" s="4">
        <f t="shared" si="7"/>
        <v>0</v>
      </c>
      <c r="L16" s="117">
        <v>1.0480251758214365E-5</v>
      </c>
      <c r="M16" s="202">
        <v>0.38195054067550116</v>
      </c>
      <c r="N16" s="12">
        <f t="shared" si="5"/>
        <v>0</v>
      </c>
      <c r="O16" s="12"/>
      <c r="P16" s="4">
        <v>0</v>
      </c>
      <c r="Q16" s="115">
        <v>0</v>
      </c>
      <c r="R16" s="117">
        <v>1.2812059099364239E-5</v>
      </c>
      <c r="S16" s="202">
        <v>0.46855331574681369</v>
      </c>
      <c r="T16" s="12">
        <f t="shared" si="6"/>
        <v>0</v>
      </c>
    </row>
    <row r="17" spans="1:21">
      <c r="A17" s="2">
        <f t="shared" si="0"/>
        <v>10</v>
      </c>
      <c r="B17" s="132" t="str">
        <f>'Sch 95'!B17</f>
        <v>26 &amp; 26P</v>
      </c>
      <c r="D17" s="116">
        <f>'Revenue by Sch RY#1'!D12</f>
        <v>2013891730.8000479</v>
      </c>
      <c r="E17" s="116">
        <v>4944273.2866841257</v>
      </c>
      <c r="F17" s="109">
        <v>0</v>
      </c>
      <c r="G17" s="109">
        <v>0</v>
      </c>
      <c r="H17" s="12">
        <f t="shared" si="4"/>
        <v>0</v>
      </c>
      <c r="J17" s="4">
        <f t="shared" si="7"/>
        <v>2013891730.8000479</v>
      </c>
      <c r="K17" s="4">
        <f t="shared" si="7"/>
        <v>4944273.2866841257</v>
      </c>
      <c r="L17" s="11">
        <f>L16</f>
        <v>1.0480251758214365E-5</v>
      </c>
      <c r="M17" s="16">
        <f>M16</f>
        <v>0.38195054067550116</v>
      </c>
      <c r="N17" s="12">
        <f t="shared" si="5"/>
        <v>1909573.9474490094</v>
      </c>
      <c r="O17" s="12"/>
      <c r="P17" s="116">
        <f>'Revenue by Sch RY#2'!D12</f>
        <v>2056791563.2414525</v>
      </c>
      <c r="Q17" s="116">
        <v>5032131.2804961493</v>
      </c>
      <c r="R17" s="11">
        <f>R16</f>
        <v>1.2812059099364239E-5</v>
      </c>
      <c r="S17" s="16">
        <f>S16</f>
        <v>0.46855331574681369</v>
      </c>
      <c r="T17" s="12">
        <f t="shared" si="6"/>
        <v>2384173.5318130534</v>
      </c>
    </row>
    <row r="18" spans="1:21">
      <c r="A18" s="2">
        <f t="shared" si="0"/>
        <v>11</v>
      </c>
      <c r="B18" s="132">
        <f>'Sch 95'!B18</f>
        <v>29</v>
      </c>
      <c r="D18" s="116">
        <f>'Revenue by Sch RY#1'!D13</f>
        <v>14930059.630887466</v>
      </c>
      <c r="E18" s="116">
        <v>6359.1483786280214</v>
      </c>
      <c r="F18" s="109">
        <v>0</v>
      </c>
      <c r="G18" s="109">
        <v>0</v>
      </c>
      <c r="H18" s="12">
        <f t="shared" si="4"/>
        <v>0</v>
      </c>
      <c r="J18" s="4">
        <f t="shared" si="7"/>
        <v>14930059.630887466</v>
      </c>
      <c r="K18" s="4">
        <f t="shared" si="7"/>
        <v>6359.1483786280214</v>
      </c>
      <c r="L18" s="117">
        <v>1.182777133891747E-5</v>
      </c>
      <c r="M18" s="202">
        <v>2.7938753059069903</v>
      </c>
      <c r="N18" s="12">
        <f t="shared" si="5"/>
        <v>17943.256953037846</v>
      </c>
      <c r="O18" s="12"/>
      <c r="P18" s="116">
        <f>'Revenue by Sch RY#2'!D13</f>
        <v>14843026.361509496</v>
      </c>
      <c r="Q18" s="116">
        <v>6312.6225193658393</v>
      </c>
      <c r="R18" s="117">
        <v>1.4853998811867671E-5</v>
      </c>
      <c r="S18" s="202">
        <v>3.5139658679785817</v>
      </c>
      <c r="T18" s="12">
        <f t="shared" si="6"/>
        <v>22402.818366422904</v>
      </c>
    </row>
    <row r="19" spans="1:21">
      <c r="A19" s="2">
        <f t="shared" si="0"/>
        <v>12</v>
      </c>
      <c r="B19" s="2"/>
      <c r="C19" s="7" t="s">
        <v>6</v>
      </c>
      <c r="D19" s="6">
        <f>SUM(D12:D18)</f>
        <v>7751660031.4061041</v>
      </c>
      <c r="E19" s="6">
        <f>SUM(E12:E18)</f>
        <v>9468519.4423540905</v>
      </c>
      <c r="F19" s="11"/>
      <c r="G19" s="11"/>
      <c r="H19" s="13">
        <f t="shared" ref="H19" si="8">SUM(H12:H18)</f>
        <v>0</v>
      </c>
      <c r="J19" s="6">
        <f>SUM(J12:J18)</f>
        <v>7751660031.4061041</v>
      </c>
      <c r="K19" s="6">
        <f>SUM(K12:K18)</f>
        <v>9468519.4423540905</v>
      </c>
      <c r="L19" s="11"/>
      <c r="M19" s="16"/>
      <c r="N19" s="13">
        <f t="shared" ref="N19" si="9">SUM(N12:N18)</f>
        <v>8892355.0194685981</v>
      </c>
      <c r="O19" s="12"/>
      <c r="P19" s="6">
        <f>SUM(P12:P18)</f>
        <v>7815322186.5097914</v>
      </c>
      <c r="Q19" s="6">
        <f>SUM(Q12:Q18)</f>
        <v>9553952.8482055031</v>
      </c>
      <c r="R19" s="11"/>
      <c r="S19" s="16"/>
      <c r="T19" s="13">
        <f t="shared" ref="T19" si="10">SUM(T12:T18)</f>
        <v>11102433.347095137</v>
      </c>
    </row>
    <row r="20" spans="1:21">
      <c r="A20" s="2">
        <f t="shared" si="0"/>
        <v>13</v>
      </c>
      <c r="B20" s="2"/>
      <c r="D20" s="4"/>
      <c r="E20" s="4"/>
      <c r="F20" s="11"/>
      <c r="G20" s="11"/>
      <c r="H20" s="12"/>
      <c r="J20" s="4"/>
      <c r="K20" s="4"/>
      <c r="L20" s="11"/>
      <c r="M20" s="16"/>
      <c r="N20" s="12"/>
      <c r="O20" s="12"/>
      <c r="P20" s="4"/>
      <c r="Q20" s="4"/>
      <c r="R20" s="11"/>
      <c r="S20" s="16"/>
      <c r="T20" s="12"/>
    </row>
    <row r="21" spans="1:21">
      <c r="A21" s="2">
        <f t="shared" si="0"/>
        <v>14</v>
      </c>
      <c r="B21" s="132">
        <f>'Sch 95'!B21</f>
        <v>10</v>
      </c>
      <c r="D21" s="115">
        <v>0</v>
      </c>
      <c r="E21" s="115">
        <v>0</v>
      </c>
      <c r="F21" s="109">
        <v>0</v>
      </c>
      <c r="G21" s="109">
        <v>0</v>
      </c>
      <c r="H21" s="12">
        <f t="shared" ref="H21:H24" si="11">(D21*F21)+(E21*G21)</f>
        <v>0</v>
      </c>
      <c r="J21" s="4">
        <f t="shared" ref="J21:K24" si="12">D21</f>
        <v>0</v>
      </c>
      <c r="K21" s="4">
        <f t="shared" si="12"/>
        <v>0</v>
      </c>
      <c r="L21" s="117">
        <v>1.0666730428125801E-5</v>
      </c>
      <c r="M21" s="202">
        <v>0.39227113054432561</v>
      </c>
      <c r="N21" s="12">
        <f t="shared" ref="N21:N24" si="13">(J21*L21)+(K21*M21)</f>
        <v>0</v>
      </c>
      <c r="O21" s="12"/>
      <c r="P21" s="4">
        <v>0</v>
      </c>
      <c r="Q21" s="115">
        <v>0</v>
      </c>
      <c r="R21" s="117">
        <v>1.3433763485438018E-5</v>
      </c>
      <c r="S21" s="202">
        <v>0.49551015702979423</v>
      </c>
      <c r="T21" s="12">
        <f t="shared" ref="T21:T24" si="14">(P21*R21)+(Q21*S21)</f>
        <v>0</v>
      </c>
    </row>
    <row r="22" spans="1:21">
      <c r="A22" s="2">
        <f t="shared" si="0"/>
        <v>15</v>
      </c>
      <c r="B22" s="132">
        <f>'Sch 95'!B22</f>
        <v>31</v>
      </c>
      <c r="D22" s="116">
        <f>'Revenue by Sch RY#1'!D14</f>
        <v>1423586019.4788036</v>
      </c>
      <c r="E22" s="116">
        <v>3383993.070775318</v>
      </c>
      <c r="F22" s="109">
        <v>0</v>
      </c>
      <c r="G22" s="109">
        <v>0</v>
      </c>
      <c r="H22" s="12">
        <f t="shared" si="11"/>
        <v>0</v>
      </c>
      <c r="J22" s="4">
        <f t="shared" si="12"/>
        <v>1423586019.4788036</v>
      </c>
      <c r="K22" s="4">
        <f t="shared" si="12"/>
        <v>3383993.070775318</v>
      </c>
      <c r="L22" s="11">
        <f>L21</f>
        <v>1.0666730428125801E-5</v>
      </c>
      <c r="M22" s="16">
        <f>M21</f>
        <v>0.39227113054432561</v>
      </c>
      <c r="N22" s="12">
        <f t="shared" si="13"/>
        <v>1342627.7959382271</v>
      </c>
      <c r="O22" s="12"/>
      <c r="P22" s="116">
        <f>'Revenue by Sch RY#2'!D14</f>
        <v>1411297972.0883911</v>
      </c>
      <c r="Q22" s="116">
        <v>3344757.4708671863</v>
      </c>
      <c r="R22" s="11">
        <f>R21</f>
        <v>1.3433763485438018E-5</v>
      </c>
      <c r="S22" s="16">
        <f>S21</f>
        <v>0.49551015702979423</v>
      </c>
      <c r="T22" s="12">
        <f t="shared" si="14"/>
        <v>1676320.3427804906</v>
      </c>
    </row>
    <row r="23" spans="1:21">
      <c r="A23" s="2">
        <f t="shared" si="0"/>
        <v>16</v>
      </c>
      <c r="B23" s="132">
        <f>'Sch 95'!B23</f>
        <v>35</v>
      </c>
      <c r="D23" s="116">
        <f>'Revenue by Sch RY#1'!D15</f>
        <v>4407260.1568774413</v>
      </c>
      <c r="E23" s="116">
        <v>8196.3679379811347</v>
      </c>
      <c r="F23" s="109">
        <v>0</v>
      </c>
      <c r="G23" s="109">
        <v>0</v>
      </c>
      <c r="H23" s="12">
        <f t="shared" si="11"/>
        <v>0</v>
      </c>
      <c r="J23" s="4">
        <f t="shared" si="12"/>
        <v>4407260.1568774413</v>
      </c>
      <c r="K23" s="4">
        <f t="shared" si="12"/>
        <v>8196.3679379811347</v>
      </c>
      <c r="L23" s="117">
        <v>1.3046957503084397E-5</v>
      </c>
      <c r="M23" s="202">
        <v>2.4537656548546676</v>
      </c>
      <c r="N23" s="12">
        <f t="shared" si="13"/>
        <v>20169.467476741898</v>
      </c>
      <c r="O23" s="12"/>
      <c r="P23" s="116">
        <f>'Revenue by Sch RY#2'!D15</f>
        <v>4380281.1514552524</v>
      </c>
      <c r="Q23" s="116">
        <v>8146.3096768096348</v>
      </c>
      <c r="R23" s="117">
        <v>1.6389938712049134E-5</v>
      </c>
      <c r="S23" s="202">
        <v>3.0824425787106979</v>
      </c>
      <c r="T23" s="12">
        <f t="shared" si="14"/>
        <v>25182.324346774898</v>
      </c>
    </row>
    <row r="24" spans="1:21">
      <c r="A24" s="2">
        <f t="shared" si="0"/>
        <v>17</v>
      </c>
      <c r="B24" s="132">
        <f>'Sch 95'!B24</f>
        <v>43</v>
      </c>
      <c r="D24" s="116">
        <f>'Revenue by Sch RY#1'!D16</f>
        <v>122267424.6450724</v>
      </c>
      <c r="E24" s="116">
        <v>579230.53698067076</v>
      </c>
      <c r="F24" s="109">
        <v>0</v>
      </c>
      <c r="G24" s="109">
        <v>0</v>
      </c>
      <c r="H24" s="12">
        <f t="shared" si="11"/>
        <v>0</v>
      </c>
      <c r="J24" s="4">
        <f t="shared" si="12"/>
        <v>122267424.6450724</v>
      </c>
      <c r="K24" s="4">
        <f t="shared" si="12"/>
        <v>579230.53698067076</v>
      </c>
      <c r="L24" s="117">
        <v>1.1233313548465553E-5</v>
      </c>
      <c r="M24" s="202">
        <v>0.26032729940769228</v>
      </c>
      <c r="N24" s="12">
        <f t="shared" si="13"/>
        <v>152162.98974444694</v>
      </c>
      <c r="O24" s="12"/>
      <c r="P24" s="116">
        <f>'Revenue by Sch RY#2'!D16</f>
        <v>121633779.10385114</v>
      </c>
      <c r="Q24" s="116">
        <v>573967.09159726952</v>
      </c>
      <c r="R24" s="117">
        <v>1.4098270109650043E-5</v>
      </c>
      <c r="S24" s="202">
        <v>0.3280088423312893</v>
      </c>
      <c r="T24" s="12">
        <f t="shared" si="14"/>
        <v>189981.10712334106</v>
      </c>
    </row>
    <row r="25" spans="1:21">
      <c r="A25" s="2">
        <f t="shared" si="0"/>
        <v>18</v>
      </c>
      <c r="B25" s="2"/>
      <c r="C25" s="3" t="s">
        <v>7</v>
      </c>
      <c r="D25" s="6">
        <f>SUM(D21:D24)</f>
        <v>1550260704.2807536</v>
      </c>
      <c r="E25" s="6">
        <f>SUM(E21:E24)</f>
        <v>3971419.97569397</v>
      </c>
      <c r="F25" s="11"/>
      <c r="G25" s="11"/>
      <c r="H25" s="13">
        <f t="shared" ref="H25" si="15">SUM(H21:H24)</f>
        <v>0</v>
      </c>
      <c r="J25" s="6">
        <f>SUM(J21:J24)</f>
        <v>1550260704.2807536</v>
      </c>
      <c r="K25" s="6">
        <f>SUM(K21:K24)</f>
        <v>3971419.97569397</v>
      </c>
      <c r="L25" s="11"/>
      <c r="M25" s="16"/>
      <c r="N25" s="13">
        <f t="shared" ref="N25" si="16">SUM(N21:N24)</f>
        <v>1514960.2531594159</v>
      </c>
      <c r="O25" s="12"/>
      <c r="P25" s="6">
        <f>SUM(P21:P24)</f>
        <v>1537312032.3436973</v>
      </c>
      <c r="Q25" s="6">
        <f>SUM(Q21:Q24)</f>
        <v>3926870.8721412653</v>
      </c>
      <c r="R25" s="11"/>
      <c r="S25" s="16"/>
      <c r="T25" s="13">
        <f t="shared" ref="T25" si="17">SUM(T21:T24)</f>
        <v>1891483.7742506065</v>
      </c>
    </row>
    <row r="26" spans="1:21">
      <c r="A26" s="2">
        <f t="shared" si="0"/>
        <v>19</v>
      </c>
      <c r="B26" s="2"/>
      <c r="D26" s="4"/>
      <c r="E26" s="4"/>
      <c r="F26" s="11"/>
      <c r="G26" s="11"/>
      <c r="H26" s="12"/>
      <c r="J26" s="4"/>
      <c r="K26" s="4"/>
      <c r="L26" s="11"/>
      <c r="M26" s="16"/>
      <c r="N26" s="12"/>
      <c r="O26" s="12"/>
      <c r="P26" s="4"/>
      <c r="Q26" s="4"/>
      <c r="R26" s="11"/>
      <c r="S26" s="16"/>
      <c r="T26" s="12"/>
    </row>
    <row r="27" spans="1:21">
      <c r="A27" s="2">
        <f t="shared" si="0"/>
        <v>20</v>
      </c>
      <c r="B27" s="132">
        <f>'Sch 95'!B27</f>
        <v>46</v>
      </c>
      <c r="D27" s="116">
        <f>'Revenue by Sch RY#1'!D17</f>
        <v>96933187.043131709</v>
      </c>
      <c r="E27" s="116">
        <v>454913.76433003857</v>
      </c>
      <c r="F27" s="109">
        <v>0</v>
      </c>
      <c r="G27" s="109">
        <v>0</v>
      </c>
      <c r="H27" s="12">
        <f t="shared" ref="H27:H28" si="18">(D27*F27)+(E27*G27)</f>
        <v>0</v>
      </c>
      <c r="J27" s="4">
        <f>D27</f>
        <v>96933187.043131709</v>
      </c>
      <c r="K27" s="4">
        <f>E27</f>
        <v>454913.76433003857</v>
      </c>
      <c r="L27" s="117">
        <v>1.0769742182156803E-5</v>
      </c>
      <c r="M27" s="202">
        <v>7.6974512015924798E-2</v>
      </c>
      <c r="N27" s="12">
        <f t="shared" ref="N27:N28" si="19">(J27*L27)+(K27*M27)</f>
        <v>36060.710451981446</v>
      </c>
      <c r="O27" s="12"/>
      <c r="P27" s="116">
        <f>'Revenue by Sch RY#2'!D17</f>
        <v>96918964.527943105</v>
      </c>
      <c r="Q27" s="116">
        <v>453901.97661419428</v>
      </c>
      <c r="R27" s="117">
        <v>1.3448393705163386E-5</v>
      </c>
      <c r="S27" s="202">
        <v>9.6319746129924694E-2</v>
      </c>
      <c r="T27" s="12">
        <f>(P27*R27)+(Q27*S27)</f>
        <v>45023.127547818753</v>
      </c>
      <c r="U27" s="17"/>
    </row>
    <row r="28" spans="1:21">
      <c r="A28" s="2">
        <f t="shared" si="0"/>
        <v>21</v>
      </c>
      <c r="B28" s="132">
        <f>'Sch 95'!B28</f>
        <v>49</v>
      </c>
      <c r="D28" s="116">
        <f>'Revenue by Sch RY#1'!D18</f>
        <v>534843226.30681556</v>
      </c>
      <c r="E28" s="116">
        <v>1325042.9814690738</v>
      </c>
      <c r="F28" s="109">
        <v>0</v>
      </c>
      <c r="G28" s="109">
        <v>0</v>
      </c>
      <c r="H28" s="12">
        <f t="shared" si="18"/>
        <v>0</v>
      </c>
      <c r="J28" s="4">
        <f>D28</f>
        <v>534843226.30681556</v>
      </c>
      <c r="K28" s="4">
        <f>E28</f>
        <v>1325042.9814690738</v>
      </c>
      <c r="L28" s="117">
        <v>1.0769742182156803E-5</v>
      </c>
      <c r="M28" s="202">
        <v>0.14581428198621182</v>
      </c>
      <c r="N28" s="12">
        <f t="shared" si="19"/>
        <v>198970.31459897972</v>
      </c>
      <c r="O28" s="12"/>
      <c r="P28" s="116">
        <f>'Revenue by Sch RY#2'!D18</f>
        <v>534899242.67952603</v>
      </c>
      <c r="Q28" s="116">
        <v>1321250.3262371249</v>
      </c>
      <c r="R28" s="117">
        <v>1.3445012338031303E-5</v>
      </c>
      <c r="S28" s="202">
        <v>0.18257709956074325</v>
      </c>
      <c r="T28" s="12">
        <f t="shared" ref="T28" si="20">(P28*R28)+(Q28*S28)</f>
        <v>248421.77927548988</v>
      </c>
    </row>
    <row r="29" spans="1:21">
      <c r="A29" s="2">
        <f t="shared" si="0"/>
        <v>22</v>
      </c>
      <c r="B29" s="2"/>
      <c r="C29" s="3" t="s">
        <v>8</v>
      </c>
      <c r="D29" s="6">
        <f>SUM(D27:D28)</f>
        <v>631776413.34994721</v>
      </c>
      <c r="E29" s="6">
        <f>SUM(E27:E28)</f>
        <v>1779956.7457991124</v>
      </c>
      <c r="F29" s="11"/>
      <c r="G29" s="11"/>
      <c r="H29" s="13">
        <f t="shared" ref="H29" si="21">SUM(H27:H28)</f>
        <v>0</v>
      </c>
      <c r="J29" s="6">
        <f>SUM(J27:J28)</f>
        <v>631776413.34994721</v>
      </c>
      <c r="K29" s="6">
        <f>SUM(K27:K28)</f>
        <v>1779956.7457991124</v>
      </c>
      <c r="L29" s="11"/>
      <c r="M29" s="16"/>
      <c r="N29" s="13">
        <f t="shared" ref="N29" si="22">SUM(N27:N28)</f>
        <v>235031.02505096118</v>
      </c>
      <c r="O29" s="12"/>
      <c r="P29" s="6">
        <f>SUM(P27:P28)</f>
        <v>631818207.20746911</v>
      </c>
      <c r="Q29" s="6">
        <f>SUM(Q27:Q28)</f>
        <v>1775152.3028513191</v>
      </c>
      <c r="R29" s="11"/>
      <c r="S29" s="16"/>
      <c r="T29" s="13">
        <f t="shared" ref="T29" si="23">SUM(T27:T28)</f>
        <v>293444.90682330861</v>
      </c>
    </row>
    <row r="30" spans="1:21">
      <c r="A30" s="2">
        <f t="shared" si="0"/>
        <v>23</v>
      </c>
      <c r="B30" s="2"/>
      <c r="D30" s="4"/>
      <c r="E30" s="4"/>
      <c r="F30" s="11"/>
      <c r="G30" s="11"/>
      <c r="H30" s="12"/>
      <c r="J30" s="4"/>
      <c r="K30" s="4"/>
      <c r="L30" s="11"/>
      <c r="M30" s="16"/>
      <c r="N30" s="12"/>
      <c r="O30" s="12"/>
      <c r="P30" s="4"/>
      <c r="Q30" s="4"/>
      <c r="R30" s="11"/>
      <c r="S30" s="16"/>
      <c r="T30" s="12"/>
    </row>
    <row r="31" spans="1:21">
      <c r="A31" s="2">
        <f t="shared" si="0"/>
        <v>24</v>
      </c>
      <c r="B31" s="132" t="str">
        <f>'Sch 95'!B31</f>
        <v>03, 50-59</v>
      </c>
      <c r="D31" s="122">
        <f>'Revenue by Sch RY#1'!D19</f>
        <v>67255417.982360825</v>
      </c>
      <c r="E31" s="122">
        <v>0</v>
      </c>
      <c r="F31" s="109">
        <v>0</v>
      </c>
      <c r="G31" s="109">
        <v>0</v>
      </c>
      <c r="H31" s="13">
        <f>(D31*F31)+(E31*G31)</f>
        <v>0</v>
      </c>
      <c r="J31" s="6">
        <f>D31</f>
        <v>67255417.982360825</v>
      </c>
      <c r="K31" s="6">
        <f>E31</f>
        <v>0</v>
      </c>
      <c r="L31" s="117">
        <v>2.3227575053935347E-3</v>
      </c>
      <c r="M31" s="202"/>
      <c r="N31" s="13">
        <f>(J31*L31)+(K31*M31)</f>
        <v>156218.02689690789</v>
      </c>
      <c r="O31" s="12"/>
      <c r="P31" s="122">
        <f>'Revenue by Sch RY#2'!D19</f>
        <v>67027608.143863305</v>
      </c>
      <c r="Q31" s="122">
        <v>0</v>
      </c>
      <c r="R31" s="117">
        <v>2.9099049784100852E-3</v>
      </c>
      <c r="S31" s="202"/>
      <c r="T31" s="13">
        <f>(P31*R31)+(Q31*S31)</f>
        <v>195043.97062874821</v>
      </c>
    </row>
    <row r="32" spans="1:21">
      <c r="A32" s="2">
        <f t="shared" si="0"/>
        <v>25</v>
      </c>
      <c r="B32" s="2"/>
      <c r="D32" s="4"/>
      <c r="E32" s="4"/>
      <c r="F32" s="11"/>
      <c r="G32" s="11"/>
      <c r="H32" s="12"/>
      <c r="J32" s="4"/>
      <c r="K32" s="4"/>
      <c r="L32" s="11"/>
      <c r="M32" s="16"/>
      <c r="N32" s="12"/>
      <c r="O32" s="12"/>
      <c r="P32" s="4"/>
      <c r="Q32" s="4"/>
      <c r="R32" s="11"/>
      <c r="S32" s="16"/>
      <c r="T32" s="12"/>
    </row>
    <row r="33" spans="1:20">
      <c r="A33" s="2">
        <f t="shared" si="0"/>
        <v>26</v>
      </c>
      <c r="B33" s="132" t="str">
        <f>'Sch 95'!B33</f>
        <v>449-459</v>
      </c>
      <c r="D33" s="116">
        <f>'Revenue by Sch RY#1'!D20</f>
        <v>1967511960.3194919</v>
      </c>
      <c r="E33" s="116">
        <v>0</v>
      </c>
      <c r="F33" s="109">
        <v>0</v>
      </c>
      <c r="G33" s="109">
        <v>0</v>
      </c>
      <c r="H33" s="12">
        <f t="shared" ref="H33:H34" si="24">(D33*F33)+(E33*G33)</f>
        <v>0</v>
      </c>
      <c r="J33" s="4">
        <f>D33</f>
        <v>1967511960.3194919</v>
      </c>
      <c r="K33" s="4">
        <f>E33</f>
        <v>0</v>
      </c>
      <c r="L33" s="117">
        <v>2.0869722412400702E-4</v>
      </c>
      <c r="M33" s="202"/>
      <c r="N33" s="12">
        <f t="shared" ref="N33:N34" si="25">(J33*L33)+(K33*M33)</f>
        <v>410614.28454946139</v>
      </c>
      <c r="O33" s="12"/>
      <c r="P33" s="116">
        <f>'Revenue by Sch RY#2'!D20</f>
        <v>1964993565.6779518</v>
      </c>
      <c r="Q33" s="116">
        <v>0</v>
      </c>
      <c r="R33" s="117">
        <v>2.6090013414680467E-4</v>
      </c>
      <c r="S33" s="202"/>
      <c r="T33" s="12">
        <f t="shared" ref="T33:T34" si="26">(P33*R33)+(Q33*S33)</f>
        <v>512667.08488298563</v>
      </c>
    </row>
    <row r="34" spans="1:20">
      <c r="A34" s="2">
        <f t="shared" si="0"/>
        <v>27</v>
      </c>
      <c r="B34" s="132" t="str">
        <f>'Sch 95'!B34</f>
        <v>Special Contract</v>
      </c>
      <c r="D34" s="116">
        <f>'Revenue by Sch RY#1'!D21</f>
        <v>304773055.46200001</v>
      </c>
      <c r="E34" s="116">
        <v>0</v>
      </c>
      <c r="F34" s="109">
        <v>0</v>
      </c>
      <c r="G34" s="109">
        <v>0</v>
      </c>
      <c r="H34" s="12">
        <f t="shared" si="24"/>
        <v>0</v>
      </c>
      <c r="J34" s="4">
        <f>D34</f>
        <v>304773055.46200001</v>
      </c>
      <c r="K34" s="4">
        <f>E34</f>
        <v>0</v>
      </c>
      <c r="L34" s="117">
        <v>1.3224505649815101E-3</v>
      </c>
      <c r="M34" s="202"/>
      <c r="N34" s="12">
        <f t="shared" si="25"/>
        <v>403047.29938686301</v>
      </c>
      <c r="O34" s="12"/>
      <c r="P34" s="116">
        <f>'Revenue by Sch RY#2'!D21</f>
        <v>304773055.46200001</v>
      </c>
      <c r="Q34" s="116">
        <v>0</v>
      </c>
      <c r="R34" s="117">
        <v>1.6511283254425141E-3</v>
      </c>
      <c r="S34" s="202"/>
      <c r="T34" s="12">
        <f t="shared" si="26"/>
        <v>503219.42470497056</v>
      </c>
    </row>
    <row r="35" spans="1:20">
      <c r="A35" s="2">
        <f t="shared" si="0"/>
        <v>28</v>
      </c>
      <c r="B35" s="5"/>
      <c r="C35" s="3" t="s">
        <v>77</v>
      </c>
      <c r="D35" s="6">
        <f>SUM(D33:D34)</f>
        <v>2272285015.7814918</v>
      </c>
      <c r="E35" s="6">
        <f>SUM(E33:E34)</f>
        <v>0</v>
      </c>
      <c r="H35" s="13">
        <f t="shared" ref="H35" si="27">SUM(H33:H34)</f>
        <v>0</v>
      </c>
      <c r="J35" s="6">
        <f>SUM(J33:J34)</f>
        <v>2272285015.7814918</v>
      </c>
      <c r="K35" s="6">
        <f>SUM(K33:K34)</f>
        <v>0</v>
      </c>
      <c r="M35" s="16"/>
      <c r="N35" s="13">
        <f t="shared" ref="N35" si="28">SUM(N33:N34)</f>
        <v>813661.58393632434</v>
      </c>
      <c r="O35" s="12"/>
      <c r="P35" s="6">
        <f>SUM(P33:P34)</f>
        <v>2269766621.1399517</v>
      </c>
      <c r="Q35" s="6">
        <f>SUM(Q33:Q34)</f>
        <v>0</v>
      </c>
      <c r="S35" s="16"/>
      <c r="T35" s="13">
        <f t="shared" ref="T35" si="29">SUM(T33:T34)</f>
        <v>1015886.5095879561</v>
      </c>
    </row>
    <row r="36" spans="1:20">
      <c r="A36" s="2">
        <f t="shared" si="0"/>
        <v>29</v>
      </c>
      <c r="B36" s="2"/>
      <c r="D36" s="4"/>
      <c r="E36" s="4"/>
      <c r="H36" s="12"/>
      <c r="J36" s="4"/>
      <c r="K36" s="4"/>
      <c r="M36" s="16"/>
      <c r="N36" s="12"/>
      <c r="O36" s="12"/>
      <c r="P36" s="4"/>
      <c r="Q36" s="4"/>
      <c r="S36" s="16"/>
      <c r="T36" s="12"/>
    </row>
    <row r="37" spans="1:20" ht="12" thickBot="1">
      <c r="A37" s="2">
        <f t="shared" si="0"/>
        <v>30</v>
      </c>
      <c r="B37" s="2"/>
      <c r="C37" s="7" t="s">
        <v>15</v>
      </c>
      <c r="D37" s="8">
        <f>SUM(D10,D19,D25,D29,D31,D35)</f>
        <v>23551443434.196022</v>
      </c>
      <c r="E37" s="8">
        <f>SUM(E10,E19,E25,E29,E31,E35)</f>
        <v>15219896.163847174</v>
      </c>
      <c r="H37" s="14">
        <f>SUM(H10,H19,H25,H29,H31,H35)</f>
        <v>0</v>
      </c>
      <c r="J37" s="8">
        <f>SUM(J10,J19,J25,J29,J31,J35)</f>
        <v>23551443434.196022</v>
      </c>
      <c r="K37" s="8">
        <f>SUM(K10,K19,K25,K29,K31,K35)</f>
        <v>15219896.163847174</v>
      </c>
      <c r="M37" s="16"/>
      <c r="N37" s="14">
        <f>SUM(N10,N19,N25,N29,N31,N35)</f>
        <v>27538876.446695462</v>
      </c>
      <c r="O37" s="12"/>
      <c r="P37" s="8">
        <f>SUM(P10,P19,P25,P29,P31,P35)</f>
        <v>23768895895.058746</v>
      </c>
      <c r="Q37" s="8">
        <f>SUM(Q10,Q19,Q25,Q29,Q31,Q35)</f>
        <v>15255976.023198087</v>
      </c>
      <c r="S37" s="16"/>
      <c r="T37" s="14">
        <f>SUM(T10,T19,T25,T29,T31,T35)</f>
        <v>34383303.358213864</v>
      </c>
    </row>
    <row r="38" spans="1:20" ht="12" thickTop="1">
      <c r="A38" s="2">
        <f t="shared" si="0"/>
        <v>31</v>
      </c>
      <c r="B38" s="2"/>
      <c r="H38" s="12"/>
      <c r="M38" s="16"/>
      <c r="N38" s="12"/>
      <c r="O38" s="12"/>
      <c r="S38" s="16"/>
      <c r="T38" s="12"/>
    </row>
    <row r="39" spans="1:20">
      <c r="A39" s="2">
        <f t="shared" si="0"/>
        <v>32</v>
      </c>
      <c r="B39" s="132">
        <f>'Sch 95'!B39</f>
        <v>5</v>
      </c>
      <c r="C39" s="3" t="s">
        <v>16</v>
      </c>
      <c r="D39" s="122">
        <f>'Revenue by Sch RY#1'!D22</f>
        <v>6714960.2368700616</v>
      </c>
      <c r="E39" s="122">
        <v>13394.355918136085</v>
      </c>
      <c r="F39" s="109">
        <v>0</v>
      </c>
      <c r="G39" s="109">
        <v>0</v>
      </c>
      <c r="H39" s="13">
        <f>(D39*F39)+(E39*G39)</f>
        <v>0</v>
      </c>
      <c r="J39" s="6">
        <f>D39</f>
        <v>6714960.2368700616</v>
      </c>
      <c r="K39" s="6">
        <f>E39</f>
        <v>13394.355918136085</v>
      </c>
      <c r="L39" s="117">
        <v>1.1503217209820006E-3</v>
      </c>
      <c r="M39" s="202"/>
      <c r="N39" s="13">
        <f>(J39*L39)+(K39*M39)</f>
        <v>7724.3646160020717</v>
      </c>
      <c r="O39" s="12"/>
      <c r="P39" s="122">
        <f>'Revenue by Sch RY#2'!D22</f>
        <v>6710049.8818741431</v>
      </c>
      <c r="Q39" s="122">
        <v>13319.835934941628</v>
      </c>
      <c r="R39" s="117">
        <v>1.4372701250020552E-3</v>
      </c>
      <c r="S39" s="202"/>
      <c r="T39" s="13">
        <f>(P39*R39)+(Q39*S39)</f>
        <v>9644.1542324912753</v>
      </c>
    </row>
    <row r="40" spans="1:20">
      <c r="A40" s="2">
        <f t="shared" si="0"/>
        <v>33</v>
      </c>
      <c r="B40" s="2"/>
      <c r="H40" s="12"/>
      <c r="N40" s="12"/>
      <c r="O40" s="12"/>
      <c r="T40" s="12"/>
    </row>
    <row r="41" spans="1:20" ht="12" thickBot="1">
      <c r="A41" s="2">
        <f t="shared" si="0"/>
        <v>34</v>
      </c>
      <c r="B41" s="2"/>
      <c r="C41" s="110" t="s">
        <v>17</v>
      </c>
      <c r="D41" s="111">
        <f>SUM(D37,D39)</f>
        <v>23558158394.432892</v>
      </c>
      <c r="E41" s="111">
        <f>SUM(E37,E39)</f>
        <v>15233290.51976531</v>
      </c>
      <c r="F41" s="169"/>
      <c r="G41" s="169"/>
      <c r="H41" s="113">
        <f>SUM(H37,H39)</f>
        <v>0</v>
      </c>
      <c r="I41" s="15"/>
      <c r="J41" s="111">
        <f>SUM(J37,J39)</f>
        <v>23558158394.432892</v>
      </c>
      <c r="K41" s="111">
        <f>SUM(K37,K39)</f>
        <v>15233290.51976531</v>
      </c>
      <c r="L41" s="15"/>
      <c r="M41" s="15"/>
      <c r="N41" s="113">
        <f>SUM(N37,N39)</f>
        <v>27546600.811311465</v>
      </c>
      <c r="O41" s="114"/>
      <c r="P41" s="111">
        <f>SUM(P37,P39)</f>
        <v>23775605944.94062</v>
      </c>
      <c r="Q41" s="111">
        <f>SUM(Q37,Q39)</f>
        <v>15269295.859133027</v>
      </c>
      <c r="R41" s="15"/>
      <c r="S41" s="15"/>
      <c r="T41" s="113">
        <f>SUM(T37,T39)</f>
        <v>34392947.512446359</v>
      </c>
    </row>
    <row r="42" spans="1:20" ht="12" thickTop="1">
      <c r="D42" s="123">
        <f>'Revenue by Sch RY#1'!D24</f>
        <v>23558158394.432896</v>
      </c>
      <c r="E42" s="123">
        <v>15233290.519765308</v>
      </c>
      <c r="F42" s="170"/>
      <c r="G42" s="170"/>
      <c r="J42" s="162">
        <f>D41</f>
        <v>23558158394.432892</v>
      </c>
      <c r="K42" s="162">
        <f>E41</f>
        <v>15233290.51976531</v>
      </c>
      <c r="N42" s="203">
        <v>27546600.811311465</v>
      </c>
      <c r="P42" s="123">
        <f>'Revenue by Sch RY#2'!D24</f>
        <v>23775605944.94062</v>
      </c>
      <c r="Q42" s="123">
        <v>15269295.859133029</v>
      </c>
      <c r="T42" s="203">
        <v>34392947.512446344</v>
      </c>
    </row>
    <row r="43" spans="1:20">
      <c r="C43" s="17" t="s">
        <v>168</v>
      </c>
      <c r="D43" s="124">
        <f>D41-D42</f>
        <v>0</v>
      </c>
      <c r="E43" s="124">
        <f>E41-E42</f>
        <v>0</v>
      </c>
      <c r="F43" s="170"/>
      <c r="G43" s="170"/>
      <c r="J43" s="124">
        <f>J41-J42</f>
        <v>0</v>
      </c>
      <c r="K43" s="124">
        <f>K41-K42</f>
        <v>0</v>
      </c>
      <c r="N43" s="124">
        <f>N41-N42</f>
        <v>0</v>
      </c>
      <c r="P43" s="124">
        <f>P41-P42</f>
        <v>0</v>
      </c>
      <c r="Q43" s="124">
        <f>Q41-Q42</f>
        <v>0</v>
      </c>
      <c r="T43" s="124">
        <f>T41-T42</f>
        <v>0</v>
      </c>
    </row>
    <row r="44" spans="1:20">
      <c r="F44" s="170"/>
      <c r="G44" s="170"/>
    </row>
    <row r="45" spans="1:20">
      <c r="C45" s="101"/>
      <c r="F45" s="170"/>
      <c r="G45" s="170"/>
    </row>
  </sheetData>
  <mergeCells count="11">
    <mergeCell ref="A1:T1"/>
    <mergeCell ref="A2:T2"/>
    <mergeCell ref="A3:T3"/>
    <mergeCell ref="A4:T4"/>
    <mergeCell ref="A5:F5"/>
    <mergeCell ref="P5:T5"/>
    <mergeCell ref="J6:N6"/>
    <mergeCell ref="P6:T6"/>
    <mergeCell ref="F7:G7"/>
    <mergeCell ref="L7:M7"/>
    <mergeCell ref="R7:S7"/>
  </mergeCells>
  <pageMargins left="0.7" right="0.7" top="0.75" bottom="0.75" header="0.3" footer="0.3"/>
  <pageSetup scale="55" orientation="landscape" horizontalDpi="360" verticalDpi="360" r:id="rId1"/>
  <headerFooter>
    <oddFooter>&amp;R&amp;F
&amp;A
&amp;P of &amp;N</oddFooter>
  </headerFooter>
  <customProperties>
    <customPr name="_pios_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3" tint="0.79998168889431442"/>
    <pageSetUpPr fitToPage="1"/>
  </sheetPr>
  <dimension ref="A1:AK29"/>
  <sheetViews>
    <sheetView zoomScaleNormal="100" zoomScaleSheetLayoutView="100" workbookViewId="0">
      <pane xSplit="6" ySplit="9" topLeftCell="T10" activePane="bottomRight" state="frozen"/>
      <selection activeCell="U42" sqref="U42"/>
      <selection pane="topRight" activeCell="U42" sqref="U42"/>
      <selection pane="bottomLeft" activeCell="U42" sqref="U42"/>
      <selection pane="bottomRight" activeCell="AK9" sqref="AK9"/>
    </sheetView>
  </sheetViews>
  <sheetFormatPr defaultColWidth="6.28515625" defaultRowHeight="11.25"/>
  <cols>
    <col min="1" max="1" width="4.85546875" style="3" bestFit="1" customWidth="1"/>
    <col min="2" max="2" width="30.85546875" style="3" bestFit="1" customWidth="1"/>
    <col min="3" max="3" width="15.140625" style="3" bestFit="1" customWidth="1"/>
    <col min="4" max="4" width="13.140625" style="3" bestFit="1" customWidth="1"/>
    <col min="5" max="5" width="12.85546875" style="3" bestFit="1" customWidth="1"/>
    <col min="6" max="6" width="0.7109375" style="3" customWidth="1"/>
    <col min="7" max="7" width="11.5703125" style="3" bestFit="1" customWidth="1"/>
    <col min="8" max="8" width="10.42578125" style="3" bestFit="1" customWidth="1"/>
    <col min="9" max="9" width="0.7109375" style="3" customWidth="1"/>
    <col min="10" max="10" width="12.140625" style="3" bestFit="1" customWidth="1"/>
    <col min="11" max="11" width="10.28515625" style="3" bestFit="1" customWidth="1"/>
    <col min="12" max="12" width="0.7109375" style="3" customWidth="1"/>
    <col min="13" max="13" width="11.28515625" style="3" bestFit="1" customWidth="1"/>
    <col min="14" max="14" width="11.140625" style="3" bestFit="1" customWidth="1"/>
    <col min="15" max="15" width="0.7109375" style="3" customWidth="1"/>
    <col min="16" max="16" width="11.28515625" style="3" bestFit="1" customWidth="1"/>
    <col min="17" max="17" width="11.140625" style="3" bestFit="1" customWidth="1"/>
    <col min="18" max="18" width="0.7109375" style="3" customWidth="1"/>
    <col min="19" max="19" width="12.140625" style="3" bestFit="1" customWidth="1"/>
    <col min="20" max="20" width="11.140625" style="3" bestFit="1" customWidth="1"/>
    <col min="21" max="21" width="0.7109375" style="3" customWidth="1"/>
    <col min="22" max="22" width="12.85546875" style="3" bestFit="1" customWidth="1"/>
    <col min="23" max="23" width="11.140625" style="3" bestFit="1" customWidth="1"/>
    <col min="24" max="24" width="0.7109375" style="3" customWidth="1"/>
    <col min="25" max="25" width="10.7109375" style="3" bestFit="1" customWidth="1"/>
    <col min="26" max="26" width="11.140625" style="3" bestFit="1" customWidth="1"/>
    <col min="27" max="27" width="0.7109375" style="3" customWidth="1"/>
    <col min="28" max="28" width="12" style="3" customWidth="1"/>
    <col min="29" max="29" width="12.28515625" style="3" customWidth="1"/>
    <col min="30" max="30" width="0.7109375" style="3" customWidth="1"/>
    <col min="31" max="31" width="10.7109375" style="3" bestFit="1" customWidth="1"/>
    <col min="32" max="32" width="11.140625" style="3" bestFit="1" customWidth="1"/>
    <col min="33" max="33" width="0.7109375" style="3" customWidth="1"/>
    <col min="34" max="34" width="14.42578125" style="3" bestFit="1" customWidth="1"/>
    <col min="35" max="35" width="10.42578125" style="3" bestFit="1" customWidth="1"/>
    <col min="36" max="36" width="0.7109375" style="3" customWidth="1"/>
    <col min="37" max="37" width="12.85546875" style="3" bestFit="1" customWidth="1"/>
    <col min="38" max="16384" width="6.28515625" style="3"/>
  </cols>
  <sheetData>
    <row r="1" spans="1:37" s="15" customFormat="1" ht="12.75">
      <c r="A1" s="457" t="s">
        <v>0</v>
      </c>
      <c r="B1" s="457"/>
      <c r="C1" s="458"/>
      <c r="D1" s="458"/>
      <c r="E1" s="458"/>
      <c r="W1" s="71"/>
      <c r="AF1" s="71"/>
      <c r="AH1" s="77"/>
    </row>
    <row r="2" spans="1:37" s="15" customFormat="1" ht="12.75">
      <c r="A2" s="459" t="str">
        <f>'Table of Contents'!A2</f>
        <v>2024 General Rate Case Docket No. UE-240004 and UG-240005</v>
      </c>
      <c r="B2" s="460"/>
      <c r="C2" s="460"/>
      <c r="D2" s="460"/>
      <c r="E2" s="460"/>
      <c r="W2" s="71"/>
      <c r="AF2" s="71"/>
      <c r="AH2" s="77"/>
    </row>
    <row r="3" spans="1:37" s="15" customFormat="1" ht="12.75">
      <c r="A3" s="457" t="s">
        <v>173</v>
      </c>
      <c r="B3" s="458"/>
      <c r="C3" s="458"/>
      <c r="D3" s="458"/>
      <c r="E3" s="458"/>
      <c r="W3" s="71"/>
      <c r="AF3" s="71"/>
      <c r="AH3" s="77"/>
    </row>
    <row r="4" spans="1:37" s="15" customFormat="1" ht="12.75">
      <c r="A4" s="457" t="s">
        <v>174</v>
      </c>
      <c r="B4" s="458"/>
      <c r="C4" s="458"/>
      <c r="D4" s="458"/>
      <c r="E4" s="458"/>
    </row>
    <row r="5" spans="1:37" s="15" customFormat="1" ht="12.75">
      <c r="A5" s="457"/>
      <c r="B5" s="458"/>
      <c r="C5" s="458"/>
      <c r="D5" s="458"/>
      <c r="E5" s="458"/>
    </row>
    <row r="6" spans="1:37" s="15" customFormat="1">
      <c r="A6" s="455"/>
      <c r="B6" s="456"/>
      <c r="C6" s="44"/>
      <c r="D6" s="44"/>
      <c r="E6" s="44"/>
    </row>
    <row r="7" spans="1:37" s="15" customFormat="1">
      <c r="A7" s="45"/>
      <c r="B7" s="44"/>
      <c r="C7" s="44"/>
      <c r="D7" s="44"/>
      <c r="E7" s="44"/>
      <c r="G7" s="452" t="s">
        <v>170</v>
      </c>
      <c r="H7" s="453"/>
      <c r="I7" s="453"/>
      <c r="J7" s="453"/>
      <c r="K7" s="453"/>
      <c r="L7" s="453"/>
      <c r="M7" s="453"/>
      <c r="N7" s="453"/>
      <c r="O7" s="453"/>
      <c r="P7" s="453"/>
      <c r="Q7" s="453"/>
      <c r="R7" s="453"/>
      <c r="S7" s="453"/>
      <c r="T7" s="453"/>
      <c r="U7" s="453"/>
      <c r="V7" s="453"/>
      <c r="W7" s="453"/>
      <c r="X7" s="453"/>
      <c r="Y7" s="453"/>
      <c r="Z7" s="453"/>
      <c r="AA7" s="453"/>
      <c r="AB7" s="453"/>
      <c r="AC7" s="453"/>
      <c r="AD7" s="453"/>
      <c r="AE7" s="453"/>
      <c r="AF7" s="453"/>
      <c r="AG7" s="453"/>
      <c r="AH7" s="453"/>
      <c r="AI7" s="454"/>
    </row>
    <row r="8" spans="1:37" s="15" customFormat="1" ht="56.25">
      <c r="A8" s="97" t="s">
        <v>2</v>
      </c>
      <c r="B8" s="97" t="s">
        <v>107</v>
      </c>
      <c r="C8" s="97" t="s">
        <v>82</v>
      </c>
      <c r="D8" s="105" t="str">
        <f>'Revenue by Sch RY#1'!D7</f>
        <v>12 months ending December 2025 F23 Forecast KWh</v>
      </c>
      <c r="E8" s="220" t="s">
        <v>327</v>
      </c>
      <c r="F8" s="78"/>
      <c r="G8" s="125" t="s">
        <v>108</v>
      </c>
      <c r="H8" s="125" t="s">
        <v>109</v>
      </c>
      <c r="I8" s="125"/>
      <c r="J8" s="125" t="s">
        <v>322</v>
      </c>
      <c r="K8" s="125" t="s">
        <v>323</v>
      </c>
      <c r="L8" s="78"/>
      <c r="M8" s="125" t="s">
        <v>321</v>
      </c>
      <c r="N8" s="125" t="s">
        <v>324</v>
      </c>
      <c r="O8" s="78"/>
      <c r="P8" s="125" t="s">
        <v>325</v>
      </c>
      <c r="Q8" s="125" t="s">
        <v>326</v>
      </c>
      <c r="R8" s="78"/>
      <c r="S8" s="125" t="s">
        <v>110</v>
      </c>
      <c r="T8" s="125" t="s">
        <v>111</v>
      </c>
      <c r="U8" s="78"/>
      <c r="V8" s="125" t="s">
        <v>112</v>
      </c>
      <c r="W8" s="125" t="s">
        <v>113</v>
      </c>
      <c r="X8" s="78"/>
      <c r="Y8" s="221" t="s">
        <v>330</v>
      </c>
      <c r="Z8" s="221" t="s">
        <v>331</v>
      </c>
      <c r="AA8" s="78"/>
      <c r="AB8" s="221" t="s">
        <v>328</v>
      </c>
      <c r="AC8" s="221" t="s">
        <v>329</v>
      </c>
      <c r="AD8" s="78"/>
      <c r="AE8" s="221" t="s">
        <v>332</v>
      </c>
      <c r="AF8" s="221" t="s">
        <v>332</v>
      </c>
      <c r="AG8" s="78"/>
      <c r="AH8" s="25" t="s">
        <v>148</v>
      </c>
      <c r="AI8" s="25" t="s">
        <v>149</v>
      </c>
      <c r="AJ8" s="78"/>
      <c r="AK8" s="25" t="s">
        <v>519</v>
      </c>
    </row>
    <row r="9" spans="1:37" s="19" customFormat="1" ht="22.5">
      <c r="B9" s="19" t="s">
        <v>18</v>
      </c>
      <c r="C9" s="19" t="s">
        <v>19</v>
      </c>
      <c r="D9" s="20" t="s">
        <v>20</v>
      </c>
      <c r="E9" s="21" t="s">
        <v>21</v>
      </c>
      <c r="G9" s="19" t="s">
        <v>24</v>
      </c>
      <c r="H9" s="19" t="s">
        <v>502</v>
      </c>
      <c r="J9" s="19" t="s">
        <v>26</v>
      </c>
      <c r="K9" s="19" t="s">
        <v>503</v>
      </c>
      <c r="M9" s="19" t="s">
        <v>28</v>
      </c>
      <c r="N9" s="19" t="s">
        <v>504</v>
      </c>
      <c r="P9" s="19" t="s">
        <v>30</v>
      </c>
      <c r="Q9" s="19" t="s">
        <v>505</v>
      </c>
      <c r="S9" s="19" t="s">
        <v>83</v>
      </c>
      <c r="T9" s="19" t="s">
        <v>506</v>
      </c>
      <c r="V9" s="19" t="s">
        <v>75</v>
      </c>
      <c r="W9" s="19" t="s">
        <v>507</v>
      </c>
      <c r="Y9" s="215" t="s">
        <v>93</v>
      </c>
      <c r="Z9" s="215" t="s">
        <v>508</v>
      </c>
      <c r="AB9" s="215" t="s">
        <v>86</v>
      </c>
      <c r="AC9" s="215" t="s">
        <v>509</v>
      </c>
      <c r="AE9" s="215" t="s">
        <v>92</v>
      </c>
      <c r="AF9" s="215" t="s">
        <v>510</v>
      </c>
      <c r="AH9" s="20" t="s">
        <v>475</v>
      </c>
      <c r="AI9" s="20" t="s">
        <v>511</v>
      </c>
      <c r="AK9" s="20" t="s">
        <v>341</v>
      </c>
    </row>
    <row r="10" spans="1:37">
      <c r="A10" s="2">
        <v>1</v>
      </c>
      <c r="B10" s="228" t="s">
        <v>4</v>
      </c>
      <c r="C10" s="106" t="str">
        <f>'Revenue by Sch RY#1'!C9</f>
        <v>7 (307) (317) (327)</v>
      </c>
      <c r="D10" s="218">
        <f>'Revenue by Sch RY#1'!D9</f>
        <v>11278205851.395365</v>
      </c>
      <c r="E10" s="219">
        <f>'Revenue by Sch RY#1'!AC9</f>
        <v>1573549058.3641579</v>
      </c>
      <c r="F10" s="73"/>
      <c r="G10" s="182">
        <v>335541990.56614429</v>
      </c>
      <c r="H10" s="68">
        <f>+G10/$E10</f>
        <v>0.21323897642884396</v>
      </c>
      <c r="I10" s="68"/>
      <c r="J10" s="219">
        <f>SUM('Revenue by Sch RY#1'!AF9,'Revenue by Sch RY#1'!AM9)</f>
        <v>-88680532.609521762</v>
      </c>
      <c r="K10" s="68">
        <f>+J10/$E10</f>
        <v>-5.6357018002166991E-2</v>
      </c>
      <c r="L10" s="1"/>
      <c r="M10" s="219">
        <f>SUM('Revenue by Sch RY#1'!AG9,'Revenue by Sch RY#1'!AN9)</f>
        <v>-78947.440959767555</v>
      </c>
      <c r="N10" s="68">
        <f>+M10/$E10</f>
        <v>-5.0171579043007619E-5</v>
      </c>
      <c r="O10" s="1"/>
      <c r="P10" s="219">
        <f>SUM('Revenue by Sch RY#1'!AH9,'Revenue by Sch RY#1'!AO9)</f>
        <v>-14097757.314244207</v>
      </c>
      <c r="Q10" s="68">
        <f>+P10/$E10</f>
        <v>-8.9592105433942172E-3</v>
      </c>
      <c r="R10" s="1"/>
      <c r="S10" s="219">
        <f>SUM('Revenue by Sch RY#1'!AI9,'Revenue by Sch RY#1'!AP9)</f>
        <v>-96180539.500699684</v>
      </c>
      <c r="T10" s="68">
        <f>+S10/$E10</f>
        <v>-6.1123318011252717E-2</v>
      </c>
      <c r="U10" s="1"/>
      <c r="V10" s="219">
        <f>SUM('Revenue by Sch RY#1'!AJ9,'Revenue by Sch RY#1'!AQ9)</f>
        <v>-91409858.425559431</v>
      </c>
      <c r="W10" s="68">
        <f>+V10/$E10</f>
        <v>-5.8091521163368104E-2</v>
      </c>
      <c r="X10" s="1"/>
      <c r="Y10" s="222">
        <f>SUM('Revenue by Sch RY#1'!AR9)</f>
        <v>41217769.741866097</v>
      </c>
      <c r="Z10" s="223">
        <f>+Y10/$E10</f>
        <v>2.6194143438219575E-2</v>
      </c>
      <c r="AA10" s="1"/>
      <c r="AB10" s="222">
        <f>SUM('Revenue by Sch RY#1'!AS9)</f>
        <v>6646098.5128571149</v>
      </c>
      <c r="AC10" s="223">
        <f>+AB10/$E10</f>
        <v>4.2236360395184096E-3</v>
      </c>
      <c r="AD10" s="1"/>
      <c r="AE10" s="222">
        <f>SUM('Revenue by Sch RY#1'!AT9)</f>
        <v>15926650.538183255</v>
      </c>
      <c r="AF10" s="223">
        <f>+AE10/$E10</f>
        <v>1.0121483314120758E-2</v>
      </c>
      <c r="AG10" s="1"/>
      <c r="AH10" s="72">
        <f>+G10+J10+S10+V10+M10+P10+Y10+AB10+AE10</f>
        <v>108884874.0680659</v>
      </c>
      <c r="AI10" s="68">
        <f>+AH10/$E10</f>
        <v>6.9196999921477667E-2</v>
      </c>
      <c r="AJ10" s="1"/>
      <c r="AK10" s="72">
        <f>SUM(E10,AH10)</f>
        <v>1682433932.4322238</v>
      </c>
    </row>
    <row r="11" spans="1:37">
      <c r="A11" s="2">
        <f>+A10+1</f>
        <v>2</v>
      </c>
      <c r="B11" s="228" t="s">
        <v>97</v>
      </c>
      <c r="C11" s="106" t="str">
        <f>'Revenue by Sch RY#1'!C10</f>
        <v>08 (24) (324)</v>
      </c>
      <c r="D11" s="218">
        <f>'Revenue by Sch RY#1'!D10</f>
        <v>2762635966.1696987</v>
      </c>
      <c r="E11" s="219">
        <f>'Revenue by Sch RY#1'!AC10</f>
        <v>370402221.86186469</v>
      </c>
      <c r="F11" s="73"/>
      <c r="G11" s="182">
        <v>74990862.946253538</v>
      </c>
      <c r="H11" s="68">
        <f t="shared" ref="H11:H24" si="0">+G11/$E11</f>
        <v>0.20245791877085481</v>
      </c>
      <c r="I11" s="68"/>
      <c r="J11" s="219">
        <f>SUM('Revenue by Sch RY#1'!AF10,'Revenue by Sch RY#1'!AM10)</f>
        <v>-20733582.926103588</v>
      </c>
      <c r="K11" s="68">
        <f t="shared" ref="K11:K23" si="1">+J11/$E11</f>
        <v>-5.5975860030979596E-2</v>
      </c>
      <c r="L11" s="1"/>
      <c r="M11" s="219">
        <f>SUM('Revenue by Sch RY#1'!AG10,'Revenue by Sch RY#1'!AN10)</f>
        <v>-19338.451763187892</v>
      </c>
      <c r="N11" s="68">
        <f t="shared" ref="N11:N24" si="2">+M11/$E11</f>
        <v>-5.2209329809041596E-5</v>
      </c>
      <c r="O11" s="1"/>
      <c r="P11" s="219">
        <f>SUM('Revenue by Sch RY#1'!AH10,'Revenue by Sch RY#1'!AO10)</f>
        <v>-2737772.2424741713</v>
      </c>
      <c r="Q11" s="68">
        <f t="shared" ref="Q11:Q24" si="3">+P11/$E11</f>
        <v>-7.3913494058228885E-3</v>
      </c>
      <c r="R11" s="1"/>
      <c r="S11" s="219">
        <f>SUM('Revenue by Sch RY#1'!AI10,'Revenue by Sch RY#1'!AP10)</f>
        <v>-18319039.091671273</v>
      </c>
      <c r="T11" s="68">
        <f t="shared" ref="T11:T24" si="4">+S11/$E11</f>
        <v>-4.9457152280536404E-2</v>
      </c>
      <c r="U11" s="1"/>
      <c r="V11" s="219">
        <f>SUM('Revenue by Sch RY#1'!AJ10,'Revenue by Sch RY#1'!AQ10)</f>
        <v>-17410131.858801443</v>
      </c>
      <c r="W11" s="68">
        <f t="shared" ref="W11:W24" si="5">+V11/$E11</f>
        <v>-4.7003313779511453E-2</v>
      </c>
      <c r="X11" s="1"/>
      <c r="Y11" s="222">
        <f>SUM('Revenue by Sch RY#1'!AR10)</f>
        <v>9032211.7806892972</v>
      </c>
      <c r="Z11" s="223">
        <f t="shared" ref="Z11:Z24" si="6">+Y11/$E11</f>
        <v>2.4384874732359757E-2</v>
      </c>
      <c r="AA11" s="1"/>
      <c r="AB11" s="222">
        <f>SUM('Revenue by Sch RY#1'!AS10)</f>
        <v>793623.28485625726</v>
      </c>
      <c r="AC11" s="223">
        <f t="shared" ref="AC11:AC24" si="7">+AB11/$E11</f>
        <v>2.1425986077163051E-3</v>
      </c>
      <c r="AD11" s="1"/>
      <c r="AE11" s="222">
        <f>SUM('Revenue by Sch RY#1'!AT10)</f>
        <v>3407205.0016037403</v>
      </c>
      <c r="AF11" s="223">
        <f t="shared" ref="AF11:AF24" si="8">+AE11/$E11</f>
        <v>9.1986624283112439E-3</v>
      </c>
      <c r="AG11" s="1"/>
      <c r="AH11" s="72">
        <f t="shared" ref="AH11:AH23" si="9">+G11+J11+S11+V11+M11+P11+Y11+AB11+AE11</f>
        <v>29004038.442589164</v>
      </c>
      <c r="AI11" s="68">
        <f t="shared" ref="AI11:AI24" si="10">+AH11/$E11</f>
        <v>7.8304169712582708E-2</v>
      </c>
      <c r="AJ11" s="1"/>
      <c r="AK11" s="72">
        <f t="shared" ref="AK11:AK23" si="11">SUM(E11,AH11)</f>
        <v>399406260.30445385</v>
      </c>
    </row>
    <row r="12" spans="1:37">
      <c r="A12" s="2">
        <f>+A11+1</f>
        <v>3</v>
      </c>
      <c r="B12" s="229" t="s">
        <v>99</v>
      </c>
      <c r="C12" s="106" t="str">
        <f>'Revenue by Sch RY#1'!C11</f>
        <v>7A (11) (25)</v>
      </c>
      <c r="D12" s="218">
        <f>'Revenue by Sch RY#1'!D11</f>
        <v>2960202274.8054705</v>
      </c>
      <c r="E12" s="219">
        <f>'Revenue by Sch RY#1'!AC11</f>
        <v>388306969.90820646</v>
      </c>
      <c r="F12" s="73"/>
      <c r="G12" s="182">
        <v>73159163.367564112</v>
      </c>
      <c r="H12" s="68">
        <f t="shared" si="0"/>
        <v>0.18840548596091006</v>
      </c>
      <c r="I12" s="68"/>
      <c r="J12" s="219">
        <f>SUM('Revenue by Sch RY#1'!AF11,'Revenue by Sch RY#1'!AM11)</f>
        <v>-22272561.915636361</v>
      </c>
      <c r="K12" s="68">
        <f t="shared" si="1"/>
        <v>-5.7358130658590717E-2</v>
      </c>
      <c r="L12" s="1"/>
      <c r="M12" s="219">
        <f>SUM('Revenue by Sch RY#1'!AG11,'Revenue by Sch RY#1'!AN11)</f>
        <v>-20721.415923638295</v>
      </c>
      <c r="N12" s="68">
        <f t="shared" si="2"/>
        <v>-5.3363492106610185E-5</v>
      </c>
      <c r="O12" s="1"/>
      <c r="P12" s="219">
        <f>SUM('Revenue by Sch RY#1'!AH11,'Revenue by Sch RY#1'!AO11)</f>
        <v>-3062687.1071075583</v>
      </c>
      <c r="Q12" s="68">
        <f t="shared" si="3"/>
        <v>-7.8872833723060906E-3</v>
      </c>
      <c r="R12" s="1"/>
      <c r="S12" s="219">
        <f>SUM('Revenue by Sch RY#1'!AI11,'Revenue by Sch RY#1'!AP11)</f>
        <v>-20286372.087374233</v>
      </c>
      <c r="T12" s="68">
        <f t="shared" si="4"/>
        <v>-5.2243131489939039E-2</v>
      </c>
      <c r="U12" s="1"/>
      <c r="V12" s="219">
        <f>SUM('Revenue by Sch RY#1'!AJ11,'Revenue by Sch RY#1'!AQ11)</f>
        <v>-19289416.615187101</v>
      </c>
      <c r="W12" s="68">
        <f t="shared" si="5"/>
        <v>-4.9675689879445144E-2</v>
      </c>
      <c r="X12" s="1"/>
      <c r="Y12" s="222">
        <f>SUM('Revenue by Sch RY#1'!AR11)</f>
        <v>9940431.4307320621</v>
      </c>
      <c r="Z12" s="223">
        <f t="shared" si="6"/>
        <v>2.559941541374321E-2</v>
      </c>
      <c r="AA12" s="1"/>
      <c r="AB12" s="222">
        <f>SUM('Revenue by Sch RY#1'!AS11)</f>
        <v>71866.927337495828</v>
      </c>
      <c r="AC12" s="223">
        <f t="shared" si="7"/>
        <v>1.8507761360679351E-4</v>
      </c>
      <c r="AD12" s="1"/>
      <c r="AE12" s="222">
        <f>SUM('Revenue by Sch RY#1'!AT11)</f>
        <v>3557632.8134628101</v>
      </c>
      <c r="AF12" s="223">
        <f t="shared" si="8"/>
        <v>9.1619082044904175E-3</v>
      </c>
      <c r="AG12" s="1"/>
      <c r="AH12" s="72">
        <f t="shared" si="9"/>
        <v>21797335.39786759</v>
      </c>
      <c r="AI12" s="68">
        <f t="shared" si="10"/>
        <v>5.6134288300362871E-2</v>
      </c>
      <c r="AJ12" s="1"/>
      <c r="AK12" s="72">
        <f t="shared" si="11"/>
        <v>410104305.30607402</v>
      </c>
    </row>
    <row r="13" spans="1:37">
      <c r="A13" s="2">
        <f t="shared" ref="A13:A24" si="12">+A12+1</f>
        <v>4</v>
      </c>
      <c r="B13" s="229" t="s">
        <v>98</v>
      </c>
      <c r="C13" s="106" t="str">
        <f>'Revenue by Sch RY#1'!C12</f>
        <v>12 (26) (26P)</v>
      </c>
      <c r="D13" s="218">
        <f>'Revenue by Sch RY#1'!D12</f>
        <v>2013891730.8000479</v>
      </c>
      <c r="E13" s="219">
        <f>'Revenue by Sch RY#1'!AC12</f>
        <v>237836418.96857327</v>
      </c>
      <c r="F13" s="73"/>
      <c r="G13" s="182">
        <v>45146023.669125214</v>
      </c>
      <c r="H13" s="68">
        <f t="shared" si="0"/>
        <v>0.1898196410159145</v>
      </c>
      <c r="I13" s="68"/>
      <c r="J13" s="219">
        <f>SUM('Revenue by Sch RY#1'!AF12,'Revenue by Sch RY#1'!AM12)</f>
        <v>-14123422.708100736</v>
      </c>
      <c r="K13" s="68">
        <f t="shared" si="1"/>
        <v>-5.9382927010715493E-2</v>
      </c>
      <c r="L13" s="1"/>
      <c r="M13" s="219">
        <f>SUM('Revenue by Sch RY#1'!AG12,'Revenue by Sch RY#1'!AN12)</f>
        <v>-12083.350384800287</v>
      </c>
      <c r="N13" s="68">
        <f t="shared" si="2"/>
        <v>-5.0805299025280617E-5</v>
      </c>
      <c r="O13" s="1"/>
      <c r="P13" s="219">
        <f>SUM('Revenue by Sch RY#1'!AH12,'Revenue by Sch RY#1'!AO12)</f>
        <v>-1756232.8834768827</v>
      </c>
      <c r="Q13" s="68">
        <f t="shared" si="3"/>
        <v>-7.3842050393003273E-3</v>
      </c>
      <c r="R13" s="1"/>
      <c r="S13" s="219">
        <f>SUM('Revenue by Sch RY#1'!AI12,'Revenue by Sch RY#1'!AP12)</f>
        <v>-12214883.635912497</v>
      </c>
      <c r="T13" s="68">
        <f t="shared" si="4"/>
        <v>-5.1358339857641905E-2</v>
      </c>
      <c r="U13" s="1"/>
      <c r="V13" s="219">
        <f>SUM('Revenue by Sch RY#1'!AJ12,'Revenue by Sch RY#1'!AQ12)</f>
        <v>-11643638.173843963</v>
      </c>
      <c r="W13" s="68">
        <f t="shared" si="5"/>
        <v>-4.8956498018003315E-2</v>
      </c>
      <c r="X13" s="1"/>
      <c r="Y13" s="222">
        <f>SUM('Revenue by Sch RY#1'!AR12)</f>
        <v>5666300.1742695607</v>
      </c>
      <c r="Z13" s="223">
        <f t="shared" si="6"/>
        <v>2.3824358770799869E-2</v>
      </c>
      <c r="AA13" s="1"/>
      <c r="AB13" s="222">
        <f>SUM('Revenue by Sch RY#1'!AS12)</f>
        <v>35979.886079421325</v>
      </c>
      <c r="AC13" s="223">
        <f t="shared" si="7"/>
        <v>1.5127996896125299E-4</v>
      </c>
      <c r="AD13" s="1"/>
      <c r="AE13" s="222">
        <f>SUM('Revenue by Sch RY#1'!AT12)</f>
        <v>1909573.9474490094</v>
      </c>
      <c r="AF13" s="223">
        <f t="shared" si="8"/>
        <v>8.0289383591052674E-3</v>
      </c>
      <c r="AG13" s="1"/>
      <c r="AH13" s="72">
        <f t="shared" si="9"/>
        <v>13007616.925204327</v>
      </c>
      <c r="AI13" s="68">
        <f t="shared" si="10"/>
        <v>5.469144289009456E-2</v>
      </c>
      <c r="AJ13" s="1"/>
      <c r="AK13" s="72">
        <f t="shared" si="11"/>
        <v>250844035.89377761</v>
      </c>
    </row>
    <row r="14" spans="1:37">
      <c r="A14" s="2">
        <f t="shared" si="12"/>
        <v>5</v>
      </c>
      <c r="B14" s="228" t="s">
        <v>100</v>
      </c>
      <c r="C14" s="106" t="str">
        <f>'Revenue by Sch RY#1'!C13</f>
        <v>29</v>
      </c>
      <c r="D14" s="218">
        <f>'Revenue by Sch RY#1'!D13</f>
        <v>14930059.630887466</v>
      </c>
      <c r="E14" s="219">
        <f>'Revenue by Sch RY#1'!AC13</f>
        <v>1728149.0568922446</v>
      </c>
      <c r="F14" s="73"/>
      <c r="G14" s="182">
        <v>352805.94800889178</v>
      </c>
      <c r="H14" s="68">
        <f t="shared" si="0"/>
        <v>0.20415249865271912</v>
      </c>
      <c r="I14" s="68"/>
      <c r="J14" s="219">
        <f>SUM('Revenue by Sch RY#1'!AF13,'Revenue by Sch RY#1'!AM13)</f>
        <v>-118096.77168031986</v>
      </c>
      <c r="K14" s="68">
        <f t="shared" si="1"/>
        <v>-6.8337144420108631E-2</v>
      </c>
      <c r="L14" s="1"/>
      <c r="M14" s="219">
        <f>SUM('Revenue by Sch RY#1'!AG13,'Revenue by Sch RY#1'!AN13)</f>
        <v>-104.51041741621226</v>
      </c>
      <c r="N14" s="68">
        <f t="shared" si="2"/>
        <v>-6.0475349044343924E-5</v>
      </c>
      <c r="O14" s="1"/>
      <c r="P14" s="219">
        <f>SUM('Revenue by Sch RY#1'!AH13,'Revenue by Sch RY#1'!AO13)</f>
        <v>-12866.949999402332</v>
      </c>
      <c r="Q14" s="68">
        <f t="shared" si="3"/>
        <v>-7.4455093720568024E-3</v>
      </c>
      <c r="R14" s="1"/>
      <c r="S14" s="219">
        <f>SUM('Revenue by Sch RY#1'!AI13,'Revenue by Sch RY#1'!AP13)</f>
        <v>-102696.71904112447</v>
      </c>
      <c r="T14" s="68">
        <f t="shared" si="4"/>
        <v>-5.9425845607210211E-2</v>
      </c>
      <c r="U14" s="1"/>
      <c r="V14" s="219">
        <f>SUM('Revenue by Sch RY#1'!AJ13,'Revenue by Sch RY#1'!AQ13)</f>
        <v>-97593.954971203639</v>
      </c>
      <c r="W14" s="68">
        <f t="shared" si="5"/>
        <v>-5.6473111842972767E-2</v>
      </c>
      <c r="X14" s="1"/>
      <c r="Y14" s="222">
        <f>SUM('Revenue by Sch RY#1'!AR13)</f>
        <v>50135.504347361042</v>
      </c>
      <c r="Z14" s="223">
        <f t="shared" si="6"/>
        <v>2.9011099561932721E-2</v>
      </c>
      <c r="AA14" s="1"/>
      <c r="AB14" s="222">
        <f>SUM('Revenue by Sch RY#1'!AS13)</f>
        <v>5245.1838706287517</v>
      </c>
      <c r="AC14" s="223">
        <f t="shared" si="7"/>
        <v>3.0351455215681692E-3</v>
      </c>
      <c r="AD14" s="1"/>
      <c r="AE14" s="222">
        <f>SUM('Revenue by Sch RY#1'!AT13)</f>
        <v>17943.256953037846</v>
      </c>
      <c r="AF14" s="223">
        <f t="shared" si="8"/>
        <v>1.0382933625705564E-2</v>
      </c>
      <c r="AG14" s="1"/>
      <c r="AH14" s="72">
        <f t="shared" si="9"/>
        <v>94770.987070452917</v>
      </c>
      <c r="AI14" s="68">
        <f t="shared" si="10"/>
        <v>5.4839590770532812E-2</v>
      </c>
      <c r="AJ14" s="1"/>
      <c r="AK14" s="72">
        <f t="shared" si="11"/>
        <v>1822920.0439626975</v>
      </c>
    </row>
    <row r="15" spans="1:37">
      <c r="A15" s="2">
        <f t="shared" si="12"/>
        <v>6</v>
      </c>
      <c r="B15" s="229" t="s">
        <v>101</v>
      </c>
      <c r="C15" s="106" t="str">
        <f>'Revenue by Sch RY#1'!C14</f>
        <v>10 (31)</v>
      </c>
      <c r="D15" s="218">
        <f>'Revenue by Sch RY#1'!D14</f>
        <v>1423586019.4788036</v>
      </c>
      <c r="E15" s="219">
        <f>'Revenue by Sch RY#1'!AC14</f>
        <v>162042122.3188971</v>
      </c>
      <c r="F15" s="73"/>
      <c r="G15" s="182">
        <v>31301839.613551155</v>
      </c>
      <c r="H15" s="68">
        <f t="shared" si="0"/>
        <v>0.1931710049560415</v>
      </c>
      <c r="I15" s="68"/>
      <c r="J15" s="219">
        <f>SUM('Revenue by Sch RY#1'!AF14,'Revenue by Sch RY#1'!AM14)</f>
        <v>-9785730.297897296</v>
      </c>
      <c r="K15" s="68">
        <f t="shared" si="1"/>
        <v>-6.0390040304699834E-2</v>
      </c>
      <c r="L15" s="1"/>
      <c r="M15" s="219">
        <f>SUM('Revenue by Sch RY#1'!AG14,'Revenue by Sch RY#1'!AN14)</f>
        <v>-8541.5161168728227</v>
      </c>
      <c r="N15" s="68">
        <f t="shared" si="2"/>
        <v>-5.2711702331713563E-5</v>
      </c>
      <c r="O15" s="1"/>
      <c r="P15" s="219">
        <f>SUM('Revenue by Sch RY#1'!AH14,'Revenue by Sch RY#1'!AO14)</f>
        <v>-1213578.5752972579</v>
      </c>
      <c r="Q15" s="68">
        <f t="shared" si="3"/>
        <v>-7.4892784538389883E-3</v>
      </c>
      <c r="R15" s="1"/>
      <c r="S15" s="219">
        <f>SUM('Revenue by Sch RY#1'!AI14,'Revenue by Sch RY#1'!AP14)</f>
        <v>-8302746.86347064</v>
      </c>
      <c r="T15" s="68">
        <f t="shared" si="4"/>
        <v>-5.1238201182843841E-2</v>
      </c>
      <c r="U15" s="1"/>
      <c r="V15" s="219">
        <f>SUM('Revenue by Sch RY#1'!AJ14,'Revenue by Sch RY#1'!AQ14)</f>
        <v>-7912239.1093931831</v>
      </c>
      <c r="W15" s="68">
        <f t="shared" si="5"/>
        <v>-4.8828286103424295E-2</v>
      </c>
      <c r="X15" s="1"/>
      <c r="Y15" s="222">
        <f>SUM('Revenue by Sch RY#1'!AR14)</f>
        <v>3955612.4781701048</v>
      </c>
      <c r="Z15" s="223">
        <f t="shared" si="6"/>
        <v>2.4411013763356564E-2</v>
      </c>
      <c r="AA15" s="1"/>
      <c r="AB15" s="222">
        <f>SUM('Revenue by Sch RY#1'!AS14)</f>
        <v>29551.347037033534</v>
      </c>
      <c r="AC15" s="223">
        <f t="shared" si="7"/>
        <v>1.8236830408131048E-4</v>
      </c>
      <c r="AD15" s="1"/>
      <c r="AE15" s="222">
        <f>SUM('Revenue by Sch RY#1'!AT14)</f>
        <v>1342627.7959382271</v>
      </c>
      <c r="AF15" s="223">
        <f t="shared" si="8"/>
        <v>8.2856715076586717E-3</v>
      </c>
      <c r="AG15" s="1"/>
      <c r="AH15" s="72">
        <f t="shared" si="9"/>
        <v>9406794.8725212719</v>
      </c>
      <c r="AI15" s="68">
        <f t="shared" si="10"/>
        <v>5.8051540783999385E-2</v>
      </c>
      <c r="AJ15" s="1"/>
      <c r="AK15" s="72">
        <f t="shared" si="11"/>
        <v>171448917.19141838</v>
      </c>
    </row>
    <row r="16" spans="1:37">
      <c r="A16" s="2">
        <f t="shared" si="12"/>
        <v>7</v>
      </c>
      <c r="B16" s="229" t="s">
        <v>102</v>
      </c>
      <c r="C16" s="106" t="str">
        <f>'Revenue by Sch RY#1'!C15</f>
        <v>35</v>
      </c>
      <c r="D16" s="218">
        <f>'Revenue by Sch RY#1'!D15</f>
        <v>4407260.1568774413</v>
      </c>
      <c r="E16" s="219">
        <f>'Revenue by Sch RY#1'!AC15</f>
        <v>418551.29387898021</v>
      </c>
      <c r="F16" s="73"/>
      <c r="G16" s="182">
        <v>133323.44044189015</v>
      </c>
      <c r="H16" s="68">
        <f t="shared" si="0"/>
        <v>0.31853548750571836</v>
      </c>
      <c r="I16" s="68"/>
      <c r="J16" s="219">
        <f>SUM('Revenue by Sch RY#1'!AF15,'Revenue by Sch RY#1'!AM15)</f>
        <v>-32419.805713990456</v>
      </c>
      <c r="K16" s="68">
        <f t="shared" si="1"/>
        <v>-7.7457186701146138E-2</v>
      </c>
      <c r="L16" s="1"/>
      <c r="M16" s="219">
        <f>SUM('Revenue by Sch RY#1'!AG15,'Revenue by Sch RY#1'!AN15)</f>
        <v>-17.629040627509763</v>
      </c>
      <c r="N16" s="68">
        <f t="shared" si="2"/>
        <v>-4.2119187983222475E-5</v>
      </c>
      <c r="O16" s="1"/>
      <c r="P16" s="219">
        <f>SUM('Revenue by Sch RY#1'!AH15,'Revenue by Sch RY#1'!AO15)</f>
        <v>-5486.0665669761656</v>
      </c>
      <c r="Q16" s="68">
        <f t="shared" si="3"/>
        <v>-1.3107274179308607E-2</v>
      </c>
      <c r="R16" s="1"/>
      <c r="S16" s="219">
        <f>SUM('Revenue by Sch RY#1'!AI15,'Revenue by Sch RY#1'!AP15)</f>
        <v>-36520.622679537046</v>
      </c>
      <c r="T16" s="68">
        <f t="shared" si="4"/>
        <v>-8.7254831638620162E-2</v>
      </c>
      <c r="U16" s="1"/>
      <c r="V16" s="219">
        <f>SUM('Revenue by Sch RY#1'!AJ15,'Revenue by Sch RY#1'!AQ15)</f>
        <v>-34670.488944294222</v>
      </c>
      <c r="W16" s="68">
        <f t="shared" si="5"/>
        <v>-8.2834504280182283E-2</v>
      </c>
      <c r="X16" s="1"/>
      <c r="Y16" s="222">
        <f>SUM('Revenue by Sch RY#1'!AR15)</f>
        <v>11282.560874718421</v>
      </c>
      <c r="Z16" s="223">
        <f t="shared" si="6"/>
        <v>2.6956220276267161E-2</v>
      </c>
      <c r="AA16" s="1"/>
      <c r="AB16" s="222">
        <f>SUM('Revenue by Sch RY#1'!AS15)</f>
        <v>9.4609196251320569</v>
      </c>
      <c r="AC16" s="223">
        <f t="shared" si="7"/>
        <v>2.2603966977265119E-5</v>
      </c>
      <c r="AD16" s="1"/>
      <c r="AE16" s="222">
        <f>SUM('Revenue by Sch RY#1'!AT15)</f>
        <v>20169.467476741898</v>
      </c>
      <c r="AF16" s="223">
        <f t="shared" si="8"/>
        <v>4.8188759111980409E-2</v>
      </c>
      <c r="AG16" s="1"/>
      <c r="AH16" s="72">
        <f t="shared" si="9"/>
        <v>55670.316767550205</v>
      </c>
      <c r="AI16" s="68">
        <f t="shared" si="10"/>
        <v>0.13300715487370277</v>
      </c>
      <c r="AJ16" s="1"/>
      <c r="AK16" s="72">
        <f t="shared" si="11"/>
        <v>474221.6106465304</v>
      </c>
    </row>
    <row r="17" spans="1:37">
      <c r="A17" s="2">
        <f t="shared" si="12"/>
        <v>8</v>
      </c>
      <c r="B17" s="228" t="s">
        <v>103</v>
      </c>
      <c r="C17" s="106">
        <f>'Revenue by Sch RY#1'!C16</f>
        <v>43</v>
      </c>
      <c r="D17" s="218">
        <f>'Revenue by Sch RY#1'!D16</f>
        <v>122267424.6450724</v>
      </c>
      <c r="E17" s="219">
        <f>'Revenue by Sch RY#1'!AC16</f>
        <v>14286105.037436888</v>
      </c>
      <c r="F17" s="73"/>
      <c r="G17" s="182">
        <v>2918916.5960964793</v>
      </c>
      <c r="H17" s="68">
        <f t="shared" si="0"/>
        <v>0.20431857307834625</v>
      </c>
      <c r="I17" s="68"/>
      <c r="J17" s="219">
        <f>SUM('Revenue by Sch RY#1'!AF16,'Revenue by Sch RY#1'!AM16)</f>
        <v>-826894.59287462465</v>
      </c>
      <c r="K17" s="68">
        <f t="shared" si="1"/>
        <v>-5.7881038303144117E-2</v>
      </c>
      <c r="L17" s="1"/>
      <c r="M17" s="219">
        <f>SUM('Revenue by Sch RY#1'!AG16,'Revenue by Sch RY#1'!AN16)</f>
        <v>-122.2674246450724</v>
      </c>
      <c r="N17" s="68">
        <f t="shared" si="2"/>
        <v>-8.5584856281449242E-6</v>
      </c>
      <c r="O17" s="1"/>
      <c r="P17" s="219">
        <f>SUM('Revenue by Sch RY#1'!AH16,'Revenue by Sch RY#1'!AO16)</f>
        <v>-96453.1452531135</v>
      </c>
      <c r="Q17" s="68">
        <f t="shared" si="3"/>
        <v>-6.7515354955291892E-3</v>
      </c>
      <c r="R17" s="1"/>
      <c r="S17" s="219">
        <f>SUM('Revenue by Sch RY#1'!AI16,'Revenue by Sch RY#1'!AP16)</f>
        <v>-632852.54603477963</v>
      </c>
      <c r="T17" s="68">
        <f t="shared" si="4"/>
        <v>-4.4298466543286848E-2</v>
      </c>
      <c r="U17" s="1"/>
      <c r="V17" s="219">
        <f>SUM('Revenue by Sch RY#1'!AJ16,'Revenue by Sch RY#1'!AQ16)</f>
        <v>-599015.26400976302</v>
      </c>
      <c r="W17" s="68">
        <f t="shared" si="5"/>
        <v>-4.192992158744719E-2</v>
      </c>
      <c r="X17" s="1"/>
      <c r="Y17" s="222">
        <f>SUM('Revenue by Sch RY#1'!AR16)</f>
        <v>120636.1656109991</v>
      </c>
      <c r="Z17" s="223">
        <f t="shared" si="6"/>
        <v>8.4443006190190236E-3</v>
      </c>
      <c r="AA17" s="1"/>
      <c r="AB17" s="222">
        <f>SUM('Revenue by Sch RY#1'!AS16)</f>
        <v>3445.1348488352037</v>
      </c>
      <c r="AC17" s="223">
        <f t="shared" si="7"/>
        <v>2.4115284325624037E-4</v>
      </c>
      <c r="AD17" s="1"/>
      <c r="AE17" s="222">
        <f>SUM('Revenue by Sch RY#1'!AT16)</f>
        <v>152162.98974444694</v>
      </c>
      <c r="AF17" s="223">
        <f t="shared" si="8"/>
        <v>1.0651117946123331E-2</v>
      </c>
      <c r="AG17" s="1"/>
      <c r="AH17" s="72">
        <f t="shared" si="9"/>
        <v>1039823.0707038346</v>
      </c>
      <c r="AI17" s="68">
        <f t="shared" si="10"/>
        <v>7.2785624071709354E-2</v>
      </c>
      <c r="AJ17" s="1"/>
      <c r="AK17" s="72">
        <f t="shared" si="11"/>
        <v>15325928.108140722</v>
      </c>
    </row>
    <row r="18" spans="1:37">
      <c r="A18" s="2">
        <f t="shared" si="12"/>
        <v>9</v>
      </c>
      <c r="B18" s="228" t="s">
        <v>104</v>
      </c>
      <c r="C18" s="106">
        <f>'Revenue by Sch RY#1'!C17</f>
        <v>46</v>
      </c>
      <c r="D18" s="218">
        <f>'Revenue by Sch RY#1'!D17</f>
        <v>96933187.043131709</v>
      </c>
      <c r="E18" s="219">
        <f>'Revenue by Sch RY#1'!AC17</f>
        <v>8475100.031980345</v>
      </c>
      <c r="F18" s="73"/>
      <c r="G18" s="182">
        <v>1535189.7190529406</v>
      </c>
      <c r="H18" s="68">
        <f t="shared" si="0"/>
        <v>0.18114119163903467</v>
      </c>
      <c r="I18" s="68"/>
      <c r="J18" s="219">
        <f>SUM('Revenue by Sch RY#1'!AF17,'Revenue by Sch RY#1'!AM17)</f>
        <v>-731748.62898860127</v>
      </c>
      <c r="K18" s="68">
        <f t="shared" si="1"/>
        <v>-8.6341002020906679E-2</v>
      </c>
      <c r="L18" s="1"/>
      <c r="M18" s="219">
        <f>SUM('Revenue by Sch RY#1'!AG17,'Revenue by Sch RY#1'!AN17)</f>
        <v>-96.93318704313171</v>
      </c>
      <c r="N18" s="68">
        <f t="shared" si="2"/>
        <v>-1.1437409196040097E-5</v>
      </c>
      <c r="O18" s="1"/>
      <c r="P18" s="219">
        <f>SUM('Revenue by Sch RY#1'!AH17,'Revenue by Sch RY#1'!AO17)</f>
        <v>-43606.489873955659</v>
      </c>
      <c r="Q18" s="68">
        <f t="shared" si="3"/>
        <v>-5.1452478093956247E-3</v>
      </c>
      <c r="R18" s="1"/>
      <c r="S18" s="219">
        <f>SUM('Revenue by Sch RY#1'!AI17,'Revenue by Sch RY#1'!AP17)</f>
        <v>-323843.15673451731</v>
      </c>
      <c r="T18" s="68">
        <f t="shared" si="4"/>
        <v>-3.8211130902586654E-2</v>
      </c>
      <c r="U18" s="1"/>
      <c r="V18" s="219">
        <f>SUM('Revenue by Sch RY#1'!AJ17,'Revenue by Sch RY#1'!AQ17)</f>
        <v>-306789.63796265295</v>
      </c>
      <c r="W18" s="68">
        <f t="shared" si="5"/>
        <v>-3.6198940048494811E-2</v>
      </c>
      <c r="X18" s="1"/>
      <c r="Y18" s="222">
        <f>SUM('Revenue by Sch RY#1'!AR17)</f>
        <v>234602.08421261591</v>
      </c>
      <c r="Z18" s="223">
        <f t="shared" si="6"/>
        <v>2.7681335126117364E-2</v>
      </c>
      <c r="AA18" s="1"/>
      <c r="AB18" s="222">
        <f>SUM('Revenue by Sch RY#1'!AS17)</f>
        <v>5035.5518573621002</v>
      </c>
      <c r="AC18" s="223">
        <f t="shared" si="7"/>
        <v>5.9415839793757115E-4</v>
      </c>
      <c r="AD18" s="1"/>
      <c r="AE18" s="222">
        <f>SUM('Revenue by Sch RY#1'!AT17)</f>
        <v>36060.710451981446</v>
      </c>
      <c r="AF18" s="223">
        <f t="shared" si="8"/>
        <v>4.2549008644037533E-3</v>
      </c>
      <c r="AG18" s="1"/>
      <c r="AH18" s="72">
        <f t="shared" si="9"/>
        <v>404803.21882812976</v>
      </c>
      <c r="AI18" s="68">
        <f t="shared" si="10"/>
        <v>4.7763827836913554E-2</v>
      </c>
      <c r="AJ18" s="1"/>
      <c r="AK18" s="72">
        <f t="shared" si="11"/>
        <v>8879903.2508084755</v>
      </c>
    </row>
    <row r="19" spans="1:37">
      <c r="A19" s="2">
        <f t="shared" si="12"/>
        <v>10</v>
      </c>
      <c r="B19" s="229" t="s">
        <v>105</v>
      </c>
      <c r="C19" s="106">
        <f>'Revenue by Sch RY#1'!C18</f>
        <v>49</v>
      </c>
      <c r="D19" s="218">
        <f>'Revenue by Sch RY#1'!D18</f>
        <v>534843226.30681556</v>
      </c>
      <c r="E19" s="219">
        <f>'Revenue by Sch RY#1'!AC18</f>
        <v>47671375.10442128</v>
      </c>
      <c r="F19" s="73"/>
      <c r="G19" s="182">
        <v>8435364.1447835788</v>
      </c>
      <c r="H19" s="68">
        <f t="shared" si="0"/>
        <v>0.17694820269619704</v>
      </c>
      <c r="I19" s="68"/>
      <c r="J19" s="219">
        <f>SUM('Revenue by Sch RY#1'!AF18,'Revenue by Sch RY#1'!AM18)</f>
        <v>-3725717.9144532774</v>
      </c>
      <c r="K19" s="68">
        <f t="shared" si="1"/>
        <v>-7.8154194341831268E-2</v>
      </c>
      <c r="L19" s="1"/>
      <c r="M19" s="219">
        <f>SUM('Revenue by Sch RY#1'!AG18,'Revenue by Sch RY#1'!AN18)</f>
        <v>-2674.2161315340782</v>
      </c>
      <c r="N19" s="68">
        <f t="shared" si="2"/>
        <v>-5.6096895163530913E-5</v>
      </c>
      <c r="O19" s="1"/>
      <c r="P19" s="219">
        <f>SUM('Revenue by Sch RY#1'!AH18,'Revenue by Sch RY#1'!AO18)</f>
        <v>-243405.90782398928</v>
      </c>
      <c r="Q19" s="68">
        <f t="shared" si="3"/>
        <v>-5.1059132926378412E-3</v>
      </c>
      <c r="R19" s="1"/>
      <c r="S19" s="219">
        <f>SUM('Revenue by Sch RY#1'!AI18,'Revenue by Sch RY#1'!AP18)</f>
        <v>-1729513.8296306524</v>
      </c>
      <c r="T19" s="68">
        <f t="shared" si="4"/>
        <v>-3.6279923242034794E-2</v>
      </c>
      <c r="U19" s="1"/>
      <c r="V19" s="219">
        <f>SUM('Revenue by Sch RY#1'!AJ18,'Revenue by Sch RY#1'!AQ18)</f>
        <v>-1648873.1533013028</v>
      </c>
      <c r="W19" s="68">
        <f t="shared" si="5"/>
        <v>-3.4588327894665205E-2</v>
      </c>
      <c r="X19" s="1"/>
      <c r="Y19" s="222">
        <f>SUM('Revenue by Sch RY#1'!AR18)</f>
        <v>1294451.7708135068</v>
      </c>
      <c r="Z19" s="223">
        <f t="shared" si="6"/>
        <v>2.715364866186654E-2</v>
      </c>
      <c r="AA19" s="1"/>
      <c r="AB19" s="222">
        <f>SUM('Revenue by Sch RY#1'!AS18)</f>
        <v>14267.396929192619</v>
      </c>
      <c r="AC19" s="223">
        <f t="shared" si="7"/>
        <v>2.99286456451922E-4</v>
      </c>
      <c r="AD19" s="1"/>
      <c r="AE19" s="222">
        <f>SUM('Revenue by Sch RY#1'!AT18)</f>
        <v>198970.31459897972</v>
      </c>
      <c r="AF19" s="223">
        <f t="shared" si="8"/>
        <v>4.1737901238037963E-3</v>
      </c>
      <c r="AG19" s="1"/>
      <c r="AH19" s="72">
        <f t="shared" si="9"/>
        <v>2592868.6057845028</v>
      </c>
      <c r="AI19" s="68">
        <f t="shared" si="10"/>
        <v>5.4390472271986699E-2</v>
      </c>
      <c r="AJ19" s="1"/>
      <c r="AK19" s="72">
        <f t="shared" si="11"/>
        <v>50264243.710205786</v>
      </c>
    </row>
    <row r="20" spans="1:37">
      <c r="A20" s="2">
        <f t="shared" si="12"/>
        <v>11</v>
      </c>
      <c r="B20" s="228" t="s">
        <v>106</v>
      </c>
      <c r="C20" s="106" t="str">
        <f>'Revenue by Sch RY#1'!C19</f>
        <v>03, 50-59</v>
      </c>
      <c r="D20" s="218">
        <f>'Revenue by Sch RY#1'!D19</f>
        <v>67255417.982360825</v>
      </c>
      <c r="E20" s="219">
        <f>'Revenue by Sch RY#1'!AC19</f>
        <v>23183450.840163715</v>
      </c>
      <c r="F20" s="73"/>
      <c r="G20" s="182">
        <v>4555398.380905115</v>
      </c>
      <c r="H20" s="68">
        <f t="shared" si="0"/>
        <v>0.19649354241143446</v>
      </c>
      <c r="I20" s="68"/>
      <c r="J20" s="219">
        <f>SUM('Revenue by Sch RY#1'!AF19,'Revenue by Sch RY#1'!AM19)</f>
        <v>-544970.65191106987</v>
      </c>
      <c r="K20" s="68">
        <f t="shared" si="1"/>
        <v>-2.3506882373479369E-2</v>
      </c>
      <c r="L20" s="1"/>
      <c r="M20" s="219">
        <f>SUM('Revenue by Sch RY#1'!AG19,'Revenue by Sch RY#1'!AN19)</f>
        <v>-201.76625394708248</v>
      </c>
      <c r="N20" s="68">
        <f t="shared" si="2"/>
        <v>-8.7030293867009867E-6</v>
      </c>
      <c r="O20" s="1"/>
      <c r="P20" s="219">
        <f>SUM('Revenue by Sch RY#1'!AH19,'Revenue by Sch RY#1'!AO19)</f>
        <v>-281867.45676407422</v>
      </c>
      <c r="Q20" s="68">
        <f t="shared" si="3"/>
        <v>-1.2158132053221277E-2</v>
      </c>
      <c r="R20" s="1"/>
      <c r="S20" s="219">
        <f>SUM('Revenue by Sch RY#1'!AI19,'Revenue by Sch RY#1'!AP19)</f>
        <v>-2078797.7144167908</v>
      </c>
      <c r="T20" s="68">
        <f t="shared" si="4"/>
        <v>-8.9667311771180258E-2</v>
      </c>
      <c r="U20" s="1"/>
      <c r="V20" s="219">
        <f>SUM('Revenue by Sch RY#1'!AJ19,'Revenue by Sch RY#1'!AQ19)</f>
        <v>-1975695.1586498315</v>
      </c>
      <c r="W20" s="68">
        <f t="shared" si="5"/>
        <v>-8.5220063754576053E-2</v>
      </c>
      <c r="X20" s="1"/>
      <c r="Y20" s="222">
        <f>SUM('Revenue by Sch RY#1'!AR19)</f>
        <v>112458</v>
      </c>
      <c r="Z20" s="223">
        <f t="shared" si="6"/>
        <v>4.8507877785465116E-3</v>
      </c>
      <c r="AA20" s="1"/>
      <c r="AB20" s="222">
        <f>SUM('Revenue by Sch RY#1'!AS19)</f>
        <v>53935.519227045588</v>
      </c>
      <c r="AC20" s="223">
        <f t="shared" si="7"/>
        <v>2.3264663918628565E-3</v>
      </c>
      <c r="AD20" s="1"/>
      <c r="AE20" s="222">
        <f>SUM('Revenue by Sch RY#1'!AT19)</f>
        <v>156218.02689690789</v>
      </c>
      <c r="AF20" s="223">
        <f t="shared" si="8"/>
        <v>6.7383422758734018E-3</v>
      </c>
      <c r="AG20" s="1"/>
      <c r="AH20" s="72">
        <f t="shared" si="9"/>
        <v>-3522.8209666447365</v>
      </c>
      <c r="AI20" s="68">
        <f t="shared" si="10"/>
        <v>-1.5195412412640893E-4</v>
      </c>
      <c r="AJ20" s="1"/>
      <c r="AK20" s="72">
        <f t="shared" si="11"/>
        <v>23179928.019197069</v>
      </c>
    </row>
    <row r="21" spans="1:37">
      <c r="A21" s="2">
        <f t="shared" si="12"/>
        <v>12</v>
      </c>
      <c r="B21" s="228" t="s">
        <v>23</v>
      </c>
      <c r="C21" s="106" t="str">
        <f>'Revenue by Sch RY#1'!C20</f>
        <v xml:space="preserve">449 / 459 </v>
      </c>
      <c r="D21" s="218">
        <f>'Revenue by Sch RY#1'!D20</f>
        <v>1967511960.3194919</v>
      </c>
      <c r="E21" s="219">
        <f>'Revenue by Sch RY#1'!AC20</f>
        <v>16604465.294621985</v>
      </c>
      <c r="F21" s="73"/>
      <c r="G21" s="182">
        <v>528588.58130950294</v>
      </c>
      <c r="H21" s="68">
        <f t="shared" si="0"/>
        <v>3.1834122444202244E-2</v>
      </c>
      <c r="I21" s="68"/>
      <c r="J21" s="219">
        <f>SUM('Revenue by Sch RY#1'!AF20,'Revenue by Sch RY#1'!AM20)</f>
        <v>0</v>
      </c>
      <c r="K21" s="68">
        <f t="shared" si="1"/>
        <v>0</v>
      </c>
      <c r="L21" s="1"/>
      <c r="M21" s="219">
        <f>SUM('Revenue by Sch RY#1'!AG20,'Revenue by Sch RY#1'!AN20)</f>
        <v>0</v>
      </c>
      <c r="N21" s="68">
        <f t="shared" si="2"/>
        <v>0</v>
      </c>
      <c r="O21" s="1"/>
      <c r="P21" s="219">
        <f>SUM('Revenue by Sch RY#1'!AH20,'Revenue by Sch RY#1'!AO20)</f>
        <v>0</v>
      </c>
      <c r="Q21" s="68">
        <f t="shared" si="3"/>
        <v>0</v>
      </c>
      <c r="R21" s="1"/>
      <c r="S21" s="219">
        <f>SUM('Revenue by Sch RY#1'!AI20,'Revenue by Sch RY#1'!AP20)</f>
        <v>-147120</v>
      </c>
      <c r="T21" s="68">
        <f t="shared" si="4"/>
        <v>-8.8602672467658836E-3</v>
      </c>
      <c r="U21" s="1"/>
      <c r="V21" s="219">
        <f>SUM('Revenue by Sch RY#1'!AJ20,'Revenue by Sch RY#1'!AQ20)</f>
        <v>-27600</v>
      </c>
      <c r="W21" s="68">
        <f t="shared" si="5"/>
        <v>-1.6622034802252473E-3</v>
      </c>
      <c r="X21" s="1"/>
      <c r="Y21" s="222">
        <f>SUM('Revenue by Sch RY#1'!AR20)</f>
        <v>0</v>
      </c>
      <c r="Z21" s="223">
        <f t="shared" si="6"/>
        <v>0</v>
      </c>
      <c r="AA21" s="1"/>
      <c r="AB21" s="222">
        <f>SUM('Revenue by Sch RY#1'!AS20)</f>
        <v>11289.288936160296</v>
      </c>
      <c r="AC21" s="223">
        <f t="shared" si="7"/>
        <v>6.7989475938239215E-4</v>
      </c>
      <c r="AD21" s="1"/>
      <c r="AE21" s="222">
        <f>SUM('Revenue by Sch RY#1'!AT20)</f>
        <v>410614.28454946139</v>
      </c>
      <c r="AF21" s="223">
        <f t="shared" si="8"/>
        <v>2.4729148290156329E-2</v>
      </c>
      <c r="AG21" s="1"/>
      <c r="AH21" s="72">
        <f t="shared" si="9"/>
        <v>775772.15479512466</v>
      </c>
      <c r="AI21" s="68">
        <f t="shared" si="10"/>
        <v>4.6720694766749837E-2</v>
      </c>
      <c r="AJ21" s="1"/>
      <c r="AK21" s="72">
        <f t="shared" si="11"/>
        <v>17380237.449417111</v>
      </c>
    </row>
    <row r="22" spans="1:37">
      <c r="A22" s="2">
        <f t="shared" si="12"/>
        <v>13</v>
      </c>
      <c r="B22" s="228" t="s">
        <v>76</v>
      </c>
      <c r="C22" s="106" t="str">
        <f>'Revenue by Sch RY#1'!C21</f>
        <v>Special Contract</v>
      </c>
      <c r="D22" s="218">
        <f>'Revenue by Sch RY#1'!D21</f>
        <v>304773055.46200001</v>
      </c>
      <c r="E22" s="219">
        <f>'Revenue by Sch RY#1'!AC21</f>
        <v>6112058.4304764047</v>
      </c>
      <c r="F22" s="73"/>
      <c r="G22" s="182">
        <v>4956728.9534063395</v>
      </c>
      <c r="H22" s="68">
        <f t="shared" si="0"/>
        <v>0.81097538739006902</v>
      </c>
      <c r="I22" s="68"/>
      <c r="J22" s="219">
        <f>SUM('Revenue by Sch RY#1'!AF21,'Revenue by Sch RY#1'!AM21)</f>
        <v>0</v>
      </c>
      <c r="K22" s="68">
        <f t="shared" si="1"/>
        <v>0</v>
      </c>
      <c r="L22" s="1"/>
      <c r="M22" s="219">
        <f>SUM('Revenue by Sch RY#1'!AG21,'Revenue by Sch RY#1'!AN21)</f>
        <v>0</v>
      </c>
      <c r="N22" s="68">
        <f t="shared" si="2"/>
        <v>0</v>
      </c>
      <c r="O22" s="1"/>
      <c r="P22" s="219">
        <f>SUM('Revenue by Sch RY#1'!AH21,'Revenue by Sch RY#1'!AO21)</f>
        <v>0</v>
      </c>
      <c r="Q22" s="68">
        <f t="shared" si="3"/>
        <v>0</v>
      </c>
      <c r="R22" s="1"/>
      <c r="S22" s="219">
        <f>SUM('Revenue by Sch RY#1'!AI21,'Revenue by Sch RY#1'!AP21)</f>
        <v>-472703.00902156206</v>
      </c>
      <c r="T22" s="68">
        <f t="shared" si="4"/>
        <v>-7.7339412637898688E-2</v>
      </c>
      <c r="U22" s="1"/>
      <c r="V22" s="219">
        <f>SUM('Revenue by Sch RY#1'!AJ21,'Revenue by Sch RY#1'!AQ21)</f>
        <v>-449235.48375098803</v>
      </c>
      <c r="W22" s="68">
        <f t="shared" si="5"/>
        <v>-7.3499867329634205E-2</v>
      </c>
      <c r="X22" s="1"/>
      <c r="Y22" s="222">
        <f>SUM('Revenue by Sch RY#1'!AR21)</f>
        <v>0</v>
      </c>
      <c r="Z22" s="223">
        <f t="shared" si="6"/>
        <v>0</v>
      </c>
      <c r="AA22" s="1"/>
      <c r="AB22" s="222">
        <f>SUM('Revenue by Sch RY#1'!AS21)</f>
        <v>3054.1969589255868</v>
      </c>
      <c r="AC22" s="223">
        <f t="shared" si="7"/>
        <v>4.9970022270999905E-4</v>
      </c>
      <c r="AD22" s="1"/>
      <c r="AE22" s="222">
        <f>SUM('Revenue by Sch RY#1'!AT21)</f>
        <v>403047.29938686301</v>
      </c>
      <c r="AF22" s="223">
        <f t="shared" si="8"/>
        <v>6.594297223618778E-2</v>
      </c>
      <c r="AG22" s="1"/>
      <c r="AH22" s="72">
        <f t="shared" si="9"/>
        <v>4440891.9569795784</v>
      </c>
      <c r="AI22" s="68">
        <f t="shared" si="10"/>
        <v>0.72657877988143393</v>
      </c>
      <c r="AJ22" s="1"/>
      <c r="AK22" s="72">
        <f t="shared" si="11"/>
        <v>10552950.387455983</v>
      </c>
    </row>
    <row r="23" spans="1:37">
      <c r="A23" s="2">
        <f t="shared" si="12"/>
        <v>14</v>
      </c>
      <c r="B23" s="228" t="s">
        <v>16</v>
      </c>
      <c r="C23" s="106">
        <f>'Revenue by Sch RY#1'!C22</f>
        <v>5</v>
      </c>
      <c r="D23" s="218">
        <f>'Revenue by Sch RY#1'!D22</f>
        <v>6714960.2368700616</v>
      </c>
      <c r="E23" s="219">
        <f>'Revenue by Sch RY#1'!AC22</f>
        <v>487506.15298651473</v>
      </c>
      <c r="F23" s="73"/>
      <c r="G23" s="182">
        <v>820562.07335701142</v>
      </c>
      <c r="H23" s="68">
        <f t="shared" si="0"/>
        <v>1.6831830087275013</v>
      </c>
      <c r="I23" s="68"/>
      <c r="J23" s="219">
        <f>SUM('Revenue by Sch RY#1'!AF22,'Revenue by Sch RY#1'!AM22)</f>
        <v>-53679.392133539266</v>
      </c>
      <c r="K23" s="68">
        <f t="shared" si="1"/>
        <v>-0.11011018385038543</v>
      </c>
      <c r="L23" s="1"/>
      <c r="M23" s="219">
        <f>SUM('Revenue by Sch RY#1'!AG22,'Revenue by Sch RY#1'!AN22)</f>
        <v>-40.289761421220369</v>
      </c>
      <c r="N23" s="68">
        <f t="shared" si="2"/>
        <v>-8.2644621353804445E-5</v>
      </c>
      <c r="O23" s="1"/>
      <c r="P23" s="219">
        <f>SUM('Revenue by Sch RY#1'!AH22,'Revenue by Sch RY#1'!AO22)</f>
        <v>-6267.8607601201938</v>
      </c>
      <c r="Q23" s="68">
        <f t="shared" si="3"/>
        <v>-1.2856988002556706E-2</v>
      </c>
      <c r="R23" s="1"/>
      <c r="S23" s="219">
        <f>SUM('Revenue by Sch RY#1'!AI22,'Revenue by Sch RY#1'!AP22)</f>
        <v>-37063.964072646762</v>
      </c>
      <c r="T23" s="68">
        <f t="shared" si="4"/>
        <v>-7.6027684667340015E-2</v>
      </c>
      <c r="U23" s="1"/>
      <c r="V23" s="219">
        <f>SUM('Revenue by Sch RY#1'!AJ22,'Revenue by Sch RY#1'!AQ22)</f>
        <v>-35251.99174535997</v>
      </c>
      <c r="W23" s="68">
        <f t="shared" si="5"/>
        <v>-7.2310865266833058E-2</v>
      </c>
      <c r="X23" s="1"/>
      <c r="Y23" s="222">
        <f>SUM('Revenue by Sch RY#1'!AR22)</f>
        <v>20268.832271719843</v>
      </c>
      <c r="Z23" s="223">
        <f t="shared" si="6"/>
        <v>4.1576567080334907E-2</v>
      </c>
      <c r="AA23" s="1"/>
      <c r="AB23" s="222">
        <f>SUM('Revenue by Sch RY#1'!AS22)</f>
        <v>49.906501150441784</v>
      </c>
      <c r="AC23" s="223">
        <f t="shared" si="7"/>
        <v>1.0237101797527935E-4</v>
      </c>
      <c r="AD23" s="1"/>
      <c r="AE23" s="222">
        <f>SUM('Revenue by Sch RY#1'!AT22)</f>
        <v>7724.3646160020717</v>
      </c>
      <c r="AF23" s="223">
        <f t="shared" si="8"/>
        <v>1.5844650510935688E-2</v>
      </c>
      <c r="AG23" s="1"/>
      <c r="AH23" s="72">
        <f t="shared" si="9"/>
        <v>716301.67827279621</v>
      </c>
      <c r="AI23" s="68">
        <f t="shared" si="10"/>
        <v>1.469318230928278</v>
      </c>
      <c r="AJ23" s="1"/>
      <c r="AK23" s="72">
        <f t="shared" si="11"/>
        <v>1203807.8312593109</v>
      </c>
    </row>
    <row r="24" spans="1:37" ht="12" thickBot="1">
      <c r="A24" s="2">
        <f t="shared" si="12"/>
        <v>15</v>
      </c>
      <c r="B24" s="23"/>
      <c r="C24" s="23" t="s">
        <v>11</v>
      </c>
      <c r="D24" s="74">
        <f>SUM(D10:D23)</f>
        <v>23558158394.432896</v>
      </c>
      <c r="E24" s="75">
        <f>SUM(E10:E23)</f>
        <v>2851103552.6645579</v>
      </c>
      <c r="F24" s="72"/>
      <c r="G24" s="75">
        <f>SUM(G10:G23)</f>
        <v>584376758.00000012</v>
      </c>
      <c r="H24" s="76">
        <f t="shared" si="0"/>
        <v>0.20496511165084086</v>
      </c>
      <c r="I24" s="68"/>
      <c r="J24" s="75">
        <f>SUM(J10:J23)</f>
        <v>-161629358.21501514</v>
      </c>
      <c r="K24" s="76">
        <f t="shared" ref="K24" si="13">+J24/$E24</f>
        <v>-5.6690104455855726E-2</v>
      </c>
      <c r="L24" s="1"/>
      <c r="M24" s="75">
        <f>SUM(M10:M23)</f>
        <v>-142889.78736490113</v>
      </c>
      <c r="N24" s="76">
        <f t="shared" si="2"/>
        <v>-5.0117361479684078E-5</v>
      </c>
      <c r="O24" s="1"/>
      <c r="P24" s="75">
        <f>SUM(P10:P23)</f>
        <v>-23557981.999641716</v>
      </c>
      <c r="Q24" s="76">
        <f t="shared" si="3"/>
        <v>-8.2627591613167167E-3</v>
      </c>
      <c r="R24" s="1"/>
      <c r="S24" s="75">
        <f>SUM(S10:S23)</f>
        <v>-160864692.74075997</v>
      </c>
      <c r="T24" s="76">
        <f t="shared" si="4"/>
        <v>-5.6421904630724669E-2</v>
      </c>
      <c r="U24" s="1"/>
      <c r="V24" s="75">
        <f>SUM(V10:V23)</f>
        <v>-152840009.31612048</v>
      </c>
      <c r="W24" s="76">
        <f t="shared" si="5"/>
        <v>-5.3607316077060992E-2</v>
      </c>
      <c r="X24" s="1"/>
      <c r="Y24" s="224">
        <f>SUM(Y10:Y23)</f>
        <v>71656160.523858055</v>
      </c>
      <c r="Z24" s="225">
        <f t="shared" si="6"/>
        <v>2.5132780763746834E-2</v>
      </c>
      <c r="AA24" s="1"/>
      <c r="AB24" s="224">
        <f>SUM(AB10:AB23)</f>
        <v>7673451.5982162477</v>
      </c>
      <c r="AC24" s="225">
        <f t="shared" si="7"/>
        <v>2.6913970174969144E-3</v>
      </c>
      <c r="AD24" s="1"/>
      <c r="AE24" s="224">
        <f>SUM(AE10:AE23)</f>
        <v>27546600.811311465</v>
      </c>
      <c r="AF24" s="225">
        <f t="shared" si="8"/>
        <v>9.6617328351919097E-3</v>
      </c>
      <c r="AG24" s="1"/>
      <c r="AH24" s="75">
        <f>SUM(AH10:AH23)</f>
        <v>192218038.87448356</v>
      </c>
      <c r="AI24" s="76">
        <f t="shared" si="10"/>
        <v>6.7418820580838673E-2</v>
      </c>
      <c r="AJ24" s="1"/>
      <c r="AK24" s="75">
        <f>SUM(AK10:AK23)</f>
        <v>3043321591.5390406</v>
      </c>
    </row>
    <row r="25" spans="1:37" ht="12" thickTop="1"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207" t="s">
        <v>340</v>
      </c>
      <c r="AI25" s="4"/>
      <c r="AJ25" s="4"/>
      <c r="AK25" s="4"/>
    </row>
    <row r="26" spans="1:37">
      <c r="C26" s="207" t="s">
        <v>342</v>
      </c>
      <c r="D26" s="116">
        <v>23558158394.432896</v>
      </c>
      <c r="E26" s="118">
        <v>2851103552.6645575</v>
      </c>
      <c r="G26" s="203">
        <v>584376758</v>
      </c>
      <c r="H26" s="11"/>
      <c r="I26" s="11"/>
      <c r="J26" s="11"/>
      <c r="K26" s="11"/>
      <c r="AH26" s="118">
        <v>192218038.83080012</v>
      </c>
      <c r="AK26" s="118">
        <f>'Revenue by Sch RY#1'!AW24</f>
        <v>3043321591.5390415</v>
      </c>
    </row>
    <row r="27" spans="1:37" s="17" customFormat="1">
      <c r="C27" s="17" t="s">
        <v>207</v>
      </c>
      <c r="D27" s="121">
        <f>+D26-D24</f>
        <v>0</v>
      </c>
      <c r="E27" s="126">
        <f>+E26-E24</f>
        <v>0</v>
      </c>
      <c r="G27" s="126">
        <f>+G26-G24</f>
        <v>0</v>
      </c>
      <c r="H27" s="29"/>
      <c r="I27" s="29"/>
      <c r="J27" s="29"/>
      <c r="K27" s="29"/>
      <c r="T27" s="3"/>
      <c r="U27" s="3"/>
      <c r="V27" s="3"/>
      <c r="W27" s="3"/>
      <c r="X27" s="3"/>
      <c r="Y27" s="3"/>
      <c r="Z27" s="3"/>
      <c r="AC27" s="3"/>
      <c r="AD27" s="3"/>
      <c r="AE27" s="3"/>
      <c r="AF27" s="3"/>
      <c r="AG27" s="3"/>
      <c r="AH27" s="121">
        <f>+AH26-AH24</f>
        <v>-4.3683439493179321E-2</v>
      </c>
      <c r="AI27" s="3"/>
      <c r="AJ27" s="3"/>
      <c r="AK27" s="121">
        <f t="shared" ref="AK27" si="14">+AK26-AK24</f>
        <v>0</v>
      </c>
    </row>
    <row r="28" spans="1:37" ht="12.75" customHeight="1">
      <c r="B28" s="7" t="s">
        <v>343</v>
      </c>
      <c r="H28" s="11"/>
      <c r="I28" s="11"/>
      <c r="J28" s="11"/>
      <c r="K28" s="11"/>
    </row>
    <row r="29" spans="1:37">
      <c r="C29" s="101"/>
    </row>
  </sheetData>
  <mergeCells count="7">
    <mergeCell ref="G7:AI7"/>
    <mergeCell ref="A6:B6"/>
    <mergeCell ref="A1:E1"/>
    <mergeCell ref="A2:E2"/>
    <mergeCell ref="A3:E3"/>
    <mergeCell ref="A4:E4"/>
    <mergeCell ref="A5:E5"/>
  </mergeCells>
  <pageMargins left="0.7" right="0.7" top="0.75" bottom="0.75" header="0.3" footer="0.3"/>
  <pageSetup scale="37" orientation="landscape" horizontalDpi="360" verticalDpi="360" r:id="rId1"/>
  <headerFooter>
    <oddFooter>&amp;R&amp;F
&amp;A
&amp;P of &amp;N</oddFooter>
  </headerFooter>
  <customProperties>
    <customPr name="_pios_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 tint="0.79998168889431442"/>
    <pageSetUpPr fitToPage="1"/>
  </sheetPr>
  <dimension ref="A1:AO38"/>
  <sheetViews>
    <sheetView zoomScaleNormal="100" zoomScaleSheetLayoutView="100" workbookViewId="0">
      <pane xSplit="5" ySplit="8" topLeftCell="F9" activePane="bottomRight" state="frozen"/>
      <selection activeCell="U42" sqref="U42"/>
      <selection pane="topRight" activeCell="U42" sqref="U42"/>
      <selection pane="bottomLeft" activeCell="U42" sqref="U42"/>
      <selection pane="bottomRight" activeCell="R2" sqref="R2"/>
    </sheetView>
  </sheetViews>
  <sheetFormatPr defaultColWidth="6.28515625" defaultRowHeight="11.25"/>
  <cols>
    <col min="1" max="1" width="5" style="3" bestFit="1" customWidth="1"/>
    <col min="2" max="2" width="32.42578125" style="3" bestFit="1" customWidth="1"/>
    <col min="3" max="3" width="15.7109375" style="3" bestFit="1" customWidth="1"/>
    <col min="4" max="5" width="12.85546875" style="3" bestFit="1" customWidth="1"/>
    <col min="6" max="6" width="12.85546875" style="3" customWidth="1"/>
    <col min="7" max="7" width="13.7109375" style="3" customWidth="1"/>
    <col min="8" max="8" width="11.5703125" style="3" bestFit="1" customWidth="1"/>
    <col min="9" max="9" width="10.42578125" style="3" bestFit="1" customWidth="1"/>
    <col min="10" max="10" width="1" style="3" customWidth="1"/>
    <col min="11" max="11" width="11.28515625" style="3" bestFit="1" customWidth="1"/>
    <col min="12" max="12" width="10.7109375" style="3" bestFit="1" customWidth="1"/>
    <col min="13" max="13" width="1" style="3" customWidth="1"/>
    <col min="14" max="14" width="12.5703125" style="3" customWidth="1"/>
    <col min="15" max="15" width="12" style="3" customWidth="1"/>
    <col min="16" max="16" width="1" style="3" customWidth="1"/>
    <col min="17" max="18" width="12" style="3" customWidth="1"/>
    <col min="19" max="19" width="1" style="3" customWidth="1"/>
    <col min="20" max="20" width="12.85546875" style="3" bestFit="1" customWidth="1"/>
    <col min="21" max="21" width="11.5703125" style="3" bestFit="1" customWidth="1"/>
    <col min="22" max="22" width="12.85546875" style="3" customWidth="1"/>
    <col min="23" max="24" width="9.7109375" style="3" customWidth="1"/>
    <col min="25" max="25" width="6.28515625" style="3"/>
    <col min="26" max="27" width="9.7109375" style="3" customWidth="1"/>
    <col min="28" max="28" width="6.28515625" style="3"/>
    <col min="29" max="30" width="9.7109375" style="3" customWidth="1"/>
    <col min="31" max="31" width="6.28515625" style="3"/>
    <col min="32" max="33" width="9.7109375" style="3" customWidth="1"/>
    <col min="34" max="34" width="6.28515625" style="3"/>
    <col min="35" max="36" width="9.7109375" style="3" customWidth="1"/>
    <col min="37" max="37" width="6.28515625" style="3"/>
    <col min="38" max="39" width="9.5703125" style="3" customWidth="1"/>
    <col min="40" max="40" width="6.28515625" style="3"/>
    <col min="41" max="43" width="9.5703125" style="3" customWidth="1"/>
    <col min="44" max="16384" width="6.28515625" style="3"/>
  </cols>
  <sheetData>
    <row r="1" spans="1:41" s="15" customFormat="1" ht="12.75">
      <c r="A1" s="457" t="s">
        <v>0</v>
      </c>
      <c r="B1" s="457"/>
      <c r="C1" s="458"/>
      <c r="D1" s="458"/>
      <c r="E1" s="458"/>
      <c r="F1" s="361"/>
    </row>
    <row r="2" spans="1:41" s="15" customFormat="1" ht="12.75">
      <c r="A2" s="459" t="str">
        <f>'Table of Contents'!A2</f>
        <v>2024 General Rate Case Docket No. UE-240004 and UG-240005</v>
      </c>
      <c r="B2" s="460"/>
      <c r="C2" s="460"/>
      <c r="D2" s="460"/>
      <c r="E2" s="460"/>
      <c r="F2" s="362"/>
    </row>
    <row r="3" spans="1:41" s="15" customFormat="1" ht="12.75">
      <c r="A3" s="457" t="s">
        <v>173</v>
      </c>
      <c r="B3" s="458"/>
      <c r="C3" s="458"/>
      <c r="D3" s="458"/>
      <c r="E3" s="458"/>
      <c r="F3" s="361"/>
    </row>
    <row r="4" spans="1:41" s="15" customFormat="1" ht="12.75" customHeight="1" thickBot="1">
      <c r="A4" s="457" t="s">
        <v>333</v>
      </c>
      <c r="B4" s="458"/>
      <c r="C4" s="458"/>
      <c r="D4" s="458"/>
      <c r="E4" s="458"/>
      <c r="F4" s="361"/>
    </row>
    <row r="5" spans="1:41" s="15" customFormat="1" ht="13.5" customHeight="1">
      <c r="A5" s="457"/>
      <c r="B5" s="458"/>
      <c r="C5" s="458"/>
      <c r="D5" s="458"/>
      <c r="E5" s="458"/>
      <c r="F5" s="361"/>
      <c r="K5" s="461" t="s">
        <v>306</v>
      </c>
      <c r="L5" s="462"/>
      <c r="M5" s="462"/>
      <c r="N5" s="462"/>
      <c r="O5" s="462"/>
      <c r="P5" s="462"/>
      <c r="Q5" s="462"/>
      <c r="R5" s="463"/>
    </row>
    <row r="6" spans="1:41" s="15" customFormat="1" ht="13.5" customHeight="1" thickBot="1">
      <c r="A6" s="455"/>
      <c r="B6" s="456"/>
      <c r="C6" s="44"/>
      <c r="D6" s="44"/>
      <c r="E6" s="44"/>
      <c r="F6" s="44"/>
      <c r="G6" s="44"/>
      <c r="H6" s="44"/>
      <c r="I6" s="44"/>
      <c r="K6" s="464"/>
      <c r="L6" s="465"/>
      <c r="M6" s="465"/>
      <c r="N6" s="465"/>
      <c r="O6" s="465"/>
      <c r="P6" s="465"/>
      <c r="Q6" s="465"/>
      <c r="R6" s="466"/>
    </row>
    <row r="7" spans="1:41" s="15" customFormat="1">
      <c r="A7" s="45"/>
      <c r="B7" s="44"/>
      <c r="C7" s="44"/>
      <c r="D7" s="44"/>
      <c r="E7" s="44"/>
      <c r="F7" s="44"/>
      <c r="G7" s="44"/>
      <c r="H7" s="44"/>
      <c r="I7" s="44"/>
      <c r="K7" s="44"/>
      <c r="L7" s="44"/>
    </row>
    <row r="8" spans="1:41" s="15" customFormat="1" ht="56.25">
      <c r="A8" s="97" t="s">
        <v>2</v>
      </c>
      <c r="B8" s="97" t="s">
        <v>107</v>
      </c>
      <c r="C8" s="97" t="s">
        <v>82</v>
      </c>
      <c r="D8" s="105" t="str">
        <f>'Revenue by Sch RY#2'!D7</f>
        <v>12 months ending December 2026 F23 Forecast KWh</v>
      </c>
      <c r="E8" s="220" t="str">
        <f>'Exh CTM-8 (Rate Impacts_RY#1)'!AK8</f>
        <v>12 ME Dec 2025
Total Forecast
Revenue @ 
RY #1 Rates</v>
      </c>
      <c r="F8" s="363" t="s">
        <v>437</v>
      </c>
      <c r="G8" s="363" t="s">
        <v>518</v>
      </c>
      <c r="H8" s="125" t="s">
        <v>108</v>
      </c>
      <c r="I8" s="125" t="s">
        <v>109</v>
      </c>
      <c r="J8" s="78"/>
      <c r="K8" s="365" t="str">
        <f>'Exh CTM-8 (Rate Impacts_RY#1)'!Y8</f>
        <v>Sch 141CGR Rate Plan $ Change</v>
      </c>
      <c r="L8" s="365" t="str">
        <f>'Exh CTM-8 (Rate Impacts_RY#1)'!Z8</f>
        <v>Sch 141CGR Rate Plan % Change</v>
      </c>
      <c r="M8" s="366"/>
      <c r="N8" s="365" t="str">
        <f>'Exh CTM-8 (Rate Impacts_RY#1)'!AB8</f>
        <v>Sch 141DCARB Rate Plan $ Change</v>
      </c>
      <c r="O8" s="365" t="str">
        <f>'Exh CTM-8 (Rate Impacts_RY#1)'!AC8</f>
        <v>Sch 141DCARB Rate Plan % Change</v>
      </c>
      <c r="P8" s="366"/>
      <c r="Q8" s="365" t="str">
        <f>'Exh CTM-8 (Rate Impacts_RY#1)'!AE8</f>
        <v>Sch 141WFP Rate Plan $ Change</v>
      </c>
      <c r="R8" s="365" t="str">
        <f>'Exh CTM-8 (Rate Impacts_RY#1)'!AF8</f>
        <v>Sch 141WFP Rate Plan $ Change</v>
      </c>
      <c r="T8" s="26" t="s">
        <v>520</v>
      </c>
      <c r="U8" s="26" t="s">
        <v>344</v>
      </c>
      <c r="V8" s="26" t="s">
        <v>114</v>
      </c>
      <c r="AO8" s="69"/>
    </row>
    <row r="9" spans="1:41" s="22" customFormat="1">
      <c r="A9" s="381"/>
      <c r="B9" s="381" t="s">
        <v>18</v>
      </c>
      <c r="C9" s="381" t="s">
        <v>19</v>
      </c>
      <c r="D9" s="382" t="s">
        <v>20</v>
      </c>
      <c r="E9" s="383" t="s">
        <v>21</v>
      </c>
      <c r="F9" s="383" t="s">
        <v>24</v>
      </c>
      <c r="G9" s="383" t="s">
        <v>514</v>
      </c>
      <c r="H9" s="381" t="s">
        <v>26</v>
      </c>
      <c r="I9" s="381" t="s">
        <v>521</v>
      </c>
      <c r="J9" s="381"/>
      <c r="K9" s="381" t="s">
        <v>28</v>
      </c>
      <c r="L9" s="381" t="s">
        <v>522</v>
      </c>
      <c r="M9" s="381"/>
      <c r="N9" s="381" t="s">
        <v>30</v>
      </c>
      <c r="O9" s="381" t="s">
        <v>523</v>
      </c>
      <c r="P9" s="381"/>
      <c r="Q9" s="381" t="s">
        <v>83</v>
      </c>
      <c r="R9" s="381" t="s">
        <v>524</v>
      </c>
      <c r="S9" s="381"/>
      <c r="T9" s="382" t="s">
        <v>515</v>
      </c>
      <c r="U9" s="382" t="s">
        <v>517</v>
      </c>
      <c r="V9" s="381" t="s">
        <v>516</v>
      </c>
    </row>
    <row r="10" spans="1:41">
      <c r="A10" s="2">
        <v>1</v>
      </c>
      <c r="B10" s="227" t="str">
        <f>'Exh CTM-8 (Rate Impacts_RY#1)'!B10</f>
        <v>Residential</v>
      </c>
      <c r="C10" s="227" t="str">
        <f>'Exh CTM-8 (Rate Impacts_RY#1)'!C10</f>
        <v>7 (307) (317) (327)</v>
      </c>
      <c r="D10" s="116">
        <f>+'Revenue by Sch RY#2'!D9</f>
        <v>11447649239.71397</v>
      </c>
      <c r="E10" s="118">
        <f>'Exh CTM-8 (Rate Impacts_RY#1)'!AK10</f>
        <v>1682433932.4322238</v>
      </c>
      <c r="F10" s="118">
        <f>+'Revenue by Sch RY#2'!F9</f>
        <v>17613973.042186517</v>
      </c>
      <c r="G10" s="12">
        <f>E10+F10</f>
        <v>1700047905.4744103</v>
      </c>
      <c r="H10" s="182">
        <v>149355197.03339386</v>
      </c>
      <c r="I10" s="68">
        <f>+H10/$G10</f>
        <v>8.7853522569833253E-2</v>
      </c>
      <c r="J10" s="1"/>
      <c r="K10" s="222">
        <f>'Revenue by Sch RY#2'!AO9+'Revenue by Sch RY#2'!AJ9</f>
        <v>10595444.608402468</v>
      </c>
      <c r="L10" s="223">
        <f>+K10/$G10</f>
        <v>6.2324388473310316E-3</v>
      </c>
      <c r="M10" s="1"/>
      <c r="N10" s="222">
        <f>'Revenue by Sch RY#2'!AP9+'Revenue by Sch RY#2'!AK9</f>
        <v>0</v>
      </c>
      <c r="O10" s="223">
        <f>+N10/$G10</f>
        <v>0</v>
      </c>
      <c r="P10" s="1"/>
      <c r="Q10" s="222">
        <f>'Revenue by Sch RY#2'!AQ9+'Revenue by Sch RY#2'!AL9</f>
        <v>3958360.3116448466</v>
      </c>
      <c r="R10" s="223">
        <f>+Q10/$G10</f>
        <v>2.3283816290695868E-3</v>
      </c>
      <c r="S10" s="24"/>
      <c r="T10" s="12">
        <f>SUM(G10,H10,K10,N10,Q10)</f>
        <v>1863956907.4278514</v>
      </c>
      <c r="U10" s="12">
        <f>+T10-G10</f>
        <v>163909001.95344114</v>
      </c>
      <c r="V10" s="30">
        <f>+U10/G10</f>
        <v>9.6414343046233864E-2</v>
      </c>
    </row>
    <row r="11" spans="1:41">
      <c r="A11" s="2">
        <f>+A10+1</f>
        <v>2</v>
      </c>
      <c r="B11" s="227" t="str">
        <f>'Exh CTM-8 (Rate Impacts_RY#1)'!B11</f>
        <v>Sec Volt Gen Svc</v>
      </c>
      <c r="C11" s="227" t="str">
        <f>'Exh CTM-8 (Rate Impacts_RY#1)'!C11</f>
        <v>08 (24) (324)</v>
      </c>
      <c r="D11" s="116">
        <f>+'Revenue by Sch RY#2'!D10</f>
        <v>2774967422.2693906</v>
      </c>
      <c r="E11" s="118">
        <f>'Exh CTM-8 (Rate Impacts_RY#1)'!AK11</f>
        <v>399406260.30445385</v>
      </c>
      <c r="F11" s="118">
        <f>+'Revenue by Sch RY#2'!F10</f>
        <v>1404419.083049519</v>
      </c>
      <c r="G11" s="12">
        <f t="shared" ref="G11:G23" si="0">E11+F11</f>
        <v>400810679.38750339</v>
      </c>
      <c r="H11" s="182">
        <v>34040192.49403353</v>
      </c>
      <c r="I11" s="68">
        <f t="shared" ref="I11:I24" si="1">+H11/$G11</f>
        <v>8.4928357063868309E-2</v>
      </c>
      <c r="J11" s="1"/>
      <c r="K11" s="222">
        <f>'Revenue by Sch RY#2'!AO10+'Revenue by Sch RY#2'!AJ10</f>
        <v>2321821.3943402208</v>
      </c>
      <c r="L11" s="223">
        <f t="shared" ref="L11:L23" si="2">+K11/$G11</f>
        <v>5.7928132002078867E-3</v>
      </c>
      <c r="M11" s="1"/>
      <c r="N11" s="222">
        <f>'Revenue by Sch RY#2'!AP10+'Revenue by Sch RY#2'!AK10</f>
        <v>0</v>
      </c>
      <c r="O11" s="223">
        <f t="shared" ref="O11:O23" si="3">+N11/$G11</f>
        <v>0</v>
      </c>
      <c r="P11" s="1"/>
      <c r="Q11" s="222">
        <f>'Revenue by Sch RY#2'!AQ10+'Revenue by Sch RY#2'!AL10</f>
        <v>846816.16009919159</v>
      </c>
      <c r="R11" s="223">
        <f t="shared" ref="R11:R23" si="4">+Q11/$G11</f>
        <v>2.1127584758800565E-3</v>
      </c>
      <c r="S11" s="24"/>
      <c r="T11" s="12">
        <f t="shared" ref="T11:T23" si="5">SUM(E11,F11,H11,K11,N11,Q11)</f>
        <v>438019509.43597633</v>
      </c>
      <c r="U11" s="12">
        <f t="shared" ref="U11:U23" si="6">+T11-G11</f>
        <v>37208830.048472941</v>
      </c>
      <c r="V11" s="30">
        <f t="shared" ref="V11:V24" si="7">+U11/G11</f>
        <v>9.2833928739956245E-2</v>
      </c>
    </row>
    <row r="12" spans="1:41">
      <c r="A12" s="2">
        <f>+A11+1</f>
        <v>3</v>
      </c>
      <c r="B12" s="227" t="str">
        <f>'Exh CTM-8 (Rate Impacts_RY#1)'!B12</f>
        <v>Sec Volt Gen Med Dem Svc</v>
      </c>
      <c r="C12" s="227" t="str">
        <f>'Exh CTM-8 (Rate Impacts_RY#1)'!C12</f>
        <v>7A (11) (25)</v>
      </c>
      <c r="D12" s="116">
        <f>+'Revenue by Sch RY#2'!D11</f>
        <v>2968720174.6374388</v>
      </c>
      <c r="E12" s="118">
        <f>'Exh CTM-8 (Rate Impacts_RY#1)'!AK12</f>
        <v>410104305.30607402</v>
      </c>
      <c r="F12" s="118">
        <f>+'Revenue by Sch RY#2'!F11</f>
        <v>738152.25853139558</v>
      </c>
      <c r="G12" s="12">
        <f t="shared" si="0"/>
        <v>410842457.56460541</v>
      </c>
      <c r="H12" s="182">
        <v>33130966.507643618</v>
      </c>
      <c r="I12" s="68">
        <f t="shared" si="1"/>
        <v>8.0641535210449228E-2</v>
      </c>
      <c r="J12" s="1"/>
      <c r="K12" s="222">
        <f>'Revenue by Sch RY#2'!AO11+'Revenue by Sch RY#2'!AJ11</f>
        <v>2555832.8811250199</v>
      </c>
      <c r="L12" s="223">
        <f t="shared" si="2"/>
        <v>6.2209560722509124E-3</v>
      </c>
      <c r="M12" s="1"/>
      <c r="N12" s="222">
        <f>'Revenue by Sch RY#2'!AP11+'Revenue by Sch RY#2'!AK11</f>
        <v>93.385066017901408</v>
      </c>
      <c r="O12" s="223">
        <f t="shared" si="3"/>
        <v>2.2730140056962468E-7</v>
      </c>
      <c r="P12" s="1"/>
      <c r="Q12" s="222">
        <f>'Revenue by Sch RY#2'!AQ11+'Revenue by Sch RY#2'!AL11</f>
        <v>884203.02174991788</v>
      </c>
      <c r="R12" s="223">
        <f t="shared" si="4"/>
        <v>2.1521705107872789E-3</v>
      </c>
      <c r="S12" s="24"/>
      <c r="T12" s="12">
        <f t="shared" si="5"/>
        <v>447413553.36019003</v>
      </c>
      <c r="U12" s="12">
        <f t="shared" si="6"/>
        <v>36571095.795584619</v>
      </c>
      <c r="V12" s="30">
        <f t="shared" si="7"/>
        <v>8.9014889094888097E-2</v>
      </c>
    </row>
    <row r="13" spans="1:41">
      <c r="A13" s="2">
        <f t="shared" ref="A13:A24" si="8">+A12+1</f>
        <v>4</v>
      </c>
      <c r="B13" s="227" t="str">
        <f>'Exh CTM-8 (Rate Impacts_RY#1)'!B13</f>
        <v>Sec Volt Gen Lg Dem Svc</v>
      </c>
      <c r="C13" s="227" t="str">
        <f>'Exh CTM-8 (Rate Impacts_RY#1)'!C13</f>
        <v>12 (26) (26P)</v>
      </c>
      <c r="D13" s="116">
        <f>+'Revenue by Sch RY#2'!D12</f>
        <v>2056791563.2414525</v>
      </c>
      <c r="E13" s="118">
        <f>'Exh CTM-8 (Rate Impacts_RY#1)'!AK13</f>
        <v>250844035.89377761</v>
      </c>
      <c r="F13" s="118">
        <f>+'Revenue by Sch RY#2'!F12</f>
        <v>3566058.9486056441</v>
      </c>
      <c r="G13" s="12">
        <f t="shared" si="0"/>
        <v>254410094.84238327</v>
      </c>
      <c r="H13" s="182">
        <v>20821961.690108303</v>
      </c>
      <c r="I13" s="68">
        <f t="shared" si="1"/>
        <v>8.1844086033646971E-2</v>
      </c>
      <c r="J13" s="1"/>
      <c r="K13" s="222">
        <f>'Revenue by Sch RY#2'!AO12+'Revenue by Sch RY#2'!AJ12</f>
        <v>1456579.7714686412</v>
      </c>
      <c r="L13" s="223">
        <f t="shared" si="2"/>
        <v>5.7253222297293186E-3</v>
      </c>
      <c r="M13" s="1"/>
      <c r="N13" s="222">
        <f>'Revenue by Sch RY#2'!AP12+'Revenue by Sch RY#2'!AK12</f>
        <v>0</v>
      </c>
      <c r="O13" s="223">
        <f t="shared" si="3"/>
        <v>0</v>
      </c>
      <c r="P13" s="1"/>
      <c r="Q13" s="222">
        <f>'Revenue by Sch RY#2'!AQ12+'Revenue by Sch RY#2'!AL12</f>
        <v>474599.58436404401</v>
      </c>
      <c r="R13" s="223">
        <f t="shared" si="4"/>
        <v>1.8654903794524211E-3</v>
      </c>
      <c r="S13" s="24"/>
      <c r="T13" s="12">
        <f t="shared" si="5"/>
        <v>277163235.88832426</v>
      </c>
      <c r="U13" s="12">
        <f t="shared" si="6"/>
        <v>22753141.045940995</v>
      </c>
      <c r="V13" s="30">
        <f t="shared" si="7"/>
        <v>8.9434898642828747E-2</v>
      </c>
    </row>
    <row r="14" spans="1:41">
      <c r="A14" s="2">
        <f t="shared" si="8"/>
        <v>5</v>
      </c>
      <c r="B14" s="227" t="str">
        <f>'Exh CTM-8 (Rate Impacts_RY#1)'!B14</f>
        <v>Sec Volt Irrig &amp; Pump Svc</v>
      </c>
      <c r="C14" s="227" t="str">
        <f>'Exh CTM-8 (Rate Impacts_RY#1)'!C14</f>
        <v>29</v>
      </c>
      <c r="D14" s="116">
        <f>+'Revenue by Sch RY#2'!D13</f>
        <v>14843026.361509496</v>
      </c>
      <c r="E14" s="118">
        <f>'Exh CTM-8 (Rate Impacts_RY#1)'!AK14</f>
        <v>1822920.0439626975</v>
      </c>
      <c r="F14" s="118">
        <f>+'Revenue by Sch RY#2'!F13</f>
        <v>-5971.5441845098003</v>
      </c>
      <c r="G14" s="12">
        <f t="shared" si="0"/>
        <v>1816948.4997781876</v>
      </c>
      <c r="H14" s="182">
        <v>147263.01954256935</v>
      </c>
      <c r="I14" s="68">
        <f t="shared" si="1"/>
        <v>8.1049638754509101E-2</v>
      </c>
      <c r="J14" s="1"/>
      <c r="K14" s="222">
        <f>'Revenue by Sch RY#2'!AO13+'Revenue by Sch RY#2'!AJ13</f>
        <v>12343.398914020734</v>
      </c>
      <c r="L14" s="223">
        <f t="shared" si="2"/>
        <v>6.7934775892258981E-3</v>
      </c>
      <c r="M14" s="1"/>
      <c r="N14" s="222">
        <f>'Revenue by Sch RY#2'!AP13+'Revenue by Sch RY#2'!AK13</f>
        <v>-93.385066017900499</v>
      </c>
      <c r="O14" s="223">
        <f t="shared" si="3"/>
        <v>-5.1396649948691947E-5</v>
      </c>
      <c r="P14" s="1"/>
      <c r="Q14" s="222">
        <f>'Revenue by Sch RY#2'!AQ13+'Revenue by Sch RY#2'!AL13</f>
        <v>4459.5614133850577</v>
      </c>
      <c r="R14" s="223">
        <f t="shared" si="4"/>
        <v>2.4544236746002869E-3</v>
      </c>
      <c r="S14" s="24"/>
      <c r="T14" s="12">
        <f t="shared" si="5"/>
        <v>1980921.0945821446</v>
      </c>
      <c r="U14" s="12">
        <f t="shared" si="6"/>
        <v>163972.59480395704</v>
      </c>
      <c r="V14" s="30">
        <f t="shared" si="7"/>
        <v>9.0246143368386475E-2</v>
      </c>
    </row>
    <row r="15" spans="1:41">
      <c r="A15" s="2">
        <f t="shared" si="8"/>
        <v>6</v>
      </c>
      <c r="B15" s="227" t="str">
        <f>'Exh CTM-8 (Rate Impacts_RY#1)'!B15</f>
        <v>Pri Volt Gen Svc</v>
      </c>
      <c r="C15" s="227" t="str">
        <f>'Exh CTM-8 (Rate Impacts_RY#1)'!C15</f>
        <v>10 (31)</v>
      </c>
      <c r="D15" s="116">
        <f>+'Revenue by Sch RY#2'!D14</f>
        <v>1411297972.0883911</v>
      </c>
      <c r="E15" s="118">
        <f>'Exh CTM-8 (Rate Impacts_RY#1)'!AK15</f>
        <v>171448917.19141838</v>
      </c>
      <c r="F15" s="118">
        <f>+'Revenue by Sch RY#2'!F14</f>
        <v>-1087945.2600072583</v>
      </c>
      <c r="G15" s="12">
        <f t="shared" si="0"/>
        <v>170360971.93141112</v>
      </c>
      <c r="H15" s="182">
        <v>13996740.487509873</v>
      </c>
      <c r="I15" s="68">
        <f t="shared" si="1"/>
        <v>8.2159313420359495E-2</v>
      </c>
      <c r="J15" s="1"/>
      <c r="K15" s="222">
        <f>'Revenue by Sch RY#2'!AO14+'Revenue by Sch RY#2'!AJ14</f>
        <v>1016830.1964719421</v>
      </c>
      <c r="L15" s="223">
        <f t="shared" si="2"/>
        <v>5.9686804139702093E-3</v>
      </c>
      <c r="M15" s="1"/>
      <c r="N15" s="222">
        <f>'Revenue by Sch RY#2'!AP14+'Revenue by Sch RY#2'!AK14</f>
        <v>0</v>
      </c>
      <c r="O15" s="223">
        <f t="shared" si="3"/>
        <v>0</v>
      </c>
      <c r="P15" s="1"/>
      <c r="Q15" s="222">
        <f>'Revenue by Sch RY#2'!AQ14+'Revenue by Sch RY#2'!AL14</f>
        <v>333692.54684226355</v>
      </c>
      <c r="R15" s="223">
        <f t="shared" si="4"/>
        <v>1.9587382195530747E-3</v>
      </c>
      <c r="S15" s="24"/>
      <c r="T15" s="12">
        <f t="shared" si="5"/>
        <v>185708235.1622352</v>
      </c>
      <c r="U15" s="12">
        <f t="shared" si="6"/>
        <v>15347263.230824083</v>
      </c>
      <c r="V15" s="30">
        <f t="shared" si="7"/>
        <v>9.0086732053882804E-2</v>
      </c>
    </row>
    <row r="16" spans="1:41">
      <c r="A16" s="2">
        <f t="shared" si="8"/>
        <v>7</v>
      </c>
      <c r="B16" s="227" t="str">
        <f>'Exh CTM-8 (Rate Impacts_RY#1)'!B16</f>
        <v>Pri Volt Irrig &amp; Pump Svc</v>
      </c>
      <c r="C16" s="227" t="str">
        <f>'Exh CTM-8 (Rate Impacts_RY#1)'!C16</f>
        <v>35</v>
      </c>
      <c r="D16" s="116">
        <f>+'Revenue by Sch RY#2'!D15</f>
        <v>4380281.1514552524</v>
      </c>
      <c r="E16" s="118">
        <f>'Exh CTM-8 (Rate Impacts_RY#1)'!AK16</f>
        <v>474221.6106465304</v>
      </c>
      <c r="F16" s="118">
        <f>+'Revenue by Sch RY#2'!F15</f>
        <v>-1637.810049453376</v>
      </c>
      <c r="G16" s="12">
        <f t="shared" si="0"/>
        <v>472583.800597077</v>
      </c>
      <c r="H16" s="182">
        <v>48536.218996328476</v>
      </c>
      <c r="I16" s="68">
        <f t="shared" si="1"/>
        <v>0.10270394147028805</v>
      </c>
      <c r="J16" s="1"/>
      <c r="K16" s="222">
        <f>'Revenue by Sch RY#2'!AO15+'Revenue by Sch RY#2'!AJ15</f>
        <v>2900.2963900684754</v>
      </c>
      <c r="L16" s="223">
        <f t="shared" si="2"/>
        <v>6.1371049672124837E-3</v>
      </c>
      <c r="M16" s="1"/>
      <c r="N16" s="222">
        <f>'Revenue by Sch RY#2'!AP15+'Revenue by Sch RY#2'!AK15</f>
        <v>0</v>
      </c>
      <c r="O16" s="223">
        <f t="shared" si="3"/>
        <v>0</v>
      </c>
      <c r="P16" s="1"/>
      <c r="Q16" s="222">
        <f>'Revenue by Sch RY#2'!AQ15+'Revenue by Sch RY#2'!AL15</f>
        <v>5012.8568700329997</v>
      </c>
      <c r="R16" s="223">
        <f t="shared" si="4"/>
        <v>1.0607339616168818E-2</v>
      </c>
      <c r="S16" s="24"/>
      <c r="T16" s="12">
        <f t="shared" si="5"/>
        <v>529033.17285350699</v>
      </c>
      <c r="U16" s="12">
        <f t="shared" si="6"/>
        <v>56449.372256429982</v>
      </c>
      <c r="V16" s="30">
        <f t="shared" si="7"/>
        <v>0.11944838605366942</v>
      </c>
    </row>
    <row r="17" spans="1:22">
      <c r="A17" s="2">
        <f t="shared" si="8"/>
        <v>8</v>
      </c>
      <c r="B17" s="227" t="str">
        <f>'Exh CTM-8 (Rate Impacts_RY#1)'!B17</f>
        <v>Pri Volt Interr Elec Sch</v>
      </c>
      <c r="C17" s="227">
        <f>'Exh CTM-8 (Rate Impacts_RY#1)'!C17</f>
        <v>43</v>
      </c>
      <c r="D17" s="116">
        <f>+'Revenue by Sch RY#2'!D16</f>
        <v>121633779.10385114</v>
      </c>
      <c r="E17" s="118">
        <f>'Exh CTM-8 (Rate Impacts_RY#1)'!AK17</f>
        <v>15325928.108140722</v>
      </c>
      <c r="F17" s="118">
        <f>+'Revenue by Sch RY#2'!F16</f>
        <v>-66814.719629107276</v>
      </c>
      <c r="G17" s="12">
        <f t="shared" si="0"/>
        <v>15259113.388511615</v>
      </c>
      <c r="H17" s="182">
        <v>1299119.5903784402</v>
      </c>
      <c r="I17" s="68">
        <f t="shared" si="1"/>
        <v>8.5137291879391244E-2</v>
      </c>
      <c r="J17" s="1"/>
      <c r="K17" s="222">
        <f>'Revenue by Sch RY#2'!AO16+'Revenue by Sch RY#2'!AJ16</f>
        <v>31010.746542239736</v>
      </c>
      <c r="L17" s="223">
        <f t="shared" si="2"/>
        <v>2.0322770892827443E-3</v>
      </c>
      <c r="M17" s="1"/>
      <c r="N17" s="222">
        <f>'Revenue by Sch RY#2'!AP16+'Revenue by Sch RY#2'!AK16</f>
        <v>0</v>
      </c>
      <c r="O17" s="223">
        <f t="shared" si="3"/>
        <v>0</v>
      </c>
      <c r="P17" s="1"/>
      <c r="Q17" s="222">
        <f>'Revenue by Sch RY#2'!AQ16+'Revenue by Sch RY#2'!AL16</f>
        <v>37818.117378894123</v>
      </c>
      <c r="R17" s="223">
        <f t="shared" si="4"/>
        <v>2.4783954621745512E-3</v>
      </c>
      <c r="S17" s="24"/>
      <c r="T17" s="12">
        <f t="shared" si="5"/>
        <v>16627061.84281119</v>
      </c>
      <c r="U17" s="12">
        <f t="shared" si="6"/>
        <v>1367948.4542995747</v>
      </c>
      <c r="V17" s="30">
        <f t="shared" si="7"/>
        <v>8.964796443084859E-2</v>
      </c>
    </row>
    <row r="18" spans="1:22">
      <c r="A18" s="2">
        <f t="shared" si="8"/>
        <v>9</v>
      </c>
      <c r="B18" s="227" t="str">
        <f>'Exh CTM-8 (Rate Impacts_RY#1)'!B18</f>
        <v>High Volt Interr Svc</v>
      </c>
      <c r="C18" s="227">
        <f>'Exh CTM-8 (Rate Impacts_RY#1)'!C18</f>
        <v>46</v>
      </c>
      <c r="D18" s="116">
        <f>+'Revenue by Sch RY#2'!D17</f>
        <v>96918964.527943105</v>
      </c>
      <c r="E18" s="118">
        <f>'Exh CTM-8 (Rate Impacts_RY#1)'!AK18</f>
        <v>8879903.2508084755</v>
      </c>
      <c r="F18" s="118">
        <f>+'Revenue by Sch RY#2'!F17</f>
        <v>-3792.9623170064297</v>
      </c>
      <c r="G18" s="12">
        <f t="shared" si="0"/>
        <v>8876110.2884914689</v>
      </c>
      <c r="H18" s="182">
        <v>691310.45979805849</v>
      </c>
      <c r="I18" s="68">
        <f t="shared" si="1"/>
        <v>7.7884392749647716E-2</v>
      </c>
      <c r="J18" s="1"/>
      <c r="K18" s="222">
        <f>'Revenue by Sch RY#2'!AO17+'Revenue by Sch RY#2'!AJ17</f>
        <v>60244.063198268763</v>
      </c>
      <c r="L18" s="223">
        <f t="shared" si="2"/>
        <v>6.7872143585664575E-3</v>
      </c>
      <c r="M18" s="1"/>
      <c r="N18" s="222">
        <f>'Revenue by Sch RY#2'!AP17+'Revenue by Sch RY#2'!AK17</f>
        <v>0</v>
      </c>
      <c r="O18" s="223">
        <f t="shared" si="3"/>
        <v>0</v>
      </c>
      <c r="P18" s="1"/>
      <c r="Q18" s="222">
        <f>'Revenue by Sch RY#2'!AQ17+'Revenue by Sch RY#2'!AL17</f>
        <v>8962.417095837307</v>
      </c>
      <c r="R18" s="223">
        <f t="shared" si="4"/>
        <v>1.009723494249248E-3</v>
      </c>
      <c r="S18" s="24"/>
      <c r="T18" s="12">
        <f t="shared" si="5"/>
        <v>9636627.2285836339</v>
      </c>
      <c r="U18" s="12">
        <f t="shared" si="6"/>
        <v>760516.94009216502</v>
      </c>
      <c r="V18" s="30">
        <f t="shared" si="7"/>
        <v>8.5681330602463482E-2</v>
      </c>
    </row>
    <row r="19" spans="1:22">
      <c r="A19" s="2">
        <f t="shared" si="8"/>
        <v>10</v>
      </c>
      <c r="B19" s="227" t="str">
        <f>'Exh CTM-8 (Rate Impacts_RY#1)'!B19</f>
        <v>High Volt Gen Svc</v>
      </c>
      <c r="C19" s="227">
        <f>'Exh CTM-8 (Rate Impacts_RY#1)'!C19</f>
        <v>49</v>
      </c>
      <c r="D19" s="116">
        <f>+'Revenue by Sch RY#2'!D18</f>
        <v>534899242.67952603</v>
      </c>
      <c r="E19" s="118">
        <f>'Exh CTM-8 (Rate Impacts_RY#1)'!AK19</f>
        <v>50264243.710205786</v>
      </c>
      <c r="F19" s="118">
        <f>+'Revenue by Sch RY#2'!F18</f>
        <v>-18604.044515703805</v>
      </c>
      <c r="G19" s="12">
        <f t="shared" si="0"/>
        <v>50245639.665690079</v>
      </c>
      <c r="H19" s="182">
        <v>3799319.1063174531</v>
      </c>
      <c r="I19" s="68">
        <f t="shared" si="1"/>
        <v>7.5614901742644042E-2</v>
      </c>
      <c r="J19" s="1"/>
      <c r="K19" s="222">
        <f>'Revenue by Sch RY#2'!AO18+'Revenue by Sch RY#2'!AJ18</f>
        <v>332814.69581890595</v>
      </c>
      <c r="L19" s="223">
        <f t="shared" si="2"/>
        <v>6.6237527879691093E-3</v>
      </c>
      <c r="M19" s="1"/>
      <c r="N19" s="222">
        <f>'Revenue by Sch RY#2'!AP18+'Revenue by Sch RY#2'!AK18</f>
        <v>0</v>
      </c>
      <c r="O19" s="223">
        <f t="shared" si="3"/>
        <v>0</v>
      </c>
      <c r="P19" s="1"/>
      <c r="Q19" s="222">
        <f>'Revenue by Sch RY#2'!AQ18+'Revenue by Sch RY#2'!AL18</f>
        <v>49451.464676510164</v>
      </c>
      <c r="R19" s="223">
        <f t="shared" si="4"/>
        <v>9.8419415108526895E-4</v>
      </c>
      <c r="S19" s="24"/>
      <c r="T19" s="12">
        <f t="shared" si="5"/>
        <v>54427224.932502948</v>
      </c>
      <c r="U19" s="12">
        <f t="shared" si="6"/>
        <v>4181585.2668128684</v>
      </c>
      <c r="V19" s="30">
        <f t="shared" si="7"/>
        <v>8.3222848681698394E-2</v>
      </c>
    </row>
    <row r="20" spans="1:22">
      <c r="A20" s="2">
        <f t="shared" si="8"/>
        <v>11</v>
      </c>
      <c r="B20" s="227" t="str">
        <f>'Exh CTM-8 (Rate Impacts_RY#1)'!B20</f>
        <v>Area &amp; Street Lighting</v>
      </c>
      <c r="C20" s="227" t="str">
        <f>'Exh CTM-8 (Rate Impacts_RY#1)'!C20</f>
        <v>03, 50-59</v>
      </c>
      <c r="D20" s="116">
        <f>+'Revenue by Sch RY#2'!D19</f>
        <v>67027608.143863305</v>
      </c>
      <c r="E20" s="118">
        <f>'Exh CTM-8 (Rate Impacts_RY#1)'!AK20</f>
        <v>23179928.019197069</v>
      </c>
      <c r="F20" s="118">
        <f>+'Revenue by Sch RY#2'!F19</f>
        <v>-56848.710061108693</v>
      </c>
      <c r="G20" s="12">
        <f t="shared" si="0"/>
        <v>23123079.309135959</v>
      </c>
      <c r="H20" s="182">
        <v>2051066.7858875326</v>
      </c>
      <c r="I20" s="68">
        <f t="shared" si="1"/>
        <v>8.87021472558438E-2</v>
      </c>
      <c r="J20" s="1"/>
      <c r="K20" s="222">
        <f>'Revenue by Sch RY#2'!AO19+'Revenue by Sch RY#2'!AJ19</f>
        <v>28908.411441377568</v>
      </c>
      <c r="L20" s="223">
        <f t="shared" si="2"/>
        <v>1.2501973052505952E-3</v>
      </c>
      <c r="M20" s="1"/>
      <c r="N20" s="222">
        <f>'Revenue by Sch RY#2'!AP19+'Revenue by Sch RY#2'!AK19</f>
        <v>0</v>
      </c>
      <c r="O20" s="223">
        <f t="shared" si="3"/>
        <v>0</v>
      </c>
      <c r="P20" s="1"/>
      <c r="Q20" s="222">
        <f>'Revenue by Sch RY#2'!AQ19+'Revenue by Sch RY#2'!AL19</f>
        <v>38825.943731840322</v>
      </c>
      <c r="R20" s="223">
        <f t="shared" si="4"/>
        <v>1.6790991897216796E-3</v>
      </c>
      <c r="S20" s="24"/>
      <c r="T20" s="12">
        <f t="shared" si="5"/>
        <v>25241880.450196709</v>
      </c>
      <c r="U20" s="12">
        <f t="shared" si="6"/>
        <v>2118801.1410607509</v>
      </c>
      <c r="V20" s="30">
        <f t="shared" si="7"/>
        <v>9.1631443750816083E-2</v>
      </c>
    </row>
    <row r="21" spans="1:22">
      <c r="A21" s="2">
        <f t="shared" si="8"/>
        <v>12</v>
      </c>
      <c r="B21" s="227" t="str">
        <f>'Exh CTM-8 (Rate Impacts_RY#1)'!B21</f>
        <v>Retail Wheeling</v>
      </c>
      <c r="C21" s="227" t="str">
        <f>'Exh CTM-8 (Rate Impacts_RY#1)'!C21</f>
        <v xml:space="preserve">449 / 459 </v>
      </c>
      <c r="D21" s="116">
        <f>+'Revenue by Sch RY#2'!D20</f>
        <v>1964993565.6779518</v>
      </c>
      <c r="E21" s="118">
        <f>'Exh CTM-8 (Rate Impacts_RY#1)'!AK21</f>
        <v>17380237.449417111</v>
      </c>
      <c r="F21" s="118">
        <f>+'Revenue by Sch RY#2'!F20</f>
        <v>0</v>
      </c>
      <c r="G21" s="12">
        <f t="shared" si="0"/>
        <v>17380237.449417111</v>
      </c>
      <c r="H21" s="182">
        <v>0</v>
      </c>
      <c r="I21" s="68">
        <f t="shared" si="1"/>
        <v>0</v>
      </c>
      <c r="J21" s="1"/>
      <c r="K21" s="222">
        <f>'Revenue by Sch RY#2'!AO20+'Revenue by Sch RY#2'!AJ20</f>
        <v>0</v>
      </c>
      <c r="L21" s="223">
        <f t="shared" si="2"/>
        <v>0</v>
      </c>
      <c r="M21" s="1"/>
      <c r="N21" s="222">
        <f>'Revenue by Sch RY#2'!AP20+'Revenue by Sch RY#2'!AK20</f>
        <v>0</v>
      </c>
      <c r="O21" s="223">
        <f t="shared" si="3"/>
        <v>0</v>
      </c>
      <c r="P21" s="1"/>
      <c r="Q21" s="222">
        <f>'Revenue by Sch RY#2'!AQ20+'Revenue by Sch RY#2'!AL20</f>
        <v>102052.80033352424</v>
      </c>
      <c r="R21" s="223">
        <f t="shared" si="4"/>
        <v>5.8717725019888515E-3</v>
      </c>
      <c r="S21" s="24"/>
      <c r="T21" s="12">
        <f t="shared" si="5"/>
        <v>17482290.249750637</v>
      </c>
      <c r="U21" s="12">
        <f t="shared" si="6"/>
        <v>102052.80033352599</v>
      </c>
      <c r="V21" s="30">
        <f t="shared" si="7"/>
        <v>5.8717725019889521E-3</v>
      </c>
    </row>
    <row r="22" spans="1:22">
      <c r="A22" s="2">
        <f t="shared" si="8"/>
        <v>13</v>
      </c>
      <c r="B22" s="227" t="str">
        <f>'Exh CTM-8 (Rate Impacts_RY#1)'!B22</f>
        <v>Special Contract</v>
      </c>
      <c r="C22" s="227" t="str">
        <f>'Exh CTM-8 (Rate Impacts_RY#1)'!C22</f>
        <v>Special Contract</v>
      </c>
      <c r="D22" s="116">
        <f>+'Revenue by Sch RY#2'!D21</f>
        <v>304773055.46200001</v>
      </c>
      <c r="E22" s="118">
        <f>'Exh CTM-8 (Rate Impacts_RY#1)'!AK22</f>
        <v>10552950.387455983</v>
      </c>
      <c r="F22" s="118">
        <f>+'Revenue by Sch RY#2'!F21</f>
        <v>308656.99493579194</v>
      </c>
      <c r="G22" s="12">
        <f t="shared" si="0"/>
        <v>10861607.382391775</v>
      </c>
      <c r="H22" s="182">
        <v>520250.60639040545</v>
      </c>
      <c r="I22" s="68">
        <f t="shared" si="1"/>
        <v>4.7898123001003184E-2</v>
      </c>
      <c r="J22" s="1"/>
      <c r="K22" s="222">
        <f>'Revenue by Sch RY#2'!AO21+'Revenue by Sch RY#2'!AJ21</f>
        <v>0</v>
      </c>
      <c r="L22" s="223">
        <f t="shared" si="2"/>
        <v>0</v>
      </c>
      <c r="M22" s="1"/>
      <c r="N22" s="222">
        <f>'Revenue by Sch RY#2'!AP21+'Revenue by Sch RY#2'!AK21</f>
        <v>0</v>
      </c>
      <c r="O22" s="223">
        <f t="shared" si="3"/>
        <v>0</v>
      </c>
      <c r="P22" s="1"/>
      <c r="Q22" s="222">
        <f>'Revenue by Sch RY#2'!AQ21+'Revenue by Sch RY#2'!AL21</f>
        <v>100172.12531810754</v>
      </c>
      <c r="R22" s="223">
        <f t="shared" si="4"/>
        <v>9.2225875776453629E-3</v>
      </c>
      <c r="S22" s="24"/>
      <c r="T22" s="12">
        <f t="shared" si="5"/>
        <v>11482030.114100289</v>
      </c>
      <c r="U22" s="12">
        <f t="shared" si="6"/>
        <v>620422.73170851357</v>
      </c>
      <c r="V22" s="30">
        <f t="shared" si="7"/>
        <v>5.7120710578648599E-2</v>
      </c>
    </row>
    <row r="23" spans="1:22">
      <c r="A23" s="2">
        <f t="shared" si="8"/>
        <v>14</v>
      </c>
      <c r="B23" s="227" t="str">
        <f>'Exh CTM-8 (Rate Impacts_RY#1)'!B23</f>
        <v>Firm Resale</v>
      </c>
      <c r="C23" s="227">
        <f>'Exh CTM-8 (Rate Impacts_RY#1)'!C23</f>
        <v>5</v>
      </c>
      <c r="D23" s="116">
        <f>+'Revenue by Sch RY#2'!D22</f>
        <v>6710049.8818741431</v>
      </c>
      <c r="E23" s="118">
        <f>'Exh CTM-8 (Rate Impacts_RY#1)'!AK23</f>
        <v>1203807.8312593109</v>
      </c>
      <c r="F23" s="118">
        <f>+'Revenue by Sch RY#2'!F22</f>
        <v>-564.28827922475568</v>
      </c>
      <c r="G23" s="12">
        <f t="shared" si="0"/>
        <v>1203243.5429800863</v>
      </c>
      <c r="H23" s="182">
        <v>0</v>
      </c>
      <c r="I23" s="68">
        <f t="shared" si="1"/>
        <v>0</v>
      </c>
      <c r="J23" s="1"/>
      <c r="K23" s="222">
        <f>'Revenue by Sch RY#2'!AO22+'Revenue by Sch RY#2'!AJ22</f>
        <v>5210.3083441186973</v>
      </c>
      <c r="L23" s="223">
        <f t="shared" si="2"/>
        <v>4.3302192432417052E-3</v>
      </c>
      <c r="M23" s="1"/>
      <c r="N23" s="222">
        <f>'Revenue by Sch RY#2'!AP22+'Revenue by Sch RY#2'!AK22</f>
        <v>0</v>
      </c>
      <c r="O23" s="223">
        <f t="shared" si="3"/>
        <v>0</v>
      </c>
      <c r="P23" s="1"/>
      <c r="Q23" s="222">
        <f>'Revenue by Sch RY#2'!AQ22+'Revenue by Sch RY#2'!AL22</f>
        <v>1919.7896164892036</v>
      </c>
      <c r="R23" s="223">
        <f t="shared" si="4"/>
        <v>1.5955120870496757E-3</v>
      </c>
      <c r="S23" s="24"/>
      <c r="T23" s="12">
        <f t="shared" si="5"/>
        <v>1210373.6409406944</v>
      </c>
      <c r="U23" s="12">
        <f t="shared" si="6"/>
        <v>7130.09796060808</v>
      </c>
      <c r="V23" s="30">
        <f t="shared" si="7"/>
        <v>5.9257313302915294E-3</v>
      </c>
    </row>
    <row r="24" spans="1:22" ht="12" thickBot="1">
      <c r="A24" s="2">
        <f t="shared" si="8"/>
        <v>15</v>
      </c>
      <c r="B24" s="23"/>
      <c r="C24" s="23" t="s">
        <v>11</v>
      </c>
      <c r="D24" s="8">
        <f>SUM(D10:D23)</f>
        <v>23775605944.94062</v>
      </c>
      <c r="E24" s="14">
        <f>SUM(E10:E23)</f>
        <v>3043321591.5390406</v>
      </c>
      <c r="F24" s="14">
        <f>SUM(F10:F23)</f>
        <v>22389080.988265499</v>
      </c>
      <c r="G24" s="14">
        <f>SUM(G10:G23)</f>
        <v>3065710672.527307</v>
      </c>
      <c r="H24" s="75">
        <f>SUM(H10:H23)</f>
        <v>259901923.99999997</v>
      </c>
      <c r="I24" s="68">
        <f t="shared" si="1"/>
        <v>8.4777055554868239E-2</v>
      </c>
      <c r="J24" s="1"/>
      <c r="K24" s="224">
        <f>SUM(K10:K23)</f>
        <v>18419940.77245729</v>
      </c>
      <c r="L24" s="225">
        <f>+K24/$G24</f>
        <v>6.0083754600600585E-3</v>
      </c>
      <c r="M24" s="1"/>
      <c r="N24" s="224">
        <f>SUM(N10:N23)</f>
        <v>9.0949470177292824E-13</v>
      </c>
      <c r="O24" s="225">
        <f>+N24/$G24</f>
        <v>2.9666684136998488E-22</v>
      </c>
      <c r="P24" s="1"/>
      <c r="Q24" s="224">
        <f>SUM(Q10:Q23)</f>
        <v>6846346.7011348838</v>
      </c>
      <c r="R24" s="225">
        <f>+Q24/$G24</f>
        <v>2.2332005307894565E-3</v>
      </c>
      <c r="S24" s="12"/>
      <c r="T24" s="14">
        <f>SUM(T10:T23)</f>
        <v>3350878884.0008988</v>
      </c>
      <c r="U24" s="14">
        <f>SUM(U10:U23)</f>
        <v>285168211.47359216</v>
      </c>
      <c r="V24" s="30">
        <f t="shared" si="7"/>
        <v>9.3018631545717753E-2</v>
      </c>
    </row>
    <row r="25" spans="1:22" ht="12" thickTop="1">
      <c r="E25" s="12"/>
      <c r="F25" s="12"/>
      <c r="G25" s="12"/>
      <c r="H25" s="4"/>
      <c r="I25" s="4"/>
      <c r="K25" s="12"/>
      <c r="L25" s="12"/>
      <c r="T25" s="207"/>
      <c r="U25" s="207" t="s">
        <v>340</v>
      </c>
    </row>
    <row r="26" spans="1:22">
      <c r="D26" s="4">
        <f>+'Revenue by Sch RY#2'!D24</f>
        <v>23775605944.94062</v>
      </c>
      <c r="E26" s="12">
        <f>'Revenue by Sch RY#2'!AG24</f>
        <v>3065710672.5273075</v>
      </c>
      <c r="F26" s="12"/>
      <c r="G26" s="12"/>
      <c r="H26" s="203">
        <v>259901924</v>
      </c>
      <c r="I26" s="11"/>
      <c r="K26" s="203">
        <f>'Revenue by Sch RY#2'!AO26-'Revenue by Sch RY#2'!AJ26</f>
        <v>18419940.772457272</v>
      </c>
      <c r="L26" s="203"/>
      <c r="M26" s="203"/>
      <c r="N26" s="203">
        <f>'Revenue by Sch RY#2'!AP26-'Revenue by Sch RY#2'!AK26</f>
        <v>0</v>
      </c>
      <c r="O26" s="203"/>
      <c r="P26" s="203"/>
      <c r="Q26" s="203">
        <f>'Revenue by Sch RY#2'!AQ26-'Revenue by Sch RY#2'!AL26</f>
        <v>6846346.701134894</v>
      </c>
      <c r="R26" s="203"/>
      <c r="T26" s="118">
        <f>'Revenue by Sch RY#2'!AT24</f>
        <v>3350878884.0071573</v>
      </c>
      <c r="U26" s="118">
        <v>285168211.51727557</v>
      </c>
    </row>
    <row r="27" spans="1:22">
      <c r="C27" s="17" t="s">
        <v>207</v>
      </c>
      <c r="D27" s="121">
        <f>+D26-D24</f>
        <v>0</v>
      </c>
      <c r="E27" s="126">
        <f>+E26-E24-F24</f>
        <v>1.4454126358032227E-6</v>
      </c>
      <c r="F27" s="12"/>
      <c r="G27" s="18"/>
      <c r="H27" s="126">
        <f>+H26-H24</f>
        <v>0</v>
      </c>
      <c r="I27" s="29"/>
      <c r="J27" s="17"/>
      <c r="K27" s="126">
        <f>+K26-K24</f>
        <v>0</v>
      </c>
      <c r="L27" s="18"/>
      <c r="M27" s="17"/>
      <c r="N27" s="126">
        <f>+N26-N24</f>
        <v>-9.0949470177292824E-13</v>
      </c>
      <c r="O27" s="17"/>
      <c r="P27" s="17"/>
      <c r="Q27" s="126">
        <f>+Q26-Q24</f>
        <v>1.0244548320770264E-8</v>
      </c>
      <c r="R27" s="17"/>
      <c r="S27" s="17"/>
      <c r="T27" s="121">
        <f>+T26-T24</f>
        <v>6.2584877014160156E-3</v>
      </c>
      <c r="U27" s="121">
        <f>+U26-U24</f>
        <v>4.3683409690856934E-2</v>
      </c>
    </row>
    <row r="28" spans="1:22" ht="12.75" customHeight="1">
      <c r="B28" s="7"/>
      <c r="F28" s="12"/>
      <c r="T28" s="17"/>
      <c r="U28" s="18"/>
      <c r="V28" s="18"/>
    </row>
    <row r="29" spans="1:22">
      <c r="B29" s="7" t="s">
        <v>436</v>
      </c>
      <c r="U29" s="12"/>
      <c r="V29" s="12"/>
    </row>
    <row r="30" spans="1:22">
      <c r="T30" s="17"/>
      <c r="U30" s="18"/>
    </row>
    <row r="32" spans="1:22">
      <c r="B32" s="27"/>
    </row>
    <row r="38" spans="3:3">
      <c r="C38" s="101"/>
    </row>
  </sheetData>
  <mergeCells count="7">
    <mergeCell ref="K5:R6"/>
    <mergeCell ref="A6:B6"/>
    <mergeCell ref="A1:E1"/>
    <mergeCell ref="A2:E2"/>
    <mergeCell ref="A3:E3"/>
    <mergeCell ref="A4:E4"/>
    <mergeCell ref="A5:E5"/>
  </mergeCells>
  <pageMargins left="0.7" right="0.7" top="0.75" bottom="0.75" header="0.3" footer="0.3"/>
  <pageSetup scale="54" orientation="landscape" horizontalDpi="360" verticalDpi="360" r:id="rId1"/>
  <headerFooter>
    <oddFooter>&amp;R&amp;F
&amp;A
&amp;P of &amp;N</oddFooter>
  </headerFooter>
  <customProperties>
    <customPr name="_pios_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79998168889431442"/>
    <pageSetUpPr fitToPage="1"/>
  </sheetPr>
  <dimension ref="A1:N51"/>
  <sheetViews>
    <sheetView zoomScaleNormal="100" zoomScaleSheetLayoutView="100" workbookViewId="0">
      <pane ySplit="9" topLeftCell="A10" activePane="bottomLeft" state="frozen"/>
      <selection activeCell="U42" sqref="U42"/>
      <selection pane="bottomLeft" activeCell="L35" sqref="L35"/>
    </sheetView>
  </sheetViews>
  <sheetFormatPr defaultRowHeight="11.25"/>
  <cols>
    <col min="1" max="1" width="9.140625" style="3"/>
    <col min="2" max="2" width="35.7109375" style="3" bestFit="1" customWidth="1"/>
    <col min="3" max="3" width="14" style="3" bestFit="1" customWidth="1"/>
    <col min="4" max="5" width="15.28515625" style="3" bestFit="1" customWidth="1"/>
    <col min="6" max="6" width="12" style="3" bestFit="1" customWidth="1"/>
    <col min="7" max="7" width="0.7109375" style="3" customWidth="1"/>
    <col min="8" max="9" width="15.28515625" style="3" bestFit="1" customWidth="1"/>
    <col min="10" max="10" width="12" style="3" bestFit="1" customWidth="1"/>
    <col min="11" max="11" width="0.7109375" style="3" customWidth="1"/>
    <col min="12" max="12" width="11.140625" style="3" bestFit="1" customWidth="1"/>
    <col min="13" max="13" width="0.7109375" style="3" customWidth="1"/>
    <col min="14" max="16384" width="9.140625" style="3"/>
  </cols>
  <sheetData>
    <row r="1" spans="1:14" s="15" customFormat="1" ht="12.75">
      <c r="A1" s="457" t="str">
        <f>'Table of Contents'!A1</f>
        <v>Puget Sound Energy</v>
      </c>
      <c r="B1" s="468"/>
      <c r="C1" s="468"/>
      <c r="D1" s="468"/>
      <c r="E1" s="468"/>
      <c r="F1" s="468"/>
      <c r="G1" s="468"/>
      <c r="H1" s="468"/>
      <c r="I1" s="468"/>
      <c r="J1" s="468"/>
      <c r="K1" s="468"/>
      <c r="L1" s="468"/>
      <c r="M1" s="468"/>
      <c r="N1" s="468"/>
    </row>
    <row r="2" spans="1:14" s="15" customFormat="1" ht="12.75">
      <c r="A2" s="459" t="str">
        <f>'Table of Contents'!A2</f>
        <v>2024 General Rate Case Docket No. UE-240004 and UG-240005</v>
      </c>
      <c r="B2" s="469"/>
      <c r="C2" s="469"/>
      <c r="D2" s="469"/>
      <c r="E2" s="469"/>
      <c r="F2" s="469"/>
      <c r="G2" s="469"/>
      <c r="H2" s="469"/>
      <c r="I2" s="469"/>
      <c r="J2" s="469"/>
      <c r="K2" s="469"/>
      <c r="L2" s="469"/>
      <c r="M2" s="469"/>
      <c r="N2" s="469"/>
    </row>
    <row r="3" spans="1:14" s="15" customFormat="1" ht="12.75">
      <c r="A3" s="470" t="s">
        <v>143</v>
      </c>
      <c r="B3" s="471"/>
      <c r="C3" s="471"/>
      <c r="D3" s="471"/>
      <c r="E3" s="471"/>
      <c r="F3" s="471"/>
      <c r="G3" s="471"/>
      <c r="H3" s="471"/>
      <c r="I3" s="471"/>
      <c r="J3" s="471"/>
      <c r="K3" s="471"/>
      <c r="L3" s="471"/>
      <c r="M3" s="471"/>
      <c r="N3" s="471"/>
    </row>
    <row r="4" spans="1:14" s="15" customFormat="1" ht="12.75">
      <c r="A4" s="470"/>
      <c r="B4" s="471"/>
      <c r="C4" s="471"/>
      <c r="D4" s="471"/>
      <c r="E4" s="471"/>
      <c r="F4" s="471"/>
      <c r="G4" s="471"/>
      <c r="H4" s="471"/>
      <c r="I4" s="471"/>
      <c r="J4" s="471"/>
      <c r="K4" s="471"/>
      <c r="L4" s="471"/>
      <c r="M4" s="471"/>
      <c r="N4" s="471"/>
    </row>
    <row r="5" spans="1:14" s="15" customFormat="1" ht="12.75">
      <c r="A5" s="472" t="s">
        <v>184</v>
      </c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  <c r="M5" s="473"/>
      <c r="N5" s="474"/>
    </row>
    <row r="6" spans="1:14" s="15" customFormat="1">
      <c r="D6" s="467" t="s">
        <v>136</v>
      </c>
      <c r="E6" s="467"/>
      <c r="F6" s="467"/>
      <c r="G6" s="44"/>
      <c r="H6" s="467" t="s">
        <v>137</v>
      </c>
      <c r="I6" s="467"/>
      <c r="J6" s="467"/>
    </row>
    <row r="7" spans="1:14" s="15" customFormat="1">
      <c r="B7" s="44"/>
      <c r="C7" s="44"/>
      <c r="D7" s="44" t="s">
        <v>138</v>
      </c>
      <c r="E7" s="44" t="s">
        <v>138</v>
      </c>
      <c r="F7" s="44"/>
      <c r="G7" s="44"/>
      <c r="H7" s="44" t="s">
        <v>138</v>
      </c>
      <c r="I7" s="44" t="s">
        <v>138</v>
      </c>
      <c r="J7" s="44"/>
      <c r="K7" s="44"/>
      <c r="L7" s="44"/>
    </row>
    <row r="8" spans="1:14" s="15" customFormat="1">
      <c r="B8" s="44"/>
      <c r="C8" s="44" t="s">
        <v>139</v>
      </c>
      <c r="D8" s="45" t="s">
        <v>129</v>
      </c>
      <c r="E8" s="44" t="s">
        <v>141</v>
      </c>
      <c r="F8" s="44" t="s">
        <v>142</v>
      </c>
      <c r="G8" s="44"/>
      <c r="H8" s="44" t="s">
        <v>140</v>
      </c>
      <c r="I8" s="44" t="s">
        <v>141</v>
      </c>
      <c r="J8" s="44" t="s">
        <v>142</v>
      </c>
      <c r="K8" s="44"/>
      <c r="L8" s="44" t="s">
        <v>10</v>
      </c>
    </row>
    <row r="9" spans="1:14" s="15" customFormat="1">
      <c r="A9" s="97" t="s">
        <v>2</v>
      </c>
      <c r="B9" s="97" t="s">
        <v>107</v>
      </c>
      <c r="C9" s="97" t="s">
        <v>82</v>
      </c>
      <c r="D9" s="103" t="s">
        <v>318</v>
      </c>
      <c r="E9" s="98" t="str">
        <f>D9</f>
        <v>12ME Dec. 2025</v>
      </c>
      <c r="F9" s="47" t="s">
        <v>144</v>
      </c>
      <c r="G9" s="44"/>
      <c r="H9" s="98" t="str">
        <f>D9</f>
        <v>12ME Dec. 2025</v>
      </c>
      <c r="I9" s="98" t="str">
        <f>D9</f>
        <v>12ME Dec. 2025</v>
      </c>
      <c r="J9" s="47" t="s">
        <v>144</v>
      </c>
      <c r="K9" s="44"/>
      <c r="L9" s="98" t="s">
        <v>65</v>
      </c>
      <c r="N9" s="98" t="s">
        <v>145</v>
      </c>
    </row>
    <row r="10" spans="1:14">
      <c r="A10" s="381"/>
      <c r="B10" s="381" t="s">
        <v>18</v>
      </c>
      <c r="C10" s="381" t="s">
        <v>19</v>
      </c>
      <c r="D10" s="384" t="s">
        <v>20</v>
      </c>
      <c r="E10" s="384" t="s">
        <v>21</v>
      </c>
      <c r="F10" s="385" t="s">
        <v>399</v>
      </c>
      <c r="G10" s="384"/>
      <c r="H10" s="384" t="s">
        <v>25</v>
      </c>
      <c r="I10" s="384" t="s">
        <v>26</v>
      </c>
      <c r="J10" s="385" t="s">
        <v>397</v>
      </c>
      <c r="K10" s="385"/>
      <c r="L10" s="386" t="s">
        <v>398</v>
      </c>
      <c r="M10" s="58"/>
      <c r="N10" s="58"/>
    </row>
    <row r="11" spans="1:14">
      <c r="A11" s="2">
        <v>1</v>
      </c>
      <c r="B11" s="23" t="s">
        <v>4</v>
      </c>
      <c r="C11" s="106" t="str">
        <f>'Revenue by Sch RY#1'!C9</f>
        <v>7 (307) (317) (327)</v>
      </c>
      <c r="D11" s="31">
        <f>'Revenue by Sch RY#1'!D9</f>
        <v>11278205851.395365</v>
      </c>
      <c r="E11" s="32">
        <f>'Revenue by Sch RY#1'!AC9</f>
        <v>1573549058.3641579</v>
      </c>
      <c r="F11" s="33">
        <f>E11/D11</f>
        <v>0.13952122164621378</v>
      </c>
      <c r="G11" s="34"/>
      <c r="H11" s="35">
        <f>+D11</f>
        <v>11278205851.395365</v>
      </c>
      <c r="I11" s="32">
        <f>'Revenue by Sch RY#1'!AW9</f>
        <v>1682433932.4322236</v>
      </c>
      <c r="J11" s="33">
        <f>I11/H11</f>
        <v>0.14917567160951128</v>
      </c>
      <c r="K11" s="36"/>
      <c r="L11" s="30">
        <f>(I11-E11)/E11</f>
        <v>6.9196999921477514E-2</v>
      </c>
      <c r="N11" s="380">
        <f>'Exh CTM-8 (Rate Impacts_RY#1)'!AI10-L11</f>
        <v>1.5265566588595902E-16</v>
      </c>
    </row>
    <row r="12" spans="1:14">
      <c r="A12" s="2">
        <f>+A11+1</f>
        <v>2</v>
      </c>
      <c r="B12" s="23" t="s">
        <v>97</v>
      </c>
      <c r="C12" s="106" t="str">
        <f>'Revenue by Sch RY#1'!C10</f>
        <v>08 (24) (324)</v>
      </c>
      <c r="D12" s="31">
        <f>'Revenue by Sch RY#1'!D10</f>
        <v>2762635966.1696987</v>
      </c>
      <c r="E12" s="32">
        <f>'Revenue by Sch RY#1'!AC10</f>
        <v>370402221.86186469</v>
      </c>
      <c r="F12" s="33">
        <f t="shared" ref="F12:F25" si="0">E12/D12</f>
        <v>0.13407565325206955</v>
      </c>
      <c r="G12" s="34"/>
      <c r="H12" s="35">
        <f t="shared" ref="H12:H24" si="1">+D12</f>
        <v>2762635966.1696987</v>
      </c>
      <c r="I12" s="32">
        <f>'Revenue by Sch RY#1'!AW10</f>
        <v>399406260.30445379</v>
      </c>
      <c r="J12" s="33">
        <f t="shared" ref="J12:J23" si="2">I12/H12</f>
        <v>0.14457433595864497</v>
      </c>
      <c r="K12" s="36"/>
      <c r="L12" s="30">
        <f t="shared" ref="L12:L24" si="3">(I12-E12)/E12</f>
        <v>7.8304169712582541E-2</v>
      </c>
      <c r="N12" s="380">
        <f>'Exh CTM-8 (Rate Impacts_RY#1)'!AI11-L12</f>
        <v>1.6653345369377348E-16</v>
      </c>
    </row>
    <row r="13" spans="1:14">
      <c r="A13" s="2">
        <f>+A12+1</f>
        <v>3</v>
      </c>
      <c r="B13" s="7" t="s">
        <v>99</v>
      </c>
      <c r="C13" s="106" t="str">
        <f>'Revenue by Sch RY#1'!C11</f>
        <v>7A (11) (25)</v>
      </c>
      <c r="D13" s="31">
        <f>'Revenue by Sch RY#1'!D11</f>
        <v>2960202274.8054705</v>
      </c>
      <c r="E13" s="32">
        <f>'Revenue by Sch RY#1'!AC11</f>
        <v>388306969.90820646</v>
      </c>
      <c r="F13" s="33">
        <f t="shared" si="0"/>
        <v>0.1311758230892259</v>
      </c>
      <c r="G13" s="34"/>
      <c r="H13" s="35">
        <f t="shared" si="1"/>
        <v>2960202274.8054705</v>
      </c>
      <c r="I13" s="32">
        <f>'Revenue by Sch RY#1'!AW11</f>
        <v>410104305.30607408</v>
      </c>
      <c r="J13" s="33">
        <f t="shared" si="2"/>
        <v>0.13853928456055392</v>
      </c>
      <c r="K13" s="36"/>
      <c r="L13" s="30">
        <f t="shared" si="3"/>
        <v>5.6134288300362947E-2</v>
      </c>
      <c r="N13" s="380">
        <f>'Exh CTM-8 (Rate Impacts_RY#1)'!AI12-L13</f>
        <v>-7.6327832942979512E-17</v>
      </c>
    </row>
    <row r="14" spans="1:14">
      <c r="A14" s="2">
        <f t="shared" ref="A14:A25" si="4">+A13+1</f>
        <v>4</v>
      </c>
      <c r="B14" s="7" t="s">
        <v>98</v>
      </c>
      <c r="C14" s="106" t="str">
        <f>'Revenue by Sch RY#1'!C12</f>
        <v>12 (26) (26P)</v>
      </c>
      <c r="D14" s="31">
        <f>'Revenue by Sch RY#1'!D12</f>
        <v>2013891730.8000479</v>
      </c>
      <c r="E14" s="32">
        <f>'Revenue by Sch RY#1'!AC12</f>
        <v>237836418.96857327</v>
      </c>
      <c r="F14" s="33">
        <f t="shared" si="0"/>
        <v>0.11809791724706535</v>
      </c>
      <c r="G14" s="34"/>
      <c r="H14" s="35">
        <f t="shared" si="1"/>
        <v>2013891730.8000479</v>
      </c>
      <c r="I14" s="32">
        <f>'Revenue by Sch RY#1'!AW12</f>
        <v>250844035.89377761</v>
      </c>
      <c r="J14" s="33">
        <f t="shared" si="2"/>
        <v>0.12455686274362235</v>
      </c>
      <c r="K14" s="36"/>
      <c r="L14" s="30">
        <f t="shared" si="3"/>
        <v>5.4691442890094595E-2</v>
      </c>
      <c r="N14" s="380">
        <f>'Exh CTM-8 (Rate Impacts_RY#1)'!AI13-L14</f>
        <v>0</v>
      </c>
    </row>
    <row r="15" spans="1:14">
      <c r="A15" s="2">
        <f t="shared" si="4"/>
        <v>5</v>
      </c>
      <c r="B15" s="23" t="s">
        <v>100</v>
      </c>
      <c r="C15" s="106" t="str">
        <f>'Revenue by Sch RY#1'!C13</f>
        <v>29</v>
      </c>
      <c r="D15" s="31">
        <f>'Revenue by Sch RY#1'!D13</f>
        <v>14930059.630887466</v>
      </c>
      <c r="E15" s="32">
        <f>'Revenue by Sch RY#1'!AC13</f>
        <v>1728149.0568922446</v>
      </c>
      <c r="F15" s="33">
        <f t="shared" si="0"/>
        <v>0.11574964197175955</v>
      </c>
      <c r="G15" s="34"/>
      <c r="H15" s="35">
        <f t="shared" si="1"/>
        <v>14930059.630887466</v>
      </c>
      <c r="I15" s="32">
        <f>'Revenue by Sch RY#1'!AW13</f>
        <v>1822920.0439626977</v>
      </c>
      <c r="J15" s="33">
        <f t="shared" si="2"/>
        <v>0.12209730496932654</v>
      </c>
      <c r="K15" s="36"/>
      <c r="L15" s="30">
        <f t="shared" si="3"/>
        <v>5.483959077053293E-2</v>
      </c>
      <c r="N15" s="380">
        <f>'Exh CTM-8 (Rate Impacts_RY#1)'!AI14-L15</f>
        <v>-1.1796119636642288E-16</v>
      </c>
    </row>
    <row r="16" spans="1:14">
      <c r="A16" s="2">
        <f t="shared" si="4"/>
        <v>6</v>
      </c>
      <c r="B16" s="7" t="s">
        <v>101</v>
      </c>
      <c r="C16" s="106" t="str">
        <f>'Revenue by Sch RY#1'!C14</f>
        <v>10 (31)</v>
      </c>
      <c r="D16" s="31">
        <f>'Revenue by Sch RY#1'!D14</f>
        <v>1423586019.4788036</v>
      </c>
      <c r="E16" s="32">
        <f>'Revenue by Sch RY#1'!AC14</f>
        <v>162042122.3188971</v>
      </c>
      <c r="F16" s="33">
        <f t="shared" si="0"/>
        <v>0.11382671654658646</v>
      </c>
      <c r="G16" s="34"/>
      <c r="H16" s="35">
        <f t="shared" si="1"/>
        <v>1423586019.4788036</v>
      </c>
      <c r="I16" s="32">
        <f>'Revenue by Sch RY#1'!AW14</f>
        <v>171448917.19141841</v>
      </c>
      <c r="J16" s="33">
        <f>I16/H16</f>
        <v>0.1204345328244994</v>
      </c>
      <c r="K16" s="36"/>
      <c r="L16" s="30">
        <f t="shared" si="3"/>
        <v>5.8051540783999628E-2</v>
      </c>
      <c r="N16" s="380">
        <f>'Exh CTM-8 (Rate Impacts_RY#1)'!AI15-L16</f>
        <v>-2.4286128663675299E-16</v>
      </c>
    </row>
    <row r="17" spans="1:14">
      <c r="A17" s="2">
        <f t="shared" si="4"/>
        <v>7</v>
      </c>
      <c r="B17" s="7" t="s">
        <v>102</v>
      </c>
      <c r="C17" s="106" t="str">
        <f>'Revenue by Sch RY#1'!C15</f>
        <v>35</v>
      </c>
      <c r="D17" s="31">
        <f>'Revenue by Sch RY#1'!D15</f>
        <v>4407260.1568774413</v>
      </c>
      <c r="E17" s="32">
        <f>'Revenue by Sch RY#1'!AC15</f>
        <v>418551.29387898021</v>
      </c>
      <c r="F17" s="33">
        <f t="shared" si="0"/>
        <v>9.49685924997732E-2</v>
      </c>
      <c r="G17" s="34"/>
      <c r="H17" s="35">
        <f t="shared" si="1"/>
        <v>4407260.1568774413</v>
      </c>
      <c r="I17" s="32">
        <f>'Revenue by Sch RY#1'!AW15</f>
        <v>474221.61064653046</v>
      </c>
      <c r="J17" s="33">
        <f t="shared" si="2"/>
        <v>0.10760009479052811</v>
      </c>
      <c r="K17" s="36"/>
      <c r="L17" s="30">
        <f t="shared" si="3"/>
        <v>0.13300715487370288</v>
      </c>
      <c r="N17" s="380">
        <f>'Exh CTM-8 (Rate Impacts_RY#1)'!AI16-L17</f>
        <v>0</v>
      </c>
    </row>
    <row r="18" spans="1:14">
      <c r="A18" s="2">
        <f t="shared" si="4"/>
        <v>8</v>
      </c>
      <c r="B18" s="23" t="s">
        <v>103</v>
      </c>
      <c r="C18" s="106">
        <f>'Revenue by Sch RY#1'!C16</f>
        <v>43</v>
      </c>
      <c r="D18" s="31">
        <f>'Revenue by Sch RY#1'!D16</f>
        <v>122267424.6450724</v>
      </c>
      <c r="E18" s="32">
        <f>'Revenue by Sch RY#1'!AC16</f>
        <v>14286105.037436888</v>
      </c>
      <c r="F18" s="33">
        <f t="shared" si="0"/>
        <v>0.11684310092330585</v>
      </c>
      <c r="G18" s="34"/>
      <c r="H18" s="35">
        <f t="shared" si="1"/>
        <v>122267424.6450724</v>
      </c>
      <c r="I18" s="32">
        <f>'Revenue by Sch RY#1'!AW16</f>
        <v>15325928.108140722</v>
      </c>
      <c r="J18" s="33">
        <f t="shared" si="2"/>
        <v>0.12534759894248237</v>
      </c>
      <c r="K18" s="36"/>
      <c r="L18" s="30">
        <f t="shared" si="3"/>
        <v>7.278562407170934E-2</v>
      </c>
      <c r="N18" s="380">
        <f>'Exh CTM-8 (Rate Impacts_RY#1)'!AI17-L18</f>
        <v>0</v>
      </c>
    </row>
    <row r="19" spans="1:14">
      <c r="A19" s="2">
        <f t="shared" si="4"/>
        <v>9</v>
      </c>
      <c r="B19" s="23" t="s">
        <v>104</v>
      </c>
      <c r="C19" s="106">
        <f>'Revenue by Sch RY#1'!C17</f>
        <v>46</v>
      </c>
      <c r="D19" s="31">
        <f>'Revenue by Sch RY#1'!D17</f>
        <v>96933187.043131709</v>
      </c>
      <c r="E19" s="32">
        <f>'Revenue by Sch RY#1'!AC17</f>
        <v>8475100.031980345</v>
      </c>
      <c r="F19" s="33">
        <f t="shared" si="0"/>
        <v>8.7432388127393734E-2</v>
      </c>
      <c r="G19" s="34"/>
      <c r="H19" s="35">
        <f t="shared" si="1"/>
        <v>96933187.043131709</v>
      </c>
      <c r="I19" s="32">
        <f>'Revenue by Sch RY#1'!AW17</f>
        <v>8879903.2508084737</v>
      </c>
      <c r="J19" s="33">
        <f t="shared" si="2"/>
        <v>9.1608493661280765E-2</v>
      </c>
      <c r="K19" s="36"/>
      <c r="L19" s="30">
        <f t="shared" si="3"/>
        <v>4.7763827836913422E-2</v>
      </c>
      <c r="N19" s="380">
        <f>'Exh CTM-8 (Rate Impacts_RY#1)'!AI18-L19</f>
        <v>1.3183898417423734E-16</v>
      </c>
    </row>
    <row r="20" spans="1:14">
      <c r="A20" s="2">
        <f t="shared" si="4"/>
        <v>10</v>
      </c>
      <c r="B20" s="7" t="s">
        <v>105</v>
      </c>
      <c r="C20" s="106">
        <f>'Revenue by Sch RY#1'!C18</f>
        <v>49</v>
      </c>
      <c r="D20" s="31">
        <f>'Revenue by Sch RY#1'!D18</f>
        <v>534843226.30681556</v>
      </c>
      <c r="E20" s="32">
        <f>'Revenue by Sch RY#1'!AC18</f>
        <v>47671375.10442128</v>
      </c>
      <c r="F20" s="33">
        <f t="shared" si="0"/>
        <v>8.9131492668609313E-2</v>
      </c>
      <c r="G20" s="34"/>
      <c r="H20" s="35">
        <f t="shared" si="1"/>
        <v>534843226.30681556</v>
      </c>
      <c r="I20" s="32">
        <f>'Revenue by Sch RY#1'!AW18</f>
        <v>50264243.710205793</v>
      </c>
      <c r="J20" s="33">
        <f t="shared" si="2"/>
        <v>9.3979396649162106E-2</v>
      </c>
      <c r="K20" s="36"/>
      <c r="L20" s="30">
        <f t="shared" si="3"/>
        <v>5.4390472271986914E-2</v>
      </c>
      <c r="N20" s="380">
        <f>'Exh CTM-8 (Rate Impacts_RY#1)'!AI19-L20</f>
        <v>-2.1510571102112408E-16</v>
      </c>
    </row>
    <row r="21" spans="1:14">
      <c r="A21" s="2">
        <f t="shared" si="4"/>
        <v>11</v>
      </c>
      <c r="B21" s="23" t="s">
        <v>106</v>
      </c>
      <c r="C21" s="106" t="str">
        <f>'Revenue by Sch RY#1'!C19</f>
        <v>03, 50-59</v>
      </c>
      <c r="D21" s="31">
        <f>'Revenue by Sch RY#1'!D19</f>
        <v>67255417.982360825</v>
      </c>
      <c r="E21" s="32">
        <f>'Revenue by Sch RY#1'!AC19</f>
        <v>23183450.840163715</v>
      </c>
      <c r="F21" s="33">
        <f t="shared" si="0"/>
        <v>0.34470755718511886</v>
      </c>
      <c r="G21" s="34"/>
      <c r="H21" s="35">
        <f t="shared" si="1"/>
        <v>67255417.982360825</v>
      </c>
      <c r="I21" s="32">
        <f>'Revenue by Sch RY#1'!AW19</f>
        <v>23179928.019197065</v>
      </c>
      <c r="J21" s="33">
        <f t="shared" si="2"/>
        <v>0.34465517745018698</v>
      </c>
      <c r="K21" s="36"/>
      <c r="L21" s="30">
        <f t="shared" si="3"/>
        <v>-1.5195412412662737E-4</v>
      </c>
      <c r="N21" s="380">
        <f>'Exh CTM-8 (Rate Impacts_RY#1)'!AI20-L21</f>
        <v>2.1843963270151701E-16</v>
      </c>
    </row>
    <row r="22" spans="1:14">
      <c r="A22" s="2">
        <f t="shared" si="4"/>
        <v>12</v>
      </c>
      <c r="B22" s="23" t="s">
        <v>23</v>
      </c>
      <c r="C22" s="106" t="str">
        <f>'Revenue by Sch RY#1'!C20</f>
        <v xml:space="preserve">449 / 459 </v>
      </c>
      <c r="D22" s="31">
        <f>'Revenue by Sch RY#1'!D20</f>
        <v>1967511960.3194919</v>
      </c>
      <c r="E22" s="32">
        <f>'Revenue by Sch RY#1'!AC20</f>
        <v>16604465.294621985</v>
      </c>
      <c r="F22" s="33">
        <f t="shared" si="0"/>
        <v>8.4393211474687504E-3</v>
      </c>
      <c r="G22" s="34"/>
      <c r="H22" s="35">
        <f t="shared" si="1"/>
        <v>1967511960.3194919</v>
      </c>
      <c r="I22" s="32">
        <f>'Revenue by Sch RY#1'!AW20</f>
        <v>17380237.449417111</v>
      </c>
      <c r="J22" s="33">
        <f t="shared" si="2"/>
        <v>8.8336120948382148E-3</v>
      </c>
      <c r="K22" s="36"/>
      <c r="L22" s="30">
        <f t="shared" si="3"/>
        <v>4.6720694766749865E-2</v>
      </c>
      <c r="N22" s="380">
        <f>'Exh CTM-8 (Rate Impacts_RY#1)'!AI21-L22</f>
        <v>0</v>
      </c>
    </row>
    <row r="23" spans="1:14">
      <c r="A23" s="2">
        <f t="shared" si="4"/>
        <v>13</v>
      </c>
      <c r="B23" s="23" t="s">
        <v>76</v>
      </c>
      <c r="C23" s="106" t="str">
        <f>'Revenue by Sch RY#1'!C21</f>
        <v>Special Contract</v>
      </c>
      <c r="D23" s="31">
        <f>'Revenue by Sch RY#1'!D21</f>
        <v>304773055.46200001</v>
      </c>
      <c r="E23" s="32">
        <f>'Revenue by Sch RY#1'!AC21</f>
        <v>6112058.4304764047</v>
      </c>
      <c r="F23" s="33">
        <f t="shared" si="0"/>
        <v>2.0054457967786047E-2</v>
      </c>
      <c r="G23" s="34"/>
      <c r="H23" s="35">
        <f t="shared" si="1"/>
        <v>304773055.46200001</v>
      </c>
      <c r="I23" s="32">
        <f>'Revenue by Sch RY#1'!AW21</f>
        <v>10552950.387455981</v>
      </c>
      <c r="J23" s="33">
        <f t="shared" si="2"/>
        <v>3.462560156920353E-2</v>
      </c>
      <c r="K23" s="36"/>
      <c r="L23" s="30">
        <f t="shared" si="3"/>
        <v>0.7265787798814336</v>
      </c>
      <c r="N23" s="380">
        <f>'Exh CTM-8 (Rate Impacts_RY#1)'!AI22-L23</f>
        <v>0</v>
      </c>
    </row>
    <row r="24" spans="1:14">
      <c r="A24" s="2">
        <f t="shared" si="4"/>
        <v>14</v>
      </c>
      <c r="B24" s="23" t="s">
        <v>16</v>
      </c>
      <c r="C24" s="106">
        <f>'Revenue by Sch RY#1'!C22</f>
        <v>5</v>
      </c>
      <c r="D24" s="31">
        <f>'Revenue by Sch RY#1'!D22</f>
        <v>6714960.2368700616</v>
      </c>
      <c r="E24" s="32">
        <f>'Revenue by Sch RY#1'!AC22</f>
        <v>487506.15298651473</v>
      </c>
      <c r="F24" s="33">
        <f t="shared" si="0"/>
        <v>7.2600005925537434E-2</v>
      </c>
      <c r="G24" s="34"/>
      <c r="H24" s="35">
        <f t="shared" si="1"/>
        <v>6714960.2368700616</v>
      </c>
      <c r="I24" s="32">
        <f>'Revenue by Sch RY#1'!AW22</f>
        <v>1203807.8312593112</v>
      </c>
      <c r="J24" s="33">
        <f>I24/H24</f>
        <v>0.17927251819743062</v>
      </c>
      <c r="K24" s="12"/>
      <c r="L24" s="30">
        <f t="shared" si="3"/>
        <v>1.4693182309282784</v>
      </c>
      <c r="M24" s="37"/>
      <c r="N24" s="380">
        <f>'Exh CTM-8 (Rate Impacts_RY#1)'!AI23-L24</f>
        <v>0</v>
      </c>
    </row>
    <row r="25" spans="1:14">
      <c r="A25" s="2">
        <f t="shared" si="4"/>
        <v>15</v>
      </c>
      <c r="B25" s="23"/>
      <c r="C25" s="23" t="s">
        <v>11</v>
      </c>
      <c r="D25" s="38">
        <f>SUM(D11:D24)</f>
        <v>23558158394.432896</v>
      </c>
      <c r="E25" s="39">
        <f>SUM(E11:E24)</f>
        <v>2851103552.6645579</v>
      </c>
      <c r="F25" s="40">
        <f t="shared" si="0"/>
        <v>0.12102404207190964</v>
      </c>
      <c r="G25" s="41"/>
      <c r="H25" s="38">
        <f>SUM(H11:H24)</f>
        <v>23558158394.432896</v>
      </c>
      <c r="I25" s="39">
        <f>SUM(I11:I24)</f>
        <v>3043321591.5390415</v>
      </c>
      <c r="J25" s="40">
        <f t="shared" ref="J25" si="5">I25/H25</f>
        <v>0.12918334025032358</v>
      </c>
      <c r="K25" s="12"/>
      <c r="L25" s="42">
        <f>(I25-E25)/E25</f>
        <v>6.7418820580838687E-2</v>
      </c>
      <c r="N25" s="380">
        <f>'Exh CTM-8 (Rate Impacts_RY#1)'!AI24-L25</f>
        <v>0</v>
      </c>
    </row>
    <row r="26" spans="1:14">
      <c r="B26" s="178"/>
      <c r="F26" s="43"/>
      <c r="I26" s="12"/>
      <c r="N26" s="380"/>
    </row>
    <row r="27" spans="1:14">
      <c r="B27" s="178" t="s">
        <v>345</v>
      </c>
      <c r="F27" s="43"/>
    </row>
    <row r="28" spans="1:14">
      <c r="B28" s="178"/>
      <c r="F28" s="43"/>
    </row>
    <row r="29" spans="1:14" ht="12.75">
      <c r="A29" s="472" t="s">
        <v>189</v>
      </c>
      <c r="B29" s="473"/>
      <c r="C29" s="473"/>
      <c r="D29" s="473"/>
      <c r="E29" s="473"/>
      <c r="F29" s="473"/>
      <c r="G29" s="473"/>
      <c r="H29" s="473"/>
      <c r="I29" s="473"/>
      <c r="J29" s="473"/>
      <c r="K29" s="473"/>
      <c r="L29" s="473"/>
      <c r="M29" s="473"/>
      <c r="N29" s="474"/>
    </row>
    <row r="30" spans="1:14">
      <c r="A30" s="15"/>
      <c r="B30" s="15"/>
      <c r="C30" s="15"/>
      <c r="D30" s="467" t="s">
        <v>395</v>
      </c>
      <c r="E30" s="467"/>
      <c r="F30" s="467"/>
      <c r="G30" s="44"/>
      <c r="H30" s="467" t="s">
        <v>137</v>
      </c>
      <c r="I30" s="467"/>
      <c r="J30" s="467"/>
      <c r="K30" s="15"/>
      <c r="L30" s="15"/>
      <c r="M30" s="15"/>
      <c r="N30" s="15"/>
    </row>
    <row r="31" spans="1:14">
      <c r="A31" s="15"/>
      <c r="B31" s="44"/>
      <c r="C31" s="44"/>
      <c r="D31" s="44" t="s">
        <v>138</v>
      </c>
      <c r="E31" s="44" t="s">
        <v>138</v>
      </c>
      <c r="F31" s="44"/>
      <c r="G31" s="44"/>
      <c r="H31" s="44" t="s">
        <v>138</v>
      </c>
      <c r="I31" s="44" t="s">
        <v>138</v>
      </c>
      <c r="J31" s="44"/>
      <c r="K31" s="44"/>
      <c r="L31" s="44"/>
      <c r="M31" s="15"/>
      <c r="N31" s="15"/>
    </row>
    <row r="32" spans="1:14">
      <c r="A32" s="15"/>
      <c r="B32" s="44"/>
      <c r="C32" s="44" t="s">
        <v>139</v>
      </c>
      <c r="D32" s="45" t="s">
        <v>129</v>
      </c>
      <c r="E32" s="44" t="s">
        <v>141</v>
      </c>
      <c r="F32" s="44" t="s">
        <v>142</v>
      </c>
      <c r="G32" s="44"/>
      <c r="H32" s="44" t="s">
        <v>140</v>
      </c>
      <c r="I32" s="44" t="s">
        <v>141</v>
      </c>
      <c r="J32" s="44" t="s">
        <v>142</v>
      </c>
      <c r="K32" s="44"/>
      <c r="L32" s="44" t="s">
        <v>10</v>
      </c>
      <c r="M32" s="15"/>
      <c r="N32" s="15"/>
    </row>
    <row r="33" spans="1:14">
      <c r="A33" s="97" t="s">
        <v>2</v>
      </c>
      <c r="B33" s="97" t="s">
        <v>107</v>
      </c>
      <c r="C33" s="97" t="s">
        <v>82</v>
      </c>
      <c r="D33" s="46" t="s">
        <v>320</v>
      </c>
      <c r="E33" s="98" t="str">
        <f>D33</f>
        <v>12ME Dec. 2026</v>
      </c>
      <c r="F33" s="47" t="s">
        <v>144</v>
      </c>
      <c r="G33" s="44"/>
      <c r="H33" s="98" t="str">
        <f>D33</f>
        <v>12ME Dec. 2026</v>
      </c>
      <c r="I33" s="98" t="str">
        <f>D33</f>
        <v>12ME Dec. 2026</v>
      </c>
      <c r="J33" s="47" t="s">
        <v>144</v>
      </c>
      <c r="K33" s="44"/>
      <c r="L33" s="98" t="s">
        <v>65</v>
      </c>
      <c r="M33" s="15"/>
      <c r="N33" s="98" t="s">
        <v>145</v>
      </c>
    </row>
    <row r="34" spans="1:14">
      <c r="A34" s="381"/>
      <c r="B34" s="381" t="s">
        <v>18</v>
      </c>
      <c r="C34" s="381" t="s">
        <v>19</v>
      </c>
      <c r="D34" s="384" t="s">
        <v>20</v>
      </c>
      <c r="E34" s="384" t="s">
        <v>21</v>
      </c>
      <c r="F34" s="385" t="s">
        <v>399</v>
      </c>
      <c r="G34" s="384"/>
      <c r="H34" s="384" t="s">
        <v>25</v>
      </c>
      <c r="I34" s="384" t="s">
        <v>26</v>
      </c>
      <c r="J34" s="385" t="s">
        <v>397</v>
      </c>
      <c r="K34" s="385"/>
      <c r="L34" s="386" t="s">
        <v>398</v>
      </c>
      <c r="M34" s="58"/>
      <c r="N34" s="58"/>
    </row>
    <row r="35" spans="1:14">
      <c r="A35" s="2">
        <v>1</v>
      </c>
      <c r="B35" s="23" t="s">
        <v>4</v>
      </c>
      <c r="C35" s="23" t="str">
        <f>C11</f>
        <v>7 (307) (317) (327)</v>
      </c>
      <c r="D35" s="31">
        <f>'Revenue by Sch RY#2'!D9</f>
        <v>11447649239.71397</v>
      </c>
      <c r="E35" s="32">
        <f>'Revenue by Sch RY#2'!AG9</f>
        <v>1700047905.4744103</v>
      </c>
      <c r="F35" s="33">
        <f>E35/D35</f>
        <v>0.14850628892232617</v>
      </c>
      <c r="G35" s="34"/>
      <c r="H35" s="35">
        <f>+D35</f>
        <v>11447649239.71397</v>
      </c>
      <c r="I35" s="32">
        <f>'Revenue by Sch RY#2'!AT9</f>
        <v>1863956907.4278517</v>
      </c>
      <c r="J35" s="33">
        <f>I35/H35</f>
        <v>0.16282442520700646</v>
      </c>
      <c r="K35" s="36"/>
      <c r="L35" s="30">
        <f>(I35-E35)/E35</f>
        <v>9.6414343046234002E-2</v>
      </c>
      <c r="N35" s="380">
        <f>'Exh CTM-8 (Rate Impacts_RY#2)'!V10-L35</f>
        <v>-1.3877787807814457E-16</v>
      </c>
    </row>
    <row r="36" spans="1:14">
      <c r="A36" s="2">
        <f>+A35+1</f>
        <v>2</v>
      </c>
      <c r="B36" s="23" t="s">
        <v>97</v>
      </c>
      <c r="C36" s="23" t="str">
        <f t="shared" ref="C36:C48" si="6">C12</f>
        <v>08 (24) (324)</v>
      </c>
      <c r="D36" s="31">
        <f>'Revenue by Sch RY#2'!D10</f>
        <v>2774967422.2693906</v>
      </c>
      <c r="E36" s="32">
        <f>'Revenue by Sch RY#2'!AG10</f>
        <v>400810679.38750339</v>
      </c>
      <c r="F36" s="33">
        <f t="shared" ref="F36:F49" si="7">E36/D36</f>
        <v>0.14443797652215939</v>
      </c>
      <c r="G36" s="34"/>
      <c r="H36" s="35">
        <f t="shared" ref="H36:H48" si="8">+D36</f>
        <v>2774967422.2693906</v>
      </c>
      <c r="I36" s="32">
        <f>'Revenue by Sch RY#2'!AT10</f>
        <v>438019509.43597627</v>
      </c>
      <c r="J36" s="33">
        <f t="shared" ref="J36:J47" si="9">I36/H36</f>
        <v>0.15784672134196098</v>
      </c>
      <c r="K36" s="36"/>
      <c r="L36" s="30">
        <f t="shared" ref="L36:L49" si="10">(I36-E36)/E36</f>
        <v>9.2833928739956106E-2</v>
      </c>
      <c r="N36" s="380">
        <f>'Exh CTM-8 (Rate Impacts_RY#2)'!V11-L36</f>
        <v>1.3877787807814457E-16</v>
      </c>
    </row>
    <row r="37" spans="1:14">
      <c r="A37" s="2">
        <f>+A36+1</f>
        <v>3</v>
      </c>
      <c r="B37" s="7" t="s">
        <v>99</v>
      </c>
      <c r="C37" s="23" t="str">
        <f t="shared" si="6"/>
        <v>7A (11) (25)</v>
      </c>
      <c r="D37" s="31">
        <f>'Revenue by Sch RY#2'!D11</f>
        <v>2968720174.6374388</v>
      </c>
      <c r="E37" s="32">
        <f>'Revenue by Sch RY#2'!AG11</f>
        <v>410842457.56460553</v>
      </c>
      <c r="F37" s="33">
        <f t="shared" si="7"/>
        <v>0.13839042866840104</v>
      </c>
      <c r="G37" s="34"/>
      <c r="H37" s="35">
        <f t="shared" si="8"/>
        <v>2968720174.6374388</v>
      </c>
      <c r="I37" s="32">
        <f>'Revenue by Sch RY#2'!AT11</f>
        <v>447413553.36019003</v>
      </c>
      <c r="J37" s="33">
        <f t="shared" si="9"/>
        <v>0.15070923732811273</v>
      </c>
      <c r="K37" s="36"/>
      <c r="L37" s="30">
        <f t="shared" si="10"/>
        <v>8.9014889094887778E-2</v>
      </c>
      <c r="N37" s="380">
        <f>'Exh CTM-8 (Rate Impacts_RY#2)'!V12-L37</f>
        <v>3.1918911957973251E-16</v>
      </c>
    </row>
    <row r="38" spans="1:14">
      <c r="A38" s="2">
        <f t="shared" ref="A38:A49" si="11">+A37+1</f>
        <v>4</v>
      </c>
      <c r="B38" s="7" t="s">
        <v>98</v>
      </c>
      <c r="C38" s="23" t="str">
        <f t="shared" si="6"/>
        <v>12 (26) (26P)</v>
      </c>
      <c r="D38" s="31">
        <f>'Revenue by Sch RY#2'!D12</f>
        <v>2056791563.2414525</v>
      </c>
      <c r="E38" s="32">
        <f>'Revenue by Sch RY#2'!AG12</f>
        <v>254410094.84238327</v>
      </c>
      <c r="F38" s="33">
        <f t="shared" si="7"/>
        <v>0.12369269661989438</v>
      </c>
      <c r="G38" s="34"/>
      <c r="H38" s="35">
        <f t="shared" si="8"/>
        <v>2056791563.2414525</v>
      </c>
      <c r="I38" s="32">
        <f>'Revenue by Sch RY#2'!AT12</f>
        <v>277163235.88832426</v>
      </c>
      <c r="J38" s="33">
        <f t="shared" si="9"/>
        <v>0.13475514040495279</v>
      </c>
      <c r="K38" s="36"/>
      <c r="L38" s="30">
        <f t="shared" si="10"/>
        <v>8.9434898642828747E-2</v>
      </c>
      <c r="N38" s="380">
        <f>'Exh CTM-8 (Rate Impacts_RY#2)'!V13-L38</f>
        <v>0</v>
      </c>
    </row>
    <row r="39" spans="1:14">
      <c r="A39" s="2">
        <f t="shared" si="11"/>
        <v>5</v>
      </c>
      <c r="B39" s="23" t="s">
        <v>100</v>
      </c>
      <c r="C39" s="23" t="str">
        <f t="shared" si="6"/>
        <v>29</v>
      </c>
      <c r="D39" s="31">
        <f>'Revenue by Sch RY#2'!D13</f>
        <v>14843026.361509496</v>
      </c>
      <c r="E39" s="32">
        <f>'Revenue by Sch RY#2'!AG13</f>
        <v>1816948.4997781876</v>
      </c>
      <c r="F39" s="33">
        <f t="shared" si="7"/>
        <v>0.12241091914313684</v>
      </c>
      <c r="G39" s="34"/>
      <c r="H39" s="35">
        <f t="shared" si="8"/>
        <v>14843026.361509496</v>
      </c>
      <c r="I39" s="32">
        <f>'Revenue by Sch RY#2'!AT13</f>
        <v>1980921.0945821451</v>
      </c>
      <c r="J39" s="33">
        <f t="shared" si="9"/>
        <v>0.13345803250198437</v>
      </c>
      <c r="K39" s="36"/>
      <c r="L39" s="30">
        <f t="shared" si="10"/>
        <v>9.0246143368386725E-2</v>
      </c>
      <c r="N39" s="380">
        <f>'Exh CTM-8 (Rate Impacts_RY#2)'!V14-L39</f>
        <v>-2.4980018054066022E-16</v>
      </c>
    </row>
    <row r="40" spans="1:14">
      <c r="A40" s="2">
        <f t="shared" si="11"/>
        <v>6</v>
      </c>
      <c r="B40" s="7" t="s">
        <v>101</v>
      </c>
      <c r="C40" s="23" t="str">
        <f t="shared" si="6"/>
        <v>10 (31)</v>
      </c>
      <c r="D40" s="31">
        <f>'Revenue by Sch RY#2'!D14</f>
        <v>1411297972.0883911</v>
      </c>
      <c r="E40" s="32">
        <f>'Revenue by Sch RY#2'!AG14</f>
        <v>170360971.93141115</v>
      </c>
      <c r="F40" s="33">
        <f t="shared" si="7"/>
        <v>0.12071226296691742</v>
      </c>
      <c r="G40" s="34"/>
      <c r="H40" s="35">
        <f t="shared" si="8"/>
        <v>1411297972.0883911</v>
      </c>
      <c r="I40" s="32">
        <f>'Revenue by Sch RY#2'!AT14</f>
        <v>185708235.16223523</v>
      </c>
      <c r="J40" s="33">
        <f>I40/H40</f>
        <v>0.13158683625643594</v>
      </c>
      <c r="K40" s="36"/>
      <c r="L40" s="30">
        <f t="shared" si="10"/>
        <v>9.008673205388279E-2</v>
      </c>
      <c r="N40" s="380">
        <f>'Exh CTM-8 (Rate Impacts_RY#2)'!V15-L40</f>
        <v>0</v>
      </c>
    </row>
    <row r="41" spans="1:14">
      <c r="A41" s="2">
        <f t="shared" si="11"/>
        <v>7</v>
      </c>
      <c r="B41" s="7" t="s">
        <v>102</v>
      </c>
      <c r="C41" s="23" t="str">
        <f t="shared" si="6"/>
        <v>35</v>
      </c>
      <c r="D41" s="31">
        <f>'Revenue by Sch RY#2'!D15</f>
        <v>4380281.1514552524</v>
      </c>
      <c r="E41" s="32">
        <f>'Revenue by Sch RY#2'!AG15</f>
        <v>472583.800597077</v>
      </c>
      <c r="F41" s="33">
        <f t="shared" si="7"/>
        <v>0.10788891951377856</v>
      </c>
      <c r="G41" s="34"/>
      <c r="H41" s="35">
        <f t="shared" si="8"/>
        <v>4380281.1514552524</v>
      </c>
      <c r="I41" s="32">
        <f>'Revenue by Sch RY#2'!AT15</f>
        <v>529033.1728535071</v>
      </c>
      <c r="J41" s="33">
        <f t="shared" si="9"/>
        <v>0.12077607682277368</v>
      </c>
      <c r="K41" s="36"/>
      <c r="L41" s="30">
        <f t="shared" si="10"/>
        <v>0.11944838605366967</v>
      </c>
      <c r="N41" s="380">
        <f>'Exh CTM-8 (Rate Impacts_RY#2)'!V16-L41</f>
        <v>-2.4980018054066022E-16</v>
      </c>
    </row>
    <row r="42" spans="1:14">
      <c r="A42" s="2">
        <f t="shared" si="11"/>
        <v>8</v>
      </c>
      <c r="B42" s="23" t="s">
        <v>103</v>
      </c>
      <c r="C42" s="23">
        <f t="shared" si="6"/>
        <v>43</v>
      </c>
      <c r="D42" s="31">
        <f>'Revenue by Sch RY#2'!D16</f>
        <v>121633779.10385114</v>
      </c>
      <c r="E42" s="32">
        <f>'Revenue by Sch RY#2'!AG16</f>
        <v>15259113.388511615</v>
      </c>
      <c r="F42" s="33">
        <f t="shared" si="7"/>
        <v>0.12545128089363528</v>
      </c>
      <c r="G42" s="34"/>
      <c r="H42" s="35">
        <f t="shared" si="8"/>
        <v>121633779.10385114</v>
      </c>
      <c r="I42" s="32">
        <f>'Revenue by Sch RY#2'!AT16</f>
        <v>16627061.842811188</v>
      </c>
      <c r="J42" s="33">
        <f t="shared" si="9"/>
        <v>0.13669773286099227</v>
      </c>
      <c r="K42" s="36"/>
      <c r="L42" s="30">
        <f t="shared" si="10"/>
        <v>8.9647964430848465E-2</v>
      </c>
      <c r="N42" s="380">
        <f>'Exh CTM-8 (Rate Impacts_RY#2)'!V17-L42</f>
        <v>1.2490009027033011E-16</v>
      </c>
    </row>
    <row r="43" spans="1:14">
      <c r="A43" s="2">
        <f t="shared" si="11"/>
        <v>9</v>
      </c>
      <c r="B43" s="23" t="s">
        <v>104</v>
      </c>
      <c r="C43" s="23">
        <f t="shared" si="6"/>
        <v>46</v>
      </c>
      <c r="D43" s="31">
        <f>'Revenue by Sch RY#2'!D17</f>
        <v>96918964.527943105</v>
      </c>
      <c r="E43" s="32">
        <f>'Revenue by Sch RY#2'!AG17</f>
        <v>8876110.2884914689</v>
      </c>
      <c r="F43" s="33">
        <f t="shared" si="7"/>
        <v>9.1582801484970069E-2</v>
      </c>
      <c r="G43" s="34"/>
      <c r="H43" s="35">
        <f t="shared" si="8"/>
        <v>96918964.527943105</v>
      </c>
      <c r="I43" s="32">
        <f>'Revenue by Sch RY#2'!AT17</f>
        <v>9636627.2285836339</v>
      </c>
      <c r="J43" s="33">
        <f t="shared" si="9"/>
        <v>9.9429737776503574E-2</v>
      </c>
      <c r="K43" s="36"/>
      <c r="L43" s="30">
        <f t="shared" si="10"/>
        <v>8.5681330602463482E-2</v>
      </c>
      <c r="N43" s="380">
        <f>'Exh CTM-8 (Rate Impacts_RY#2)'!V18-L43</f>
        <v>0</v>
      </c>
    </row>
    <row r="44" spans="1:14">
      <c r="A44" s="2">
        <f t="shared" si="11"/>
        <v>10</v>
      </c>
      <c r="B44" s="7" t="s">
        <v>105</v>
      </c>
      <c r="C44" s="23">
        <f t="shared" si="6"/>
        <v>49</v>
      </c>
      <c r="D44" s="31">
        <f>'Revenue by Sch RY#2'!D18</f>
        <v>534899242.67952603</v>
      </c>
      <c r="E44" s="32">
        <f>'Revenue by Sch RY#2'!AG18</f>
        <v>50245639.665690087</v>
      </c>
      <c r="F44" s="33">
        <f t="shared" si="7"/>
        <v>9.3934774358605214E-2</v>
      </c>
      <c r="G44" s="34"/>
      <c r="H44" s="35">
        <f t="shared" si="8"/>
        <v>534899242.67952603</v>
      </c>
      <c r="I44" s="32">
        <f>'Revenue by Sch RY#2'!AT18</f>
        <v>54427224.932502955</v>
      </c>
      <c r="J44" s="33">
        <f t="shared" si="9"/>
        <v>0.10175229387100089</v>
      </c>
      <c r="K44" s="36"/>
      <c r="L44" s="30">
        <f t="shared" si="10"/>
        <v>8.322284868169838E-2</v>
      </c>
      <c r="N44" s="380">
        <f>'Exh CTM-8 (Rate Impacts_RY#2)'!V19-L44</f>
        <v>0</v>
      </c>
    </row>
    <row r="45" spans="1:14">
      <c r="A45" s="2">
        <f t="shared" si="11"/>
        <v>11</v>
      </c>
      <c r="B45" s="23" t="s">
        <v>106</v>
      </c>
      <c r="C45" s="23" t="str">
        <f t="shared" si="6"/>
        <v>03, 50-59</v>
      </c>
      <c r="D45" s="31">
        <f>'Revenue by Sch RY#2'!D19</f>
        <v>67027608.143863305</v>
      </c>
      <c r="E45" s="32">
        <f>'Revenue by Sch RY#2'!AG19</f>
        <v>23123079.309135959</v>
      </c>
      <c r="F45" s="33">
        <f t="shared" si="7"/>
        <v>0.34497843425214009</v>
      </c>
      <c r="G45" s="34"/>
      <c r="H45" s="35">
        <f t="shared" si="8"/>
        <v>67027608.143863305</v>
      </c>
      <c r="I45" s="32">
        <f>'Revenue by Sch RY#2'!AT19</f>
        <v>25241880.450196709</v>
      </c>
      <c r="J45" s="33">
        <f t="shared" si="9"/>
        <v>0.3765893062455597</v>
      </c>
      <c r="K45" s="36"/>
      <c r="L45" s="30">
        <f t="shared" si="10"/>
        <v>9.1631443750816083E-2</v>
      </c>
      <c r="N45" s="380">
        <f>'Exh CTM-8 (Rate Impacts_RY#2)'!V20-L45</f>
        <v>0</v>
      </c>
    </row>
    <row r="46" spans="1:14">
      <c r="A46" s="2">
        <f t="shared" si="11"/>
        <v>12</v>
      </c>
      <c r="B46" s="23" t="s">
        <v>23</v>
      </c>
      <c r="C46" s="23" t="str">
        <f t="shared" si="6"/>
        <v xml:space="preserve">449 / 459 </v>
      </c>
      <c r="D46" s="31">
        <f>'Revenue by Sch RY#2'!D20</f>
        <v>1964993565.6779518</v>
      </c>
      <c r="E46" s="32">
        <f>'Revenue by Sch RY#2'!AG20</f>
        <v>17380237.449417111</v>
      </c>
      <c r="F46" s="33">
        <f t="shared" si="7"/>
        <v>8.8449335168284231E-3</v>
      </c>
      <c r="G46" s="34"/>
      <c r="H46" s="35">
        <f t="shared" si="8"/>
        <v>1964993565.6779518</v>
      </c>
      <c r="I46" s="32">
        <f>'Revenue by Sch RY#2'!AT20</f>
        <v>17482290.249750633</v>
      </c>
      <c r="J46" s="33">
        <f t="shared" si="9"/>
        <v>8.8968689542344558E-3</v>
      </c>
      <c r="K46" s="36"/>
      <c r="L46" s="30">
        <f t="shared" si="10"/>
        <v>5.8717725019887378E-3</v>
      </c>
      <c r="N46" s="380">
        <f>'Exh CTM-8 (Rate Impacts_RY#2)'!V21-L46</f>
        <v>2.1423834928313568E-16</v>
      </c>
    </row>
    <row r="47" spans="1:14">
      <c r="A47" s="2">
        <f t="shared" si="11"/>
        <v>13</v>
      </c>
      <c r="B47" s="23" t="s">
        <v>76</v>
      </c>
      <c r="C47" s="23" t="str">
        <f t="shared" si="6"/>
        <v>Special Contract</v>
      </c>
      <c r="D47" s="31">
        <f>'Revenue by Sch RY#2'!D21</f>
        <v>304773055.46200001</v>
      </c>
      <c r="E47" s="32">
        <f>'Revenue by Sch RY#2'!AG21</f>
        <v>10861607.382391775</v>
      </c>
      <c r="F47" s="33">
        <f t="shared" si="7"/>
        <v>3.5638345279332059E-2</v>
      </c>
      <c r="G47" s="34"/>
      <c r="H47" s="35">
        <f t="shared" si="8"/>
        <v>304773055.46200001</v>
      </c>
      <c r="I47" s="32">
        <f>'Revenue by Sch RY#2'!AT21</f>
        <v>11482030.119164497</v>
      </c>
      <c r="J47" s="33">
        <f t="shared" si="9"/>
        <v>3.7674032902151051E-2</v>
      </c>
      <c r="K47" s="36"/>
      <c r="L47" s="30">
        <f t="shared" si="10"/>
        <v>5.7120711044897091E-2</v>
      </c>
      <c r="N47" s="380">
        <f>'Exh CTM-8 (Rate Impacts_RY#2)'!V22-L47</f>
        <v>-4.6624849120435741E-10</v>
      </c>
    </row>
    <row r="48" spans="1:14">
      <c r="A48" s="2">
        <f t="shared" si="11"/>
        <v>14</v>
      </c>
      <c r="B48" s="23" t="s">
        <v>16</v>
      </c>
      <c r="C48" s="23">
        <f t="shared" si="6"/>
        <v>5</v>
      </c>
      <c r="D48" s="31">
        <f>'Revenue by Sch RY#2'!D22</f>
        <v>6710049.8818741431</v>
      </c>
      <c r="E48" s="32">
        <f>'Revenue by Sch RY#2'!AG22</f>
        <v>1203243.5429800865</v>
      </c>
      <c r="F48" s="33">
        <f t="shared" si="7"/>
        <v>0.1793196122476538</v>
      </c>
      <c r="G48" s="34"/>
      <c r="H48" s="35">
        <f t="shared" si="8"/>
        <v>6710049.8818741431</v>
      </c>
      <c r="I48" s="32">
        <f>'Revenue by Sch RY#2'!AT22</f>
        <v>1210373.6421349915</v>
      </c>
      <c r="J48" s="33">
        <f>I48/H48</f>
        <v>0.18038221227007173</v>
      </c>
      <c r="K48" s="12"/>
      <c r="L48" s="30">
        <f t="shared" si="10"/>
        <v>5.9257323228560661E-3</v>
      </c>
      <c r="M48" s="37"/>
      <c r="N48" s="380">
        <f>'Exh CTM-8 (Rate Impacts_RY#2)'!V23-L48</f>
        <v>-9.9256453663792987E-10</v>
      </c>
    </row>
    <row r="49" spans="1:14">
      <c r="A49" s="2">
        <f t="shared" si="11"/>
        <v>15</v>
      </c>
      <c r="B49" s="23"/>
      <c r="C49" s="23" t="s">
        <v>11</v>
      </c>
      <c r="D49" s="38">
        <f>SUM(D35:D48)</f>
        <v>23775605944.94062</v>
      </c>
      <c r="E49" s="39">
        <f>SUM(E35:E48)</f>
        <v>3065710672.5273075</v>
      </c>
      <c r="F49" s="40">
        <f t="shared" si="7"/>
        <v>0.12894353479893883</v>
      </c>
      <c r="G49" s="41"/>
      <c r="H49" s="38">
        <f>SUM(H35:H48)</f>
        <v>23775605944.94062</v>
      </c>
      <c r="I49" s="39">
        <f>SUM(I35:I48)</f>
        <v>3350878884.0071573</v>
      </c>
      <c r="J49" s="40">
        <f t="shared" ref="J49" si="12">I49/H49</f>
        <v>0.14093768595286693</v>
      </c>
      <c r="K49" s="12"/>
      <c r="L49" s="42">
        <f t="shared" si="10"/>
        <v>9.3018631547758912E-2</v>
      </c>
      <c r="N49" s="380">
        <f>'Exh CTM-8 (Rate Impacts_RY#2)'!V24-L49</f>
        <v>-2.0411589085611581E-12</v>
      </c>
    </row>
    <row r="50" spans="1:14">
      <c r="E50" s="37"/>
      <c r="I50" s="37"/>
      <c r="N50" s="380"/>
    </row>
    <row r="51" spans="1:14">
      <c r="B51" s="7" t="s">
        <v>396</v>
      </c>
      <c r="E51" s="37"/>
    </row>
  </sheetData>
  <mergeCells count="10">
    <mergeCell ref="D6:F6"/>
    <mergeCell ref="H6:J6"/>
    <mergeCell ref="D30:F30"/>
    <mergeCell ref="H30:J30"/>
    <mergeCell ref="A1:N1"/>
    <mergeCell ref="A2:N2"/>
    <mergeCell ref="A3:N3"/>
    <mergeCell ref="A4:N4"/>
    <mergeCell ref="A29:N29"/>
    <mergeCell ref="A5:N5"/>
  </mergeCells>
  <pageMargins left="0.7" right="0.7" top="0.75" bottom="0.75" header="0.3" footer="0.3"/>
  <pageSetup scale="74" orientation="landscape" horizontalDpi="360" verticalDpi="360" r:id="rId1"/>
  <headerFooter>
    <oddFooter>&amp;R&amp;F
&amp;A
&amp;P of &amp;N</oddFooter>
  </headerFooter>
  <customProperties>
    <customPr name="_pios_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C43"/>
  <sheetViews>
    <sheetView zoomScaleNormal="100" zoomScaleSheetLayoutView="100" workbookViewId="0">
      <selection activeCell="P20" sqref="P20"/>
    </sheetView>
  </sheetViews>
  <sheetFormatPr defaultRowHeight="11.25"/>
  <cols>
    <col min="1" max="16384" width="9.140625" style="3"/>
  </cols>
  <sheetData>
    <row r="43" spans="3:3">
      <c r="C43" s="101"/>
    </row>
  </sheetData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3" tint="0.79998168889431442"/>
    <pageSetUpPr fitToPage="1"/>
  </sheetPr>
  <dimension ref="A1:X53"/>
  <sheetViews>
    <sheetView zoomScaleNormal="100" zoomScaleSheetLayoutView="100" workbookViewId="0">
      <pane ySplit="8" topLeftCell="A9" activePane="bottomLeft" state="frozen"/>
      <selection activeCell="U42" sqref="U42"/>
      <selection pane="bottomLeft" activeCell="H9" sqref="H9"/>
    </sheetView>
  </sheetViews>
  <sheetFormatPr defaultColWidth="9.42578125" defaultRowHeight="11.25"/>
  <cols>
    <col min="1" max="1" width="4.5703125" style="142" customWidth="1"/>
    <col min="2" max="2" width="6.85546875" style="142" bestFit="1" customWidth="1"/>
    <col min="3" max="3" width="7.140625" style="142" bestFit="1" customWidth="1"/>
    <col min="4" max="4" width="10" style="142" bestFit="1" customWidth="1"/>
    <col min="5" max="5" width="9.7109375" style="142" bestFit="1" customWidth="1"/>
    <col min="6" max="6" width="0.85546875" style="142" customWidth="1"/>
    <col min="7" max="7" width="9.140625" style="142" bestFit="1" customWidth="1"/>
    <col min="8" max="8" width="9.42578125" style="142" customWidth="1"/>
    <col min="9" max="9" width="10.7109375" style="142" customWidth="1"/>
    <col min="10" max="10" width="0.85546875" style="142" customWidth="1"/>
    <col min="11" max="12" width="11.140625" style="142" bestFit="1" customWidth="1"/>
    <col min="13" max="13" width="0.85546875" style="142" customWidth="1"/>
    <col min="14" max="15" width="11.140625" style="142" bestFit="1" customWidth="1"/>
    <col min="16" max="16" width="0.85546875" style="142" customWidth="1"/>
    <col min="17" max="17" width="36.7109375" style="142" bestFit="1" customWidth="1"/>
    <col min="18" max="18" width="16.7109375" style="142" bestFit="1" customWidth="1"/>
    <col min="19" max="19" width="0.7109375" style="142" customWidth="1"/>
    <col min="20" max="20" width="13.7109375" style="142" bestFit="1" customWidth="1"/>
    <col min="21" max="21" width="9.42578125" style="142" customWidth="1"/>
    <col min="22" max="22" width="0.85546875" style="142" customWidth="1"/>
    <col min="23" max="23" width="13.7109375" style="142" bestFit="1" customWidth="1"/>
    <col min="24" max="24" width="10.28515625" style="142" customWidth="1"/>
    <col min="25" max="16384" width="9.42578125" style="142"/>
  </cols>
  <sheetData>
    <row r="1" spans="1:24">
      <c r="A1" s="480" t="str">
        <f>'Table of Contents'!A1</f>
        <v>Puget Sound Energy</v>
      </c>
      <c r="B1" s="480"/>
      <c r="C1" s="480"/>
      <c r="D1" s="480"/>
      <c r="E1" s="480"/>
      <c r="F1" s="480"/>
      <c r="G1" s="480"/>
      <c r="H1" s="480"/>
      <c r="I1" s="480"/>
      <c r="J1" s="480"/>
      <c r="K1" s="480"/>
      <c r="L1" s="480"/>
      <c r="M1" s="480"/>
      <c r="N1" s="480"/>
      <c r="O1" s="480"/>
    </row>
    <row r="2" spans="1:24">
      <c r="A2" s="480" t="str">
        <f>'Table of Contents'!A2</f>
        <v>2024 General Rate Case Docket No. UE-240004 and UG-240005</v>
      </c>
      <c r="B2" s="480"/>
      <c r="C2" s="480"/>
      <c r="D2" s="480"/>
      <c r="E2" s="480"/>
      <c r="F2" s="480"/>
      <c r="G2" s="480"/>
      <c r="H2" s="480"/>
      <c r="I2" s="480"/>
      <c r="J2" s="480"/>
      <c r="K2" s="480"/>
      <c r="L2" s="480"/>
      <c r="M2" s="480"/>
      <c r="N2" s="480"/>
      <c r="O2" s="480"/>
    </row>
    <row r="3" spans="1:24">
      <c r="A3" s="481" t="s">
        <v>377</v>
      </c>
      <c r="B3" s="482"/>
      <c r="C3" s="482"/>
      <c r="D3" s="482"/>
      <c r="E3" s="482"/>
      <c r="F3" s="482"/>
      <c r="G3" s="482"/>
      <c r="H3" s="482"/>
      <c r="I3" s="482"/>
      <c r="J3" s="482"/>
      <c r="K3" s="482"/>
      <c r="L3" s="482"/>
      <c r="M3" s="482"/>
      <c r="N3" s="482"/>
      <c r="O3" s="482"/>
    </row>
    <row r="4" spans="1:24">
      <c r="A4" s="483"/>
      <c r="B4" s="480"/>
      <c r="C4" s="480"/>
      <c r="D4" s="480"/>
      <c r="E4" s="480"/>
      <c r="F4" s="480"/>
      <c r="G4" s="480"/>
      <c r="H4" s="480"/>
      <c r="I4" s="480"/>
      <c r="J4" s="480"/>
      <c r="K4" s="480"/>
      <c r="L4" s="480"/>
      <c r="M4" s="480"/>
      <c r="N4" s="480"/>
      <c r="O4" s="480"/>
    </row>
    <row r="5" spans="1:24" s="136" customFormat="1" ht="12" thickBot="1">
      <c r="S5" s="142"/>
      <c r="V5" s="142"/>
    </row>
    <row r="6" spans="1:24" s="136" customFormat="1" ht="13.5" thickBot="1">
      <c r="C6" s="477" t="s">
        <v>87</v>
      </c>
      <c r="D6" s="478"/>
      <c r="E6" s="479"/>
      <c r="G6" s="484" t="s">
        <v>346</v>
      </c>
      <c r="H6" s="485"/>
      <c r="I6" s="486"/>
      <c r="K6" s="484" t="s">
        <v>116</v>
      </c>
      <c r="L6" s="486"/>
      <c r="N6" s="484" t="s">
        <v>117</v>
      </c>
      <c r="O6" s="486"/>
      <c r="S6" s="142"/>
      <c r="T6" s="475" t="s">
        <v>353</v>
      </c>
      <c r="U6" s="476"/>
      <c r="V6" s="142"/>
      <c r="W6" s="475" t="s">
        <v>354</v>
      </c>
      <c r="X6" s="476"/>
    </row>
    <row r="7" spans="1:24" s="136" customFormat="1" ht="56.25">
      <c r="A7" s="138" t="s">
        <v>350</v>
      </c>
      <c r="B7" s="287" t="s">
        <v>34</v>
      </c>
      <c r="C7" s="284" t="s">
        <v>88</v>
      </c>
      <c r="D7" s="284" t="s">
        <v>115</v>
      </c>
      <c r="E7" s="284" t="s">
        <v>89</v>
      </c>
      <c r="F7" s="286"/>
      <c r="G7" s="139" t="s">
        <v>389</v>
      </c>
      <c r="H7" s="139" t="s">
        <v>348</v>
      </c>
      <c r="I7" s="139" t="s">
        <v>349</v>
      </c>
      <c r="J7" s="284"/>
      <c r="K7" s="138" t="str">
        <f>+H7</f>
        <v>Proposed Bill Effective January 2025</v>
      </c>
      <c r="L7" s="138" t="str">
        <f>+I7</f>
        <v>Proposed Bill Effective January 2026</v>
      </c>
      <c r="M7" s="285"/>
      <c r="N7" s="284" t="str">
        <f>+K7</f>
        <v>Proposed Bill Effective January 2025</v>
      </c>
      <c r="O7" s="284" t="str">
        <f>+L7</f>
        <v>Proposed Bill Effective January 2026</v>
      </c>
      <c r="Q7" s="283"/>
      <c r="R7" s="281" t="s">
        <v>347</v>
      </c>
      <c r="S7" s="142"/>
      <c r="T7" s="282" t="s">
        <v>352</v>
      </c>
      <c r="U7" s="281" t="s">
        <v>351</v>
      </c>
      <c r="V7" s="142"/>
      <c r="W7" s="282" t="s">
        <v>352</v>
      </c>
      <c r="X7" s="281" t="s">
        <v>351</v>
      </c>
    </row>
    <row r="8" spans="1:24" s="141" customFormat="1">
      <c r="B8" s="141" t="s">
        <v>18</v>
      </c>
      <c r="C8" s="279" t="s">
        <v>19</v>
      </c>
      <c r="D8" s="279" t="s">
        <v>20</v>
      </c>
      <c r="E8" s="279" t="s">
        <v>21</v>
      </c>
      <c r="G8" s="280" t="s">
        <v>24</v>
      </c>
      <c r="H8" s="280" t="s">
        <v>25</v>
      </c>
      <c r="I8" s="280" t="s">
        <v>26</v>
      </c>
      <c r="J8" s="279"/>
      <c r="K8" s="279" t="s">
        <v>27</v>
      </c>
      <c r="L8" s="279" t="s">
        <v>28</v>
      </c>
      <c r="N8" s="279" t="s">
        <v>29</v>
      </c>
      <c r="O8" s="279" t="s">
        <v>30</v>
      </c>
      <c r="Q8" s="278" t="s">
        <v>74</v>
      </c>
      <c r="R8" s="277" t="s">
        <v>83</v>
      </c>
      <c r="S8" s="142"/>
      <c r="T8" s="276" t="s">
        <v>84</v>
      </c>
      <c r="U8" s="275" t="s">
        <v>75</v>
      </c>
      <c r="V8" s="142"/>
      <c r="W8" s="276" t="s">
        <v>85</v>
      </c>
      <c r="X8" s="275" t="s">
        <v>93</v>
      </c>
    </row>
    <row r="9" spans="1:24">
      <c r="A9" s="142">
        <v>1</v>
      </c>
      <c r="B9" s="253">
        <v>0</v>
      </c>
      <c r="C9" s="246">
        <f>'Summary Installation Count'!B7</f>
        <v>8.7413060204101483E-3</v>
      </c>
      <c r="D9" s="246">
        <f>'Summary Installation Count'!C7</f>
        <v>6.2677909054665408E-3</v>
      </c>
      <c r="E9" s="246">
        <f>'Summary Installation Count'!D7</f>
        <v>1.1215790026819559E-2</v>
      </c>
      <c r="G9" s="245">
        <f t="shared" ref="G9:G17" si="0">ROUND((($B9*R$10+$R$9)),2)</f>
        <v>7.49</v>
      </c>
      <c r="H9" s="245">
        <f t="shared" ref="H9:H17" si="1">ROUND((($B9*T$10+$T$9)),2)</f>
        <v>9.74</v>
      </c>
      <c r="I9" s="245">
        <f t="shared" ref="I9:I17" si="2">ROUND((($B9*W$10+$W$9)),2)</f>
        <v>12.66</v>
      </c>
      <c r="J9" s="245"/>
      <c r="K9" s="245">
        <f t="shared" ref="K9:K31" si="3">+H9-G9</f>
        <v>2.25</v>
      </c>
      <c r="L9" s="245">
        <f t="shared" ref="L9:L31" si="4">+I9-H9</f>
        <v>2.92</v>
      </c>
      <c r="N9" s="254">
        <f t="shared" ref="N9:N31" si="5">+K9/G9</f>
        <v>0.30040053404539385</v>
      </c>
      <c r="O9" s="254">
        <f t="shared" ref="O9:O31" si="6">+L9/H9</f>
        <v>0.29979466119096509</v>
      </c>
      <c r="Q9" s="272" t="str">
        <f>Q16</f>
        <v>Basic Charge - Single Phase</v>
      </c>
      <c r="R9" s="274">
        <f>SUM(R16)</f>
        <v>7.49</v>
      </c>
      <c r="T9" s="273">
        <f>SUM(T16)</f>
        <v>9.74</v>
      </c>
      <c r="U9" s="263">
        <f>(T9-R9)/R9</f>
        <v>0.30040053404539385</v>
      </c>
      <c r="W9" s="273">
        <f>SUM(W16)</f>
        <v>12.66</v>
      </c>
      <c r="X9" s="263">
        <f>(W9-T9)/T9</f>
        <v>0.29979466119096509</v>
      </c>
    </row>
    <row r="10" spans="1:24">
      <c r="A10" s="142">
        <f t="shared" ref="A10:A31" si="7">A9+1</f>
        <v>2</v>
      </c>
      <c r="B10" s="253">
        <v>50</v>
      </c>
      <c r="C10" s="246">
        <f>'Summary Installation Count'!B8</f>
        <v>7.4180257017194273E-3</v>
      </c>
      <c r="D10" s="246">
        <f>'Summary Installation Count'!C8</f>
        <v>5.7136977983011216E-3</v>
      </c>
      <c r="E10" s="246">
        <f>'Summary Installation Count'!D8</f>
        <v>9.1230212011231288E-3</v>
      </c>
      <c r="G10" s="245">
        <f t="shared" si="0"/>
        <v>13.6</v>
      </c>
      <c r="H10" s="245">
        <f t="shared" si="1"/>
        <v>16.2</v>
      </c>
      <c r="I10" s="245">
        <f t="shared" si="2"/>
        <v>19.63</v>
      </c>
      <c r="J10" s="245"/>
      <c r="K10" s="245">
        <f t="shared" si="3"/>
        <v>2.5999999999999996</v>
      </c>
      <c r="L10" s="245">
        <f t="shared" si="4"/>
        <v>3.4299999999999997</v>
      </c>
      <c r="N10" s="254">
        <f t="shared" si="5"/>
        <v>0.19117647058823528</v>
      </c>
      <c r="O10" s="254">
        <f t="shared" si="6"/>
        <v>0.21172839506172839</v>
      </c>
      <c r="Q10" s="272" t="str">
        <f>Q17</f>
        <v>First 600 kWh</v>
      </c>
      <c r="R10" s="271">
        <f>SUM(R17,R22:R46)</f>
        <v>0.12213900000000001</v>
      </c>
      <c r="T10" s="270">
        <f>SUM(T17,T22:T46)</f>
        <v>0.12912108746935702</v>
      </c>
      <c r="U10" s="263">
        <f>(T10-R10)/R10</f>
        <v>5.7165094436314436E-2</v>
      </c>
      <c r="W10" s="270">
        <f>SUM(W17,W22:W46)</f>
        <v>0.13946770407167641</v>
      </c>
      <c r="X10" s="263">
        <f>(W10-T10)/T10</f>
        <v>8.0131114174319881E-2</v>
      </c>
    </row>
    <row r="11" spans="1:24">
      <c r="A11" s="142">
        <f t="shared" si="7"/>
        <v>3</v>
      </c>
      <c r="B11" s="253">
        <v>100</v>
      </c>
      <c r="C11" s="246">
        <f>'Summary Installation Count'!B9</f>
        <v>1.1465588163890247E-2</v>
      </c>
      <c r="D11" s="246">
        <f>'Summary Installation Count'!C9</f>
        <v>7.6771955203369683E-3</v>
      </c>
      <c r="E11" s="246">
        <f>'Summary Installation Count'!D9</f>
        <v>1.5255464744727465E-2</v>
      </c>
      <c r="G11" s="245">
        <f t="shared" si="0"/>
        <v>19.7</v>
      </c>
      <c r="H11" s="245">
        <f t="shared" si="1"/>
        <v>22.65</v>
      </c>
      <c r="I11" s="245">
        <f t="shared" si="2"/>
        <v>26.61</v>
      </c>
      <c r="J11" s="245"/>
      <c r="K11" s="245">
        <f t="shared" si="3"/>
        <v>2.9499999999999993</v>
      </c>
      <c r="L11" s="245">
        <f t="shared" si="4"/>
        <v>3.9600000000000009</v>
      </c>
      <c r="N11" s="254">
        <f t="shared" si="5"/>
        <v>0.14974619289340099</v>
      </c>
      <c r="O11" s="254">
        <f t="shared" si="6"/>
        <v>0.17483443708609275</v>
      </c>
      <c r="Q11" s="272" t="str">
        <f>Q18</f>
        <v>Over 600 kWh</v>
      </c>
      <c r="R11" s="271">
        <f>SUM(R18,R22:R46)</f>
        <v>0.14155600000000002</v>
      </c>
      <c r="T11" s="270">
        <f>SUM(T18,T22:T46)</f>
        <v>0.14853808746935704</v>
      </c>
      <c r="U11" s="263">
        <f>(T11-R11)/R11</f>
        <v>4.9323853947250716E-2</v>
      </c>
      <c r="W11" s="270">
        <f>SUM(W18,W22:W46)</f>
        <v>0.1588847040716764</v>
      </c>
      <c r="X11" s="263">
        <f>(W11-T11)/T11</f>
        <v>6.9656320332344659E-2</v>
      </c>
    </row>
    <row r="12" spans="1:24">
      <c r="A12" s="142">
        <f t="shared" si="7"/>
        <v>4</v>
      </c>
      <c r="B12" s="253">
        <v>150</v>
      </c>
      <c r="C12" s="246">
        <f>'Summary Installation Count'!B10</f>
        <v>1.59062525208153E-2</v>
      </c>
      <c r="D12" s="246">
        <f>'Summary Installation Count'!C10</f>
        <v>1.0364918964657816E-2</v>
      </c>
      <c r="E12" s="246">
        <f>'Summary Installation Count'!D10</f>
        <v>2.1449756652264316E-2</v>
      </c>
      <c r="G12" s="245">
        <f t="shared" si="0"/>
        <v>25.81</v>
      </c>
      <c r="H12" s="245">
        <f t="shared" si="1"/>
        <v>29.11</v>
      </c>
      <c r="I12" s="245">
        <f t="shared" si="2"/>
        <v>33.58</v>
      </c>
      <c r="K12" s="245">
        <f t="shared" si="3"/>
        <v>3.3000000000000007</v>
      </c>
      <c r="L12" s="245">
        <f t="shared" si="4"/>
        <v>4.4699999999999989</v>
      </c>
      <c r="N12" s="254">
        <f t="shared" si="5"/>
        <v>0.12785741960480437</v>
      </c>
      <c r="O12" s="254">
        <f t="shared" si="6"/>
        <v>0.15355547921676396</v>
      </c>
      <c r="Q12" s="269"/>
      <c r="R12" s="268"/>
      <c r="T12" s="267"/>
      <c r="U12" s="263"/>
      <c r="W12" s="267"/>
      <c r="X12" s="263"/>
    </row>
    <row r="13" spans="1:24">
      <c r="A13" s="142">
        <f t="shared" si="7"/>
        <v>5</v>
      </c>
      <c r="B13" s="253">
        <v>200</v>
      </c>
      <c r="C13" s="246">
        <f>'Summary Installation Count'!B11</f>
        <v>2.1705919643401642E-2</v>
      </c>
      <c r="D13" s="246">
        <f>'Summary Installation Count'!C11</f>
        <v>1.3999682976930296E-2</v>
      </c>
      <c r="E13" s="246">
        <f>'Summary Installation Count'!D11</f>
        <v>2.941517489136234E-2</v>
      </c>
      <c r="G13" s="245">
        <f t="shared" si="0"/>
        <v>31.92</v>
      </c>
      <c r="H13" s="245">
        <f t="shared" si="1"/>
        <v>35.56</v>
      </c>
      <c r="I13" s="245">
        <f t="shared" si="2"/>
        <v>40.549999999999997</v>
      </c>
      <c r="J13" s="245"/>
      <c r="K13" s="245">
        <f t="shared" si="3"/>
        <v>3.6400000000000006</v>
      </c>
      <c r="L13" s="245">
        <f t="shared" si="4"/>
        <v>4.9899999999999949</v>
      </c>
      <c r="N13" s="254">
        <f t="shared" si="5"/>
        <v>0.11403508771929825</v>
      </c>
      <c r="O13" s="254">
        <f t="shared" si="6"/>
        <v>0.14032620922384687</v>
      </c>
      <c r="Q13" s="233"/>
      <c r="R13" s="235"/>
      <c r="T13" s="233"/>
      <c r="U13" s="263"/>
      <c r="W13" s="233"/>
      <c r="X13" s="263"/>
    </row>
    <row r="14" spans="1:24">
      <c r="A14" s="142">
        <f t="shared" si="7"/>
        <v>6</v>
      </c>
      <c r="B14" s="253">
        <v>300</v>
      </c>
      <c r="C14" s="246">
        <f>'Summary Installation Count'!B12</f>
        <v>6.3706683530347918E-2</v>
      </c>
      <c r="D14" s="246">
        <f>'Summary Installation Count'!C12</f>
        <v>4.3985014074677684E-2</v>
      </c>
      <c r="E14" s="246">
        <f>'Summary Installation Count'!D12</f>
        <v>8.3436078088287222E-2</v>
      </c>
      <c r="G14" s="245">
        <f t="shared" si="0"/>
        <v>44.13</v>
      </c>
      <c r="H14" s="245">
        <f t="shared" si="1"/>
        <v>48.48</v>
      </c>
      <c r="I14" s="245">
        <f t="shared" si="2"/>
        <v>54.5</v>
      </c>
      <c r="J14" s="245"/>
      <c r="K14" s="245">
        <f t="shared" si="3"/>
        <v>4.3499999999999943</v>
      </c>
      <c r="L14" s="245">
        <f t="shared" si="4"/>
        <v>6.0200000000000031</v>
      </c>
      <c r="N14" s="254">
        <f t="shared" si="5"/>
        <v>9.8572399728076007E-2</v>
      </c>
      <c r="O14" s="254">
        <f t="shared" si="6"/>
        <v>0.12417491749174925</v>
      </c>
      <c r="Q14" s="233"/>
      <c r="R14" s="235"/>
      <c r="T14" s="233"/>
      <c r="U14" s="235"/>
      <c r="W14" s="233"/>
      <c r="X14" s="235"/>
    </row>
    <row r="15" spans="1:24">
      <c r="A15" s="142">
        <f t="shared" si="7"/>
        <v>7</v>
      </c>
      <c r="B15" s="253">
        <v>400</v>
      </c>
      <c r="C15" s="246">
        <f>'Summary Installation Count'!B13</f>
        <v>8.5613764718946092E-2</v>
      </c>
      <c r="D15" s="246">
        <f>'Summary Installation Count'!C13</f>
        <v>6.6852510982308225E-2</v>
      </c>
      <c r="E15" s="246">
        <f>'Summary Installation Count'!D13</f>
        <v>0.10438236735696055</v>
      </c>
      <c r="G15" s="245">
        <f t="shared" si="0"/>
        <v>56.35</v>
      </c>
      <c r="H15" s="245">
        <f t="shared" si="1"/>
        <v>61.39</v>
      </c>
      <c r="I15" s="245">
        <f t="shared" si="2"/>
        <v>68.45</v>
      </c>
      <c r="J15" s="245"/>
      <c r="K15" s="245">
        <f t="shared" si="3"/>
        <v>5.0399999999999991</v>
      </c>
      <c r="L15" s="245">
        <f t="shared" si="4"/>
        <v>7.0600000000000023</v>
      </c>
      <c r="N15" s="254">
        <f t="shared" si="5"/>
        <v>8.9440993788819853E-2</v>
      </c>
      <c r="O15" s="254">
        <f t="shared" si="6"/>
        <v>0.11500244339468972</v>
      </c>
      <c r="Q15" s="233"/>
      <c r="R15" s="235"/>
      <c r="T15" s="233"/>
      <c r="U15" s="235" t="s">
        <v>12</v>
      </c>
      <c r="W15" s="233"/>
      <c r="X15" s="235" t="s">
        <v>12</v>
      </c>
    </row>
    <row r="16" spans="1:24">
      <c r="A16" s="142">
        <f t="shared" si="7"/>
        <v>8</v>
      </c>
      <c r="B16" s="253">
        <v>500</v>
      </c>
      <c r="C16" s="246">
        <f>'Summary Installation Count'!B14</f>
        <v>9.501814444592277E-2</v>
      </c>
      <c r="D16" s="246">
        <f>'Summary Installation Count'!C14</f>
        <v>8.1092827794649006E-2</v>
      </c>
      <c r="E16" s="246">
        <f>'Summary Installation Count'!D14</f>
        <v>0.10894891573152664</v>
      </c>
      <c r="G16" s="245">
        <f t="shared" si="0"/>
        <v>68.56</v>
      </c>
      <c r="H16" s="245">
        <f t="shared" si="1"/>
        <v>74.3</v>
      </c>
      <c r="I16" s="245">
        <f t="shared" si="2"/>
        <v>82.39</v>
      </c>
      <c r="J16" s="245"/>
      <c r="K16" s="245">
        <f t="shared" si="3"/>
        <v>5.7399999999999949</v>
      </c>
      <c r="L16" s="245">
        <f t="shared" si="4"/>
        <v>8.0900000000000034</v>
      </c>
      <c r="N16" s="254">
        <f t="shared" si="5"/>
        <v>8.3722287047841223E-2</v>
      </c>
      <c r="O16" s="254">
        <f t="shared" si="6"/>
        <v>0.10888290713324365</v>
      </c>
      <c r="Q16" s="266" t="s">
        <v>355</v>
      </c>
      <c r="R16" s="265">
        <v>7.49</v>
      </c>
      <c r="T16" s="264">
        <v>9.74</v>
      </c>
      <c r="U16" s="263">
        <f>(T16-R16)/R16</f>
        <v>0.30040053404539385</v>
      </c>
      <c r="W16" s="264">
        <v>12.66</v>
      </c>
      <c r="X16" s="263">
        <f>(W16-T16)/T16</f>
        <v>0.29979466119096509</v>
      </c>
    </row>
    <row r="17" spans="1:24">
      <c r="A17" s="142">
        <f t="shared" si="7"/>
        <v>9</v>
      </c>
      <c r="B17" s="253">
        <v>600</v>
      </c>
      <c r="C17" s="246">
        <f>'Summary Installation Count'!B15</f>
        <v>9.3135393265784072E-2</v>
      </c>
      <c r="D17" s="246">
        <f>'Summary Installation Count'!C15</f>
        <v>8.3256363045026732E-2</v>
      </c>
      <c r="E17" s="246">
        <f>'Summary Installation Count'!D15</f>
        <v>0.10301829316496525</v>
      </c>
      <c r="G17" s="245">
        <f t="shared" si="0"/>
        <v>80.77</v>
      </c>
      <c r="H17" s="245">
        <f t="shared" si="1"/>
        <v>87.21</v>
      </c>
      <c r="I17" s="245">
        <f t="shared" si="2"/>
        <v>96.34</v>
      </c>
      <c r="J17" s="245"/>
      <c r="K17" s="245">
        <f t="shared" si="3"/>
        <v>6.4399999999999977</v>
      </c>
      <c r="L17" s="245">
        <f t="shared" si="4"/>
        <v>9.1300000000000097</v>
      </c>
      <c r="N17" s="254">
        <f t="shared" si="5"/>
        <v>7.9732573975485929E-2</v>
      </c>
      <c r="O17" s="254">
        <f t="shared" si="6"/>
        <v>0.1046898291480336</v>
      </c>
      <c r="Q17" s="238" t="s">
        <v>559</v>
      </c>
      <c r="R17" s="240">
        <v>8.9437000000000003E-2</v>
      </c>
      <c r="T17" s="238">
        <v>0.11651599999999999</v>
      </c>
      <c r="U17" s="263">
        <f>(T17-R17)/R17</f>
        <v>0.30277178349005435</v>
      </c>
      <c r="W17" s="238">
        <v>0.12567500000000001</v>
      </c>
      <c r="X17" s="263">
        <f>(W17-T17)/T17</f>
        <v>7.8607229908338891E-2</v>
      </c>
    </row>
    <row r="18" spans="1:24">
      <c r="A18" s="142">
        <f t="shared" si="7"/>
        <v>10</v>
      </c>
      <c r="B18" s="253">
        <v>700</v>
      </c>
      <c r="C18" s="246">
        <f>'Summary Installation Count'!B16</f>
        <v>8.4971535563865649E-2</v>
      </c>
      <c r="D18" s="246">
        <f>'Summary Installation Count'!C16</f>
        <v>7.8287034174808007E-2</v>
      </c>
      <c r="E18" s="246">
        <f>'Summary Installation Count'!D16</f>
        <v>9.1658655314262538E-2</v>
      </c>
      <c r="G18" s="245">
        <f t="shared" ref="G18:G31" si="8">ROUND((((600*R$10)+(($B18-600)*R$11)+$R$9)),2)</f>
        <v>94.93</v>
      </c>
      <c r="H18" s="245">
        <f t="shared" ref="H18:H31" si="9">ROUND((((600*T$10)+(($B18-600)*T$11)+$T$9)),2)</f>
        <v>102.07</v>
      </c>
      <c r="I18" s="245">
        <f t="shared" ref="I18:I31" si="10">ROUND((((600*W$10)+(($B18-600)*W$11)+$W$9)),2)</f>
        <v>112.23</v>
      </c>
      <c r="J18" s="245"/>
      <c r="K18" s="245">
        <f t="shared" si="3"/>
        <v>7.1399999999999864</v>
      </c>
      <c r="L18" s="245">
        <f t="shared" si="4"/>
        <v>10.160000000000011</v>
      </c>
      <c r="N18" s="254">
        <f t="shared" si="5"/>
        <v>7.5213315074265097E-2</v>
      </c>
      <c r="O18" s="254">
        <f t="shared" si="6"/>
        <v>9.9539531693935646E-2</v>
      </c>
      <c r="Q18" s="238" t="s">
        <v>560</v>
      </c>
      <c r="R18" s="240">
        <v>0.10885400000000001</v>
      </c>
      <c r="T18" s="238">
        <v>0.135933</v>
      </c>
      <c r="U18" s="263">
        <f>(T18-R18)/R18</f>
        <v>0.2487644000220478</v>
      </c>
      <c r="W18" s="238">
        <v>0.145092</v>
      </c>
      <c r="X18" s="263">
        <f>(W18-T18)/T18</f>
        <v>6.7378782194169193E-2</v>
      </c>
    </row>
    <row r="19" spans="1:24">
      <c r="A19" s="259">
        <f t="shared" si="7"/>
        <v>11</v>
      </c>
      <c r="B19" s="262">
        <v>800</v>
      </c>
      <c r="C19" s="261">
        <f>'Summary Installation Count'!B17</f>
        <v>7.4813187487596911E-2</v>
      </c>
      <c r="D19" s="261">
        <f>'Summary Installation Count'!C17</f>
        <v>7.0958935905713685E-2</v>
      </c>
      <c r="E19" s="261">
        <f>'Summary Installation Count'!D17</f>
        <v>7.8668948804125463E-2</v>
      </c>
      <c r="F19" s="259"/>
      <c r="G19" s="260">
        <f t="shared" si="8"/>
        <v>109.08</v>
      </c>
      <c r="H19" s="260">
        <f t="shared" si="9"/>
        <v>116.92</v>
      </c>
      <c r="I19" s="260">
        <f t="shared" si="10"/>
        <v>128.12</v>
      </c>
      <c r="J19" s="260"/>
      <c r="K19" s="260">
        <f t="shared" si="3"/>
        <v>7.8400000000000034</v>
      </c>
      <c r="L19" s="260">
        <f t="shared" si="4"/>
        <v>11.200000000000003</v>
      </c>
      <c r="M19" s="259"/>
      <c r="N19" s="258">
        <f t="shared" si="5"/>
        <v>7.1873854052071903E-2</v>
      </c>
      <c r="O19" s="258">
        <f t="shared" si="6"/>
        <v>9.5791994526171764E-2</v>
      </c>
      <c r="Q19" s="257"/>
      <c r="R19" s="256"/>
      <c r="T19" s="255"/>
      <c r="U19" s="235"/>
      <c r="W19" s="255"/>
      <c r="X19" s="235"/>
    </row>
    <row r="20" spans="1:24">
      <c r="A20" s="142">
        <f t="shared" si="7"/>
        <v>12</v>
      </c>
      <c r="B20" s="253">
        <v>900</v>
      </c>
      <c r="C20" s="246">
        <f>'Summary Installation Count'!B18</f>
        <v>6.4425936790176191E-2</v>
      </c>
      <c r="D20" s="246">
        <f>'Summary Installation Count'!C18</f>
        <v>6.3129116864527185E-2</v>
      </c>
      <c r="E20" s="246">
        <f>'Summary Installation Count'!D18</f>
        <v>6.5723264688366395E-2</v>
      </c>
      <c r="G20" s="245">
        <f t="shared" si="8"/>
        <v>123.24</v>
      </c>
      <c r="H20" s="245">
        <f t="shared" si="9"/>
        <v>131.77000000000001</v>
      </c>
      <c r="I20" s="245">
        <f t="shared" si="10"/>
        <v>144.01</v>
      </c>
      <c r="J20" s="245"/>
      <c r="K20" s="245">
        <f t="shared" si="3"/>
        <v>8.5300000000000153</v>
      </c>
      <c r="L20" s="245">
        <f t="shared" si="4"/>
        <v>12.239999999999981</v>
      </c>
      <c r="N20" s="254">
        <f t="shared" si="5"/>
        <v>6.9214540733528201E-2</v>
      </c>
      <c r="O20" s="254">
        <f t="shared" si="6"/>
        <v>9.2889124990513619E-2</v>
      </c>
      <c r="Q20" s="233"/>
      <c r="R20" s="235"/>
      <c r="T20" s="233"/>
      <c r="U20" s="235"/>
      <c r="W20" s="233"/>
      <c r="X20" s="235"/>
    </row>
    <row r="21" spans="1:24">
      <c r="A21" s="142">
        <f t="shared" si="7"/>
        <v>13</v>
      </c>
      <c r="B21" s="253">
        <v>1000</v>
      </c>
      <c r="C21" s="246">
        <f>'Summary Installation Count'!B19</f>
        <v>5.5155535611598902E-2</v>
      </c>
      <c r="D21" s="246">
        <f>'Summary Installation Count'!C19</f>
        <v>5.609851825028677E-2</v>
      </c>
      <c r="E21" s="246">
        <f>'Summary Installation Count'!D19</f>
        <v>5.4212183600666042E-2</v>
      </c>
      <c r="G21" s="245">
        <f t="shared" si="8"/>
        <v>137.4</v>
      </c>
      <c r="H21" s="245">
        <f t="shared" si="9"/>
        <v>146.63</v>
      </c>
      <c r="I21" s="245">
        <f t="shared" si="10"/>
        <v>159.88999999999999</v>
      </c>
      <c r="J21" s="245"/>
      <c r="K21" s="245">
        <f t="shared" si="3"/>
        <v>9.2299999999999898</v>
      </c>
      <c r="L21" s="245">
        <f t="shared" si="4"/>
        <v>13.259999999999991</v>
      </c>
      <c r="N21" s="254">
        <f t="shared" si="5"/>
        <v>6.717612809315858E-2</v>
      </c>
      <c r="O21" s="254">
        <f t="shared" si="6"/>
        <v>9.0431698833799298E-2</v>
      </c>
      <c r="Q21" s="233"/>
      <c r="R21" s="235"/>
      <c r="T21" s="233"/>
      <c r="U21" s="235"/>
      <c r="W21" s="233"/>
      <c r="X21" s="235"/>
    </row>
    <row r="22" spans="1:24">
      <c r="A22" s="142">
        <f t="shared" si="7"/>
        <v>14</v>
      </c>
      <c r="B22" s="253">
        <v>1100</v>
      </c>
      <c r="C22" s="246">
        <f>'Summary Installation Count'!B20</f>
        <v>4.6807796420176878E-2</v>
      </c>
      <c r="D22" s="246">
        <f>'Summary Installation Count'!C20</f>
        <v>4.9647889015274595E-2</v>
      </c>
      <c r="E22" s="246">
        <f>'Summary Installation Count'!D20</f>
        <v>4.3966591342903143E-2</v>
      </c>
      <c r="G22" s="245">
        <f t="shared" si="8"/>
        <v>151.55000000000001</v>
      </c>
      <c r="H22" s="245">
        <f t="shared" si="9"/>
        <v>161.47999999999999</v>
      </c>
      <c r="I22" s="245">
        <f t="shared" si="10"/>
        <v>175.78</v>
      </c>
      <c r="J22" s="245"/>
      <c r="K22" s="245">
        <f t="shared" si="3"/>
        <v>9.9299999999999784</v>
      </c>
      <c r="L22" s="245">
        <f t="shared" si="4"/>
        <v>14.300000000000011</v>
      </c>
      <c r="N22" s="254">
        <f t="shared" si="5"/>
        <v>6.5522929726162832E-2</v>
      </c>
      <c r="O22" s="254">
        <f t="shared" si="6"/>
        <v>8.8555858310626775E-2</v>
      </c>
      <c r="Q22" s="252" t="str">
        <f>'Revenue by Sch RY#2'!$G$7</f>
        <v xml:space="preserve">Schedule 95 Power Cost
</v>
      </c>
      <c r="R22" s="251">
        <f>'Sch 95'!$E$8</f>
        <v>7.8630000000000002E-3</v>
      </c>
      <c r="S22" s="250"/>
      <c r="T22" s="249">
        <f>'Sch 95'!$I$8</f>
        <v>0</v>
      </c>
      <c r="U22" s="248"/>
      <c r="V22" s="250"/>
      <c r="W22" s="249">
        <f>'Sch 95'!$M$8</f>
        <v>0</v>
      </c>
      <c r="X22" s="248"/>
    </row>
    <row r="23" spans="1:24">
      <c r="A23" s="142">
        <f t="shared" si="7"/>
        <v>15</v>
      </c>
      <c r="B23" s="253">
        <v>1200</v>
      </c>
      <c r="C23" s="246">
        <f>'Summary Installation Count'!B21</f>
        <v>3.9513443224672262E-2</v>
      </c>
      <c r="D23" s="246">
        <f>'Summary Installation Count'!C21</f>
        <v>4.373849222526488E-2</v>
      </c>
      <c r="E23" s="246">
        <f>'Summary Installation Count'!D21</f>
        <v>3.528673924574758E-2</v>
      </c>
      <c r="G23" s="245">
        <f t="shared" si="8"/>
        <v>165.71</v>
      </c>
      <c r="H23" s="245">
        <f t="shared" si="9"/>
        <v>176.34</v>
      </c>
      <c r="I23" s="245">
        <f t="shared" si="10"/>
        <v>191.67</v>
      </c>
      <c r="J23" s="245"/>
      <c r="K23" s="245">
        <f t="shared" si="3"/>
        <v>10.629999999999995</v>
      </c>
      <c r="L23" s="245">
        <f t="shared" si="4"/>
        <v>15.329999999999984</v>
      </c>
      <c r="N23" s="254">
        <f t="shared" si="5"/>
        <v>6.4148210729587804E-2</v>
      </c>
      <c r="O23" s="254">
        <f t="shared" si="6"/>
        <v>8.693433140523979E-2</v>
      </c>
      <c r="Q23" s="241" t="str">
        <f>'Revenue by Sch RY#2'!$H$7</f>
        <v>Schedule 95 PCA Imbalance</v>
      </c>
      <c r="R23" s="240">
        <f>'Sch 95 Imbalance'!$E$8</f>
        <v>3.4810000000000002E-3</v>
      </c>
      <c r="S23" s="239"/>
      <c r="T23" s="238">
        <f>'Sch 95 Imbalance'!$I$8</f>
        <v>3.4810000000000002E-3</v>
      </c>
      <c r="U23" s="237"/>
      <c r="V23" s="239"/>
      <c r="W23" s="238">
        <f>'Sch 95 Imbalance'!$M$8</f>
        <v>3.4810000000000002E-3</v>
      </c>
      <c r="X23" s="237"/>
    </row>
    <row r="24" spans="1:24">
      <c r="A24" s="142">
        <f t="shared" si="7"/>
        <v>16</v>
      </c>
      <c r="B24" s="253">
        <v>1300</v>
      </c>
      <c r="C24" s="246">
        <f>'Summary Installation Count'!B22</f>
        <v>3.3297969918910042E-2</v>
      </c>
      <c r="D24" s="246">
        <f>'Summary Installation Count'!C22</f>
        <v>3.8428898124806994E-2</v>
      </c>
      <c r="E24" s="246">
        <f>'Summary Installation Count'!D22</f>
        <v>2.8165031896084828E-2</v>
      </c>
      <c r="G24" s="245">
        <f t="shared" si="8"/>
        <v>179.86</v>
      </c>
      <c r="H24" s="245">
        <f t="shared" si="9"/>
        <v>191.19</v>
      </c>
      <c r="I24" s="245">
        <f t="shared" si="10"/>
        <v>207.56</v>
      </c>
      <c r="J24" s="245"/>
      <c r="K24" s="245">
        <f t="shared" si="3"/>
        <v>11.329999999999984</v>
      </c>
      <c r="L24" s="245">
        <f t="shared" si="4"/>
        <v>16.370000000000005</v>
      </c>
      <c r="N24" s="254">
        <f t="shared" si="5"/>
        <v>6.2993439341710131E-2</v>
      </c>
      <c r="O24" s="254">
        <f t="shared" si="6"/>
        <v>8.5621632930592634E-2</v>
      </c>
      <c r="Q24" s="241" t="str">
        <f>'Revenue by Sch RY#2'!$I$7</f>
        <v>Schedule 95A Federal Incentive Credit</v>
      </c>
      <c r="R24" s="240">
        <f>'Sch 95a'!$E$8</f>
        <v>0</v>
      </c>
      <c r="S24" s="239"/>
      <c r="T24" s="238">
        <f>'Sch 95a'!$I$8</f>
        <v>0</v>
      </c>
      <c r="U24" s="237"/>
      <c r="V24" s="239"/>
      <c r="W24" s="238">
        <f>'Sch 95a'!$M$8</f>
        <v>0</v>
      </c>
      <c r="X24" s="237"/>
    </row>
    <row r="25" spans="1:24">
      <c r="A25" s="142">
        <f t="shared" si="7"/>
        <v>17</v>
      </c>
      <c r="B25" s="253">
        <v>1400</v>
      </c>
      <c r="C25" s="246">
        <f>'Summary Installation Count'!B23</f>
        <v>2.8227087207946717E-2</v>
      </c>
      <c r="D25" s="246">
        <f>'Summary Installation Count'!C23</f>
        <v>3.3834077934683023E-2</v>
      </c>
      <c r="E25" s="246">
        <f>'Summary Installation Count'!D23</f>
        <v>2.2617900187591203E-2</v>
      </c>
      <c r="G25" s="245">
        <f t="shared" si="8"/>
        <v>194.02</v>
      </c>
      <c r="H25" s="245">
        <f t="shared" si="9"/>
        <v>206.04</v>
      </c>
      <c r="I25" s="245">
        <f t="shared" si="10"/>
        <v>223.45</v>
      </c>
      <c r="J25" s="245"/>
      <c r="K25" s="245">
        <f t="shared" si="3"/>
        <v>12.019999999999982</v>
      </c>
      <c r="L25" s="245">
        <f t="shared" si="4"/>
        <v>17.409999999999997</v>
      </c>
      <c r="N25" s="254">
        <f t="shared" si="5"/>
        <v>6.1952376043706736E-2</v>
      </c>
      <c r="O25" s="254">
        <f t="shared" si="6"/>
        <v>8.4498155697922725E-2</v>
      </c>
      <c r="Q25" s="241" t="str">
        <f>'Revenue by Sch RY#2'!$J$7</f>
        <v>Schedule 120 Conservation</v>
      </c>
      <c r="R25" s="240">
        <f>'Sch 120'!$E$8</f>
        <v>5.0439999999999999E-3</v>
      </c>
      <c r="S25" s="239"/>
      <c r="T25" s="238">
        <f>'Sch 120'!$I$8</f>
        <v>5.0439999999999999E-3</v>
      </c>
      <c r="U25" s="237"/>
      <c r="V25" s="239"/>
      <c r="W25" s="238">
        <f>'Sch 120'!$M$8</f>
        <v>5.0439999999999999E-3</v>
      </c>
      <c r="X25" s="237"/>
    </row>
    <row r="26" spans="1:24">
      <c r="A26" s="142">
        <f t="shared" si="7"/>
        <v>18</v>
      </c>
      <c r="B26" s="253">
        <v>1600</v>
      </c>
      <c r="C26" s="246">
        <f>'Summary Installation Count'!B24</f>
        <v>4.371908332636578E-2</v>
      </c>
      <c r="D26" s="246">
        <f>'Summary Installation Count'!C24</f>
        <v>5.5376926639529117E-2</v>
      </c>
      <c r="E26" s="246">
        <f>'Summary Installation Count'!D24</f>
        <v>3.205667356247506E-2</v>
      </c>
      <c r="G26" s="245">
        <f t="shared" si="8"/>
        <v>222.33</v>
      </c>
      <c r="H26" s="245">
        <f t="shared" si="9"/>
        <v>235.75</v>
      </c>
      <c r="I26" s="245">
        <f t="shared" si="10"/>
        <v>255.23</v>
      </c>
      <c r="J26" s="245"/>
      <c r="K26" s="245">
        <f t="shared" si="3"/>
        <v>13.419999999999987</v>
      </c>
      <c r="L26" s="245">
        <f t="shared" si="4"/>
        <v>19.47999999999999</v>
      </c>
      <c r="N26" s="254">
        <f t="shared" si="5"/>
        <v>6.0360725048351486E-2</v>
      </c>
      <c r="O26" s="254">
        <f t="shared" si="6"/>
        <v>8.2629904559915118E-2</v>
      </c>
      <c r="Q26" s="241" t="str">
        <f>'Revenue by Sch RY#2'!$K$7</f>
        <v>Schedule 129 Low Income</v>
      </c>
      <c r="R26" s="240">
        <f>'Sch 129'!$E$8</f>
        <v>1.428E-3</v>
      </c>
      <c r="S26" s="239"/>
      <c r="T26" s="238">
        <f>'Sch 129'!$I$8</f>
        <v>1.428E-3</v>
      </c>
      <c r="U26" s="237"/>
      <c r="V26" s="239"/>
      <c r="W26" s="238">
        <f>'Sch 129'!$M$8</f>
        <v>1.428E-3</v>
      </c>
      <c r="X26" s="237"/>
    </row>
    <row r="27" spans="1:24">
      <c r="A27" s="142">
        <f t="shared" si="7"/>
        <v>19</v>
      </c>
      <c r="B27" s="253">
        <v>2000</v>
      </c>
      <c r="C27" s="246">
        <f>'Summary Installation Count'!B25</f>
        <v>5.4584596372381639E-2</v>
      </c>
      <c r="D27" s="246">
        <f>'Summary Installation Count'!C25</f>
        <v>7.5787572230824399E-2</v>
      </c>
      <c r="E27" s="246">
        <f>'Summary Installation Count'!D25</f>
        <v>3.3373315174612346E-2</v>
      </c>
      <c r="G27" s="245">
        <f t="shared" si="8"/>
        <v>278.95</v>
      </c>
      <c r="H27" s="245">
        <f t="shared" si="9"/>
        <v>295.17</v>
      </c>
      <c r="I27" s="245">
        <f t="shared" si="10"/>
        <v>318.77999999999997</v>
      </c>
      <c r="J27" s="245"/>
      <c r="K27" s="245">
        <f t="shared" si="3"/>
        <v>16.220000000000027</v>
      </c>
      <c r="L27" s="245">
        <f t="shared" si="4"/>
        <v>23.609999999999957</v>
      </c>
      <c r="N27" s="254">
        <f t="shared" si="5"/>
        <v>5.8146621258290114E-2</v>
      </c>
      <c r="O27" s="254">
        <f t="shared" si="6"/>
        <v>7.9987803638581004E-2</v>
      </c>
      <c r="Q27" s="241" t="str">
        <f>'Revenue by Sch RY#2'!$L$7</f>
        <v>Schedule 129D Bill Discount</v>
      </c>
      <c r="R27" s="240">
        <f>'Sch 129D'!$E$8</f>
        <v>6.0700000000000001E-4</v>
      </c>
      <c r="S27" s="239"/>
      <c r="T27" s="238">
        <f>'Sch 129D'!$I$8</f>
        <v>6.0700000000000001E-4</v>
      </c>
      <c r="U27" s="237"/>
      <c r="V27" s="239"/>
      <c r="W27" s="238">
        <f>'Sch 129D'!$M$8</f>
        <v>6.0700000000000001E-4</v>
      </c>
      <c r="X27" s="237"/>
    </row>
    <row r="28" spans="1:24">
      <c r="A28" s="142">
        <f t="shared" si="7"/>
        <v>20</v>
      </c>
      <c r="B28" s="253">
        <v>2500</v>
      </c>
      <c r="C28" s="246">
        <f>'Summary Installation Count'!B26</f>
        <v>3.4969098533589676E-2</v>
      </c>
      <c r="D28" s="246">
        <f>'Summary Installation Count'!C26</f>
        <v>5.3860453138458664E-2</v>
      </c>
      <c r="E28" s="246">
        <f>'Summary Installation Count'!D26</f>
        <v>1.607034406601375E-2</v>
      </c>
      <c r="G28" s="245">
        <f t="shared" si="8"/>
        <v>349.73</v>
      </c>
      <c r="H28" s="245">
        <f t="shared" si="9"/>
        <v>369.44</v>
      </c>
      <c r="I28" s="245">
        <f t="shared" si="10"/>
        <v>398.22</v>
      </c>
      <c r="J28" s="245"/>
      <c r="K28" s="245">
        <f t="shared" si="3"/>
        <v>19.70999999999998</v>
      </c>
      <c r="L28" s="245">
        <f t="shared" si="4"/>
        <v>28.78000000000003</v>
      </c>
      <c r="N28" s="254">
        <f t="shared" si="5"/>
        <v>5.6357761701884251E-2</v>
      </c>
      <c r="O28" s="254">
        <f t="shared" si="6"/>
        <v>7.7901689042875782E-2</v>
      </c>
      <c r="Q28" s="252" t="str">
        <f>'Revenue by Sch RY#2'!$M$7</f>
        <v>Schedule 137 REC</v>
      </c>
      <c r="R28" s="251">
        <f>'Sch 137'!$E$8</f>
        <v>6.9999999999999999E-6</v>
      </c>
      <c r="S28" s="250"/>
      <c r="T28" s="249">
        <f>'Sch 137'!$I$8</f>
        <v>0</v>
      </c>
      <c r="U28" s="248"/>
      <c r="V28" s="250"/>
      <c r="W28" s="249">
        <f>'Sch 137'!$M$8</f>
        <v>0</v>
      </c>
      <c r="X28" s="248"/>
    </row>
    <row r="29" spans="1:24">
      <c r="A29" s="142">
        <f t="shared" si="7"/>
        <v>21</v>
      </c>
      <c r="B29" s="253">
        <v>3000</v>
      </c>
      <c r="C29" s="246">
        <f>'Summary Installation Count'!B27</f>
        <v>1.7092144773391441E-2</v>
      </c>
      <c r="D29" s="246">
        <f>'Summary Installation Count'!C27</f>
        <v>2.8184063656249064E-2</v>
      </c>
      <c r="E29" s="246">
        <f>'Summary Installation Count'!D27</f>
        <v>5.9958811159738978E-3</v>
      </c>
      <c r="G29" s="245">
        <f t="shared" si="8"/>
        <v>420.51</v>
      </c>
      <c r="H29" s="245">
        <f t="shared" si="9"/>
        <v>443.7</v>
      </c>
      <c r="I29" s="245">
        <f t="shared" si="10"/>
        <v>477.66</v>
      </c>
      <c r="J29" s="245"/>
      <c r="K29" s="245">
        <f t="shared" si="3"/>
        <v>23.189999999999998</v>
      </c>
      <c r="L29" s="245">
        <f t="shared" si="4"/>
        <v>33.960000000000036</v>
      </c>
      <c r="N29" s="254">
        <f t="shared" si="5"/>
        <v>5.514732111008061E-2</v>
      </c>
      <c r="O29" s="254">
        <f t="shared" si="6"/>
        <v>7.6538201487491631E-2</v>
      </c>
      <c r="Q29" s="241" t="str">
        <f>'Revenue by Sch RY#2'!$N$7</f>
        <v>Schedule 139 Green Direct</v>
      </c>
      <c r="R29" s="240">
        <f>IFERROR('Sch 139'!$S$7/'Sch 139'!$J$7,0)</f>
        <v>0</v>
      </c>
      <c r="S29" s="239"/>
      <c r="T29" s="238">
        <f>IFERROR('Sch 139'!$AB$7/'Sch 139'!$J$7,0)</f>
        <v>0</v>
      </c>
      <c r="U29" s="237"/>
      <c r="V29" s="239"/>
      <c r="W29" s="238">
        <f>IFERROR('Sch 139'!$AK$7/'Sch 139'!$J$7,0)</f>
        <v>0</v>
      </c>
      <c r="X29" s="237"/>
    </row>
    <row r="30" spans="1:24">
      <c r="A30" s="142">
        <f t="shared" si="7"/>
        <v>22</v>
      </c>
      <c r="B30" s="253">
        <v>4000</v>
      </c>
      <c r="C30" s="246">
        <f>'Summary Installation Count'!B28</f>
        <v>1.3259459416316913E-2</v>
      </c>
      <c r="D30" s="246">
        <f>'Summary Installation Count'!C28</f>
        <v>2.2680629936925423E-2</v>
      </c>
      <c r="E30" s="246">
        <f>'Summary Installation Count'!D28</f>
        <v>3.8345985638158857E-3</v>
      </c>
      <c r="G30" s="245">
        <f t="shared" si="8"/>
        <v>562.05999999999995</v>
      </c>
      <c r="H30" s="245">
        <f t="shared" si="9"/>
        <v>592.24</v>
      </c>
      <c r="I30" s="245">
        <f t="shared" si="10"/>
        <v>636.54999999999995</v>
      </c>
      <c r="J30" s="245"/>
      <c r="K30" s="245">
        <f t="shared" si="3"/>
        <v>30.180000000000064</v>
      </c>
      <c r="L30" s="245">
        <f t="shared" si="4"/>
        <v>44.309999999999945</v>
      </c>
      <c r="N30" s="254">
        <f t="shared" si="5"/>
        <v>5.3695335017613893E-2</v>
      </c>
      <c r="O30" s="254">
        <f t="shared" si="6"/>
        <v>7.4817641496690443E-2</v>
      </c>
      <c r="Q30" s="241" t="str">
        <f>'Revenue by Sch RY#2'!$O$7</f>
        <v xml:space="preserve">Schedule 139 Green Direct Supplemental </v>
      </c>
      <c r="R30" s="240">
        <f>'Sch 139 Supplemental'!$E$8</f>
        <v>0</v>
      </c>
      <c r="S30" s="239"/>
      <c r="T30" s="238">
        <f>'Sch 139 Supplemental'!$I$8</f>
        <v>0</v>
      </c>
      <c r="U30" s="237"/>
      <c r="V30" s="239"/>
      <c r="W30" s="238">
        <f>'Sch 139 Supplemental'!$M$8</f>
        <v>0</v>
      </c>
      <c r="X30" s="237"/>
    </row>
    <row r="31" spans="1:24">
      <c r="A31" s="142">
        <f t="shared" si="7"/>
        <v>23</v>
      </c>
      <c r="B31" s="253">
        <v>5000</v>
      </c>
      <c r="C31" s="246">
        <f>'Summary Installation Count'!B29</f>
        <v>3.85174766066403E-3</v>
      </c>
      <c r="D31" s="246">
        <f>'Summary Installation Count'!C29</f>
        <v>6.6694154395193269E-3</v>
      </c>
      <c r="E31" s="246">
        <f>'Summary Installation Count'!D29</f>
        <v>1.0329761835746246E-3</v>
      </c>
      <c r="G31" s="245">
        <f t="shared" si="8"/>
        <v>703.62</v>
      </c>
      <c r="H31" s="245">
        <f t="shared" si="9"/>
        <v>740.78</v>
      </c>
      <c r="I31" s="245">
        <f t="shared" si="10"/>
        <v>795.43</v>
      </c>
      <c r="J31" s="245"/>
      <c r="K31" s="245">
        <f t="shared" si="3"/>
        <v>37.159999999999968</v>
      </c>
      <c r="L31" s="245">
        <f t="shared" si="4"/>
        <v>54.649999999999977</v>
      </c>
      <c r="N31" s="254">
        <f t="shared" si="5"/>
        <v>5.2812597708990605E-2</v>
      </c>
      <c r="O31" s="254">
        <f t="shared" si="6"/>
        <v>7.377358999972998E-2</v>
      </c>
      <c r="Q31" s="241" t="str">
        <f>'Revenue by Sch RY#2'!$P$7</f>
        <v>Schedule 140 Property Tax</v>
      </c>
      <c r="R31" s="240">
        <f>'Sch 140'!$E$8</f>
        <v>2.6120000000000002E-3</v>
      </c>
      <c r="S31" s="239"/>
      <c r="T31" s="238">
        <f>'Sch 140'!$I$8</f>
        <v>2.6120000000000002E-3</v>
      </c>
      <c r="U31" s="237"/>
      <c r="V31" s="239"/>
      <c r="W31" s="238">
        <f>'Sch 140'!$M$8</f>
        <v>2.6120000000000002E-3</v>
      </c>
      <c r="X31" s="237"/>
    </row>
    <row r="32" spans="1:24">
      <c r="A32" s="142">
        <f t="shared" ref="A32:A53" si="11">A31+1</f>
        <v>24</v>
      </c>
      <c r="B32" s="253" t="s">
        <v>33</v>
      </c>
      <c r="C32" s="246">
        <f>'Summary Installation Count'!B30</f>
        <v>2.6002996811093581E-3</v>
      </c>
      <c r="D32" s="246">
        <f>'Summary Installation Count'!C30</f>
        <v>4.1079744007744912E-3</v>
      </c>
      <c r="E32" s="246">
        <f>'Summary Installation Count'!D30</f>
        <v>1.092034395750785E-3</v>
      </c>
      <c r="G32" s="245"/>
      <c r="H32" s="245"/>
      <c r="I32" s="245"/>
      <c r="J32" s="245"/>
      <c r="K32" s="245"/>
      <c r="L32" s="245"/>
      <c r="N32" s="245"/>
      <c r="Q32" s="241" t="str">
        <f>'Revenue by Sch RY#2'!$Q$7</f>
        <v>Schedule 141 ERF</v>
      </c>
      <c r="R32" s="240">
        <f>'Sch 141'!$E$8</f>
        <v>0</v>
      </c>
      <c r="S32" s="239"/>
      <c r="T32" s="238">
        <f>'Sch 141'!$I$8</f>
        <v>0</v>
      </c>
      <c r="U32" s="237"/>
      <c r="V32" s="239"/>
      <c r="W32" s="238">
        <f>'Sch 141'!$M$8</f>
        <v>0</v>
      </c>
      <c r="X32" s="237"/>
    </row>
    <row r="33" spans="1:24" ht="12" thickBot="1">
      <c r="A33" s="142">
        <f t="shared" si="11"/>
        <v>25</v>
      </c>
      <c r="B33" s="247"/>
      <c r="C33" s="292">
        <f>SUM(C9:C32)</f>
        <v>0.99999999999999978</v>
      </c>
      <c r="D33" s="292">
        <f t="shared" ref="D33:E33" si="12">SUM(D9:D32)</f>
        <v>1</v>
      </c>
      <c r="E33" s="292">
        <f t="shared" si="12"/>
        <v>1.0000000000000002</v>
      </c>
      <c r="G33" s="245"/>
      <c r="H33" s="245"/>
      <c r="I33" s="245"/>
      <c r="J33" s="245"/>
      <c r="K33" s="245"/>
      <c r="L33" s="245"/>
      <c r="N33" s="245"/>
      <c r="Q33" s="241" t="str">
        <f>'Revenue by Sch RY#2'!$R$7</f>
        <v>Schedule 141A Energy Charge Credit</v>
      </c>
      <c r="R33" s="240">
        <f>'Sch 141A'!$F$8</f>
        <v>1.7420000000000001E-3</v>
      </c>
      <c r="S33" s="239"/>
      <c r="T33" s="238">
        <f>'Sch 141A'!$J$8</f>
        <v>1.7420000000000001E-3</v>
      </c>
      <c r="U33" s="237"/>
      <c r="V33" s="239"/>
      <c r="W33" s="238">
        <f>'Sch 141A'!$N$8</f>
        <v>1.7420000000000001E-3</v>
      </c>
      <c r="X33" s="237"/>
    </row>
    <row r="34" spans="1:24" ht="12" thickTop="1">
      <c r="A34" s="142">
        <f t="shared" si="11"/>
        <v>26</v>
      </c>
      <c r="B34" s="247"/>
      <c r="C34" s="246"/>
      <c r="D34" s="246"/>
      <c r="E34" s="246"/>
      <c r="G34" s="245"/>
      <c r="H34" s="245"/>
      <c r="I34" s="245"/>
      <c r="J34" s="245"/>
      <c r="K34" s="245"/>
      <c r="L34" s="245"/>
      <c r="N34" s="245"/>
      <c r="Q34" s="252" t="str">
        <f>'Revenue by Sch RY#2'!$S$7</f>
        <v>Schedule 141CEI Clean Energy Implementation Plan</v>
      </c>
      <c r="R34" s="251">
        <f>'Sch 141CEI'!$F$8</f>
        <v>1.25E-3</v>
      </c>
      <c r="S34" s="250"/>
      <c r="T34" s="249">
        <f>'Sch 141CEI'!$L$8</f>
        <v>0</v>
      </c>
      <c r="U34" s="248"/>
      <c r="V34" s="250"/>
      <c r="W34" s="249">
        <f>'Sch 141CEI'!$R$8</f>
        <v>0</v>
      </c>
      <c r="X34" s="248"/>
    </row>
    <row r="35" spans="1:24">
      <c r="A35" s="142">
        <f t="shared" si="11"/>
        <v>27</v>
      </c>
      <c r="B35" s="247"/>
      <c r="C35" s="246"/>
      <c r="D35" s="246"/>
      <c r="E35" s="246"/>
      <c r="G35" s="245"/>
      <c r="H35" s="245"/>
      <c r="I35" s="245"/>
      <c r="J35" s="245"/>
      <c r="K35" s="245"/>
      <c r="L35" s="245"/>
      <c r="N35" s="245"/>
      <c r="Q35" s="252" t="str">
        <f>'Revenue by Sch RY#2'!$T$7</f>
        <v>Schedule 141CGR Clean Generation Resources</v>
      </c>
      <c r="R35" s="251">
        <f>'Sch 141CGR'!F8</f>
        <v>0</v>
      </c>
      <c r="S35" s="250"/>
      <c r="T35" s="249">
        <f>'Sch 141CGR'!L8</f>
        <v>3.6546388924765497E-3</v>
      </c>
      <c r="U35" s="248"/>
      <c r="V35" s="250"/>
      <c r="W35" s="249">
        <f>'Sch 141CGR'!R8</f>
        <v>4.5261007972291056E-3</v>
      </c>
      <c r="X35" s="248"/>
    </row>
    <row r="36" spans="1:24">
      <c r="A36" s="142">
        <f t="shared" si="11"/>
        <v>28</v>
      </c>
      <c r="B36" s="247"/>
      <c r="C36" s="246"/>
      <c r="D36" s="246"/>
      <c r="E36" s="246"/>
      <c r="G36" s="245"/>
      <c r="H36" s="245"/>
      <c r="I36" s="245"/>
      <c r="J36" s="245"/>
      <c r="K36" s="245"/>
      <c r="L36" s="245"/>
      <c r="N36" s="245"/>
      <c r="Q36" s="252" t="str">
        <f>'Revenue by Sch RY#2'!$U$7</f>
        <v>Schedule 141DCARB Decarbonization</v>
      </c>
      <c r="R36" s="251">
        <f>'Sch 141DCARB'!E8</f>
        <v>0</v>
      </c>
      <c r="S36" s="250"/>
      <c r="T36" s="249">
        <f>'Sch 141DCARB'!I8</f>
        <v>5.8928686002258457E-4</v>
      </c>
      <c r="U36" s="248"/>
      <c r="V36" s="250"/>
      <c r="W36" s="249">
        <f>'Sch 141DCARB'!M8</f>
        <v>5.8056447867048497E-4</v>
      </c>
      <c r="X36" s="248"/>
    </row>
    <row r="37" spans="1:24">
      <c r="A37" s="142">
        <f t="shared" si="11"/>
        <v>29</v>
      </c>
      <c r="B37" s="247"/>
      <c r="C37" s="246"/>
      <c r="D37" s="246"/>
      <c r="E37" s="246"/>
      <c r="G37" s="245"/>
      <c r="H37" s="245"/>
      <c r="I37" s="245"/>
      <c r="J37" s="245"/>
      <c r="K37" s="245"/>
      <c r="L37" s="245"/>
      <c r="N37" s="245"/>
      <c r="Q37" s="241" t="str">
        <f>'Revenue by Sch RY#2'!$V$7</f>
        <v>Schedule 141COL Colstrip Adjustment</v>
      </c>
      <c r="R37" s="240">
        <f>'Sch 141COL'!$F$8</f>
        <v>2.7260000000000001E-3</v>
      </c>
      <c r="S37" s="239"/>
      <c r="T37" s="238">
        <f>'Sch 141COL'!$L$8</f>
        <v>2.7260000000000001E-3</v>
      </c>
      <c r="U37" s="237"/>
      <c r="V37" s="239"/>
      <c r="W37" s="238">
        <f>'Sch 141COL'!$R$8</f>
        <v>2.7260000000000001E-3</v>
      </c>
      <c r="X37" s="237"/>
    </row>
    <row r="38" spans="1:24">
      <c r="A38" s="142">
        <f t="shared" si="11"/>
        <v>30</v>
      </c>
      <c r="B38" s="247"/>
      <c r="C38" s="246"/>
      <c r="D38" s="246"/>
      <c r="E38" s="246"/>
      <c r="G38" s="245"/>
      <c r="H38" s="245"/>
      <c r="I38" s="245"/>
      <c r="J38" s="245"/>
      <c r="K38" s="245"/>
      <c r="L38" s="245"/>
      <c r="N38" s="245"/>
      <c r="Q38" s="252" t="str">
        <f>'Revenue by Sch RY#2'!$W$7</f>
        <v>Schedule 141N Rates Not Subject to Refund</v>
      </c>
      <c r="R38" s="251">
        <f>'Sch 141N'!$G$8</f>
        <v>8.5280000000000009E-3</v>
      </c>
      <c r="S38" s="250"/>
      <c r="T38" s="249">
        <f>'Sch 141N'!$M$8</f>
        <v>0</v>
      </c>
      <c r="U38" s="248"/>
      <c r="V38" s="250"/>
      <c r="W38" s="249">
        <f>'Sch 141N'!$S$8</f>
        <v>0</v>
      </c>
      <c r="X38" s="248"/>
    </row>
    <row r="39" spans="1:24">
      <c r="A39" s="142">
        <f t="shared" si="11"/>
        <v>31</v>
      </c>
      <c r="B39" s="247"/>
      <c r="C39" s="246"/>
      <c r="D39" s="246"/>
      <c r="E39" s="246"/>
      <c r="G39" s="245"/>
      <c r="H39" s="245"/>
      <c r="I39" s="245"/>
      <c r="J39" s="245"/>
      <c r="K39" s="245"/>
      <c r="L39" s="245"/>
      <c r="N39" s="245"/>
      <c r="Q39" s="252" t="str">
        <f>'Revenue by Sch RY#2'!$X$7</f>
        <v>Schedule 141R Rates Subject to Refund</v>
      </c>
      <c r="R39" s="251">
        <f>'Sch 141R'!$G$8</f>
        <v>8.1049999999999994E-3</v>
      </c>
      <c r="S39" s="250"/>
      <c r="T39" s="249">
        <f>'Sch 141R'!$M$8</f>
        <v>0</v>
      </c>
      <c r="U39" s="248"/>
      <c r="V39" s="250"/>
      <c r="W39" s="249">
        <f>'Sch 141R'!$S$8</f>
        <v>0</v>
      </c>
      <c r="X39" s="248"/>
    </row>
    <row r="40" spans="1:24">
      <c r="A40" s="142">
        <f t="shared" si="11"/>
        <v>32</v>
      </c>
      <c r="B40" s="247"/>
      <c r="C40" s="246"/>
      <c r="D40" s="246"/>
      <c r="E40" s="246"/>
      <c r="G40" s="245"/>
      <c r="H40" s="245"/>
      <c r="I40" s="245"/>
      <c r="J40" s="245"/>
      <c r="K40" s="245"/>
      <c r="L40" s="245"/>
      <c r="N40" s="245"/>
      <c r="Q40" s="241" t="str">
        <f>'Revenue by Sch RY#2'!$Y$7</f>
        <v>Schedule 141 TEP</v>
      </c>
      <c r="R40" s="240">
        <f>'Sch 141TEP'!$E$8</f>
        <v>3.19E-4</v>
      </c>
      <c r="S40" s="239"/>
      <c r="T40" s="238">
        <f>'Sch 141TEP'!$I$8</f>
        <v>3.19E-4</v>
      </c>
      <c r="U40" s="237"/>
      <c r="V40" s="239"/>
      <c r="W40" s="238">
        <f>'Sch 141TEP'!$M$8</f>
        <v>3.19E-4</v>
      </c>
      <c r="X40" s="237"/>
    </row>
    <row r="41" spans="1:24">
      <c r="A41" s="142">
        <f t="shared" si="11"/>
        <v>33</v>
      </c>
      <c r="B41" s="247"/>
      <c r="C41" s="246"/>
      <c r="D41" s="246"/>
      <c r="E41" s="246"/>
      <c r="G41" s="245"/>
      <c r="H41" s="245"/>
      <c r="I41" s="245"/>
      <c r="J41" s="245"/>
      <c r="K41" s="245"/>
      <c r="L41" s="245"/>
      <c r="N41" s="245"/>
      <c r="Q41" s="252" t="str">
        <f>'Revenue by Sch RY#2'!$Z$7</f>
        <v>Schedule 141WFP Wildfire Prevention Cost Recovery</v>
      </c>
      <c r="R41" s="251">
        <f>'Sch 141WFP'!F8</f>
        <v>0</v>
      </c>
      <c r="S41" s="250"/>
      <c r="T41" s="249">
        <f>'Sch 141WFP'!L8</f>
        <v>1.4121617168578967E-3</v>
      </c>
      <c r="U41" s="248"/>
      <c r="V41" s="250"/>
      <c r="W41" s="249">
        <f>'Sch 141WFP'!R8</f>
        <v>1.7370387957768129E-3</v>
      </c>
      <c r="X41" s="248"/>
    </row>
    <row r="42" spans="1:24">
      <c r="A42" s="142">
        <f t="shared" si="11"/>
        <v>34</v>
      </c>
      <c r="Q42" s="241" t="str">
        <f>'Revenue by Sch RY#2'!$AA$7</f>
        <v>Schedule 141X (Protected) EDIT</v>
      </c>
      <c r="R42" s="240">
        <f>'Sch 141X'!$E$8</f>
        <v>0</v>
      </c>
      <c r="S42" s="239"/>
      <c r="T42" s="238">
        <f>'Sch 141X'!$I$8</f>
        <v>0</v>
      </c>
      <c r="U42" s="237"/>
      <c r="V42" s="239"/>
      <c r="W42" s="238">
        <f>'Sch 141X'!$M$8</f>
        <v>0</v>
      </c>
      <c r="X42" s="237"/>
    </row>
    <row r="43" spans="1:24">
      <c r="A43" s="142">
        <f t="shared" si="11"/>
        <v>35</v>
      </c>
      <c r="B43" s="244" t="s">
        <v>32</v>
      </c>
      <c r="Q43" s="241" t="str">
        <f>'Revenue by Sch RY#2'!$AB$7</f>
        <v>Schedule 141Z (Unprotected) EDIT</v>
      </c>
      <c r="R43" s="240">
        <f>'Sch 141Z'!$E$8</f>
        <v>0</v>
      </c>
      <c r="S43" s="239"/>
      <c r="T43" s="238">
        <f>'Sch 141Z'!$I$8</f>
        <v>0</v>
      </c>
      <c r="U43" s="237"/>
      <c r="V43" s="239"/>
      <c r="W43" s="238">
        <f>'Sch 141Z'!$M$8</f>
        <v>0</v>
      </c>
      <c r="X43" s="237"/>
    </row>
    <row r="44" spans="1:24">
      <c r="A44" s="142">
        <f t="shared" si="11"/>
        <v>36</v>
      </c>
      <c r="B44" s="242" t="s">
        <v>390</v>
      </c>
      <c r="C44" s="243"/>
      <c r="D44" s="243"/>
      <c r="Q44" s="241" t="str">
        <f>'Revenue by Sch RY#2'!$AC$7</f>
        <v>Schedule 142  Deocupling Deferral</v>
      </c>
      <c r="R44" s="240">
        <f>'Sch 142'!$F$8</f>
        <v>-3.4759999999999999E-3</v>
      </c>
      <c r="S44" s="239"/>
      <c r="T44" s="238">
        <f>'Sch 142'!$L$8</f>
        <v>-3.4759999999999999E-3</v>
      </c>
      <c r="U44" s="237"/>
      <c r="V44" s="239"/>
      <c r="W44" s="238">
        <f>'Sch 142'!$R$8</f>
        <v>-3.4759999999999999E-3</v>
      </c>
      <c r="X44" s="237"/>
    </row>
    <row r="45" spans="1:24">
      <c r="A45" s="142">
        <f t="shared" si="11"/>
        <v>37</v>
      </c>
      <c r="B45" s="242"/>
      <c r="C45" s="242"/>
      <c r="D45" s="242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Q45" s="241" t="str">
        <f>'Revenue by Sch RY#2'!$AD$7</f>
        <v>Schedule 142 Deocupling Supplemental</v>
      </c>
      <c r="R45" s="240">
        <f>'Sch 142 Supplemental'!$F$8</f>
        <v>0</v>
      </c>
      <c r="S45" s="239"/>
      <c r="T45" s="238">
        <f>'Sch 142 Supplemental'!$L$8</f>
        <v>0</v>
      </c>
      <c r="U45" s="237"/>
      <c r="V45" s="239"/>
      <c r="W45" s="238">
        <f>'Sch 142 Supplemental'!$R$8</f>
        <v>0</v>
      </c>
      <c r="X45" s="237"/>
    </row>
    <row r="46" spans="1:24">
      <c r="A46" s="142">
        <f t="shared" si="11"/>
        <v>38</v>
      </c>
      <c r="B46" s="236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Q46" s="241" t="str">
        <f>'Revenue by Sch RY#2'!$AE$7</f>
        <v>Schedule 194 BPA Res &amp; Farm Credit</v>
      </c>
      <c r="R46" s="240">
        <f>'Sch 194'!$E$8</f>
        <v>-7.5339999999999999E-3</v>
      </c>
      <c r="S46" s="239"/>
      <c r="T46" s="238">
        <f>'Sch 194'!$I$8</f>
        <v>-7.5339999999999999E-3</v>
      </c>
      <c r="U46" s="237"/>
      <c r="V46" s="239"/>
      <c r="W46" s="238">
        <f>'Sch 194'!$M$8</f>
        <v>-7.5339999999999999E-3</v>
      </c>
      <c r="X46" s="237"/>
    </row>
    <row r="47" spans="1:24" ht="12" thickBot="1">
      <c r="A47" s="142">
        <f t="shared" si="11"/>
        <v>39</v>
      </c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Q47" s="291" t="s">
        <v>358</v>
      </c>
      <c r="R47" s="289">
        <f>SUM(R22:R46)+R17</f>
        <v>0.122139</v>
      </c>
      <c r="T47" s="290">
        <f>SUM(T22:T46)+T17</f>
        <v>0.12912108746935702</v>
      </c>
      <c r="U47" s="235"/>
      <c r="W47" s="290">
        <f>SUM(W22:W46)+W17</f>
        <v>0.13946770407167641</v>
      </c>
      <c r="X47" s="235"/>
    </row>
    <row r="48" spans="1:24" ht="12.75" thickTop="1" thickBot="1">
      <c r="A48" s="142">
        <f t="shared" si="11"/>
        <v>40</v>
      </c>
      <c r="C48" s="236"/>
      <c r="D48" s="236"/>
      <c r="E48" s="236"/>
      <c r="F48" s="236"/>
      <c r="G48" s="236"/>
      <c r="H48" s="236"/>
      <c r="I48" s="236"/>
      <c r="J48" s="236"/>
      <c r="K48" s="236"/>
      <c r="L48" s="236"/>
      <c r="M48" s="236"/>
      <c r="N48" s="236"/>
      <c r="O48" s="236"/>
      <c r="Q48" s="291" t="s">
        <v>359</v>
      </c>
      <c r="R48" s="289">
        <f>SUM(R22:R46)+R18</f>
        <v>0.14155600000000002</v>
      </c>
      <c r="T48" s="290">
        <f>SUM(T22:T46)+T18</f>
        <v>0.14853808746935704</v>
      </c>
      <c r="U48" s="235"/>
      <c r="W48" s="290">
        <f>SUM(W22:W46)+W18</f>
        <v>0.1588847040716764</v>
      </c>
      <c r="X48" s="235"/>
    </row>
    <row r="49" spans="1:24" ht="12" thickTop="1">
      <c r="A49" s="142">
        <f t="shared" si="11"/>
        <v>41</v>
      </c>
      <c r="C49" s="236"/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Q49" s="291"/>
      <c r="R49" s="271"/>
      <c r="T49" s="270"/>
      <c r="U49" s="235"/>
      <c r="W49" s="270"/>
      <c r="X49" s="235"/>
    </row>
    <row r="50" spans="1:24">
      <c r="A50" s="142">
        <f t="shared" si="11"/>
        <v>42</v>
      </c>
      <c r="Q50" s="234" t="s">
        <v>357</v>
      </c>
      <c r="R50" s="232"/>
      <c r="T50" s="233"/>
      <c r="U50" s="232">
        <f>'Exh CTM-8 (Rate Impacts_RY#1)'!$H$10</f>
        <v>0.21323897642884396</v>
      </c>
      <c r="W50" s="233"/>
      <c r="X50" s="232">
        <f>'Exh CTM-8 (Rate Impacts_RY#2)'!$I$10</f>
        <v>8.7853522569833253E-2</v>
      </c>
    </row>
    <row r="51" spans="1:24">
      <c r="A51" s="142">
        <f t="shared" si="11"/>
        <v>43</v>
      </c>
      <c r="Q51" s="234" t="s">
        <v>356</v>
      </c>
      <c r="R51" s="232"/>
      <c r="T51" s="233"/>
      <c r="U51" s="232">
        <f>'Exh CTM-8 (Rate Impacts_RY#1)'!$AI$10</f>
        <v>6.9196999921477667E-2</v>
      </c>
      <c r="W51" s="233"/>
      <c r="X51" s="232">
        <f>'Exh CTM-8 (Rate Impacts_RY#2)'!$V$10</f>
        <v>9.6414343046233864E-2</v>
      </c>
    </row>
    <row r="52" spans="1:24" ht="12" thickBot="1">
      <c r="A52" s="142">
        <f t="shared" si="11"/>
        <v>44</v>
      </c>
      <c r="Q52" s="231"/>
      <c r="R52" s="230"/>
      <c r="T52" s="231"/>
      <c r="U52" s="230"/>
      <c r="W52" s="231"/>
      <c r="X52" s="230"/>
    </row>
    <row r="53" spans="1:24">
      <c r="A53" s="142">
        <f t="shared" si="11"/>
        <v>45</v>
      </c>
    </row>
  </sheetData>
  <mergeCells count="10">
    <mergeCell ref="W6:X6"/>
    <mergeCell ref="T6:U6"/>
    <mergeCell ref="C6:E6"/>
    <mergeCell ref="A1:O1"/>
    <mergeCell ref="A2:O2"/>
    <mergeCell ref="A3:O3"/>
    <mergeCell ref="A4:O4"/>
    <mergeCell ref="G6:I6"/>
    <mergeCell ref="K6:L6"/>
    <mergeCell ref="N6:O6"/>
  </mergeCells>
  <pageMargins left="0.7" right="0.7" top="0.75" bottom="0.75" header="0.3" footer="0.3"/>
  <pageSetup scale="35" orientation="landscape" horizontalDpi="360" verticalDpi="360" r:id="rId1"/>
  <headerFooter>
    <oddFooter>&amp;R&amp;F
&amp;A
&amp;P of &amp;N</oddFooter>
  </headerFooter>
  <customProperties>
    <customPr name="_pios_id" r:id="rId2"/>
  </customProperties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> < / L a s t U s e d G r o u p O b j e c t I d > < T i l e s L i s t > < T i l e s / > < / T i l e s L i s t > < / W o r k b o o k S t a t e > 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E44296BEEBC83648A45074ADE4018599" ma:contentTypeVersion="16" ma:contentTypeDescription="" ma:contentTypeScope="" ma:versionID="4de26053a15b46baefefaeaf1997b2d2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Formal</CaseStatus>
    <OpenedDate xmlns="dc463f71-b30c-4ab2-9473-d307f9d35888">2024-01-03T08:00:00+00:00</OpenedDate>
    <SignificantOrder xmlns="dc463f71-b30c-4ab2-9473-d307f9d35888">false</SignificantOrder>
    <Date1 xmlns="dc463f71-b30c-4ab2-9473-d307f9d35888">2024-08-13T07:00:00+00:00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240004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C4E2AC69-FA8B-4BC6-8CA1-C6A670009545}">
  <ds:schemaRefs>
    <ds:schemaRef ds:uri="http://schemas.microsoft.com/PowerBIAddIn"/>
  </ds:schemaRefs>
</ds:datastoreItem>
</file>

<file path=customXml/itemProps2.xml><?xml version="1.0" encoding="utf-8"?>
<ds:datastoreItem xmlns:ds="http://schemas.openxmlformats.org/officeDocument/2006/customXml" ds:itemID="{2CE80698-67E2-4D79-8F9B-0FEB9455A73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C7397A5-CE03-48BC-B17A-32EF6B8B030B}"/>
</file>

<file path=customXml/itemProps4.xml><?xml version="1.0" encoding="utf-8"?>
<ds:datastoreItem xmlns:ds="http://schemas.openxmlformats.org/officeDocument/2006/customXml" ds:itemID="{72450B84-458C-4EDA-BB69-BF7A39927A33}"/>
</file>

<file path=customXml/itemProps5.xml><?xml version="1.0" encoding="utf-8"?>
<ds:datastoreItem xmlns:ds="http://schemas.openxmlformats.org/officeDocument/2006/customXml" ds:itemID="{27B84082-B3C8-4255-912A-23838A3770F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48</vt:i4>
      </vt:variant>
      <vt:variant>
        <vt:lpstr>Named Ranges</vt:lpstr>
      </vt:variant>
      <vt:variant>
        <vt:i4>4</vt:i4>
      </vt:variant>
    </vt:vector>
  </HeadingPairs>
  <TitlesOfParts>
    <vt:vector size="52" baseType="lpstr">
      <vt:lpstr>Exhibit DED-16</vt:lpstr>
      <vt:lpstr>Table of Contents</vt:lpstr>
      <vt:lpstr>Exhibits--&gt;</vt:lpstr>
      <vt:lpstr>Overall Rate Impacts --&gt;</vt:lpstr>
      <vt:lpstr>Exh CTM-8 (Rate Impacts_RY#1)</vt:lpstr>
      <vt:lpstr>Exh CTM-8 (Rate Impacts_RY#2)</vt:lpstr>
      <vt:lpstr>Exh CTM-8 (Avg Per kWh)</vt:lpstr>
      <vt:lpstr>Bill Impacts--&gt;</vt:lpstr>
      <vt:lpstr>Exh CTM-8 (Res Bill Summary)</vt:lpstr>
      <vt:lpstr>Exh CTM-8 Typical Res Bill RY#1</vt:lpstr>
      <vt:lpstr>Exh CTM-8 Typical Res Bill RY#2</vt:lpstr>
      <vt:lpstr>Exh CTM-8 (Schedule 24 Impacts)</vt:lpstr>
      <vt:lpstr>Exh CTM-8 (Schedule 25 Impacts)</vt:lpstr>
      <vt:lpstr>Exh CTM-8 (Schedule 26 Impacts)</vt:lpstr>
      <vt:lpstr>Exh CTM-8 (Schedule 29 Impacts)</vt:lpstr>
      <vt:lpstr>Exh CTM-8 (Schedule 31 Impacts)</vt:lpstr>
      <vt:lpstr>Exh CTM-8 (Schedule 46 Impacts)</vt:lpstr>
      <vt:lpstr>Exh CTM-8 (Schedule 49 Impacts)</vt:lpstr>
      <vt:lpstr>Workpapers --&gt;</vt:lpstr>
      <vt:lpstr>Summary Installation Count</vt:lpstr>
      <vt:lpstr>Revenue by Sch RY#1</vt:lpstr>
      <vt:lpstr>Revenue by Sch RY#2</vt:lpstr>
      <vt:lpstr>Revenue &amp; Rider Impacts--&gt;</vt:lpstr>
      <vt:lpstr>Sch 95</vt:lpstr>
      <vt:lpstr>Sch 95 Imbalance</vt:lpstr>
      <vt:lpstr>Sch 95a</vt:lpstr>
      <vt:lpstr>Sch 120</vt:lpstr>
      <vt:lpstr>Sch 129</vt:lpstr>
      <vt:lpstr>Sch 129D</vt:lpstr>
      <vt:lpstr>Sch 137</vt:lpstr>
      <vt:lpstr>Sch 139</vt:lpstr>
      <vt:lpstr>Sch 139 Supplemental</vt:lpstr>
      <vt:lpstr>Sch 140</vt:lpstr>
      <vt:lpstr>Sch 141</vt:lpstr>
      <vt:lpstr>Sch 141A</vt:lpstr>
      <vt:lpstr>Sch 141CEI</vt:lpstr>
      <vt:lpstr>Sch 141COL</vt:lpstr>
      <vt:lpstr>Sch 141N</vt:lpstr>
      <vt:lpstr>Sch 141R</vt:lpstr>
      <vt:lpstr>Sch 141TEP</vt:lpstr>
      <vt:lpstr>Sch 141X</vt:lpstr>
      <vt:lpstr>Sch 141Z</vt:lpstr>
      <vt:lpstr>Sch 142</vt:lpstr>
      <vt:lpstr>Sch 142 Supplemental</vt:lpstr>
      <vt:lpstr>Sch 194</vt:lpstr>
      <vt:lpstr>Sch 141CGR</vt:lpstr>
      <vt:lpstr>Sch 141DCARB</vt:lpstr>
      <vt:lpstr>Sch 141WFP</vt:lpstr>
      <vt:lpstr>'Revenue by Sch RY#1'!Print_Area</vt:lpstr>
      <vt:lpstr>'Revenue by Sch RY#2'!Print_Area</vt:lpstr>
      <vt:lpstr>'Revenue by Sch RY#1'!Print_Titles</vt:lpstr>
      <vt:lpstr>'Revenue by Sch RY#2'!Print_Titles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prasan</dc:creator>
  <cp:lastModifiedBy>Michael Deupree</cp:lastModifiedBy>
  <cp:lastPrinted>2024-02-07T15:34:55Z</cp:lastPrinted>
  <dcterms:created xsi:type="dcterms:W3CDTF">2016-12-27T22:31:24Z</dcterms:created>
  <dcterms:modified xsi:type="dcterms:W3CDTF">2024-08-09T15:45:26Z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0x0101006E56B4D1795A2E4DB2F0B01679ED314A00E44296BEEBC83648A45074ADE4018599</vt:lpwstr>
  </property>
  <property fmtid="{D5CDD505-2E9C-101B-9397-08002B2CF9AE}" pid="3" name="_docset_NoMedatataSyncRequired">
    <vt:lpwstr>False</vt:lpwstr>
  </property>
</Properties>
</file>