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rk\30_ava\3046-7 - UE-150204 2015 GRC\remand\dir\_wps\"/>
    </mc:Choice>
  </mc:AlternateContent>
  <xr:revisionPtr revIDLastSave="0" documentId="13_ncr:1_{20348BB8-C6B3-4402-900B-D82EB0F84DEE}" xr6:coauthVersionLast="44" xr6:coauthVersionMax="44" xr10:uidLastSave="{00000000-0000-0000-0000-000000000000}"/>
  <bookViews>
    <workbookView xWindow="-120" yWindow="-120" windowWidth="29040" windowHeight="13995" xr2:uid="{E1414333-63B7-484A-AD4E-77403859C918}"/>
  </bookViews>
  <sheets>
    <sheet name="Electric" sheetId="1" r:id="rId1"/>
    <sheet name="Ga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Electric!$A$1:$AE$70</definedName>
    <definedName name="_xlnm.Print_Area" localSheetId="1">Gas!$A$1:$AE$67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43" i="1" l="1"/>
  <c r="AD43" i="1" l="1"/>
  <c r="I39" i="2" l="1"/>
  <c r="I41" i="2" s="1"/>
  <c r="I45" i="2" s="1"/>
  <c r="I16" i="2"/>
  <c r="I22" i="2"/>
  <c r="I24" i="2"/>
  <c r="I28" i="2" s="1"/>
  <c r="I34" i="2" s="1"/>
  <c r="L40" i="2"/>
  <c r="V38" i="2"/>
  <c r="V40" i="2" s="1"/>
  <c r="T40" i="2"/>
  <c r="T39" i="2"/>
  <c r="T38" i="2"/>
  <c r="E56" i="2"/>
  <c r="T56" i="2" s="1"/>
  <c r="L39" i="2"/>
  <c r="J40" i="2"/>
  <c r="J38" i="2"/>
  <c r="J39" i="2"/>
  <c r="K41" i="2"/>
  <c r="K45" i="2" s="1"/>
  <c r="H41" i="2"/>
  <c r="H45" i="2" s="1"/>
  <c r="G41" i="2"/>
  <c r="G45" i="2" s="1"/>
  <c r="E40" i="2"/>
  <c r="E39" i="2"/>
  <c r="E38" i="2"/>
  <c r="L42" i="1"/>
  <c r="T42" i="1"/>
  <c r="T41" i="1"/>
  <c r="T40" i="1"/>
  <c r="N38" i="2" l="1"/>
  <c r="I52" i="2"/>
  <c r="I46" i="2"/>
  <c r="I47" i="2"/>
  <c r="I49" i="2" s="1"/>
  <c r="I53" i="2" s="1"/>
  <c r="N56" i="2"/>
  <c r="Y56" i="2"/>
  <c r="H56" i="2"/>
  <c r="V39" i="2"/>
  <c r="X39" i="2" s="1"/>
  <c r="AA39" i="2" s="1"/>
  <c r="N40" i="2"/>
  <c r="J56" i="2"/>
  <c r="I56" i="2"/>
  <c r="X38" i="2"/>
  <c r="AA38" i="2" s="1"/>
  <c r="AA56" i="2"/>
  <c r="N39" i="2"/>
  <c r="X40" i="2"/>
  <c r="T41" i="2"/>
  <c r="J41" i="2"/>
  <c r="K56" i="2"/>
  <c r="X56" i="2"/>
  <c r="AD56" i="2"/>
  <c r="E41" i="2"/>
  <c r="G56" i="2"/>
  <c r="L56" i="2"/>
  <c r="L41" i="2"/>
  <c r="L45" i="2" s="1"/>
  <c r="T43" i="1"/>
  <c r="T47" i="1" s="1"/>
  <c r="N41" i="2" l="1"/>
  <c r="I60" i="2"/>
  <c r="X41" i="2"/>
  <c r="X45" i="2" s="1"/>
  <c r="AD39" i="2"/>
  <c r="I54" i="2"/>
  <c r="I59" i="2"/>
  <c r="I61" i="2" s="1"/>
  <c r="J45" i="2"/>
  <c r="T45" i="2"/>
  <c r="E45" i="2"/>
  <c r="AD38" i="2"/>
  <c r="T49" i="1"/>
  <c r="T51" i="1" s="1"/>
  <c r="T55" i="1" s="1"/>
  <c r="E47" i="2" l="1"/>
  <c r="E49" i="2" s="1"/>
  <c r="E53" i="2" s="1"/>
  <c r="E60" i="2" s="1"/>
  <c r="N45" i="2"/>
  <c r="T47" i="2"/>
  <c r="T49" i="2" s="1"/>
  <c r="T53" i="2" s="1"/>
  <c r="T60" i="2" s="1"/>
  <c r="T62" i="1"/>
  <c r="L40" i="1" l="1"/>
  <c r="L41" i="1"/>
  <c r="J42" i="1"/>
  <c r="J41" i="1"/>
  <c r="J40" i="1"/>
  <c r="V13" i="2"/>
  <c r="V19" i="2" s="1"/>
  <c r="T31" i="2"/>
  <c r="T32" i="2"/>
  <c r="T30" i="2"/>
  <c r="T26" i="2"/>
  <c r="T21" i="2"/>
  <c r="T20" i="2"/>
  <c r="T19" i="2"/>
  <c r="T15" i="2"/>
  <c r="T14" i="2"/>
  <c r="T13" i="2"/>
  <c r="L15" i="2"/>
  <c r="K16" i="2"/>
  <c r="H16" i="2"/>
  <c r="G16" i="2"/>
  <c r="G24" i="2" s="1"/>
  <c r="K22" i="2"/>
  <c r="H22" i="2"/>
  <c r="G22" i="2"/>
  <c r="L26" i="2"/>
  <c r="L21" i="2"/>
  <c r="L20" i="2"/>
  <c r="L19" i="2"/>
  <c r="L14" i="2"/>
  <c r="L13" i="2"/>
  <c r="J26" i="2"/>
  <c r="J21" i="2"/>
  <c r="J20" i="2"/>
  <c r="J19" i="2"/>
  <c r="J15" i="2"/>
  <c r="J14" i="2"/>
  <c r="J13" i="2"/>
  <c r="H32" i="2"/>
  <c r="N32" i="2" s="1"/>
  <c r="G26" i="2"/>
  <c r="L10" i="2"/>
  <c r="E31" i="2"/>
  <c r="N31" i="2" s="1"/>
  <c r="E30" i="2"/>
  <c r="N30" i="2" s="1"/>
  <c r="E26" i="2"/>
  <c r="E21" i="2"/>
  <c r="E20" i="2"/>
  <c r="E19" i="2"/>
  <c r="E15" i="2"/>
  <c r="E14" i="2"/>
  <c r="E13" i="2"/>
  <c r="X13" i="2" l="1"/>
  <c r="AA13" i="2" s="1"/>
  <c r="AA32" i="2"/>
  <c r="AA31" i="2"/>
  <c r="AD31" i="2" s="1"/>
  <c r="AA30" i="2"/>
  <c r="AD30" i="2" s="1"/>
  <c r="K24" i="2"/>
  <c r="K28" i="2" s="1"/>
  <c r="N19" i="2"/>
  <c r="AD32" i="2"/>
  <c r="V21" i="2"/>
  <c r="X21" i="2" s="1"/>
  <c r="N15" i="2"/>
  <c r="G28" i="2"/>
  <c r="G34" i="2" s="1"/>
  <c r="H24" i="2"/>
  <c r="H28" i="2" s="1"/>
  <c r="X19" i="2"/>
  <c r="AA19" i="2" s="1"/>
  <c r="V14" i="2"/>
  <c r="X14" i="2" s="1"/>
  <c r="AA14" i="2" s="1"/>
  <c r="V20" i="2"/>
  <c r="X20" i="2" s="1"/>
  <c r="AA20" i="2" s="1"/>
  <c r="T22" i="2"/>
  <c r="V15" i="2"/>
  <c r="X15" i="2" s="1"/>
  <c r="V26" i="2"/>
  <c r="X26" i="2" s="1"/>
  <c r="T16" i="2"/>
  <c r="N20" i="2"/>
  <c r="K34" i="2"/>
  <c r="N14" i="2"/>
  <c r="N26" i="2"/>
  <c r="J22" i="2"/>
  <c r="L22" i="2"/>
  <c r="J16" i="2"/>
  <c r="N13" i="2"/>
  <c r="AD13" i="2" s="1"/>
  <c r="N21" i="2"/>
  <c r="E22" i="2"/>
  <c r="L16" i="2"/>
  <c r="H34" i="2"/>
  <c r="E16" i="2"/>
  <c r="K52" i="2" l="1"/>
  <c r="K46" i="2"/>
  <c r="K47" i="2" s="1"/>
  <c r="K49" i="2" s="1"/>
  <c r="K53" i="2" s="1"/>
  <c r="K60" i="2" s="1"/>
  <c r="H46" i="2"/>
  <c r="H47" i="2" s="1"/>
  <c r="H49" i="2" s="1"/>
  <c r="H53" i="2" s="1"/>
  <c r="H60" i="2" s="1"/>
  <c r="H52" i="2"/>
  <c r="G46" i="2"/>
  <c r="G52" i="2"/>
  <c r="AD14" i="2"/>
  <c r="X16" i="2"/>
  <c r="AD20" i="2"/>
  <c r="X22" i="2"/>
  <c r="N22" i="2"/>
  <c r="AD19" i="2"/>
  <c r="L24" i="2"/>
  <c r="L28" i="2" s="1"/>
  <c r="L34" i="2" s="1"/>
  <c r="T24" i="2"/>
  <c r="T28" i="2" s="1"/>
  <c r="T34" i="2" s="1"/>
  <c r="T52" i="2" s="1"/>
  <c r="N16" i="2"/>
  <c r="J24" i="2"/>
  <c r="E24" i="2"/>
  <c r="E28" i="2" s="1"/>
  <c r="E34" i="2" s="1"/>
  <c r="E52" i="2" s="1"/>
  <c r="E59" i="2" l="1"/>
  <c r="E61" i="2" s="1"/>
  <c r="E54" i="2"/>
  <c r="G59" i="2"/>
  <c r="G54" i="2"/>
  <c r="K59" i="2"/>
  <c r="K61" i="2" s="1"/>
  <c r="K54" i="2"/>
  <c r="H54" i="2"/>
  <c r="H59" i="2"/>
  <c r="H61" i="2" s="1"/>
  <c r="L46" i="2"/>
  <c r="L47" i="2" s="1"/>
  <c r="L49" i="2" s="1"/>
  <c r="L53" i="2" s="1"/>
  <c r="L52" i="2"/>
  <c r="L59" i="2" s="1"/>
  <c r="G47" i="2"/>
  <c r="G49" i="2" s="1"/>
  <c r="G53" i="2" s="1"/>
  <c r="G60" i="2" s="1"/>
  <c r="T54" i="2"/>
  <c r="T59" i="2"/>
  <c r="T61" i="2" s="1"/>
  <c r="L60" i="2"/>
  <c r="X24" i="2"/>
  <c r="X28" i="2" s="1"/>
  <c r="X34" i="2" s="1"/>
  <c r="N24" i="2"/>
  <c r="N28" i="2" s="1"/>
  <c r="N34" i="2" s="1"/>
  <c r="N52" i="2" s="1"/>
  <c r="J28" i="2"/>
  <c r="J34" i="2" s="1"/>
  <c r="L54" i="2" l="1"/>
  <c r="J46" i="2"/>
  <c r="J52" i="2"/>
  <c r="G61" i="2"/>
  <c r="N59" i="2"/>
  <c r="X46" i="2"/>
  <c r="X52" i="2"/>
  <c r="L61" i="2"/>
  <c r="J59" i="2" l="1"/>
  <c r="X59" i="2"/>
  <c r="X47" i="2"/>
  <c r="X49" i="2" s="1"/>
  <c r="X53" i="2" s="1"/>
  <c r="X60" i="2" s="1"/>
  <c r="J47" i="2"/>
  <c r="J49" i="2" s="1"/>
  <c r="J53" i="2" s="1"/>
  <c r="J60" i="2" s="1"/>
  <c r="N46" i="2"/>
  <c r="X54" i="2" l="1"/>
  <c r="J54" i="2"/>
  <c r="J61" i="2"/>
  <c r="N47" i="2"/>
  <c r="N49" i="2" s="1"/>
  <c r="N53" i="2" s="1"/>
  <c r="X61" i="2"/>
  <c r="N60" i="2" l="1"/>
  <c r="N61" i="2" s="1"/>
  <c r="N54" i="2"/>
  <c r="L43" i="1" l="1"/>
  <c r="L47" i="1" s="1"/>
  <c r="K43" i="1"/>
  <c r="K47" i="1" s="1"/>
  <c r="J43" i="1"/>
  <c r="J47" i="1" s="1"/>
  <c r="I43" i="1"/>
  <c r="H43" i="1"/>
  <c r="G43" i="1"/>
  <c r="E42" i="1"/>
  <c r="N42" i="1" s="1"/>
  <c r="E41" i="1"/>
  <c r="N41" i="1" s="1"/>
  <c r="E40" i="1"/>
  <c r="N40" i="1" s="1"/>
  <c r="E43" i="1" l="1"/>
  <c r="E47" i="1" s="1"/>
  <c r="N43" i="1"/>
  <c r="H47" i="1"/>
  <c r="I47" i="1"/>
  <c r="G47" i="1"/>
  <c r="T34" i="1"/>
  <c r="T33" i="1"/>
  <c r="T29" i="1"/>
  <c r="T24" i="1"/>
  <c r="T23" i="1"/>
  <c r="X23" i="1" s="1"/>
  <c r="T22" i="1"/>
  <c r="T21" i="1"/>
  <c r="T20" i="1"/>
  <c r="T16" i="1"/>
  <c r="T15" i="1"/>
  <c r="X15" i="1" s="1"/>
  <c r="T14" i="1"/>
  <c r="T13" i="1"/>
  <c r="T12" i="1"/>
  <c r="L12" i="1"/>
  <c r="L29" i="1"/>
  <c r="L24" i="1"/>
  <c r="L23" i="1"/>
  <c r="L22" i="1"/>
  <c r="L21" i="1"/>
  <c r="L20" i="1"/>
  <c r="L16" i="1"/>
  <c r="L15" i="1"/>
  <c r="L14" i="1"/>
  <c r="L13" i="1"/>
  <c r="J24" i="1"/>
  <c r="J23" i="1"/>
  <c r="J22" i="1"/>
  <c r="J21" i="1"/>
  <c r="J20" i="1"/>
  <c r="J16" i="1"/>
  <c r="J15" i="1"/>
  <c r="J14" i="1"/>
  <c r="J13" i="1"/>
  <c r="J12" i="1"/>
  <c r="I34" i="1"/>
  <c r="E34" i="1"/>
  <c r="H33" i="1"/>
  <c r="E33" i="1"/>
  <c r="J29" i="1"/>
  <c r="G29" i="1"/>
  <c r="E29" i="1"/>
  <c r="E24" i="1"/>
  <c r="E23" i="1"/>
  <c r="E22" i="1"/>
  <c r="E21" i="1"/>
  <c r="E20" i="1"/>
  <c r="E16" i="1"/>
  <c r="E15" i="1"/>
  <c r="E14" i="1"/>
  <c r="E13" i="1"/>
  <c r="E12" i="1"/>
  <c r="AA34" i="1" l="1"/>
  <c r="AA33" i="1"/>
  <c r="N47" i="1"/>
  <c r="N12" i="1"/>
  <c r="AA15" i="1"/>
  <c r="AA23" i="1"/>
  <c r="N15" i="1"/>
  <c r="N22" i="1"/>
  <c r="N34" i="1"/>
  <c r="T25" i="1"/>
  <c r="T17" i="1"/>
  <c r="N14" i="1"/>
  <c r="N21" i="1"/>
  <c r="N13" i="1"/>
  <c r="N20" i="1"/>
  <c r="N24" i="1"/>
  <c r="N29" i="1"/>
  <c r="N16" i="1"/>
  <c r="N23" i="1"/>
  <c r="N33" i="1"/>
  <c r="AD34" i="1" l="1"/>
  <c r="AD33" i="1"/>
  <c r="T27" i="1"/>
  <c r="T31" i="1" s="1"/>
  <c r="T36" i="1" s="1"/>
  <c r="T54" i="1" s="1"/>
  <c r="AD23" i="1"/>
  <c r="AD15" i="1"/>
  <c r="T61" i="1" l="1"/>
  <c r="T63" i="1" s="1"/>
  <c r="T56" i="1"/>
  <c r="N25" i="1" l="1"/>
  <c r="L25" i="1"/>
  <c r="K25" i="1"/>
  <c r="J25" i="1"/>
  <c r="I25" i="1"/>
  <c r="H25" i="1"/>
  <c r="G25" i="1"/>
  <c r="H17" i="1"/>
  <c r="I17" i="1"/>
  <c r="K17" i="1"/>
  <c r="L17" i="1"/>
  <c r="N17" i="1"/>
  <c r="H27" i="1"/>
  <c r="H31" i="1" s="1"/>
  <c r="H36" i="1" s="1"/>
  <c r="H48" i="1" s="1"/>
  <c r="G17" i="1"/>
  <c r="E25" i="1"/>
  <c r="E17" i="1"/>
  <c r="N27" i="1" l="1"/>
  <c r="N31" i="1" s="1"/>
  <c r="N36" i="1" s="1"/>
  <c r="N54" i="1" s="1"/>
  <c r="N61" i="1" s="1"/>
  <c r="G27" i="1"/>
  <c r="E27" i="1"/>
  <c r="E31" i="1" s="1"/>
  <c r="E36" i="1" s="1"/>
  <c r="E54" i="1" s="1"/>
  <c r="E61" i="1" s="1"/>
  <c r="H49" i="1"/>
  <c r="H51" i="1" s="1"/>
  <c r="H55" i="1" s="1"/>
  <c r="H62" i="1" s="1"/>
  <c r="H54" i="1"/>
  <c r="H61" i="1" s="1"/>
  <c r="E49" i="1"/>
  <c r="E51" i="1" s="1"/>
  <c r="E55" i="1" s="1"/>
  <c r="K27" i="1"/>
  <c r="K31" i="1" s="1"/>
  <c r="K36" i="1" s="1"/>
  <c r="K48" i="1" s="1"/>
  <c r="I27" i="1"/>
  <c r="I31" i="1" s="1"/>
  <c r="I36" i="1" s="1"/>
  <c r="I48" i="1" s="1"/>
  <c r="L27" i="1"/>
  <c r="L31" i="1" s="1"/>
  <c r="L36" i="1" s="1"/>
  <c r="L48" i="1" s="1"/>
  <c r="G31" i="1"/>
  <c r="G36" i="1" s="1"/>
  <c r="G48" i="1" s="1"/>
  <c r="J17" i="1"/>
  <c r="J27" i="1" s="1"/>
  <c r="J31" i="1" s="1"/>
  <c r="J36" i="1" s="1"/>
  <c r="J48" i="1" s="1"/>
  <c r="K49" i="1" l="1"/>
  <c r="K51" i="1" s="1"/>
  <c r="K55" i="1" s="1"/>
  <c r="K54" i="1"/>
  <c r="K61" i="1" s="1"/>
  <c r="H63" i="1"/>
  <c r="E56" i="1"/>
  <c r="E62" i="1"/>
  <c r="E63" i="1" s="1"/>
  <c r="I49" i="1"/>
  <c r="I51" i="1" s="1"/>
  <c r="I55" i="1" s="1"/>
  <c r="I62" i="1" s="1"/>
  <c r="I54" i="1"/>
  <c r="I61" i="1" s="1"/>
  <c r="H56" i="1"/>
  <c r="L49" i="1"/>
  <c r="L51" i="1" s="1"/>
  <c r="L55" i="1" s="1"/>
  <c r="L62" i="1" s="1"/>
  <c r="L54" i="1"/>
  <c r="L61" i="1" s="1"/>
  <c r="J49" i="1"/>
  <c r="J51" i="1" s="1"/>
  <c r="J55" i="1" s="1"/>
  <c r="J62" i="1" s="1"/>
  <c r="J54" i="1"/>
  <c r="J61" i="1" s="1"/>
  <c r="G49" i="1"/>
  <c r="G51" i="1" s="1"/>
  <c r="G55" i="1" s="1"/>
  <c r="G62" i="1" s="1"/>
  <c r="G54" i="1"/>
  <c r="G61" i="1" s="1"/>
  <c r="K62" i="1" l="1"/>
  <c r="K63" i="1" s="1"/>
  <c r="K56" i="1"/>
  <c r="J63" i="1"/>
  <c r="I63" i="1"/>
  <c r="G63" i="1"/>
  <c r="L63" i="1"/>
  <c r="J56" i="1"/>
  <c r="N48" i="1"/>
  <c r="N49" i="1" s="1"/>
  <c r="N51" i="1" s="1"/>
  <c r="N55" i="1" s="1"/>
  <c r="I56" i="1"/>
  <c r="G56" i="1"/>
  <c r="L56" i="1"/>
  <c r="N56" i="1" l="1"/>
  <c r="N62" i="1"/>
  <c r="N63" i="1" s="1"/>
  <c r="V12" i="1" l="1"/>
  <c r="V21" i="1" l="1"/>
  <c r="X21" i="1" s="1"/>
  <c r="AA21" i="1" s="1"/>
  <c r="AD21" i="1" s="1"/>
  <c r="V13" i="1"/>
  <c r="X13" i="1" s="1"/>
  <c r="AA13" i="1" s="1"/>
  <c r="AD13" i="1" s="1"/>
  <c r="X12" i="1"/>
  <c r="V29" i="1"/>
  <c r="X29" i="1" s="1"/>
  <c r="V14" i="1"/>
  <c r="X14" i="1" s="1"/>
  <c r="AA14" i="1" s="1"/>
  <c r="AD14" i="1" s="1"/>
  <c r="V16" i="1"/>
  <c r="X16" i="1" s="1"/>
  <c r="AA16" i="1" s="1"/>
  <c r="AD16" i="1" s="1"/>
  <c r="V22" i="1"/>
  <c r="X22" i="1" s="1"/>
  <c r="AA22" i="1" s="1"/>
  <c r="AD22" i="1" s="1"/>
  <c r="V24" i="1"/>
  <c r="X24" i="1" s="1"/>
  <c r="AA24" i="1" s="1"/>
  <c r="AD24" i="1" s="1"/>
  <c r="V20" i="1"/>
  <c r="X20" i="1" s="1"/>
  <c r="X17" i="1" l="1"/>
  <c r="X25" i="1"/>
  <c r="V40" i="1"/>
  <c r="X27" i="1" l="1"/>
  <c r="X31" i="1" s="1"/>
  <c r="X36" i="1" s="1"/>
  <c r="X48" i="1" s="1"/>
  <c r="V42" i="1"/>
  <c r="X42" i="1" s="1"/>
  <c r="X40" i="1"/>
  <c r="V41" i="1"/>
  <c r="X41" i="1" s="1"/>
  <c r="AA41" i="1" s="1"/>
  <c r="AD41" i="1" s="1"/>
  <c r="X43" i="1" l="1"/>
  <c r="X47" i="1" s="1"/>
  <c r="AA40" i="1"/>
  <c r="X54" i="1"/>
  <c r="X61" i="1" l="1"/>
  <c r="AD40" i="1"/>
  <c r="X49" i="1"/>
  <c r="X51" i="1" s="1"/>
  <c r="X55" i="1" s="1"/>
  <c r="X62" i="1" s="1"/>
  <c r="X56" i="1" l="1"/>
  <c r="X63" i="1"/>
  <c r="Y26" i="2" l="1"/>
  <c r="AA26" i="2" l="1"/>
  <c r="AD26" i="2" s="1"/>
  <c r="Y40" i="2"/>
  <c r="Y15" i="2" l="1"/>
  <c r="Y21" i="2"/>
  <c r="Y41" i="2"/>
  <c r="Y45" i="2" s="1"/>
  <c r="AA45" i="2" s="1"/>
  <c r="AD45" i="2" s="1"/>
  <c r="AA40" i="2"/>
  <c r="Y22" i="2" l="1"/>
  <c r="AA21" i="2"/>
  <c r="AA41" i="2"/>
  <c r="AD40" i="2"/>
  <c r="Y16" i="2"/>
  <c r="AA15" i="2"/>
  <c r="AD41" i="2" l="1"/>
  <c r="AG41" i="2" s="1"/>
  <c r="AA16" i="2"/>
  <c r="AD15" i="2"/>
  <c r="AD21" i="2"/>
  <c r="AA22" i="2"/>
  <c r="Y24" i="2"/>
  <c r="Y28" i="2" s="1"/>
  <c r="Y34" i="2" s="1"/>
  <c r="AD16" i="2" l="1"/>
  <c r="AD22" i="2"/>
  <c r="AD24" i="2" s="1"/>
  <c r="AD28" i="2" s="1"/>
  <c r="AD34" i="2" s="1"/>
  <c r="AG34" i="2"/>
  <c r="AD52" i="2"/>
  <c r="Y52" i="2"/>
  <c r="Y46" i="2"/>
  <c r="AA24" i="2"/>
  <c r="AA28" i="2" s="1"/>
  <c r="AA34" i="2" s="1"/>
  <c r="AA52" i="2" s="1"/>
  <c r="Y47" i="2" l="1"/>
  <c r="Y49" i="2" s="1"/>
  <c r="Y53" i="2" s="1"/>
  <c r="Y60" i="2" s="1"/>
  <c r="AA46" i="2"/>
  <c r="AA59" i="2"/>
  <c r="Y59" i="2"/>
  <c r="AD59" i="2"/>
  <c r="Y54" i="2" l="1"/>
  <c r="Y61" i="2"/>
  <c r="AA47" i="2"/>
  <c r="AA49" i="2" s="1"/>
  <c r="AA53" i="2" s="1"/>
  <c r="AD46" i="2"/>
  <c r="AD47" i="2" s="1"/>
  <c r="AD49" i="2" s="1"/>
  <c r="AD53" i="2" s="1"/>
  <c r="AD60" i="2" l="1"/>
  <c r="AD61" i="2" s="1"/>
  <c r="AD54" i="2"/>
  <c r="AA60" i="2"/>
  <c r="AA61" i="2" s="1"/>
  <c r="AA54" i="2"/>
  <c r="Y20" i="1" l="1"/>
  <c r="Y25" i="1" l="1"/>
  <c r="AA20" i="1"/>
  <c r="AD20" i="1" l="1"/>
  <c r="AD25" i="1" s="1"/>
  <c r="AA25" i="1"/>
  <c r="Y29" i="1"/>
  <c r="Y12" i="1"/>
  <c r="Y42" i="1"/>
  <c r="Y43" i="1" l="1"/>
  <c r="Y47" i="1" s="1"/>
  <c r="AA47" i="1" s="1"/>
  <c r="AA42" i="1"/>
  <c r="Y17" i="1"/>
  <c r="AA12" i="1"/>
  <c r="AA29" i="1"/>
  <c r="AD29" i="1" s="1"/>
  <c r="Y27" i="1" l="1"/>
  <c r="Y31" i="1" s="1"/>
  <c r="Y36" i="1" s="1"/>
  <c r="AD12" i="1"/>
  <c r="AD17" i="1" s="1"/>
  <c r="AD27" i="1" s="1"/>
  <c r="AD31" i="1" s="1"/>
  <c r="AD36" i="1" s="1"/>
  <c r="AA17" i="1"/>
  <c r="AA27" i="1" s="1"/>
  <c r="AA31" i="1" s="1"/>
  <c r="AA36" i="1" s="1"/>
  <c r="AA54" i="1" s="1"/>
  <c r="AD42" i="1"/>
  <c r="AA43" i="1"/>
  <c r="AD47" i="1"/>
  <c r="AA61" i="1" l="1"/>
  <c r="AD49" i="1"/>
  <c r="AD51" i="1" s="1"/>
  <c r="AD55" i="1" s="1"/>
  <c r="AD62" i="1" s="1"/>
  <c r="AD48" i="1"/>
  <c r="AD54" i="1"/>
  <c r="AG36" i="1"/>
  <c r="Y48" i="1"/>
  <c r="Y54" i="1"/>
  <c r="Y49" i="1" l="1"/>
  <c r="Y51" i="1" s="1"/>
  <c r="Y55" i="1" s="1"/>
  <c r="Y62" i="1" s="1"/>
  <c r="AA48" i="1"/>
  <c r="AA49" i="1" s="1"/>
  <c r="AA51" i="1" s="1"/>
  <c r="AA55" i="1" s="1"/>
  <c r="AD61" i="1"/>
  <c r="AD63" i="1" s="1"/>
  <c r="AD56" i="1"/>
  <c r="Y61" i="1"/>
  <c r="Y63" i="1" s="1"/>
  <c r="Y56" i="1" l="1"/>
  <c r="AA62" i="1"/>
  <c r="AA63" i="1" s="1"/>
  <c r="AA56" i="1"/>
</calcChain>
</file>

<file path=xl/sharedStrings.xml><?xml version="1.0" encoding="utf-8"?>
<sst xmlns="http://schemas.openxmlformats.org/spreadsheetml/2006/main" count="271" uniqueCount="106">
  <si>
    <t>Plant in Service</t>
  </si>
  <si>
    <t xml:space="preserve">Intangible  </t>
  </si>
  <si>
    <t xml:space="preserve">Production  </t>
  </si>
  <si>
    <t xml:space="preserve">Transmission  </t>
  </si>
  <si>
    <t xml:space="preserve">Distribution  </t>
  </si>
  <si>
    <t xml:space="preserve">General  </t>
  </si>
  <si>
    <t>Net Plant</t>
  </si>
  <si>
    <t>Deferred Taxes</t>
  </si>
  <si>
    <t>Working Capital</t>
  </si>
  <si>
    <t xml:space="preserve">Subtotal: </t>
  </si>
  <si>
    <t>Dec 31, 2014</t>
  </si>
  <si>
    <t xml:space="preserve">Results  </t>
  </si>
  <si>
    <t>Accumulated Depr.</t>
  </si>
  <si>
    <t xml:space="preserve">Deferred </t>
  </si>
  <si>
    <t>Working</t>
  </si>
  <si>
    <t>FIT</t>
  </si>
  <si>
    <t xml:space="preserve">Debits and </t>
  </si>
  <si>
    <t>Capital</t>
  </si>
  <si>
    <t>Rate Base</t>
  </si>
  <si>
    <t>Credits</t>
  </si>
  <si>
    <t xml:space="preserve"> </t>
  </si>
  <si>
    <t>1.00</t>
  </si>
  <si>
    <t>3.07</t>
  </si>
  <si>
    <t>1.03</t>
  </si>
  <si>
    <t>1.02</t>
  </si>
  <si>
    <t>1.01</t>
  </si>
  <si>
    <t>3.07U</t>
  </si>
  <si>
    <t>Repairs</t>
  </si>
  <si>
    <t>Deduction</t>
  </si>
  <si>
    <t>4.01</t>
  </si>
  <si>
    <t>(a)</t>
  </si>
  <si>
    <t>Total Rate Base</t>
  </si>
  <si>
    <t>Order 05</t>
  </si>
  <si>
    <t>Pro Forma</t>
  </si>
  <si>
    <t>t/a to Order 05 Table A1</t>
  </si>
  <si>
    <t xml:space="preserve">Rest. Results  </t>
  </si>
  <si>
    <t>Escalaction</t>
  </si>
  <si>
    <t>Factor</t>
  </si>
  <si>
    <t>Escalation</t>
  </si>
  <si>
    <t>Amount</t>
  </si>
  <si>
    <t>(b)</t>
  </si>
  <si>
    <t>Post-Attr.</t>
  </si>
  <si>
    <t>Compass</t>
  </si>
  <si>
    <t>Attrition</t>
  </si>
  <si>
    <t>Delta</t>
  </si>
  <si>
    <t>Pro Forma vs.</t>
  </si>
  <si>
    <t>Distribution</t>
  </si>
  <si>
    <t>Current Tax</t>
  </si>
  <si>
    <t>Debt Interest</t>
  </si>
  <si>
    <t>Total Tax Expense</t>
  </si>
  <si>
    <t>General Plant</t>
  </si>
  <si>
    <t>Capital Add</t>
  </si>
  <si>
    <t>Planned</t>
  </si>
  <si>
    <t>2015 EOP</t>
  </si>
  <si>
    <t>Subtotal</t>
  </si>
  <si>
    <t xml:space="preserve">Accumulated Depr. </t>
  </si>
  <si>
    <t>Net Plant After Deferred Taxes</t>
  </si>
  <si>
    <t>Gas Inventory</t>
  </si>
  <si>
    <t>Other</t>
  </si>
  <si>
    <t>t/a to Order 05 Table A2</t>
  </si>
  <si>
    <t>ROR</t>
  </si>
  <si>
    <t>Conversion Factor</t>
  </si>
  <si>
    <t>Post Tax Rev. Req.</t>
  </si>
  <si>
    <t>Pre-Tax Req. Return</t>
  </si>
  <si>
    <t>Post-Tax Revenue Requirement</t>
  </si>
  <si>
    <t>Pre-Tax Revenue Requirement</t>
  </si>
  <si>
    <t>Rate Base Impact on Depreciation</t>
  </si>
  <si>
    <t>Note (b)  Includes adjustment to Deferred Debits and Credits</t>
  </si>
  <si>
    <t>Pro Forma Rate Base Adjustments</t>
  </si>
  <si>
    <t>Attrition Rate Base Adjustments</t>
  </si>
  <si>
    <t>Wtd-debt</t>
  </si>
  <si>
    <t>Net Gain/</t>
  </si>
  <si>
    <t>Loss</t>
  </si>
  <si>
    <t>2.09</t>
  </si>
  <si>
    <t>Post-Tax Rate Base Rev. Req.</t>
  </si>
  <si>
    <t>Pre-Tax Rate Base Rev. Req.</t>
  </si>
  <si>
    <t>($000)</t>
  </si>
  <si>
    <t>Avista 2015 General Rate Case</t>
  </si>
  <si>
    <t>Comparison of Pro Forma Rate Base to Attrition Rate Base in Order 05</t>
  </si>
  <si>
    <t>Electric Services</t>
  </si>
  <si>
    <t>Net Plant After DIT</t>
  </si>
  <si>
    <t>Prod. and Trans.</t>
  </si>
  <si>
    <t xml:space="preserve">Admin. and General </t>
  </si>
  <si>
    <t>Total Depr. Exp.</t>
  </si>
  <si>
    <t>Net Income Impact</t>
  </si>
  <si>
    <t>Req. Return @ 7.29%</t>
  </si>
  <si>
    <t>Impact on NOI</t>
  </si>
  <si>
    <t xml:space="preserve">Pre-Tax Rev Req. </t>
  </si>
  <si>
    <t>Pre-Tax NOI Impact</t>
  </si>
  <si>
    <t>Planned Cap.</t>
  </si>
  <si>
    <t>Add 2015</t>
  </si>
  <si>
    <t>EOP</t>
  </si>
  <si>
    <t>Add Dec</t>
  </si>
  <si>
    <t>2014 EOP</t>
  </si>
  <si>
    <t>t/a to Order 05 Table A1 -----------------------------------------------------------/</t>
  </si>
  <si>
    <t>Deferred Dr./Cr.</t>
  </si>
  <si>
    <t xml:space="preserve">Rate Base Impact on Income Tax </t>
  </si>
  <si>
    <t>Page 1 of 2</t>
  </si>
  <si>
    <t>Page 2 of 2</t>
  </si>
  <si>
    <t>U.G. Storage</t>
  </si>
  <si>
    <t>Actual Cap</t>
  </si>
  <si>
    <t>Note (a)  The difference in rate base and depreciation for Adj. 4.01 between CHS-2 (Rev.) and Order 05 was applied to intangible plant</t>
  </si>
  <si>
    <t>Note (a)  The difference in rate base and depreciation for Adjustment 4.01 between CHS-3 (Rev.) and Order 05 was applied to general plant</t>
  </si>
  <si>
    <t>t/a to Order 05 Table A2 -----------------------------------------------------------/</t>
  </si>
  <si>
    <t>Total Depr. Expense</t>
  </si>
  <si>
    <t>Gas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</si>
</sst>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1" formatCode="_(* #,##0_);_(* \(#,##0\);_(* &quot;-&quot;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4" tint="-0.249977111117893"/>
      <name val="Times New Roman"/>
      <family val="1"/>
    </font>
    <font>
      <b/>
      <sz val="11"/>
      <color theme="1"/>
      <name val="Times New Roman"/>
      <family val="1"/>
    </font>
    <font>
      <sz val="10"/>
      <name val="Geneva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41" fontId="2" fillId="0" borderId="0" xfId="0" applyNumberFormat="1" applyFont="1"/>
    <xf numFmtId="41" fontId="2" fillId="0" borderId="4" xfId="0" applyNumberFormat="1" applyFont="1" applyBorder="1"/>
    <xf numFmtId="0" fontId="3" fillId="0" borderId="0" xfId="0" applyFont="1" applyAlignment="1">
      <alignment horizontal="left" indent="7"/>
    </xf>
    <xf numFmtId="0" fontId="4" fillId="0" borderId="0" xfId="0" applyFont="1"/>
    <xf numFmtId="10" fontId="2" fillId="0" borderId="0" xfId="0" applyNumberFormat="1" applyFont="1"/>
    <xf numFmtId="0" fontId="2" fillId="0" borderId="0" xfId="0" applyFont="1" applyBorder="1"/>
    <xf numFmtId="0" fontId="2" fillId="0" borderId="0" xfId="0" applyFont="1" applyFill="1" applyBorder="1"/>
    <xf numFmtId="0" fontId="2" fillId="0" borderId="4" xfId="0" applyFont="1" applyFill="1" applyBorder="1" applyAlignment="1">
      <alignment horizontal="center"/>
    </xf>
    <xf numFmtId="41" fontId="2" fillId="0" borderId="5" xfId="0" applyNumberFormat="1" applyFont="1" applyBorder="1"/>
    <xf numFmtId="41" fontId="4" fillId="0" borderId="5" xfId="0" applyNumberFormat="1" applyFont="1" applyBorder="1"/>
    <xf numFmtId="41" fontId="4" fillId="0" borderId="0" xfId="0" applyNumberFormat="1" applyFont="1"/>
    <xf numFmtId="0" fontId="2" fillId="0" borderId="0" xfId="2" applyFont="1"/>
    <xf numFmtId="3" fontId="6" fillId="0" borderId="0" xfId="1" applyNumberFormat="1" applyFont="1" applyAlignment="1"/>
    <xf numFmtId="37" fontId="2" fillId="0" borderId="0" xfId="2" applyNumberFormat="1" applyFont="1"/>
    <xf numFmtId="5" fontId="7" fillId="0" borderId="0" xfId="2" applyNumberFormat="1" applyFont="1"/>
    <xf numFmtId="0" fontId="2" fillId="0" borderId="0" xfId="0" applyFont="1" applyBorder="1" applyAlignment="1">
      <alignment horizontal="center"/>
    </xf>
    <xf numFmtId="3" fontId="7" fillId="0" borderId="0" xfId="1" applyNumberFormat="1" applyFont="1" applyAlignment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41" fontId="4" fillId="0" borderId="4" xfId="0" applyNumberFormat="1" applyFont="1" applyBorder="1"/>
    <xf numFmtId="0" fontId="2" fillId="0" borderId="0" xfId="0" applyFont="1" applyFill="1" applyBorder="1" applyAlignment="1">
      <alignment horizontal="center"/>
    </xf>
    <xf numFmtId="41" fontId="3" fillId="0" borderId="0" xfId="0" applyNumberFormat="1" applyFont="1" applyAlignment="1">
      <alignment horizontal="right"/>
    </xf>
    <xf numFmtId="0" fontId="4" fillId="0" borderId="0" xfId="0" applyFont="1" applyBorder="1"/>
    <xf numFmtId="41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41" fontId="4" fillId="0" borderId="9" xfId="0" applyNumberFormat="1" applyFont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/>
    <xf numFmtId="0" fontId="4" fillId="0" borderId="7" xfId="0" applyFont="1" applyFill="1" applyBorder="1"/>
    <xf numFmtId="41" fontId="2" fillId="0" borderId="7" xfId="0" applyNumberFormat="1" applyFont="1" applyFill="1" applyBorder="1"/>
    <xf numFmtId="41" fontId="4" fillId="0" borderId="7" xfId="0" applyNumberFormat="1" applyFont="1" applyFill="1" applyBorder="1"/>
    <xf numFmtId="0" fontId="2" fillId="0" borderId="2" xfId="0" applyFont="1" applyFill="1" applyBorder="1"/>
    <xf numFmtId="0" fontId="4" fillId="0" borderId="2" xfId="0" applyFont="1" applyFill="1" applyBorder="1"/>
    <xf numFmtId="0" fontId="2" fillId="0" borderId="8" xfId="0" applyFont="1" applyFill="1" applyBorder="1"/>
    <xf numFmtId="0" fontId="2" fillId="0" borderId="3" xfId="0" applyFont="1" applyFill="1" applyBorder="1"/>
    <xf numFmtId="0" fontId="2" fillId="0" borderId="6" xfId="0" applyFont="1" applyBorder="1"/>
    <xf numFmtId="0" fontId="2" fillId="0" borderId="5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horizontal="right"/>
    </xf>
    <xf numFmtId="0" fontId="2" fillId="0" borderId="7" xfId="0" applyFont="1" applyBorder="1"/>
    <xf numFmtId="0" fontId="2" fillId="0" borderId="2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4" fillId="0" borderId="0" xfId="0" applyFont="1" applyFill="1" applyBorder="1"/>
    <xf numFmtId="0" fontId="4" fillId="0" borderId="7" xfId="0" applyFont="1" applyBorder="1"/>
  </cellXfs>
  <cellStyles count="3">
    <cellStyle name="Normal" xfId="0" builtinId="0"/>
    <cellStyle name="Normal 2 3" xfId="1" xr:uid="{B891B809-1FB5-4508-BEBF-D1BBA7055402}"/>
    <cellStyle name="Normal_WAGas6_97" xfId="2" xr:uid="{712D53EB-D0DE-44F7-909E-61ACCA09B9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7%20-%20UE-150204%202015%20GRC/remand/ana/_src/150204-05%20Hancock%20Exh%20CSH-2%20Revised%2010-13-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xh.%20No.%20BGM-11%20Appeals%20Decision%20Electric%20Attrition%20Stud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7%20-%20UE-150204%202015%20GRC/remand/ana/_src/150204-05%20Hancock%20Exh%20CSH-2%20Revised%2010-13-15%20Order%200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7%20-%20UE-150204%202015%20GRC/remand/ana/_src/150204-05%20Hancock%20Exh%20CSH-3%20Revised%2010-13-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xh.%20No.%20BGM-12%20Appeals%20Decision%20Gas%20Attrition%20Stu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2016"/>
      <sheetName val="RR SUMMARY"/>
      <sheetName val="CF "/>
      <sheetName val="ADJ DETAIL-INPUT"/>
      <sheetName val="COMPARISON -SETTLEMENT"/>
      <sheetName val="no print-LEAD SHEETS"/>
      <sheetName val="no print-ADJ SUMMARY"/>
      <sheetName val="no print-ROO INPUT"/>
      <sheetName val="no print-DEBT CALC"/>
    </sheetNames>
    <sheetDataSet>
      <sheetData sheetId="0" refreshError="1"/>
      <sheetData sheetId="1" refreshError="1"/>
      <sheetData sheetId="2" refreshError="1"/>
      <sheetData sheetId="3">
        <row r="25">
          <cell r="E25">
            <v>23738</v>
          </cell>
        </row>
        <row r="32">
          <cell r="E32">
            <v>23480</v>
          </cell>
        </row>
        <row r="42">
          <cell r="E42">
            <v>16215</v>
          </cell>
        </row>
        <row r="59">
          <cell r="E59">
            <v>100295</v>
          </cell>
          <cell r="AO59">
            <v>6239.6943192372837</v>
          </cell>
          <cell r="AR59">
            <v>49992.067118272025</v>
          </cell>
        </row>
        <row r="60">
          <cell r="E60">
            <v>747839</v>
          </cell>
          <cell r="AO60">
            <v>9283.4826571000012</v>
          </cell>
          <cell r="AR60">
            <v>11146.948</v>
          </cell>
        </row>
        <row r="61">
          <cell r="E61">
            <v>370703</v>
          </cell>
          <cell r="AO61">
            <v>19509.809032600002</v>
          </cell>
          <cell r="AR61">
            <v>0</v>
          </cell>
        </row>
        <row r="62">
          <cell r="E62">
            <v>830629</v>
          </cell>
          <cell r="AO62">
            <v>30021.539200293279</v>
          </cell>
          <cell r="AR62">
            <v>5357.6769999999997</v>
          </cell>
        </row>
        <row r="63">
          <cell r="E63">
            <v>192845</v>
          </cell>
          <cell r="AO63">
            <v>7351.2015534889215</v>
          </cell>
          <cell r="AR63">
            <v>1.4600397313196944</v>
          </cell>
        </row>
        <row r="66">
          <cell r="E66">
            <v>-19415</v>
          </cell>
          <cell r="AO66">
            <v>-952.05682914252429</v>
          </cell>
          <cell r="AR66">
            <v>-3803.4412840156915</v>
          </cell>
        </row>
        <row r="67">
          <cell r="E67">
            <v>-324667</v>
          </cell>
          <cell r="AO67">
            <v>-5359.0203217725848</v>
          </cell>
          <cell r="AR67">
            <v>-145.24785082500006</v>
          </cell>
        </row>
        <row r="68">
          <cell r="E68">
            <v>-124279</v>
          </cell>
          <cell r="AO68">
            <v>-705.36729550666996</v>
          </cell>
          <cell r="AR68">
            <v>0</v>
          </cell>
        </row>
        <row r="69">
          <cell r="E69">
            <v>-248229</v>
          </cell>
          <cell r="AO69">
            <v>-14474.0759305182</v>
          </cell>
          <cell r="AR69">
            <v>-114.07160918333332</v>
          </cell>
        </row>
        <row r="70">
          <cell r="E70">
            <v>-63732</v>
          </cell>
          <cell r="AO70">
            <v>-2207.4069644691494</v>
          </cell>
          <cell r="AR70">
            <v>-5.3309700689810342E-2</v>
          </cell>
        </row>
        <row r="74">
          <cell r="E74">
            <v>-238376</v>
          </cell>
          <cell r="F74">
            <v>-6009</v>
          </cell>
          <cell r="AO74">
            <v>-53079.000000000007</v>
          </cell>
          <cell r="AR74">
            <v>-4340</v>
          </cell>
        </row>
        <row r="76">
          <cell r="E76">
            <v>11848</v>
          </cell>
          <cell r="G76">
            <v>-7399</v>
          </cell>
        </row>
        <row r="77">
          <cell r="E77">
            <v>25039</v>
          </cell>
          <cell r="H77">
            <v>20703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OR"/>
      <sheetName val="Attrition 09.2014 to 2016"/>
      <sheetName val="Cost Trends"/>
      <sheetName val="Net Plant"/>
      <sheetName val="Dep-Amort"/>
      <sheetName val="Adj Taxes"/>
      <sheetName val="Other Revenue"/>
      <sheetName val="Adj Operating Exp-2007-2014"/>
      <sheetName val="Plant Trends"/>
      <sheetName val="Weighted Revenue Growth"/>
      <sheetName val="12.2014 CB Power Supply"/>
      <sheetName val="incremental load expense"/>
      <sheetName val="PF Power Supply 09.2014 load"/>
      <sheetName val="PF Power Supply 2016 load"/>
      <sheetName val="09.2014 Rev Model"/>
      <sheetName val="2016 Customers and Demand"/>
      <sheetName val="2016 Forecast Energy"/>
      <sheetName val="456 Revenue"/>
      <sheetName val="CS2-Colstrip 2016 Incrmntl Exp"/>
      <sheetName val="Reg Amorts"/>
      <sheetName val="DSM"/>
      <sheetName val="ResX"/>
      <sheetName val="CBR Hist"/>
      <sheetName val="PS Consolidated"/>
      <sheetName val="Other Rev"/>
      <sheetName val="Sheet1"/>
    </sheetNames>
    <sheetDataSet>
      <sheetData sheetId="0"/>
      <sheetData sheetId="1"/>
      <sheetData sheetId="2">
        <row r="8">
          <cell r="Z8">
            <v>-4295.396367074376</v>
          </cell>
        </row>
        <row r="18">
          <cell r="E18">
            <v>23715</v>
          </cell>
          <cell r="K18">
            <v>9.5485292292416535E-2</v>
          </cell>
        </row>
        <row r="25">
          <cell r="E25">
            <v>23794</v>
          </cell>
        </row>
        <row r="36">
          <cell r="E36">
            <v>16947</v>
          </cell>
          <cell r="R36">
            <v>3887</v>
          </cell>
        </row>
        <row r="58">
          <cell r="E58">
            <v>102620</v>
          </cell>
          <cell r="K58">
            <v>7.8286858322130823E-2</v>
          </cell>
          <cell r="R58">
            <v>46004</v>
          </cell>
        </row>
        <row r="59">
          <cell r="E59">
            <v>746101</v>
          </cell>
        </row>
        <row r="60">
          <cell r="E60">
            <v>371971</v>
          </cell>
        </row>
        <row r="61">
          <cell r="E61">
            <v>842795</v>
          </cell>
        </row>
        <row r="62">
          <cell r="E62">
            <v>196867</v>
          </cell>
        </row>
        <row r="65">
          <cell r="E65">
            <v>-20242</v>
          </cell>
          <cell r="R65">
            <v>-1943</v>
          </cell>
        </row>
        <row r="66">
          <cell r="E66">
            <v>-325531</v>
          </cell>
        </row>
        <row r="67">
          <cell r="E67">
            <v>-123869</v>
          </cell>
        </row>
        <row r="68">
          <cell r="E68">
            <v>-252722</v>
          </cell>
        </row>
        <row r="69">
          <cell r="E69">
            <v>-65720</v>
          </cell>
        </row>
        <row r="74">
          <cell r="E74">
            <v>-257766</v>
          </cell>
          <cell r="R74">
            <v>-2003</v>
          </cell>
        </row>
        <row r="76">
          <cell r="E76">
            <v>10846</v>
          </cell>
          <cell r="G76">
            <v>-6250</v>
          </cell>
        </row>
        <row r="77">
          <cell r="E77">
            <v>47807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2016"/>
      <sheetName val="RR SUMMARY"/>
      <sheetName val="CF "/>
      <sheetName val="ADJ DETAIL-INPUT"/>
      <sheetName val="COMPARISON -SETTLEMENT"/>
      <sheetName val="no print-LEAD SHEETS"/>
      <sheetName val="no print-ADJ SUMMARY"/>
      <sheetName val="no print-ROO INPUT"/>
      <sheetName val="no print-DEBT CALC"/>
    </sheetNames>
    <sheetDataSet>
      <sheetData sheetId="0" refreshError="1"/>
      <sheetData sheetId="1" refreshError="1"/>
      <sheetData sheetId="2" refreshError="1"/>
      <sheetData sheetId="3">
        <row r="25">
          <cell r="AO25">
            <v>-586.82605538853704</v>
          </cell>
          <cell r="AR25">
            <v>222</v>
          </cell>
        </row>
        <row r="32">
          <cell r="AO32">
            <v>460.57320000000004</v>
          </cell>
          <cell r="AR32">
            <v>156</v>
          </cell>
        </row>
        <row r="42">
          <cell r="AO42">
            <v>2765.2489029661101</v>
          </cell>
          <cell r="AR42">
            <v>4550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-2016"/>
      <sheetName val="RR SUMMARY"/>
      <sheetName val="CF"/>
      <sheetName val="ADJ DETAIL INPUT"/>
      <sheetName val="Recap Summary-for sttlmt disc"/>
      <sheetName val="no print-LEAD SHEETS"/>
      <sheetName val="no print-ADJ SUMMARY"/>
      <sheetName val="no print-DEBT CALC"/>
      <sheetName val="no print-ROO INPUT"/>
    </sheetNames>
    <sheetDataSet>
      <sheetData sheetId="0"/>
      <sheetData sheetId="1"/>
      <sheetData sheetId="2"/>
      <sheetData sheetId="3">
        <row r="29">
          <cell r="E29">
            <v>392</v>
          </cell>
          <cell r="AG29">
            <v>10</v>
          </cell>
        </row>
        <row r="35">
          <cell r="E35">
            <v>8386</v>
          </cell>
          <cell r="Q35">
            <v>-5</v>
          </cell>
          <cell r="AG35">
            <v>138.34399999999999</v>
          </cell>
          <cell r="AI35">
            <v>113</v>
          </cell>
        </row>
        <row r="45">
          <cell r="E45">
            <v>4316</v>
          </cell>
          <cell r="AG45">
            <v>73.285599999999988</v>
          </cell>
          <cell r="AI45">
            <v>1266</v>
          </cell>
        </row>
        <row r="63">
          <cell r="E63">
            <v>24932</v>
          </cell>
          <cell r="AG63">
            <v>608.48481100679999</v>
          </cell>
          <cell r="AI63">
            <v>0</v>
          </cell>
        </row>
        <row r="64">
          <cell r="E64">
            <v>332439</v>
          </cell>
          <cell r="AG64">
            <v>13279.430688522079</v>
          </cell>
          <cell r="AI64">
            <v>4498.857</v>
          </cell>
        </row>
        <row r="65">
          <cell r="E65">
            <v>58679</v>
          </cell>
          <cell r="AG65">
            <v>1093.1010000000001</v>
          </cell>
          <cell r="AI65">
            <v>13900.56596</v>
          </cell>
        </row>
        <row r="69">
          <cell r="E69">
            <v>-9345</v>
          </cell>
          <cell r="AG69">
            <v>-201.38448992845179</v>
          </cell>
          <cell r="AI69">
            <v>0</v>
          </cell>
        </row>
        <row r="70">
          <cell r="E70">
            <v>-113282</v>
          </cell>
          <cell r="AG70">
            <v>-4409.5681650915885</v>
          </cell>
          <cell r="AI70">
            <v>-76.746693450000009</v>
          </cell>
        </row>
        <row r="71">
          <cell r="E71">
            <v>-16998</v>
          </cell>
          <cell r="AG71">
            <v>-404.04600000000005</v>
          </cell>
          <cell r="AI71">
            <v>-1057.5540799999999</v>
          </cell>
        </row>
        <row r="74">
          <cell r="E74">
            <v>-55323</v>
          </cell>
          <cell r="F74">
            <v>-3032</v>
          </cell>
          <cell r="AG74">
            <v>-6578.4999999999927</v>
          </cell>
          <cell r="AI74">
            <v>-1200</v>
          </cell>
        </row>
        <row r="76">
          <cell r="E76">
            <v>12801</v>
          </cell>
        </row>
        <row r="78">
          <cell r="E78">
            <v>-428</v>
          </cell>
        </row>
        <row r="79">
          <cell r="H79">
            <v>10371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OR"/>
      <sheetName val="Attrition 09.2014 to 2016"/>
      <sheetName val="Plant trends"/>
      <sheetName val="Net plant"/>
      <sheetName val="Dep Amort"/>
      <sheetName val="Taxes (other than income)"/>
      <sheetName val="Other Revenue"/>
      <sheetName val="Op Exp"/>
      <sheetName val="Weighted Revenue Growth"/>
      <sheetName val="Cost Trends"/>
      <sheetName val="09.2014 Revenue Model"/>
      <sheetName val="Forecast Bill Determinants"/>
      <sheetName val="Riders and Gas Cost Revenue"/>
      <sheetName val="Reg Amort and Other RB"/>
    </sheetNames>
    <sheetDataSet>
      <sheetData sheetId="0" refreshError="1"/>
      <sheetData sheetId="1" refreshError="1"/>
      <sheetData sheetId="2">
        <row r="14">
          <cell r="Y14">
            <v>-4258.4880808790831</v>
          </cell>
        </row>
        <row r="26">
          <cell r="E26">
            <v>402</v>
          </cell>
          <cell r="K26">
            <v>0.22272850270595312</v>
          </cell>
        </row>
        <row r="32">
          <cell r="E32">
            <v>8513</v>
          </cell>
        </row>
        <row r="42">
          <cell r="E42">
            <v>4389</v>
          </cell>
          <cell r="Q42">
            <v>1119</v>
          </cell>
        </row>
        <row r="69">
          <cell r="E69">
            <v>25235</v>
          </cell>
          <cell r="K69">
            <v>0.16859597788411737</v>
          </cell>
        </row>
        <row r="70">
          <cell r="E70">
            <v>337894</v>
          </cell>
        </row>
        <row r="71">
          <cell r="E71">
            <v>59169</v>
          </cell>
          <cell r="Q71">
            <v>13239</v>
          </cell>
        </row>
        <row r="75">
          <cell r="E75">
            <v>-9521</v>
          </cell>
        </row>
        <row r="76">
          <cell r="E76">
            <v>-114795</v>
          </cell>
        </row>
        <row r="77">
          <cell r="E77">
            <v>-17429</v>
          </cell>
          <cell r="Q77">
            <v>-559</v>
          </cell>
        </row>
        <row r="80">
          <cell r="E80">
            <v>-54652</v>
          </cell>
          <cell r="Q80">
            <v>-577</v>
          </cell>
        </row>
        <row r="82">
          <cell r="E82">
            <v>14762</v>
          </cell>
        </row>
        <row r="84">
          <cell r="E84">
            <v>-479</v>
          </cell>
        </row>
        <row r="85">
          <cell r="E85">
            <v>10073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0F3E-719A-4821-BB23-C0C7C8820A81}">
  <sheetPr codeName="Sheet1"/>
  <dimension ref="A1:AG78"/>
  <sheetViews>
    <sheetView tabSelected="1" zoomScale="85" zoomScaleNormal="85" zoomScaleSheetLayoutView="100" workbookViewId="0"/>
  </sheetViews>
  <sheetFormatPr defaultRowHeight="15"/>
  <cols>
    <col min="1" max="2" width="2.42578125" style="1" customWidth="1"/>
    <col min="3" max="3" width="17" style="1" customWidth="1"/>
    <col min="4" max="4" width="2.42578125" style="1" customWidth="1"/>
    <col min="5" max="5" width="13.28515625" style="1" customWidth="1"/>
    <col min="6" max="6" width="2.42578125" style="1" customWidth="1"/>
    <col min="7" max="12" width="13.28515625" style="1" customWidth="1"/>
    <col min="13" max="13" width="2.42578125" style="1" customWidth="1"/>
    <col min="14" max="14" width="13.28515625" style="1" customWidth="1"/>
    <col min="15" max="15" width="4.140625" style="1" customWidth="1"/>
    <col min="16" max="17" width="2.42578125" style="1" customWidth="1"/>
    <col min="18" max="18" width="17" style="1" customWidth="1"/>
    <col min="19" max="19" width="2.42578125" style="1" customWidth="1"/>
    <col min="20" max="20" width="13.28515625" style="1" customWidth="1"/>
    <col min="21" max="21" width="2.42578125" style="1" customWidth="1"/>
    <col min="22" max="22" width="9.28515625" style="1" bestFit="1" customWidth="1"/>
    <col min="23" max="23" width="2.42578125" style="1" customWidth="1"/>
    <col min="24" max="25" width="13.28515625" style="1" customWidth="1"/>
    <col min="26" max="26" width="2.42578125" style="1" customWidth="1"/>
    <col min="27" max="27" width="13.28515625" style="1" customWidth="1"/>
    <col min="28" max="29" width="2.42578125" style="1" customWidth="1"/>
    <col min="30" max="30" width="13.28515625" style="1" customWidth="1"/>
    <col min="31" max="31" width="2.42578125" style="1" customWidth="1"/>
    <col min="32" max="32" width="9.140625" style="1"/>
    <col min="33" max="33" width="12" style="1" bestFit="1" customWidth="1"/>
    <col min="34" max="16384" width="9.140625" style="1"/>
  </cols>
  <sheetData>
    <row r="1" spans="1:31">
      <c r="A1" s="10" t="s">
        <v>77</v>
      </c>
      <c r="P1" s="10" t="s">
        <v>77</v>
      </c>
    </row>
    <row r="2" spans="1:31">
      <c r="A2" s="1" t="s">
        <v>79</v>
      </c>
      <c r="P2" s="1" t="s">
        <v>79</v>
      </c>
    </row>
    <row r="3" spans="1:31">
      <c r="A3" s="1" t="s">
        <v>78</v>
      </c>
      <c r="P3" s="1" t="s">
        <v>78</v>
      </c>
    </row>
    <row r="4" spans="1:31">
      <c r="A4" s="3" t="s">
        <v>76</v>
      </c>
      <c r="P4" s="3" t="s">
        <v>76</v>
      </c>
    </row>
    <row r="5" spans="1:31">
      <c r="A5" s="1" t="s">
        <v>97</v>
      </c>
      <c r="P5" s="1" t="s">
        <v>98</v>
      </c>
    </row>
    <row r="6" spans="1:31">
      <c r="E6" s="24" t="s">
        <v>68</v>
      </c>
      <c r="F6" s="4"/>
      <c r="G6" s="4"/>
      <c r="H6" s="4"/>
      <c r="I6" s="4"/>
      <c r="J6" s="4"/>
      <c r="K6" s="4"/>
      <c r="L6" s="4"/>
      <c r="M6" s="4"/>
      <c r="N6" s="4"/>
      <c r="T6" s="24" t="s">
        <v>69</v>
      </c>
      <c r="U6" s="4"/>
      <c r="V6" s="4"/>
      <c r="W6" s="4"/>
      <c r="X6" s="4"/>
      <c r="Y6" s="4"/>
      <c r="Z6" s="4"/>
      <c r="AA6" s="4"/>
      <c r="AC6" s="42"/>
      <c r="AD6" s="43"/>
      <c r="AE6" s="44"/>
    </row>
    <row r="7" spans="1:31">
      <c r="E7" s="2"/>
      <c r="F7" s="2"/>
      <c r="G7" s="2" t="s">
        <v>13</v>
      </c>
      <c r="H7" s="2" t="s">
        <v>13</v>
      </c>
      <c r="I7" s="2"/>
      <c r="J7" s="2" t="s">
        <v>89</v>
      </c>
      <c r="K7" s="2"/>
      <c r="L7" s="2" t="s">
        <v>89</v>
      </c>
      <c r="M7" s="2"/>
      <c r="N7" s="2" t="s">
        <v>32</v>
      </c>
      <c r="O7" s="2"/>
      <c r="P7" s="2"/>
      <c r="Q7" s="2"/>
      <c r="R7" s="2"/>
      <c r="S7" s="2"/>
      <c r="T7" s="6" t="s">
        <v>10</v>
      </c>
      <c r="U7" s="2"/>
      <c r="V7" s="2"/>
      <c r="W7" s="2"/>
      <c r="X7" s="2"/>
      <c r="Y7" s="2"/>
      <c r="Z7" s="2"/>
      <c r="AA7" s="2" t="s">
        <v>32</v>
      </c>
      <c r="AB7" s="2"/>
      <c r="AC7" s="33"/>
      <c r="AD7" s="31" t="s">
        <v>44</v>
      </c>
      <c r="AE7" s="38"/>
    </row>
    <row r="8" spans="1:31">
      <c r="E8" s="6" t="s">
        <v>10</v>
      </c>
      <c r="F8" s="2"/>
      <c r="G8" s="2" t="s">
        <v>15</v>
      </c>
      <c r="H8" s="2" t="s">
        <v>16</v>
      </c>
      <c r="I8" s="2" t="s">
        <v>14</v>
      </c>
      <c r="J8" s="2" t="s">
        <v>92</v>
      </c>
      <c r="K8" s="2" t="s">
        <v>27</v>
      </c>
      <c r="L8" s="2" t="s">
        <v>90</v>
      </c>
      <c r="M8" s="2"/>
      <c r="N8" s="2" t="s">
        <v>33</v>
      </c>
      <c r="O8" s="2"/>
      <c r="P8" s="2"/>
      <c r="Q8" s="2"/>
      <c r="R8" s="2"/>
      <c r="S8" s="2"/>
      <c r="T8" s="22" t="s">
        <v>35</v>
      </c>
      <c r="U8" s="2"/>
      <c r="V8" s="2" t="s">
        <v>36</v>
      </c>
      <c r="W8" s="2"/>
      <c r="X8" s="2" t="s">
        <v>38</v>
      </c>
      <c r="Y8" s="2" t="s">
        <v>41</v>
      </c>
      <c r="Z8" s="2"/>
      <c r="AA8" s="2" t="s">
        <v>43</v>
      </c>
      <c r="AB8" s="2"/>
      <c r="AC8" s="33"/>
      <c r="AD8" s="31" t="s">
        <v>45</v>
      </c>
      <c r="AE8" s="38"/>
    </row>
    <row r="9" spans="1:31">
      <c r="E9" s="5" t="s">
        <v>11</v>
      </c>
      <c r="F9" s="2"/>
      <c r="G9" s="5" t="s">
        <v>18</v>
      </c>
      <c r="H9" s="5" t="s">
        <v>19</v>
      </c>
      <c r="I9" s="5" t="s">
        <v>17</v>
      </c>
      <c r="J9" s="5" t="s">
        <v>93</v>
      </c>
      <c r="K9" s="5" t="s">
        <v>28</v>
      </c>
      <c r="L9" s="5" t="s">
        <v>91</v>
      </c>
      <c r="M9" s="2"/>
      <c r="N9" s="5" t="s">
        <v>18</v>
      </c>
      <c r="O9" s="2"/>
      <c r="P9" s="2"/>
      <c r="Q9" s="2"/>
      <c r="R9" s="2"/>
      <c r="S9" s="2"/>
      <c r="T9" s="14" t="s">
        <v>40</v>
      </c>
      <c r="U9" s="2"/>
      <c r="V9" s="5" t="s">
        <v>37</v>
      </c>
      <c r="W9" s="2"/>
      <c r="X9" s="5" t="s">
        <v>39</v>
      </c>
      <c r="Y9" s="5" t="s">
        <v>42</v>
      </c>
      <c r="Z9" s="2"/>
      <c r="AA9" s="5" t="s">
        <v>18</v>
      </c>
      <c r="AB9" s="2"/>
      <c r="AC9" s="33"/>
      <c r="AD9" s="25" t="s">
        <v>43</v>
      </c>
      <c r="AE9" s="38"/>
    </row>
    <row r="10" spans="1:31">
      <c r="E10" s="6" t="s">
        <v>21</v>
      </c>
      <c r="F10" s="2"/>
      <c r="G10" s="6" t="s">
        <v>25</v>
      </c>
      <c r="H10" s="6" t="s">
        <v>24</v>
      </c>
      <c r="I10" s="6" t="s">
        <v>23</v>
      </c>
      <c r="J10" s="6" t="s">
        <v>22</v>
      </c>
      <c r="K10" s="6" t="s">
        <v>26</v>
      </c>
      <c r="L10" s="6" t="s">
        <v>29</v>
      </c>
      <c r="AC10" s="34"/>
      <c r="AD10" s="29"/>
      <c r="AE10" s="38"/>
    </row>
    <row r="11" spans="1:31">
      <c r="B11" s="19" t="s">
        <v>0</v>
      </c>
      <c r="C11" s="19"/>
      <c r="L11" s="27" t="s">
        <v>30</v>
      </c>
      <c r="Q11" s="19" t="s">
        <v>0</v>
      </c>
      <c r="R11" s="19"/>
      <c r="AC11" s="34"/>
      <c r="AD11" s="29"/>
      <c r="AE11" s="38"/>
    </row>
    <row r="12" spans="1:31">
      <c r="B12" s="19"/>
      <c r="C12" s="19" t="s">
        <v>1</v>
      </c>
      <c r="E12" s="7">
        <f>+'[1]ADJ DETAIL-INPUT'!$E59</f>
        <v>100295</v>
      </c>
      <c r="F12" s="7"/>
      <c r="G12" s="7"/>
      <c r="H12" s="7"/>
      <c r="I12" s="7"/>
      <c r="J12" s="7">
        <f>+'[1]ADJ DETAIL-INPUT'!$AO59</f>
        <v>6239.6943192372837</v>
      </c>
      <c r="K12" s="7"/>
      <c r="L12" s="7">
        <f>+'[1]ADJ DETAIL-INPUT'!$AR59-1732</f>
        <v>48260.067118272025</v>
      </c>
      <c r="M12" s="7"/>
      <c r="N12" s="7">
        <f>+SUM(E12:L12)</f>
        <v>154794.76143750933</v>
      </c>
      <c r="Q12" s="19"/>
      <c r="R12" s="19" t="s">
        <v>1</v>
      </c>
      <c r="T12" s="7">
        <f>+'[2]Attrition 09.2014 to 2016'!$E58</f>
        <v>102620</v>
      </c>
      <c r="V12" s="11">
        <f>+'[2]Attrition 09.2014 to 2016'!$K$58</f>
        <v>7.8286858322130823E-2</v>
      </c>
      <c r="W12" s="11"/>
      <c r="X12" s="7">
        <f>+T12*V12</f>
        <v>8033.7974010170647</v>
      </c>
      <c r="Y12" s="7">
        <f>+'[2]Attrition 09.2014 to 2016'!$R$58</f>
        <v>46004</v>
      </c>
      <c r="AA12" s="7">
        <f>+SUM(T12,X12,Y12)</f>
        <v>156657.79740101704</v>
      </c>
      <c r="AC12" s="34"/>
      <c r="AD12" s="30">
        <f>+N12-AA12</f>
        <v>-1863.0359635077184</v>
      </c>
      <c r="AE12" s="38"/>
    </row>
    <row r="13" spans="1:31">
      <c r="B13" s="19"/>
      <c r="C13" s="19" t="s">
        <v>2</v>
      </c>
      <c r="E13" s="7">
        <f>+'[1]ADJ DETAIL-INPUT'!$E60</f>
        <v>747839</v>
      </c>
      <c r="F13" s="7"/>
      <c r="G13" s="7"/>
      <c r="H13" s="7"/>
      <c r="I13" s="7"/>
      <c r="J13" s="7">
        <f>+'[1]ADJ DETAIL-INPUT'!$AO60</f>
        <v>9283.4826571000012</v>
      </c>
      <c r="K13" s="7"/>
      <c r="L13" s="7">
        <f>+'[1]ADJ DETAIL-INPUT'!$AR60</f>
        <v>11146.948</v>
      </c>
      <c r="M13" s="7"/>
      <c r="N13" s="7">
        <f>+SUM(E13:L13)</f>
        <v>768269.43065709993</v>
      </c>
      <c r="Q13" s="19"/>
      <c r="R13" s="19" t="s">
        <v>2</v>
      </c>
      <c r="T13" s="7">
        <f>+'[2]Attrition 09.2014 to 2016'!$E59</f>
        <v>746101</v>
      </c>
      <c r="V13" s="11">
        <f>+$V$12</f>
        <v>7.8286858322130823E-2</v>
      </c>
      <c r="W13" s="11"/>
      <c r="X13" s="7">
        <f>+T13*V13</f>
        <v>58409.90328100013</v>
      </c>
      <c r="Y13" s="7"/>
      <c r="AA13" s="7">
        <f>+SUM(T13+X13+Y13)</f>
        <v>804510.90328100009</v>
      </c>
      <c r="AC13" s="34"/>
      <c r="AD13" s="30">
        <f>+N13-AA13</f>
        <v>-36241.472623900161</v>
      </c>
      <c r="AE13" s="38"/>
    </row>
    <row r="14" spans="1:31">
      <c r="B14" s="19"/>
      <c r="C14" s="19" t="s">
        <v>3</v>
      </c>
      <c r="E14" s="7">
        <f>+'[1]ADJ DETAIL-INPUT'!$E61</f>
        <v>370703</v>
      </c>
      <c r="F14" s="7"/>
      <c r="G14" s="7"/>
      <c r="H14" s="7"/>
      <c r="I14" s="7"/>
      <c r="J14" s="7">
        <f>+'[1]ADJ DETAIL-INPUT'!$AO61</f>
        <v>19509.809032600002</v>
      </c>
      <c r="K14" s="7"/>
      <c r="L14" s="7">
        <f>+'[1]ADJ DETAIL-INPUT'!$AR61</f>
        <v>0</v>
      </c>
      <c r="M14" s="7"/>
      <c r="N14" s="7">
        <f>+SUM(E14:L14)</f>
        <v>390212.80903260002</v>
      </c>
      <c r="Q14" s="19"/>
      <c r="R14" s="19" t="s">
        <v>3</v>
      </c>
      <c r="T14" s="7">
        <f>+'[2]Attrition 09.2014 to 2016'!$E60</f>
        <v>371971</v>
      </c>
      <c r="V14" s="11">
        <f>+$V$12</f>
        <v>7.8286858322130823E-2</v>
      </c>
      <c r="W14" s="11"/>
      <c r="X14" s="7">
        <f>+T14*V14</f>
        <v>29120.440976941325</v>
      </c>
      <c r="Y14" s="7"/>
      <c r="AA14" s="7">
        <f>+SUM(T14+X14+Y14)</f>
        <v>401091.44097694132</v>
      </c>
      <c r="AC14" s="34"/>
      <c r="AD14" s="30">
        <f>+N14-AA14</f>
        <v>-10878.631944341294</v>
      </c>
      <c r="AE14" s="38"/>
    </row>
    <row r="15" spans="1:31">
      <c r="B15" s="19"/>
      <c r="C15" s="19" t="s">
        <v>4</v>
      </c>
      <c r="E15" s="7">
        <f>+'[1]ADJ DETAIL-INPUT'!$E62</f>
        <v>830629</v>
      </c>
      <c r="F15" s="7"/>
      <c r="G15" s="7"/>
      <c r="H15" s="7"/>
      <c r="I15" s="7"/>
      <c r="J15" s="7">
        <f>+'[1]ADJ DETAIL-INPUT'!$AO62</f>
        <v>30021.539200293279</v>
      </c>
      <c r="K15" s="7"/>
      <c r="L15" s="7">
        <f>+'[1]ADJ DETAIL-INPUT'!$AR62</f>
        <v>5357.6769999999997</v>
      </c>
      <c r="M15" s="7"/>
      <c r="N15" s="7">
        <f>+SUM(E15:L15)</f>
        <v>866008.21620029327</v>
      </c>
      <c r="Q15" s="19"/>
      <c r="R15" s="19" t="s">
        <v>4</v>
      </c>
      <c r="T15" s="7">
        <f>+'[2]Attrition 09.2014 to 2016'!$E61</f>
        <v>842795</v>
      </c>
      <c r="V15" s="11">
        <v>0</v>
      </c>
      <c r="W15" s="11"/>
      <c r="X15" s="7">
        <f>+T15*V15</f>
        <v>0</v>
      </c>
      <c r="Y15" s="7"/>
      <c r="AA15" s="7">
        <f>+SUM(T15+X15+Y15)</f>
        <v>842795</v>
      </c>
      <c r="AC15" s="34"/>
      <c r="AD15" s="30">
        <f>+N15-AA15</f>
        <v>23213.216200293275</v>
      </c>
      <c r="AE15" s="38"/>
    </row>
    <row r="16" spans="1:31">
      <c r="B16" s="19"/>
      <c r="C16" s="19" t="s">
        <v>5</v>
      </c>
      <c r="E16" s="8">
        <f>+'[1]ADJ DETAIL-INPUT'!$E63</f>
        <v>192845</v>
      </c>
      <c r="F16" s="7"/>
      <c r="G16" s="8"/>
      <c r="H16" s="8"/>
      <c r="I16" s="8"/>
      <c r="J16" s="8">
        <f>+'[1]ADJ DETAIL-INPUT'!$AO63</f>
        <v>7351.2015534889215</v>
      </c>
      <c r="K16" s="8"/>
      <c r="L16" s="8">
        <f>+'[1]ADJ DETAIL-INPUT'!$AR63</f>
        <v>1.4600397313196944</v>
      </c>
      <c r="M16" s="7"/>
      <c r="N16" s="8">
        <f>+SUM(E16:L16)</f>
        <v>200197.66159322023</v>
      </c>
      <c r="Q16" s="19"/>
      <c r="R16" s="19" t="s">
        <v>5</v>
      </c>
      <c r="T16" s="8">
        <f>+'[2]Attrition 09.2014 to 2016'!$E62</f>
        <v>196867</v>
      </c>
      <c r="V16" s="11">
        <f>+$V$12</f>
        <v>7.8286858322130823E-2</v>
      </c>
      <c r="W16" s="11"/>
      <c r="X16" s="8">
        <f>+T16*V16</f>
        <v>15412.098937302928</v>
      </c>
      <c r="Y16" s="8"/>
      <c r="AA16" s="8">
        <f>+SUM(T16+X16+Y16)</f>
        <v>212279.09893730292</v>
      </c>
      <c r="AC16" s="34"/>
      <c r="AD16" s="26">
        <f>+N16-AA16</f>
        <v>-12081.437344082689</v>
      </c>
      <c r="AE16" s="38"/>
    </row>
    <row r="17" spans="2:31">
      <c r="B17" s="19"/>
      <c r="C17" s="19" t="s">
        <v>9</v>
      </c>
      <c r="E17" s="7">
        <f>+SUM(E12:E16)</f>
        <v>2242311</v>
      </c>
      <c r="F17" s="7"/>
      <c r="G17" s="7">
        <f>+SUM(G12:G16)</f>
        <v>0</v>
      </c>
      <c r="H17" s="7">
        <f t="shared" ref="H17:N17" si="0">+SUM(H12:H16)</f>
        <v>0</v>
      </c>
      <c r="I17" s="7">
        <f t="shared" si="0"/>
        <v>0</v>
      </c>
      <c r="J17" s="7">
        <f t="shared" si="0"/>
        <v>72405.726762719481</v>
      </c>
      <c r="K17" s="7">
        <f t="shared" si="0"/>
        <v>0</v>
      </c>
      <c r="L17" s="7">
        <f t="shared" si="0"/>
        <v>64766.152158003344</v>
      </c>
      <c r="M17" s="7"/>
      <c r="N17" s="7">
        <f t="shared" si="0"/>
        <v>2379482.8789207228</v>
      </c>
      <c r="Q17" s="19"/>
      <c r="R17" s="19" t="s">
        <v>9</v>
      </c>
      <c r="T17" s="7">
        <f>+SUM(T12:T16)</f>
        <v>2260354</v>
      </c>
      <c r="X17" s="7">
        <f>+SUM(X12:X16)</f>
        <v>110976.24059626144</v>
      </c>
      <c r="Y17" s="7">
        <f>+SUM(Y12:Y16)</f>
        <v>46004</v>
      </c>
      <c r="AA17" s="7">
        <f>+SUM(AA12:AA16)</f>
        <v>2417334.2405962613</v>
      </c>
      <c r="AC17" s="34"/>
      <c r="AD17" s="30">
        <f>+SUM(AD12:AD16)</f>
        <v>-37851.361675538588</v>
      </c>
      <c r="AE17" s="38"/>
    </row>
    <row r="18" spans="2:31">
      <c r="B18" s="19"/>
      <c r="C18" s="19"/>
      <c r="E18" s="7"/>
      <c r="F18" s="7"/>
      <c r="G18" s="7"/>
      <c r="H18" s="7"/>
      <c r="I18" s="7"/>
      <c r="J18" s="7"/>
      <c r="K18" s="7"/>
      <c r="L18" s="7"/>
      <c r="M18" s="7"/>
      <c r="N18" s="7"/>
      <c r="Q18" s="19"/>
      <c r="R18" s="19"/>
      <c r="T18" s="7"/>
      <c r="X18" s="7"/>
      <c r="Y18" s="7"/>
      <c r="AA18" s="7"/>
      <c r="AC18" s="34"/>
      <c r="AD18" s="30"/>
      <c r="AE18" s="38"/>
    </row>
    <row r="19" spans="2:31">
      <c r="B19" s="19" t="s">
        <v>12</v>
      </c>
      <c r="C19" s="19"/>
      <c r="E19" s="7"/>
      <c r="F19" s="7"/>
      <c r="G19" s="7"/>
      <c r="H19" s="7"/>
      <c r="I19" s="7"/>
      <c r="J19" s="7"/>
      <c r="K19" s="7"/>
      <c r="L19" s="7"/>
      <c r="M19" s="7"/>
      <c r="N19" s="7"/>
      <c r="Q19" s="19" t="s">
        <v>12</v>
      </c>
      <c r="R19" s="19"/>
      <c r="T19" s="7"/>
      <c r="X19" s="7"/>
      <c r="Y19" s="7"/>
      <c r="AA19" s="7"/>
      <c r="AC19" s="34"/>
      <c r="AD19" s="30"/>
      <c r="AE19" s="38"/>
    </row>
    <row r="20" spans="2:31">
      <c r="B20" s="19"/>
      <c r="C20" s="19" t="s">
        <v>1</v>
      </c>
      <c r="E20" s="7">
        <f>+'[1]ADJ DETAIL-INPUT'!$E66</f>
        <v>-19415</v>
      </c>
      <c r="F20" s="7"/>
      <c r="G20" s="7"/>
      <c r="H20" s="7"/>
      <c r="I20" s="7"/>
      <c r="J20" s="7">
        <f>+'[1]ADJ DETAIL-INPUT'!AO66</f>
        <v>-952.05682914252429</v>
      </c>
      <c r="K20" s="7"/>
      <c r="L20" s="7">
        <f>+'[1]ADJ DETAIL-INPUT'!$AR66</f>
        <v>-3803.4412840156915</v>
      </c>
      <c r="M20" s="7"/>
      <c r="N20" s="7">
        <f t="shared" ref="N20:N24" si="1">+SUM(E20:L20)</f>
        <v>-24170.498113158214</v>
      </c>
      <c r="Q20" s="19"/>
      <c r="R20" s="19" t="s">
        <v>1</v>
      </c>
      <c r="T20" s="7">
        <f>+'[2]Attrition 09.2014 to 2016'!$E65</f>
        <v>-20242</v>
      </c>
      <c r="V20" s="11">
        <f>+$V$12</f>
        <v>7.8286858322130823E-2</v>
      </c>
      <c r="W20" s="11"/>
      <c r="X20" s="7">
        <f>+T20*V20</f>
        <v>-1584.6825861565721</v>
      </c>
      <c r="Y20" s="7">
        <f>+'[2]Attrition 09.2014 to 2016'!$R$65</f>
        <v>-1943</v>
      </c>
      <c r="AA20" s="7">
        <f>+SUM(T20+X20+Y20)</f>
        <v>-23769.682586156574</v>
      </c>
      <c r="AC20" s="34"/>
      <c r="AD20" s="30">
        <f>+N20-AA20</f>
        <v>-400.81552700163957</v>
      </c>
      <c r="AE20" s="38"/>
    </row>
    <row r="21" spans="2:31">
      <c r="B21" s="19"/>
      <c r="C21" s="19" t="s">
        <v>2</v>
      </c>
      <c r="E21" s="7">
        <f>+'[1]ADJ DETAIL-INPUT'!$E67</f>
        <v>-324667</v>
      </c>
      <c r="F21" s="7"/>
      <c r="G21" s="7"/>
      <c r="H21" s="7"/>
      <c r="I21" s="7"/>
      <c r="J21" s="7">
        <f>+'[1]ADJ DETAIL-INPUT'!AO67</f>
        <v>-5359.0203217725848</v>
      </c>
      <c r="K21" s="7"/>
      <c r="L21" s="7">
        <f>+'[1]ADJ DETAIL-INPUT'!$AR67</f>
        <v>-145.24785082500006</v>
      </c>
      <c r="M21" s="7"/>
      <c r="N21" s="7">
        <f t="shared" si="1"/>
        <v>-330171.26817259763</v>
      </c>
      <c r="Q21" s="19"/>
      <c r="R21" s="19" t="s">
        <v>2</v>
      </c>
      <c r="T21" s="7">
        <f>+'[2]Attrition 09.2014 to 2016'!$E66</f>
        <v>-325531</v>
      </c>
      <c r="V21" s="11">
        <f>+$V$12</f>
        <v>7.8286858322130823E-2</v>
      </c>
      <c r="W21" s="11"/>
      <c r="X21" s="7">
        <f>+T21*V21</f>
        <v>-25484.79927646157</v>
      </c>
      <c r="Y21" s="7"/>
      <c r="AA21" s="7">
        <f>+SUM(T21+X21+Y21)</f>
        <v>-351015.79927646159</v>
      </c>
      <c r="AC21" s="34"/>
      <c r="AD21" s="30">
        <f>+N21-AA21</f>
        <v>20844.531103863963</v>
      </c>
      <c r="AE21" s="38"/>
    </row>
    <row r="22" spans="2:31">
      <c r="B22" s="19"/>
      <c r="C22" s="19" t="s">
        <v>3</v>
      </c>
      <c r="E22" s="7">
        <f>+'[1]ADJ DETAIL-INPUT'!$E68</f>
        <v>-124279</v>
      </c>
      <c r="F22" s="7"/>
      <c r="G22" s="7"/>
      <c r="H22" s="7"/>
      <c r="I22" s="7"/>
      <c r="J22" s="7">
        <f>+'[1]ADJ DETAIL-INPUT'!AO68</f>
        <v>-705.36729550666996</v>
      </c>
      <c r="K22" s="7"/>
      <c r="L22" s="7">
        <f>+'[1]ADJ DETAIL-INPUT'!$AR68</f>
        <v>0</v>
      </c>
      <c r="M22" s="7"/>
      <c r="N22" s="7">
        <f t="shared" si="1"/>
        <v>-124984.36729550667</v>
      </c>
      <c r="Q22" s="19"/>
      <c r="R22" s="19" t="s">
        <v>3</v>
      </c>
      <c r="T22" s="7">
        <f>+'[2]Attrition 09.2014 to 2016'!$E67</f>
        <v>-123869</v>
      </c>
      <c r="V22" s="11">
        <f>+$V$12</f>
        <v>7.8286858322130823E-2</v>
      </c>
      <c r="W22" s="11"/>
      <c r="X22" s="7">
        <f>+T22*V22</f>
        <v>-9697.3148535040236</v>
      </c>
      <c r="Y22" s="7"/>
      <c r="AA22" s="7">
        <f>+SUM(T22+X22+Y22)</f>
        <v>-133566.31485350401</v>
      </c>
      <c r="AC22" s="34"/>
      <c r="AD22" s="30">
        <f>+N22-AA22</f>
        <v>8581.9475579973368</v>
      </c>
      <c r="AE22" s="38"/>
    </row>
    <row r="23" spans="2:31">
      <c r="B23" s="19"/>
      <c r="C23" s="19" t="s">
        <v>4</v>
      </c>
      <c r="E23" s="7">
        <f>+'[1]ADJ DETAIL-INPUT'!$E69</f>
        <v>-248229</v>
      </c>
      <c r="F23" s="7"/>
      <c r="G23" s="7"/>
      <c r="H23" s="7"/>
      <c r="I23" s="7"/>
      <c r="J23" s="7">
        <f>+'[1]ADJ DETAIL-INPUT'!AO69</f>
        <v>-14474.0759305182</v>
      </c>
      <c r="K23" s="7"/>
      <c r="L23" s="7">
        <f>+'[1]ADJ DETAIL-INPUT'!$AR69</f>
        <v>-114.07160918333332</v>
      </c>
      <c r="M23" s="7"/>
      <c r="N23" s="7">
        <f t="shared" si="1"/>
        <v>-262817.14753970155</v>
      </c>
      <c r="Q23" s="19"/>
      <c r="R23" s="19" t="s">
        <v>4</v>
      </c>
      <c r="T23" s="7">
        <f>+'[2]Attrition 09.2014 to 2016'!$E68</f>
        <v>-252722</v>
      </c>
      <c r="V23" s="11">
        <v>0</v>
      </c>
      <c r="W23" s="11"/>
      <c r="X23" s="7">
        <f>+T23*V23</f>
        <v>0</v>
      </c>
      <c r="Y23" s="7"/>
      <c r="AA23" s="7">
        <f>+SUM(T23+X23+Y23)</f>
        <v>-252722</v>
      </c>
      <c r="AC23" s="34"/>
      <c r="AD23" s="30">
        <f>+N23-AA23</f>
        <v>-10095.147539701546</v>
      </c>
      <c r="AE23" s="38"/>
    </row>
    <row r="24" spans="2:31">
      <c r="B24" s="19"/>
      <c r="C24" s="19" t="s">
        <v>5</v>
      </c>
      <c r="E24" s="8">
        <f>+'[1]ADJ DETAIL-INPUT'!$E70</f>
        <v>-63732</v>
      </c>
      <c r="F24" s="7"/>
      <c r="G24" s="8"/>
      <c r="H24" s="8"/>
      <c r="I24" s="8"/>
      <c r="J24" s="8">
        <f>+'[1]ADJ DETAIL-INPUT'!AO70</f>
        <v>-2207.4069644691494</v>
      </c>
      <c r="K24" s="8"/>
      <c r="L24" s="8">
        <f>+'[1]ADJ DETAIL-INPUT'!$AR70</f>
        <v>-5.3309700689810342E-2</v>
      </c>
      <c r="M24" s="7"/>
      <c r="N24" s="8">
        <f t="shared" si="1"/>
        <v>-65939.460274169833</v>
      </c>
      <c r="Q24" s="19"/>
      <c r="R24" s="19" t="s">
        <v>5</v>
      </c>
      <c r="T24" s="8">
        <f>+'[2]Attrition 09.2014 to 2016'!$E69</f>
        <v>-65720</v>
      </c>
      <c r="V24" s="11">
        <f>+$V$12</f>
        <v>7.8286858322130823E-2</v>
      </c>
      <c r="W24" s="11"/>
      <c r="X24" s="8">
        <f>+T24*V24</f>
        <v>-5145.0123289304374</v>
      </c>
      <c r="Y24" s="8"/>
      <c r="AA24" s="8">
        <f>+SUM(T24+X24+Y24)</f>
        <v>-70865.012328930432</v>
      </c>
      <c r="AC24" s="34"/>
      <c r="AD24" s="26">
        <f>+N24-AA24</f>
        <v>4925.5520547605993</v>
      </c>
      <c r="AE24" s="38"/>
    </row>
    <row r="25" spans="2:31">
      <c r="B25" s="19"/>
      <c r="C25" s="19" t="s">
        <v>9</v>
      </c>
      <c r="E25" s="7">
        <f>+SUM(E20:E24)</f>
        <v>-780322</v>
      </c>
      <c r="F25" s="7"/>
      <c r="G25" s="7">
        <f t="shared" ref="G25:N25" si="2">+SUM(G20:G24)</f>
        <v>0</v>
      </c>
      <c r="H25" s="7">
        <f t="shared" si="2"/>
        <v>0</v>
      </c>
      <c r="I25" s="7">
        <f t="shared" si="2"/>
        <v>0</v>
      </c>
      <c r="J25" s="7">
        <f t="shared" si="2"/>
        <v>-23697.927341409129</v>
      </c>
      <c r="K25" s="7">
        <f t="shared" si="2"/>
        <v>0</v>
      </c>
      <c r="L25" s="7">
        <f t="shared" si="2"/>
        <v>-4062.8140537247145</v>
      </c>
      <c r="M25" s="7"/>
      <c r="N25" s="7">
        <f t="shared" si="2"/>
        <v>-808082.7413951339</v>
      </c>
      <c r="Q25" s="19"/>
      <c r="R25" s="19" t="s">
        <v>9</v>
      </c>
      <c r="T25" s="7">
        <f>+SUM(T20:T24)</f>
        <v>-788084</v>
      </c>
      <c r="X25" s="7">
        <f>+SUM(X20:X24)</f>
        <v>-41911.809045052607</v>
      </c>
      <c r="Y25" s="7">
        <f>+SUM(Y20:Y24)</f>
        <v>-1943</v>
      </c>
      <c r="AA25" s="7">
        <f>+SUM(AA20:AA24)</f>
        <v>-831938.80904505262</v>
      </c>
      <c r="AC25" s="34"/>
      <c r="AD25" s="30">
        <f>+SUM(AD20:AD24)</f>
        <v>23856.067649918714</v>
      </c>
      <c r="AE25" s="38"/>
    </row>
    <row r="26" spans="2:31">
      <c r="B26" s="19"/>
      <c r="C26" s="19"/>
      <c r="E26" s="7"/>
      <c r="F26" s="7"/>
      <c r="G26" s="7"/>
      <c r="H26" s="7"/>
      <c r="I26" s="7"/>
      <c r="J26" s="7"/>
      <c r="K26" s="7"/>
      <c r="L26" s="7"/>
      <c r="M26" s="7"/>
      <c r="N26" s="7"/>
      <c r="Q26" s="19"/>
      <c r="R26" s="19"/>
      <c r="T26" s="7"/>
      <c r="X26" s="7"/>
      <c r="Y26" s="7"/>
      <c r="AA26" s="7"/>
      <c r="AC26" s="34"/>
      <c r="AD26" s="30"/>
      <c r="AE26" s="38"/>
    </row>
    <row r="27" spans="2:31">
      <c r="B27" s="19" t="s">
        <v>6</v>
      </c>
      <c r="C27" s="19"/>
      <c r="E27" s="7">
        <f>+E17+E25</f>
        <v>1461989</v>
      </c>
      <c r="F27" s="7"/>
      <c r="G27" s="7">
        <f>+G17+G25</f>
        <v>0</v>
      </c>
      <c r="H27" s="7">
        <f t="shared" ref="H27:N27" si="3">+H17+H25</f>
        <v>0</v>
      </c>
      <c r="I27" s="7">
        <f t="shared" si="3"/>
        <v>0</v>
      </c>
      <c r="J27" s="7">
        <f t="shared" si="3"/>
        <v>48707.799421310352</v>
      </c>
      <c r="K27" s="7">
        <f t="shared" si="3"/>
        <v>0</v>
      </c>
      <c r="L27" s="7">
        <f t="shared" si="3"/>
        <v>60703.338104278628</v>
      </c>
      <c r="M27" s="7"/>
      <c r="N27" s="7">
        <f t="shared" si="3"/>
        <v>1571400.1375255887</v>
      </c>
      <c r="Q27" s="19" t="s">
        <v>6</v>
      </c>
      <c r="R27" s="19"/>
      <c r="T27" s="7">
        <f>+T17+T25</f>
        <v>1472270</v>
      </c>
      <c r="X27" s="7">
        <f>+X17+X25</f>
        <v>69064.431551208836</v>
      </c>
      <c r="Y27" s="7">
        <f>+Y17+Y25</f>
        <v>44061</v>
      </c>
      <c r="AA27" s="7">
        <f>+AA17+AA25</f>
        <v>1585395.4315512087</v>
      </c>
      <c r="AC27" s="34"/>
      <c r="AD27" s="30">
        <f>+AD17+AD25</f>
        <v>-13995.294025619874</v>
      </c>
      <c r="AE27" s="38"/>
    </row>
    <row r="28" spans="2:31">
      <c r="B28" s="19"/>
      <c r="C28" s="19"/>
      <c r="E28" s="7"/>
      <c r="F28" s="7"/>
      <c r="G28" s="7"/>
      <c r="H28" s="7"/>
      <c r="I28" s="7"/>
      <c r="J28" s="7"/>
      <c r="K28" s="7"/>
      <c r="L28" s="7"/>
      <c r="M28" s="7"/>
      <c r="N28" s="7"/>
      <c r="Q28" s="19"/>
      <c r="R28" s="19"/>
      <c r="T28" s="7"/>
      <c r="X28" s="7"/>
      <c r="Y28" s="7"/>
      <c r="AA28" s="7"/>
      <c r="AC28" s="34"/>
      <c r="AD28" s="30"/>
      <c r="AE28" s="38"/>
    </row>
    <row r="29" spans="2:31">
      <c r="C29" s="19" t="s">
        <v>7</v>
      </c>
      <c r="E29" s="7">
        <f>+'[1]ADJ DETAIL-INPUT'!$E$74</f>
        <v>-238376</v>
      </c>
      <c r="F29" s="7"/>
      <c r="G29" s="7">
        <f>+'[1]ADJ DETAIL-INPUT'!$F$74</f>
        <v>-6009</v>
      </c>
      <c r="H29" s="7"/>
      <c r="I29" s="7"/>
      <c r="J29" s="7">
        <f>+'[1]ADJ DETAIL-INPUT'!$AO$74</f>
        <v>-53079.000000000007</v>
      </c>
      <c r="K29" s="7">
        <v>-3896</v>
      </c>
      <c r="L29" s="7">
        <f>+'[1]ADJ DETAIL-INPUT'!$AR$74</f>
        <v>-4340</v>
      </c>
      <c r="M29" s="7"/>
      <c r="N29" s="7">
        <f>+SUM(E29:L29)</f>
        <v>-305700</v>
      </c>
      <c r="R29" s="19" t="s">
        <v>7</v>
      </c>
      <c r="T29" s="7">
        <f>+'[2]Attrition 09.2014 to 2016'!$E$74</f>
        <v>-257766</v>
      </c>
      <c r="V29" s="11">
        <f>+$V$12</f>
        <v>7.8286858322130823E-2</v>
      </c>
      <c r="W29" s="11"/>
      <c r="X29" s="7">
        <f>+T29*V29</f>
        <v>-20179.690322262373</v>
      </c>
      <c r="Y29" s="7">
        <f>+'[2]Attrition 09.2014 to 2016'!$R$74</f>
        <v>-2003</v>
      </c>
      <c r="AA29" s="7">
        <f>+SUM(T29+X29+Y29)</f>
        <v>-279948.69032226235</v>
      </c>
      <c r="AC29" s="34"/>
      <c r="AD29" s="30">
        <f>+N29-AA29</f>
        <v>-25751.309677737649</v>
      </c>
      <c r="AE29" s="38"/>
    </row>
    <row r="30" spans="2:31">
      <c r="B30" s="19"/>
      <c r="E30" s="8"/>
      <c r="F30" s="7"/>
      <c r="G30" s="8"/>
      <c r="H30" s="8"/>
      <c r="I30" s="8"/>
      <c r="J30" s="8"/>
      <c r="K30" s="8"/>
      <c r="L30" s="8"/>
      <c r="M30" s="7"/>
      <c r="N30" s="8"/>
      <c r="Q30" s="19"/>
      <c r="T30" s="8"/>
      <c r="X30" s="8"/>
      <c r="Y30" s="8"/>
      <c r="AA30" s="8"/>
      <c r="AC30" s="34"/>
      <c r="AD30" s="26"/>
      <c r="AE30" s="38"/>
    </row>
    <row r="31" spans="2:31">
      <c r="B31" s="19" t="s">
        <v>80</v>
      </c>
      <c r="C31" s="19"/>
      <c r="E31" s="7">
        <f>+E27+E29</f>
        <v>1223613</v>
      </c>
      <c r="F31" s="7"/>
      <c r="G31" s="7">
        <f>+G27+G29</f>
        <v>-6009</v>
      </c>
      <c r="H31" s="7">
        <f t="shared" ref="H31:N31" si="4">+H27+H29</f>
        <v>0</v>
      </c>
      <c r="I31" s="7">
        <f t="shared" si="4"/>
        <v>0</v>
      </c>
      <c r="J31" s="7">
        <f t="shared" si="4"/>
        <v>-4371.2005786896552</v>
      </c>
      <c r="K31" s="7">
        <f t="shared" si="4"/>
        <v>-3896</v>
      </c>
      <c r="L31" s="7">
        <f t="shared" si="4"/>
        <v>56363.338104278628</v>
      </c>
      <c r="M31" s="7"/>
      <c r="N31" s="7">
        <f t="shared" si="4"/>
        <v>1265700.1375255887</v>
      </c>
      <c r="Q31" s="19" t="s">
        <v>80</v>
      </c>
      <c r="R31" s="19"/>
      <c r="T31" s="7">
        <f>+T27+T29</f>
        <v>1214504</v>
      </c>
      <c r="X31" s="7">
        <f>+X27+X29</f>
        <v>48884.741228946463</v>
      </c>
      <c r="Y31" s="7">
        <f>+Y27+Y29</f>
        <v>42058</v>
      </c>
      <c r="AA31" s="7">
        <f>+AA27+AA29</f>
        <v>1305446.7412289465</v>
      </c>
      <c r="AC31" s="34"/>
      <c r="AD31" s="30">
        <f>+AD27+AD29</f>
        <v>-39746.603703357527</v>
      </c>
      <c r="AE31" s="38"/>
    </row>
    <row r="32" spans="2:31">
      <c r="B32" s="19"/>
      <c r="C32" s="19"/>
      <c r="E32" s="7"/>
      <c r="F32" s="7"/>
      <c r="G32" s="7"/>
      <c r="H32" s="7"/>
      <c r="I32" s="7"/>
      <c r="J32" s="7"/>
      <c r="K32" s="7"/>
      <c r="L32" s="7"/>
      <c r="M32" s="7"/>
      <c r="N32" s="7"/>
      <c r="Q32" s="19"/>
      <c r="R32" s="19"/>
      <c r="T32" s="7"/>
      <c r="X32" s="7"/>
      <c r="Y32" s="7"/>
      <c r="AA32" s="7"/>
      <c r="AC32" s="34"/>
      <c r="AD32" s="30"/>
      <c r="AE32" s="38"/>
    </row>
    <row r="33" spans="2:33">
      <c r="B33" s="19" t="s">
        <v>95</v>
      </c>
      <c r="C33" s="19"/>
      <c r="E33" s="7">
        <f>+'[1]ADJ DETAIL-INPUT'!$E$76</f>
        <v>11848</v>
      </c>
      <c r="F33" s="7"/>
      <c r="G33" s="7"/>
      <c r="H33" s="7">
        <f>+'[1]ADJ DETAIL-INPUT'!$G$76</f>
        <v>-7399</v>
      </c>
      <c r="I33" s="7"/>
      <c r="J33" s="7"/>
      <c r="K33" s="7"/>
      <c r="L33" s="7"/>
      <c r="M33" s="7"/>
      <c r="N33" s="7">
        <f>+SUM(E33:L33)</f>
        <v>4449</v>
      </c>
      <c r="Q33" s="19" t="s">
        <v>95</v>
      </c>
      <c r="R33" s="19"/>
      <c r="T33" s="7">
        <f>+'[2]Attrition 09.2014 to 2016'!$E$76+'[2]Attrition 09.2014 to 2016'!$G$76</f>
        <v>4596</v>
      </c>
      <c r="X33" s="7">
        <v>0</v>
      </c>
      <c r="Y33" s="7"/>
      <c r="AA33" s="7">
        <f>+SUM(T33+X33+Y33)</f>
        <v>4596</v>
      </c>
      <c r="AC33" s="34"/>
      <c r="AD33" s="30">
        <f>+N33-AA33</f>
        <v>-147</v>
      </c>
      <c r="AE33" s="38"/>
    </row>
    <row r="34" spans="2:33">
      <c r="B34" s="19" t="s">
        <v>8</v>
      </c>
      <c r="C34" s="19"/>
      <c r="E34" s="7">
        <f>+'[1]ADJ DETAIL-INPUT'!$E$77</f>
        <v>25039</v>
      </c>
      <c r="F34" s="7"/>
      <c r="G34" s="7"/>
      <c r="H34" s="7"/>
      <c r="I34" s="7">
        <f>+'[1]ADJ DETAIL-INPUT'!$H$77</f>
        <v>20703</v>
      </c>
      <c r="J34" s="7"/>
      <c r="K34" s="7"/>
      <c r="L34" s="7"/>
      <c r="M34" s="7"/>
      <c r="N34" s="7">
        <f>+SUM(E34:L34)</f>
        <v>45742</v>
      </c>
      <c r="Q34" s="19" t="s">
        <v>8</v>
      </c>
      <c r="R34" s="19"/>
      <c r="T34" s="7">
        <f>+'[2]Attrition 09.2014 to 2016'!$E$77</f>
        <v>47807</v>
      </c>
      <c r="X34" s="7">
        <v>0</v>
      </c>
      <c r="Y34" s="7"/>
      <c r="AA34" s="7">
        <f>+SUM(T34+X34+Y34)</f>
        <v>47807</v>
      </c>
      <c r="AC34" s="34"/>
      <c r="AD34" s="30">
        <f>+N34-AA34</f>
        <v>-2065</v>
      </c>
      <c r="AE34" s="38"/>
    </row>
    <row r="35" spans="2:33">
      <c r="B35" s="19"/>
      <c r="C35" s="19"/>
      <c r="E35" s="8"/>
      <c r="F35" s="7"/>
      <c r="G35" s="8"/>
      <c r="H35" s="8"/>
      <c r="I35" s="8"/>
      <c r="J35" s="8"/>
      <c r="K35" s="8"/>
      <c r="L35" s="8"/>
      <c r="M35" s="7"/>
      <c r="N35" s="8"/>
      <c r="Q35" s="19"/>
      <c r="R35" s="19"/>
      <c r="T35" s="8"/>
      <c r="X35" s="8"/>
      <c r="Y35" s="8"/>
      <c r="AA35" s="8"/>
      <c r="AC35" s="34"/>
      <c r="AD35" s="26"/>
      <c r="AE35" s="38"/>
    </row>
    <row r="36" spans="2:33">
      <c r="B36" s="23" t="s">
        <v>31</v>
      </c>
      <c r="C36" s="23"/>
      <c r="D36" s="10"/>
      <c r="E36" s="17">
        <f>+SUM(E31:E34)</f>
        <v>1260500</v>
      </c>
      <c r="F36" s="17"/>
      <c r="G36" s="17">
        <f t="shared" ref="G36:L36" si="5">+SUM(G31:G34)</f>
        <v>-6009</v>
      </c>
      <c r="H36" s="17">
        <f t="shared" si="5"/>
        <v>-7399</v>
      </c>
      <c r="I36" s="17">
        <f t="shared" si="5"/>
        <v>20703</v>
      </c>
      <c r="J36" s="17">
        <f t="shared" si="5"/>
        <v>-4371.2005786896552</v>
      </c>
      <c r="K36" s="17">
        <f t="shared" si="5"/>
        <v>-3896</v>
      </c>
      <c r="L36" s="17">
        <f t="shared" si="5"/>
        <v>56363.338104278628</v>
      </c>
      <c r="M36" s="17"/>
      <c r="N36" s="17">
        <f>+SUM(N31:N34)</f>
        <v>1315891.1375255887</v>
      </c>
      <c r="O36" s="10"/>
      <c r="P36" s="10"/>
      <c r="Q36" s="23" t="s">
        <v>31</v>
      </c>
      <c r="R36" s="23"/>
      <c r="S36" s="10"/>
      <c r="T36" s="17">
        <f>+SUM(T31:T34)</f>
        <v>1266907</v>
      </c>
      <c r="U36" s="10"/>
      <c r="V36" s="10"/>
      <c r="W36" s="10"/>
      <c r="X36" s="17">
        <f>+SUM(X31:X34)</f>
        <v>48884.741228946463</v>
      </c>
      <c r="Y36" s="17">
        <f>+SUM(Y31:Y34)</f>
        <v>42058</v>
      </c>
      <c r="Z36" s="10"/>
      <c r="AA36" s="17">
        <f>+SUM(AA31:AA34)+1</f>
        <v>1357850.7412289465</v>
      </c>
      <c r="AB36" s="10"/>
      <c r="AC36" s="35"/>
      <c r="AD36" s="30">
        <f>+SUM(AD31:AD34)</f>
        <v>-41958.603703357527</v>
      </c>
      <c r="AE36" s="39"/>
      <c r="AG36" s="7">
        <f>+AD36*1000</f>
        <v>-41958603.703357525</v>
      </c>
    </row>
    <row r="37" spans="2:33">
      <c r="E37" s="7"/>
      <c r="F37" s="7"/>
      <c r="G37" s="7"/>
      <c r="H37" s="7"/>
      <c r="I37" s="7"/>
      <c r="J37" s="7"/>
      <c r="K37" s="7"/>
      <c r="L37" s="7"/>
      <c r="M37" s="7"/>
      <c r="N37" s="28" t="s">
        <v>34</v>
      </c>
      <c r="T37" s="7"/>
      <c r="AC37" s="34"/>
      <c r="AD37" s="29"/>
      <c r="AE37" s="38"/>
    </row>
    <row r="38" spans="2:33">
      <c r="E38" s="7"/>
      <c r="F38" s="7"/>
      <c r="G38" s="7"/>
      <c r="H38" s="7"/>
      <c r="I38" s="7"/>
      <c r="J38" s="7"/>
      <c r="K38" s="7"/>
      <c r="L38" s="7"/>
      <c r="M38" s="7"/>
      <c r="N38" s="7"/>
      <c r="T38" s="7"/>
      <c r="AC38" s="34"/>
      <c r="AD38" s="29"/>
      <c r="AE38" s="38"/>
    </row>
    <row r="39" spans="2:33">
      <c r="B39" s="1" t="s">
        <v>66</v>
      </c>
      <c r="E39" s="7"/>
      <c r="F39" s="7"/>
      <c r="G39" s="7"/>
      <c r="H39" s="7"/>
      <c r="I39" s="7"/>
      <c r="J39" s="7"/>
      <c r="K39" s="7"/>
      <c r="L39" s="7"/>
      <c r="M39" s="7"/>
      <c r="N39" s="7"/>
      <c r="Q39" s="1" t="s">
        <v>66</v>
      </c>
      <c r="T39" s="7"/>
      <c r="AC39" s="34"/>
      <c r="AD39" s="29"/>
      <c r="AE39" s="38"/>
    </row>
    <row r="40" spans="2:33">
      <c r="C40" s="1" t="s">
        <v>81</v>
      </c>
      <c r="E40" s="7">
        <f>+'[1]ADJ DETAIL-INPUT'!$E$25</f>
        <v>23738</v>
      </c>
      <c r="F40" s="7"/>
      <c r="G40" s="7"/>
      <c r="H40" s="7"/>
      <c r="I40" s="7"/>
      <c r="J40" s="7">
        <f>+'[3]ADJ DETAIL-INPUT'!$AO$25</f>
        <v>-586.82605538853704</v>
      </c>
      <c r="K40" s="7"/>
      <c r="L40" s="7">
        <f>+'[3]ADJ DETAIL-INPUT'!$AR$25</f>
        <v>222</v>
      </c>
      <c r="M40" s="7"/>
      <c r="N40" s="7">
        <f t="shared" ref="N40:N42" si="6">+SUM(E40:L40)</f>
        <v>23373.173944611463</v>
      </c>
      <c r="R40" s="1" t="s">
        <v>81</v>
      </c>
      <c r="T40" s="7">
        <f>+'[2]Attrition 09.2014 to 2016'!$E$18</f>
        <v>23715</v>
      </c>
      <c r="V40" s="11">
        <f>+'[2]Attrition 09.2014 to 2016'!$K$18</f>
        <v>9.5485292292416535E-2</v>
      </c>
      <c r="X40" s="7">
        <f t="shared" ref="X40:X42" si="7">+T40*V40</f>
        <v>2264.433706714658</v>
      </c>
      <c r="AA40" s="7">
        <f>+SUM(T40+X40+Y40)</f>
        <v>25979.433706714659</v>
      </c>
      <c r="AC40" s="34"/>
      <c r="AD40" s="30">
        <f>+N40-AA40</f>
        <v>-2606.2597621031964</v>
      </c>
      <c r="AE40" s="38"/>
    </row>
    <row r="41" spans="2:33">
      <c r="C41" s="1" t="s">
        <v>46</v>
      </c>
      <c r="E41" s="7">
        <f>+'[1]ADJ DETAIL-INPUT'!$E$32</f>
        <v>23480</v>
      </c>
      <c r="F41" s="7"/>
      <c r="G41" s="7"/>
      <c r="H41" s="7"/>
      <c r="I41" s="7"/>
      <c r="J41" s="7">
        <f>+'[3]ADJ DETAIL-INPUT'!$AO$32</f>
        <v>460.57320000000004</v>
      </c>
      <c r="K41" s="7"/>
      <c r="L41" s="7">
        <f>+'[3]ADJ DETAIL-INPUT'!$AR$32</f>
        <v>156</v>
      </c>
      <c r="M41" s="7"/>
      <c r="N41" s="7">
        <f t="shared" si="6"/>
        <v>24096.573199999999</v>
      </c>
      <c r="R41" s="1" t="s">
        <v>46</v>
      </c>
      <c r="T41" s="7">
        <f>+'[2]Attrition 09.2014 to 2016'!$E$25</f>
        <v>23794</v>
      </c>
      <c r="V41" s="11">
        <f>+$V$40</f>
        <v>9.5485292292416535E-2</v>
      </c>
      <c r="X41" s="7">
        <f t="shared" si="7"/>
        <v>2271.9770448057589</v>
      </c>
      <c r="AA41" s="7">
        <f>+SUM(T41+X41+Y41)</f>
        <v>26065.977044805761</v>
      </c>
      <c r="AC41" s="34"/>
      <c r="AD41" s="30">
        <f>+N41-AA41</f>
        <v>-1969.4038448057618</v>
      </c>
      <c r="AE41" s="38"/>
    </row>
    <row r="42" spans="2:33">
      <c r="C42" s="1" t="s">
        <v>82</v>
      </c>
      <c r="E42" s="8">
        <f>+'[1]ADJ DETAIL-INPUT'!$E$42</f>
        <v>16215</v>
      </c>
      <c r="F42" s="7"/>
      <c r="G42" s="7"/>
      <c r="H42" s="7"/>
      <c r="I42" s="7"/>
      <c r="J42" s="7">
        <f>+'[3]ADJ DETAIL-INPUT'!$AO$42</f>
        <v>2765.2489029661101</v>
      </c>
      <c r="K42" s="7"/>
      <c r="L42" s="7">
        <f>+'[3]ADJ DETAIL-INPUT'!$AR$42-114</f>
        <v>4436</v>
      </c>
      <c r="M42" s="7"/>
      <c r="N42" s="7">
        <f t="shared" si="6"/>
        <v>23416.248902966108</v>
      </c>
      <c r="R42" s="1" t="s">
        <v>82</v>
      </c>
      <c r="T42" s="7">
        <f>+'[2]Attrition 09.2014 to 2016'!$E$36</f>
        <v>16947</v>
      </c>
      <c r="V42" s="11">
        <f>+$V$40</f>
        <v>9.5485292292416535E-2</v>
      </c>
      <c r="X42" s="7">
        <f t="shared" si="7"/>
        <v>1618.1892484795831</v>
      </c>
      <c r="Y42" s="7">
        <f>+'[2]Attrition 09.2014 to 2016'!$R$36</f>
        <v>3887</v>
      </c>
      <c r="AA42" s="7">
        <f>+SUM(T42+X42+Y42)</f>
        <v>22452.189248479583</v>
      </c>
      <c r="AC42" s="34"/>
      <c r="AD42" s="30">
        <f>+N42-AA42</f>
        <v>964.05965448652569</v>
      </c>
      <c r="AE42" s="38"/>
    </row>
    <row r="43" spans="2:33">
      <c r="C43" s="1" t="s">
        <v>83</v>
      </c>
      <c r="E43" s="7">
        <f>+SUM(E40:E42)</f>
        <v>63433</v>
      </c>
      <c r="F43" s="7"/>
      <c r="G43" s="15">
        <f t="shared" ref="G43:N43" si="8">+SUM(G40:G42)</f>
        <v>0</v>
      </c>
      <c r="H43" s="15">
        <f t="shared" si="8"/>
        <v>0</v>
      </c>
      <c r="I43" s="15">
        <f t="shared" si="8"/>
        <v>0</v>
      </c>
      <c r="J43" s="15">
        <f t="shared" si="8"/>
        <v>2638.9960475775733</v>
      </c>
      <c r="K43" s="15">
        <f t="shared" si="8"/>
        <v>0</v>
      </c>
      <c r="L43" s="15">
        <f t="shared" si="8"/>
        <v>4814</v>
      </c>
      <c r="M43" s="7"/>
      <c r="N43" s="15">
        <f t="shared" si="8"/>
        <v>70885.996047577573</v>
      </c>
      <c r="R43" s="1" t="s">
        <v>83</v>
      </c>
      <c r="T43" s="15">
        <f>+SUM(T40:T42)</f>
        <v>64456</v>
      </c>
      <c r="X43" s="15">
        <f>+SUM(X40:X42)</f>
        <v>6154.6</v>
      </c>
      <c r="Y43" s="15">
        <f>+SUM(Y40:Y42)</f>
        <v>3887</v>
      </c>
      <c r="AA43" s="15">
        <f>+SUM(AA40:AA42)</f>
        <v>74497.600000000006</v>
      </c>
      <c r="AC43" s="34"/>
      <c r="AD43" s="16">
        <f>+SUM(AD40:AD42)</f>
        <v>-3611.6039524224325</v>
      </c>
      <c r="AE43" s="38"/>
      <c r="AG43" s="1">
        <f>+AD43*1000</f>
        <v>-3611603.9524224326</v>
      </c>
    </row>
    <row r="44" spans="2:33">
      <c r="E44" s="7"/>
      <c r="F44" s="7"/>
      <c r="G44" s="7"/>
      <c r="H44" s="7"/>
      <c r="I44" s="7"/>
      <c r="J44" s="7"/>
      <c r="K44" s="7"/>
      <c r="L44" s="7"/>
      <c r="M44" s="7"/>
      <c r="N44" s="7"/>
      <c r="T44" s="7"/>
      <c r="AC44" s="34"/>
      <c r="AD44" s="29"/>
      <c r="AE44" s="38"/>
    </row>
    <row r="45" spans="2:33">
      <c r="E45" s="7"/>
      <c r="F45" s="7"/>
      <c r="G45" s="7"/>
      <c r="H45" s="7"/>
      <c r="I45" s="7"/>
      <c r="J45" s="7"/>
      <c r="K45" s="7"/>
      <c r="L45" s="7"/>
      <c r="M45" s="7"/>
      <c r="N45" s="7"/>
      <c r="T45" s="7"/>
      <c r="AC45" s="34"/>
      <c r="AD45" s="29"/>
      <c r="AE45" s="38"/>
    </row>
    <row r="46" spans="2:33">
      <c r="B46" s="1" t="s">
        <v>96</v>
      </c>
      <c r="E46" s="7"/>
      <c r="F46" s="7"/>
      <c r="G46" s="7"/>
      <c r="H46" s="7"/>
      <c r="I46" s="7"/>
      <c r="J46" s="7"/>
      <c r="K46" s="7"/>
      <c r="L46" s="7"/>
      <c r="M46" s="7"/>
      <c r="N46" s="7"/>
      <c r="Q46" s="1" t="s">
        <v>96</v>
      </c>
      <c r="T46" s="7"/>
      <c r="X46" s="7"/>
      <c r="Y46" s="7"/>
      <c r="Z46" s="7"/>
      <c r="AA46" s="7"/>
      <c r="AB46" s="7"/>
      <c r="AC46" s="36"/>
      <c r="AD46" s="30"/>
      <c r="AE46" s="38"/>
    </row>
    <row r="47" spans="2:33">
      <c r="C47" s="1" t="s">
        <v>47</v>
      </c>
      <c r="E47" s="7">
        <f>-E43*0.35</f>
        <v>-22201.55</v>
      </c>
      <c r="F47" s="7"/>
      <c r="G47" s="7">
        <f t="shared" ref="G47:L47" si="9">-G43*0.35</f>
        <v>0</v>
      </c>
      <c r="H47" s="7">
        <f t="shared" si="9"/>
        <v>0</v>
      </c>
      <c r="I47" s="7">
        <f t="shared" si="9"/>
        <v>0</v>
      </c>
      <c r="J47" s="7">
        <f t="shared" si="9"/>
        <v>-923.64861665215062</v>
      </c>
      <c r="K47" s="7">
        <f t="shared" si="9"/>
        <v>0</v>
      </c>
      <c r="L47" s="7">
        <f t="shared" si="9"/>
        <v>-1684.8999999999999</v>
      </c>
      <c r="M47" s="7"/>
      <c r="N47" s="7">
        <f t="shared" ref="N47:N48" si="10">+SUM(E47:L47)</f>
        <v>-24810.098616652151</v>
      </c>
      <c r="R47" s="1" t="s">
        <v>47</v>
      </c>
      <c r="T47" s="7">
        <f t="shared" ref="T47" si="11">-T43*0.35</f>
        <v>-22559.599999999999</v>
      </c>
      <c r="X47" s="7">
        <f t="shared" ref="X47:Y47" si="12">-X43*0.35</f>
        <v>-2154.11</v>
      </c>
      <c r="Y47" s="7">
        <f t="shared" si="12"/>
        <v>-1360.4499999999998</v>
      </c>
      <c r="Z47" s="7"/>
      <c r="AA47" s="7">
        <f t="shared" ref="AA47:AA48" si="13">+SUM(T47+X47+Y47)</f>
        <v>-26074.16</v>
      </c>
      <c r="AB47" s="7"/>
      <c r="AC47" s="36"/>
      <c r="AD47" s="30">
        <f>+N47-AA47</f>
        <v>1264.0613833478492</v>
      </c>
      <c r="AE47" s="38"/>
    </row>
    <row r="48" spans="2:33">
      <c r="C48" s="1" t="s">
        <v>48</v>
      </c>
      <c r="E48" s="7">
        <v>0</v>
      </c>
      <c r="F48" s="7"/>
      <c r="G48" s="7">
        <f t="shared" ref="G48:L48" si="14">-G36*0.35*$E$70</f>
        <v>56.322356999999997</v>
      </c>
      <c r="H48" s="7">
        <f t="shared" si="14"/>
        <v>69.350826999999981</v>
      </c>
      <c r="I48" s="7">
        <f t="shared" si="14"/>
        <v>-194.04921899999997</v>
      </c>
      <c r="J48" s="7">
        <f t="shared" si="14"/>
        <v>40.971263024058132</v>
      </c>
      <c r="K48" s="7">
        <f t="shared" si="14"/>
        <v>36.517207999999997</v>
      </c>
      <c r="L48" s="7">
        <f t="shared" si="14"/>
        <v>-528.29356805140344</v>
      </c>
      <c r="M48" s="7"/>
      <c r="N48" s="7">
        <f t="shared" si="10"/>
        <v>-519.18113202734526</v>
      </c>
      <c r="R48" s="1" t="s">
        <v>48</v>
      </c>
      <c r="T48" s="7">
        <v>0</v>
      </c>
      <c r="X48" s="7">
        <f t="shared" ref="X48:Y48" si="15">-X36*0.35*$E$70</f>
        <v>-458.19667953891513</v>
      </c>
      <c r="Y48" s="7">
        <f t="shared" si="15"/>
        <v>-394.20963399999994</v>
      </c>
      <c r="Z48" s="7"/>
      <c r="AA48" s="7">
        <f t="shared" si="13"/>
        <v>-852.40631353891513</v>
      </c>
      <c r="AB48" s="7"/>
      <c r="AC48" s="36"/>
      <c r="AD48" s="17">
        <f t="shared" ref="AD48" si="16">-AD36*0.35*$E$70</f>
        <v>393.27799251157001</v>
      </c>
      <c r="AE48" s="38"/>
    </row>
    <row r="49" spans="2:33">
      <c r="C49" s="1" t="s">
        <v>49</v>
      </c>
      <c r="E49" s="15">
        <f>+SUM(E47:E48)</f>
        <v>-22201.55</v>
      </c>
      <c r="F49" s="7"/>
      <c r="G49" s="15">
        <f t="shared" ref="G49:L49" si="17">+SUM(G47:G48)</f>
        <v>56.322356999999997</v>
      </c>
      <c r="H49" s="15">
        <f t="shared" si="17"/>
        <v>69.350826999999981</v>
      </c>
      <c r="I49" s="15">
        <f t="shared" si="17"/>
        <v>-194.04921899999997</v>
      </c>
      <c r="J49" s="15">
        <f t="shared" si="17"/>
        <v>-882.67735362809253</v>
      </c>
      <c r="K49" s="15">
        <f t="shared" si="17"/>
        <v>36.517207999999997</v>
      </c>
      <c r="L49" s="15">
        <f t="shared" si="17"/>
        <v>-2213.1935680514034</v>
      </c>
      <c r="M49" s="7"/>
      <c r="N49" s="15">
        <f>+SUM(N47:N48)</f>
        <v>-25329.279748679495</v>
      </c>
      <c r="R49" s="1" t="s">
        <v>49</v>
      </c>
      <c r="T49" s="15">
        <f>+SUM(T47:T48)</f>
        <v>-22559.599999999999</v>
      </c>
      <c r="X49" s="15">
        <f>+SUM(X47:X48)</f>
        <v>-2612.3066795389154</v>
      </c>
      <c r="Y49" s="15">
        <f>+SUM(Y47:Y48)</f>
        <v>-1754.6596339999996</v>
      </c>
      <c r="Z49" s="7"/>
      <c r="AA49" s="15">
        <f>+SUM(AA47:AA48)</f>
        <v>-26926.566313538915</v>
      </c>
      <c r="AB49" s="7"/>
      <c r="AC49" s="36"/>
      <c r="AD49" s="16">
        <f>+SUM(AD47:AD48)</f>
        <v>1657.3393758594193</v>
      </c>
      <c r="AE49" s="38"/>
      <c r="AG49" s="7">
        <v>1657339.3758594193</v>
      </c>
    </row>
    <row r="50" spans="2:33">
      <c r="E50" s="7"/>
      <c r="F50" s="7"/>
      <c r="G50" s="7"/>
      <c r="H50" s="7"/>
      <c r="I50" s="7"/>
      <c r="J50" s="7"/>
      <c r="K50" s="7"/>
      <c r="L50" s="7"/>
      <c r="M50" s="7"/>
      <c r="N50" s="7"/>
      <c r="T50" s="7"/>
      <c r="X50" s="7"/>
      <c r="Y50" s="7"/>
      <c r="Z50" s="7"/>
      <c r="AA50" s="7"/>
      <c r="AB50" s="7"/>
      <c r="AC50" s="36"/>
      <c r="AD50" s="30"/>
      <c r="AE50" s="38"/>
    </row>
    <row r="51" spans="2:33" s="10" customFormat="1" ht="14.25">
      <c r="B51" s="10" t="s">
        <v>84</v>
      </c>
      <c r="E51" s="16">
        <f>+E43+E49</f>
        <v>41231.449999999997</v>
      </c>
      <c r="F51" s="17"/>
      <c r="G51" s="16">
        <f t="shared" ref="G51:L51" si="18">+G43+G49</f>
        <v>56.322356999999997</v>
      </c>
      <c r="H51" s="16">
        <f t="shared" si="18"/>
        <v>69.350826999999981</v>
      </c>
      <c r="I51" s="16">
        <f t="shared" si="18"/>
        <v>-194.04921899999997</v>
      </c>
      <c r="J51" s="16">
        <f t="shared" si="18"/>
        <v>1756.3186939494808</v>
      </c>
      <c r="K51" s="16">
        <f t="shared" si="18"/>
        <v>36.517207999999997</v>
      </c>
      <c r="L51" s="16">
        <f t="shared" si="18"/>
        <v>2600.8064319485966</v>
      </c>
      <c r="M51" s="17"/>
      <c r="N51" s="16">
        <f>+N43+N49</f>
        <v>45556.716298898078</v>
      </c>
      <c r="Q51" s="10" t="s">
        <v>84</v>
      </c>
      <c r="T51" s="16">
        <f>+T43+T49</f>
        <v>41896.400000000001</v>
      </c>
      <c r="X51" s="16">
        <f>+X43+X49</f>
        <v>3542.2933204610849</v>
      </c>
      <c r="Y51" s="16">
        <f>+Y43+Y49</f>
        <v>2132.3403660000004</v>
      </c>
      <c r="Z51" s="17"/>
      <c r="AA51" s="16">
        <f>+AA43+AA49</f>
        <v>47571.033686461087</v>
      </c>
      <c r="AB51" s="17"/>
      <c r="AC51" s="37"/>
      <c r="AD51" s="16">
        <f>+AD43+AD49</f>
        <v>-1954.2645765630132</v>
      </c>
      <c r="AE51" s="39"/>
    </row>
    <row r="52" spans="2:33">
      <c r="E52" s="7"/>
      <c r="F52" s="7"/>
      <c r="G52" s="7"/>
      <c r="H52" s="7"/>
      <c r="I52" s="7"/>
      <c r="J52" s="7" t="s">
        <v>20</v>
      </c>
      <c r="K52" s="7"/>
      <c r="L52" s="7"/>
      <c r="M52" s="7"/>
      <c r="N52" s="7"/>
      <c r="T52" s="7"/>
      <c r="X52" s="7"/>
      <c r="Y52" s="7"/>
      <c r="Z52" s="7"/>
      <c r="AA52" s="7"/>
      <c r="AB52" s="7"/>
      <c r="AC52" s="36"/>
      <c r="AD52" s="30"/>
      <c r="AE52" s="38"/>
    </row>
    <row r="53" spans="2:33">
      <c r="B53" s="1" t="s">
        <v>64</v>
      </c>
      <c r="E53" s="7"/>
      <c r="F53" s="7"/>
      <c r="G53" s="7"/>
      <c r="H53" s="7"/>
      <c r="I53" s="7"/>
      <c r="J53" s="7"/>
      <c r="K53" s="7"/>
      <c r="L53" s="7"/>
      <c r="M53" s="7"/>
      <c r="N53" s="7"/>
      <c r="Q53" s="1" t="s">
        <v>64</v>
      </c>
      <c r="T53" s="7"/>
      <c r="X53" s="7"/>
      <c r="Y53" s="7"/>
      <c r="Z53" s="7"/>
      <c r="AA53" s="7"/>
      <c r="AB53" s="7"/>
      <c r="AC53" s="36"/>
      <c r="AD53" s="30"/>
      <c r="AE53" s="38"/>
    </row>
    <row r="54" spans="2:33">
      <c r="C54" s="1" t="s">
        <v>85</v>
      </c>
      <c r="E54" s="7">
        <f>+E36*$E$69</f>
        <v>91890.450000000012</v>
      </c>
      <c r="F54" s="7"/>
      <c r="G54" s="7">
        <f t="shared" ref="G54:L54" si="19">+G36*$E$69</f>
        <v>-438.05610000000001</v>
      </c>
      <c r="H54" s="7">
        <f t="shared" si="19"/>
        <v>-539.38710000000003</v>
      </c>
      <c r="I54" s="7">
        <f t="shared" si="19"/>
        <v>1509.2487000000001</v>
      </c>
      <c r="J54" s="7">
        <f t="shared" si="19"/>
        <v>-318.66052218647587</v>
      </c>
      <c r="K54" s="7">
        <f t="shared" si="19"/>
        <v>-284.01840000000004</v>
      </c>
      <c r="L54" s="7">
        <f t="shared" si="19"/>
        <v>4108.8873478019123</v>
      </c>
      <c r="M54" s="7"/>
      <c r="N54" s="7">
        <f>+N36*$E$69</f>
        <v>95928.463925615433</v>
      </c>
      <c r="R54" s="1" t="s">
        <v>85</v>
      </c>
      <c r="T54" s="7">
        <f>+T36*$E$69</f>
        <v>92357.520300000004</v>
      </c>
      <c r="X54" s="7">
        <f>+X36*$E$69</f>
        <v>3563.6976355901975</v>
      </c>
      <c r="Y54" s="7">
        <f>+Y36*$E$69</f>
        <v>3066.0282000000002</v>
      </c>
      <c r="Z54" s="7"/>
      <c r="AA54" s="7">
        <f>+AA36*$E$69</f>
        <v>98987.319035590204</v>
      </c>
      <c r="AB54" s="7"/>
      <c r="AC54" s="36"/>
      <c r="AD54" s="30">
        <f>+AD36*$E$69</f>
        <v>-3058.7822099747641</v>
      </c>
      <c r="AE54" s="38"/>
    </row>
    <row r="55" spans="2:33">
      <c r="C55" s="1" t="s">
        <v>86</v>
      </c>
      <c r="E55" s="7">
        <f>+E51</f>
        <v>41231.449999999997</v>
      </c>
      <c r="F55" s="7"/>
      <c r="G55" s="7">
        <f t="shared" ref="G55:L55" si="20">+G51</f>
        <v>56.322356999999997</v>
      </c>
      <c r="H55" s="7">
        <f t="shared" si="20"/>
        <v>69.350826999999981</v>
      </c>
      <c r="I55" s="7">
        <f t="shared" si="20"/>
        <v>-194.04921899999997</v>
      </c>
      <c r="J55" s="7">
        <f t="shared" si="20"/>
        <v>1756.3186939494808</v>
      </c>
      <c r="K55" s="7">
        <f t="shared" si="20"/>
        <v>36.517207999999997</v>
      </c>
      <c r="L55" s="7">
        <f t="shared" si="20"/>
        <v>2600.8064319485966</v>
      </c>
      <c r="M55" s="7"/>
      <c r="N55" s="7">
        <f>+N51</f>
        <v>45556.716298898078</v>
      </c>
      <c r="R55" s="1" t="s">
        <v>86</v>
      </c>
      <c r="T55" s="7">
        <f>+T51</f>
        <v>41896.400000000001</v>
      </c>
      <c r="X55" s="7">
        <f>+X51</f>
        <v>3542.2933204610849</v>
      </c>
      <c r="Y55" s="7">
        <f>+Y51</f>
        <v>2132.3403660000004</v>
      </c>
      <c r="Z55" s="7"/>
      <c r="AA55" s="7">
        <f>+AA51</f>
        <v>47571.033686461087</v>
      </c>
      <c r="AB55" s="7"/>
      <c r="AC55" s="36"/>
      <c r="AD55" s="30">
        <f>+AD51</f>
        <v>-1954.2645765630132</v>
      </c>
      <c r="AE55" s="38"/>
    </row>
    <row r="56" spans="2:33">
      <c r="C56" s="1" t="s">
        <v>62</v>
      </c>
      <c r="E56" s="15">
        <f>+SUM(E54:E55)</f>
        <v>133121.90000000002</v>
      </c>
      <c r="F56" s="7"/>
      <c r="G56" s="15">
        <f t="shared" ref="G56:L56" si="21">+SUM(G54:G55)</f>
        <v>-381.733743</v>
      </c>
      <c r="H56" s="15">
        <f t="shared" si="21"/>
        <v>-470.03627300000005</v>
      </c>
      <c r="I56" s="15">
        <f t="shared" si="21"/>
        <v>1315.1994810000001</v>
      </c>
      <c r="J56" s="15">
        <f t="shared" si="21"/>
        <v>1437.6581717630049</v>
      </c>
      <c r="K56" s="15">
        <f t="shared" si="21"/>
        <v>-247.50119200000006</v>
      </c>
      <c r="L56" s="15">
        <f t="shared" si="21"/>
        <v>6709.6937797505088</v>
      </c>
      <c r="M56" s="7"/>
      <c r="N56" s="15">
        <f>+SUM(N54:N55)</f>
        <v>141485.18022451352</v>
      </c>
      <c r="R56" s="1" t="s">
        <v>62</v>
      </c>
      <c r="T56" s="15">
        <f>+SUM(T54:T55)</f>
        <v>134253.9203</v>
      </c>
      <c r="X56" s="15">
        <f>+SUM(X54:X55)</f>
        <v>7105.9909560512824</v>
      </c>
      <c r="Y56" s="15">
        <f>+SUM(Y54:Y55)</f>
        <v>5198.368566000001</v>
      </c>
      <c r="Z56" s="7"/>
      <c r="AA56" s="15">
        <f>+SUM(AA54:AA55)</f>
        <v>146558.35272205129</v>
      </c>
      <c r="AB56" s="7"/>
      <c r="AC56" s="36"/>
      <c r="AD56" s="16">
        <f>+SUM(AD54:AD55)</f>
        <v>-5013.0467865377777</v>
      </c>
      <c r="AE56" s="38"/>
    </row>
    <row r="57" spans="2:33">
      <c r="E57" s="7"/>
      <c r="F57" s="7"/>
      <c r="G57" s="7"/>
      <c r="H57" s="7"/>
      <c r="I57" s="7"/>
      <c r="J57" s="7"/>
      <c r="K57" s="7"/>
      <c r="L57" s="7"/>
      <c r="M57" s="7"/>
      <c r="N57" s="7"/>
      <c r="AC57" s="34"/>
      <c r="AD57" s="29"/>
      <c r="AE57" s="38"/>
    </row>
    <row r="58" spans="2:33">
      <c r="C58" s="1" t="s">
        <v>61</v>
      </c>
      <c r="E58" s="1">
        <v>0.62017999999999995</v>
      </c>
      <c r="G58" s="1">
        <v>0.62017999999999995</v>
      </c>
      <c r="H58" s="1">
        <v>0.62017999999999995</v>
      </c>
      <c r="I58" s="1">
        <v>0.62017999999999995</v>
      </c>
      <c r="J58" s="1">
        <v>0.62017999999999995</v>
      </c>
      <c r="K58" s="1">
        <v>0.62017999999999995</v>
      </c>
      <c r="L58" s="1">
        <v>0.62017999999999995</v>
      </c>
      <c r="N58" s="1">
        <v>0.62017999999999995</v>
      </c>
      <c r="R58" s="1" t="s">
        <v>61</v>
      </c>
      <c r="T58" s="1">
        <v>0.62017999999999995</v>
      </c>
      <c r="X58" s="1">
        <v>0.62017999999999995</v>
      </c>
      <c r="Y58" s="1">
        <v>0.62017999999999995</v>
      </c>
      <c r="AA58" s="1">
        <v>0.62017999999999995</v>
      </c>
      <c r="AC58" s="34"/>
      <c r="AD58" s="29">
        <v>0.62017999999999995</v>
      </c>
      <c r="AE58" s="38"/>
    </row>
    <row r="59" spans="2:33">
      <c r="E59" s="7"/>
      <c r="F59" s="7"/>
      <c r="G59" s="7"/>
      <c r="H59" s="7"/>
      <c r="I59" s="7"/>
      <c r="J59" s="7"/>
      <c r="K59" s="7"/>
      <c r="L59" s="7"/>
      <c r="M59" s="7"/>
      <c r="N59" s="7"/>
      <c r="AC59" s="34"/>
      <c r="AD59" s="29"/>
      <c r="AE59" s="38"/>
    </row>
    <row r="60" spans="2:33">
      <c r="B60" s="1" t="s">
        <v>65</v>
      </c>
      <c r="E60" s="7"/>
      <c r="F60" s="7"/>
      <c r="G60" s="7"/>
      <c r="H60" s="7"/>
      <c r="I60" s="7"/>
      <c r="J60" s="7"/>
      <c r="K60" s="7"/>
      <c r="L60" s="7"/>
      <c r="M60" s="7"/>
      <c r="N60" s="7"/>
      <c r="Q60" s="1" t="s">
        <v>65</v>
      </c>
      <c r="T60" s="7"/>
      <c r="X60" s="7"/>
      <c r="Y60" s="7"/>
      <c r="AA60" s="7"/>
      <c r="AC60" s="34"/>
      <c r="AD60" s="30"/>
      <c r="AE60" s="38"/>
    </row>
    <row r="61" spans="2:33">
      <c r="C61" s="1" t="s">
        <v>63</v>
      </c>
      <c r="E61" s="7">
        <f>+E54/E$58</f>
        <v>148167.3868876778</v>
      </c>
      <c r="F61" s="7"/>
      <c r="G61" s="7">
        <f t="shared" ref="G61:L61" si="22">+G54/G$58</f>
        <v>-706.33703118449489</v>
      </c>
      <c r="H61" s="7">
        <f t="shared" si="22"/>
        <v>-869.72669225063703</v>
      </c>
      <c r="I61" s="7">
        <f t="shared" si="22"/>
        <v>2433.5655777354964</v>
      </c>
      <c r="J61" s="7">
        <f t="shared" si="22"/>
        <v>-513.81941079440787</v>
      </c>
      <c r="K61" s="7">
        <f t="shared" si="22"/>
        <v>-457.96123706020842</v>
      </c>
      <c r="L61" s="7">
        <f t="shared" si="22"/>
        <v>6625.3141794348621</v>
      </c>
      <c r="M61" s="7"/>
      <c r="N61" s="7">
        <f>+N54/N$58</f>
        <v>154678.42227355839</v>
      </c>
      <c r="R61" s="1" t="s">
        <v>63</v>
      </c>
      <c r="T61" s="7">
        <f>+T54/T$58</f>
        <v>148920.50743332584</v>
      </c>
      <c r="X61" s="7">
        <f>+X54/X$58</f>
        <v>5746.2311515853426</v>
      </c>
      <c r="Y61" s="7">
        <f>+Y54/Y$58</f>
        <v>4943.7714856977018</v>
      </c>
      <c r="AA61" s="7">
        <f>+AA54/AA$58</f>
        <v>159610.62761712764</v>
      </c>
      <c r="AC61" s="34"/>
      <c r="AD61" s="30">
        <f>+AD54/AD$58</f>
        <v>-4932.0877970504762</v>
      </c>
      <c r="AE61" s="38"/>
    </row>
    <row r="62" spans="2:33">
      <c r="C62" s="1" t="s">
        <v>88</v>
      </c>
      <c r="E62" s="7">
        <f>+E55/E$58</f>
        <v>66483.037182753396</v>
      </c>
      <c r="F62" s="7"/>
      <c r="G62" s="7">
        <f t="shared" ref="G62:L62" si="23">+G55/G$58</f>
        <v>90.816145312651173</v>
      </c>
      <c r="H62" s="7">
        <f t="shared" si="23"/>
        <v>111.82370763326774</v>
      </c>
      <c r="I62" s="7">
        <f t="shared" si="23"/>
        <v>-312.89177174368729</v>
      </c>
      <c r="J62" s="7">
        <f t="shared" si="23"/>
        <v>2831.9499080097407</v>
      </c>
      <c r="K62" s="7">
        <f t="shared" si="23"/>
        <v>58.881627914476439</v>
      </c>
      <c r="L62" s="7">
        <f t="shared" si="23"/>
        <v>4193.6315778461039</v>
      </c>
      <c r="M62" s="7"/>
      <c r="N62" s="7">
        <f>+N55/N$58</f>
        <v>73457.248377725948</v>
      </c>
      <c r="R62" s="1" t="s">
        <v>88</v>
      </c>
      <c r="T62" s="7">
        <f>+T55/T$58</f>
        <v>67555.225902157443</v>
      </c>
      <c r="X62" s="7">
        <f>+X55/X$58</f>
        <v>5711.7180825906753</v>
      </c>
      <c r="Y62" s="7">
        <f>+Y55/Y$58</f>
        <v>3438.2604501918804</v>
      </c>
      <c r="AA62" s="7">
        <f>+AA55/AA$58</f>
        <v>76705.204434940009</v>
      </c>
      <c r="AC62" s="34"/>
      <c r="AD62" s="30">
        <f>+AD55/AD$58</f>
        <v>-3151.1247969347824</v>
      </c>
      <c r="AE62" s="38"/>
    </row>
    <row r="63" spans="2:33" ht="15.75" thickBot="1">
      <c r="C63" s="10" t="s">
        <v>87</v>
      </c>
      <c r="D63" s="10"/>
      <c r="E63" s="16">
        <f>+SUM(E61:E62)</f>
        <v>214650.42407043121</v>
      </c>
      <c r="F63" s="17"/>
      <c r="G63" s="16">
        <f t="shared" ref="G63:L63" si="24">+SUM(G61:G62)</f>
        <v>-615.52088587184369</v>
      </c>
      <c r="H63" s="16">
        <f t="shared" si="24"/>
        <v>-757.90298461736927</v>
      </c>
      <c r="I63" s="16">
        <f t="shared" si="24"/>
        <v>2120.6738059918089</v>
      </c>
      <c r="J63" s="16">
        <f t="shared" si="24"/>
        <v>2318.130497215333</v>
      </c>
      <c r="K63" s="16">
        <f t="shared" si="24"/>
        <v>-399.07960914573198</v>
      </c>
      <c r="L63" s="16">
        <f t="shared" si="24"/>
        <v>10818.945757280966</v>
      </c>
      <c r="M63" s="17"/>
      <c r="N63" s="16">
        <f>+SUM(N61:N62)</f>
        <v>228135.67065128434</v>
      </c>
      <c r="O63" s="10"/>
      <c r="P63" s="10"/>
      <c r="Q63" s="10"/>
      <c r="R63" s="10" t="s">
        <v>87</v>
      </c>
      <c r="S63" s="10"/>
      <c r="T63" s="16">
        <f>+SUM(T61:T62)</f>
        <v>216475.7333354833</v>
      </c>
      <c r="U63" s="10"/>
      <c r="V63" s="10"/>
      <c r="W63" s="10"/>
      <c r="X63" s="16">
        <f t="shared" ref="X63:Y63" si="25">+SUM(X61:X62)</f>
        <v>11457.949234176018</v>
      </c>
      <c r="Y63" s="16">
        <f t="shared" si="25"/>
        <v>8382.0319358895831</v>
      </c>
      <c r="Z63" s="10"/>
      <c r="AA63" s="16">
        <f>+SUM(AA61:AA62)</f>
        <v>236315.83205206765</v>
      </c>
      <c r="AB63" s="10"/>
      <c r="AC63" s="35"/>
      <c r="AD63" s="32">
        <f>+SUM(AD61:AD62)</f>
        <v>-8083.2125939852585</v>
      </c>
      <c r="AE63" s="38"/>
    </row>
    <row r="64" spans="2:33" ht="15.75" thickTop="1">
      <c r="G64" s="9" t="s">
        <v>94</v>
      </c>
      <c r="AC64" s="40"/>
      <c r="AD64" s="4"/>
      <c r="AE64" s="41"/>
    </row>
    <row r="65" spans="2:29">
      <c r="AC65" s="13"/>
    </row>
    <row r="66" spans="2:29">
      <c r="B66" s="1" t="s">
        <v>101</v>
      </c>
      <c r="AC66" s="13"/>
    </row>
    <row r="67" spans="2:29">
      <c r="B67" s="1" t="s">
        <v>67</v>
      </c>
      <c r="AC67" s="13"/>
    </row>
    <row r="68" spans="2:29">
      <c r="AC68" s="13"/>
    </row>
    <row r="69" spans="2:29">
      <c r="C69" s="1" t="s">
        <v>60</v>
      </c>
      <c r="E69" s="11">
        <v>7.2900000000000006E-2</v>
      </c>
      <c r="AC69" s="13"/>
    </row>
    <row r="70" spans="2:29">
      <c r="C70" s="1" t="s">
        <v>70</v>
      </c>
      <c r="E70" s="11">
        <v>2.6779999999999998E-2</v>
      </c>
      <c r="AC70" s="13"/>
    </row>
    <row r="71" spans="2:29">
      <c r="AC71" s="13"/>
    </row>
    <row r="72" spans="2:29">
      <c r="AC72" s="13"/>
    </row>
    <row r="73" spans="2:29">
      <c r="AC73" s="13"/>
    </row>
    <row r="74" spans="2:29">
      <c r="AC74" s="13"/>
    </row>
    <row r="75" spans="2:29">
      <c r="AC75" s="13"/>
    </row>
    <row r="76" spans="2:29">
      <c r="AC76" s="13"/>
    </row>
    <row r="77" spans="2:29">
      <c r="AC77" s="13"/>
    </row>
    <row r="78" spans="2:29">
      <c r="AC78" s="13"/>
    </row>
  </sheetData>
  <pageMargins left="0.25" right="0.25" top="0.5" bottom="0.5" header="0" footer="0"/>
  <pageSetup scale="70" orientation="portrait" horizontalDpi="0" verticalDpi="0" r:id="rId1"/>
  <colBreaks count="1" manualBreakCount="1">
    <brk id="15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E9547-141D-4D5F-B47E-FBBBFEFB9BAA}">
  <sheetPr codeName="Sheet2"/>
  <dimension ref="A1:AG67"/>
  <sheetViews>
    <sheetView zoomScale="70" zoomScaleNormal="70" zoomScaleSheetLayoutView="100" workbookViewId="0"/>
  </sheetViews>
  <sheetFormatPr defaultRowHeight="15"/>
  <cols>
    <col min="1" max="2" width="2.42578125" style="1" customWidth="1"/>
    <col min="3" max="3" width="16.7109375" style="1" customWidth="1"/>
    <col min="4" max="4" width="2.42578125" style="1" customWidth="1"/>
    <col min="5" max="5" width="13.28515625" style="1" customWidth="1"/>
    <col min="6" max="6" width="2.42578125" style="1" customWidth="1"/>
    <col min="7" max="12" width="13.28515625" style="1" customWidth="1"/>
    <col min="13" max="13" width="2.42578125" style="1" customWidth="1"/>
    <col min="14" max="14" width="13.28515625" style="1" customWidth="1"/>
    <col min="15" max="15" width="9.140625" style="1"/>
    <col min="16" max="17" width="2.42578125" style="1" customWidth="1"/>
    <col min="18" max="18" width="16.7109375" style="1" customWidth="1"/>
    <col min="19" max="19" width="2.42578125" style="1" customWidth="1"/>
    <col min="20" max="20" width="13.28515625" style="1" customWidth="1"/>
    <col min="21" max="21" width="2.42578125" style="1" customWidth="1"/>
    <col min="22" max="22" width="9.28515625" style="1" bestFit="1" customWidth="1"/>
    <col min="23" max="23" width="2.42578125" style="1" customWidth="1"/>
    <col min="24" max="25" width="13.28515625" style="1" customWidth="1"/>
    <col min="26" max="26" width="2.42578125" style="1" customWidth="1"/>
    <col min="27" max="27" width="13.28515625" style="1" customWidth="1"/>
    <col min="28" max="29" width="2.42578125" style="1" customWidth="1"/>
    <col min="30" max="30" width="13.28515625" style="1" customWidth="1"/>
    <col min="31" max="31" width="2.42578125" style="1" customWidth="1"/>
    <col min="32" max="32" width="9.140625" style="1"/>
    <col min="33" max="33" width="12.7109375" style="1" bestFit="1" customWidth="1"/>
    <col min="34" max="16384" width="9.140625" style="1"/>
  </cols>
  <sheetData>
    <row r="1" spans="1:31">
      <c r="A1" s="10" t="s">
        <v>77</v>
      </c>
      <c r="P1" s="10" t="s">
        <v>77</v>
      </c>
    </row>
    <row r="2" spans="1:31">
      <c r="A2" s="1" t="s">
        <v>105</v>
      </c>
      <c r="P2" s="1" t="s">
        <v>79</v>
      </c>
    </row>
    <row r="3" spans="1:31">
      <c r="A3" s="1" t="s">
        <v>78</v>
      </c>
      <c r="G3" s="2"/>
      <c r="H3" s="2"/>
      <c r="I3" s="2"/>
      <c r="J3" s="2"/>
      <c r="K3" s="2"/>
      <c r="L3" s="2"/>
      <c r="N3" s="2"/>
      <c r="P3" s="1" t="s">
        <v>78</v>
      </c>
      <c r="T3" s="3"/>
    </row>
    <row r="4" spans="1:31">
      <c r="A4" s="3" t="s">
        <v>76</v>
      </c>
      <c r="G4" s="2"/>
      <c r="H4" s="2"/>
      <c r="I4" s="2"/>
      <c r="J4" s="2"/>
      <c r="K4" s="2"/>
      <c r="L4" s="2"/>
      <c r="N4" s="2"/>
      <c r="P4" s="3" t="s">
        <v>76</v>
      </c>
      <c r="T4" s="3"/>
    </row>
    <row r="5" spans="1:31">
      <c r="A5" s="1" t="s">
        <v>97</v>
      </c>
      <c r="G5" s="2"/>
      <c r="H5" s="2"/>
      <c r="I5" s="2"/>
      <c r="J5" s="2"/>
      <c r="K5" s="2"/>
      <c r="L5" s="2"/>
      <c r="N5" s="2"/>
      <c r="P5" s="1" t="s">
        <v>97</v>
      </c>
      <c r="T5" s="3"/>
    </row>
    <row r="6" spans="1:31">
      <c r="E6" s="24" t="s">
        <v>68</v>
      </c>
      <c r="F6" s="4"/>
      <c r="G6" s="4"/>
      <c r="H6" s="4"/>
      <c r="I6" s="4"/>
      <c r="J6" s="4"/>
      <c r="K6" s="4"/>
      <c r="L6" s="4"/>
      <c r="M6" s="4"/>
      <c r="N6" s="4"/>
      <c r="T6" s="24" t="s">
        <v>69</v>
      </c>
      <c r="U6" s="4"/>
      <c r="V6" s="4"/>
      <c r="W6" s="4"/>
      <c r="X6" s="4"/>
      <c r="Y6" s="4"/>
      <c r="Z6" s="4"/>
      <c r="AA6" s="4"/>
      <c r="AC6" s="42"/>
      <c r="AD6" s="50"/>
      <c r="AE6" s="51"/>
    </row>
    <row r="7" spans="1:31">
      <c r="E7" s="2"/>
      <c r="F7" s="2"/>
      <c r="G7" s="2" t="s">
        <v>13</v>
      </c>
      <c r="H7" s="2" t="s">
        <v>14</v>
      </c>
      <c r="I7" s="2" t="s">
        <v>71</v>
      </c>
      <c r="J7" s="2" t="s">
        <v>100</v>
      </c>
      <c r="K7" s="2" t="s">
        <v>27</v>
      </c>
      <c r="L7" s="2" t="s">
        <v>52</v>
      </c>
      <c r="M7" s="2"/>
      <c r="N7" s="2" t="s">
        <v>32</v>
      </c>
      <c r="O7" s="2"/>
      <c r="P7" s="2"/>
      <c r="Q7" s="2"/>
      <c r="R7" s="2"/>
      <c r="S7" s="2"/>
      <c r="T7" s="6" t="s">
        <v>10</v>
      </c>
      <c r="U7" s="2"/>
      <c r="V7" s="2"/>
      <c r="W7" s="2"/>
      <c r="X7" s="2"/>
      <c r="Y7" s="2"/>
      <c r="Z7" s="2"/>
      <c r="AA7" s="2" t="s">
        <v>32</v>
      </c>
      <c r="AB7" s="2"/>
      <c r="AC7" s="52"/>
      <c r="AD7" s="31" t="s">
        <v>44</v>
      </c>
      <c r="AE7" s="47"/>
    </row>
    <row r="8" spans="1:31">
      <c r="E8" s="6" t="s">
        <v>10</v>
      </c>
      <c r="F8" s="2"/>
      <c r="G8" s="2" t="s">
        <v>15</v>
      </c>
      <c r="H8" s="2" t="s">
        <v>17</v>
      </c>
      <c r="I8" s="2" t="s">
        <v>72</v>
      </c>
      <c r="J8" s="2" t="s">
        <v>92</v>
      </c>
      <c r="K8" s="2" t="s">
        <v>28</v>
      </c>
      <c r="L8" s="2" t="s">
        <v>51</v>
      </c>
      <c r="M8" s="2"/>
      <c r="N8" s="2" t="s">
        <v>33</v>
      </c>
      <c r="O8" s="2"/>
      <c r="P8" s="2"/>
      <c r="Q8" s="2"/>
      <c r="R8" s="2"/>
      <c r="S8" s="2"/>
      <c r="T8" s="22" t="s">
        <v>35</v>
      </c>
      <c r="U8" s="2"/>
      <c r="V8" s="2" t="s">
        <v>36</v>
      </c>
      <c r="W8" s="2"/>
      <c r="X8" s="2" t="s">
        <v>38</v>
      </c>
      <c r="Y8" s="2" t="s">
        <v>41</v>
      </c>
      <c r="Z8" s="2"/>
      <c r="AA8" s="2" t="s">
        <v>43</v>
      </c>
      <c r="AB8" s="2"/>
      <c r="AC8" s="52"/>
      <c r="AD8" s="31" t="s">
        <v>45</v>
      </c>
      <c r="AE8" s="47"/>
    </row>
    <row r="9" spans="1:31">
      <c r="E9" s="5" t="s">
        <v>11</v>
      </c>
      <c r="F9" s="2"/>
      <c r="G9" s="5" t="s">
        <v>18</v>
      </c>
      <c r="H9" s="5"/>
      <c r="I9" s="5"/>
      <c r="J9" s="5" t="s">
        <v>93</v>
      </c>
      <c r="K9" s="5"/>
      <c r="L9" s="5" t="s">
        <v>53</v>
      </c>
      <c r="M9" s="2"/>
      <c r="N9" s="5" t="s">
        <v>18</v>
      </c>
      <c r="O9" s="2"/>
      <c r="P9" s="2"/>
      <c r="Q9" s="2"/>
      <c r="R9" s="2"/>
      <c r="S9" s="2"/>
      <c r="T9" s="14"/>
      <c r="U9" s="2"/>
      <c r="V9" s="5" t="s">
        <v>37</v>
      </c>
      <c r="W9" s="2"/>
      <c r="X9" s="5" t="s">
        <v>39</v>
      </c>
      <c r="Y9" s="5" t="s">
        <v>42</v>
      </c>
      <c r="Z9" s="2"/>
      <c r="AA9" s="5" t="s">
        <v>18</v>
      </c>
      <c r="AB9" s="2"/>
      <c r="AC9" s="52"/>
      <c r="AD9" s="25" t="s">
        <v>43</v>
      </c>
      <c r="AE9" s="47"/>
    </row>
    <row r="10" spans="1:31">
      <c r="E10" s="6" t="s">
        <v>21</v>
      </c>
      <c r="G10" s="6" t="s">
        <v>25</v>
      </c>
      <c r="H10" s="6" t="s">
        <v>24</v>
      </c>
      <c r="I10" s="6" t="s">
        <v>73</v>
      </c>
      <c r="J10" s="6" t="s">
        <v>22</v>
      </c>
      <c r="K10" s="6" t="s">
        <v>26</v>
      </c>
      <c r="L10" s="6">
        <f>4.01</f>
        <v>4.01</v>
      </c>
      <c r="AC10" s="46"/>
      <c r="AD10" s="12"/>
      <c r="AE10" s="47"/>
    </row>
    <row r="11" spans="1:31">
      <c r="L11" s="2" t="s">
        <v>30</v>
      </c>
      <c r="AC11" s="46"/>
      <c r="AD11" s="12"/>
      <c r="AE11" s="47"/>
    </row>
    <row r="12" spans="1:31">
      <c r="B12" s="19" t="s">
        <v>0</v>
      </c>
      <c r="C12" s="18"/>
      <c r="D12" s="18"/>
      <c r="Q12" s="19" t="s">
        <v>0</v>
      </c>
      <c r="R12" s="18"/>
      <c r="S12" s="18"/>
      <c r="AC12" s="46"/>
      <c r="AD12" s="12"/>
      <c r="AE12" s="47"/>
    </row>
    <row r="13" spans="1:31">
      <c r="B13" s="20"/>
      <c r="C13" s="20" t="s">
        <v>99</v>
      </c>
      <c r="D13" s="20"/>
      <c r="E13" s="7">
        <f>+'[4]ADJ DETAIL INPUT'!$E63</f>
        <v>24932</v>
      </c>
      <c r="F13" s="7"/>
      <c r="G13" s="7"/>
      <c r="H13" s="7"/>
      <c r="I13" s="7"/>
      <c r="J13" s="7">
        <f>+'[4]ADJ DETAIL INPUT'!AG63</f>
        <v>608.48481100679999</v>
      </c>
      <c r="K13" s="7"/>
      <c r="L13" s="7">
        <f>+'[4]ADJ DETAIL INPUT'!AI63</f>
        <v>0</v>
      </c>
      <c r="M13" s="7"/>
      <c r="N13" s="7">
        <f>+SUM(E13:L13)</f>
        <v>25540.484811006801</v>
      </c>
      <c r="Q13" s="20"/>
      <c r="R13" s="20" t="s">
        <v>99</v>
      </c>
      <c r="S13" s="20"/>
      <c r="T13" s="7">
        <f>+'[5]Attrition 09.2014 to 2016'!E69</f>
        <v>25235</v>
      </c>
      <c r="V13" s="11">
        <f>+'[5]Attrition 09.2014 to 2016'!$K$69</f>
        <v>0.16859597788411737</v>
      </c>
      <c r="X13" s="7">
        <f>+T13*V13</f>
        <v>4254.5195019057019</v>
      </c>
      <c r="AA13" s="7">
        <f>+SUM(T13,X13:Y13)</f>
        <v>29489.519501905703</v>
      </c>
      <c r="AC13" s="46"/>
      <c r="AD13" s="30">
        <f>+N13-AA13</f>
        <v>-3949.0346908989013</v>
      </c>
      <c r="AE13" s="47"/>
    </row>
    <row r="14" spans="1:31">
      <c r="B14" s="20"/>
      <c r="C14" s="20" t="s">
        <v>46</v>
      </c>
      <c r="D14" s="20"/>
      <c r="E14" s="7">
        <f>+'[4]ADJ DETAIL INPUT'!$E64</f>
        <v>332439</v>
      </c>
      <c r="F14" s="7"/>
      <c r="G14" s="7"/>
      <c r="H14" s="7"/>
      <c r="I14" s="7"/>
      <c r="J14" s="7">
        <f>+'[4]ADJ DETAIL INPUT'!AG64</f>
        <v>13279.430688522079</v>
      </c>
      <c r="K14" s="7"/>
      <c r="L14" s="7">
        <f>+'[4]ADJ DETAIL INPUT'!AI64</f>
        <v>4498.857</v>
      </c>
      <c r="M14" s="7"/>
      <c r="N14" s="7">
        <f>+SUM(E14:L14)</f>
        <v>350217.28768852208</v>
      </c>
      <c r="Q14" s="20"/>
      <c r="R14" s="20" t="s">
        <v>46</v>
      </c>
      <c r="S14" s="20"/>
      <c r="T14" s="7">
        <f>+'[5]Attrition 09.2014 to 2016'!E70</f>
        <v>337894</v>
      </c>
      <c r="V14" s="11">
        <f>+$V$13</f>
        <v>0.16859597788411737</v>
      </c>
      <c r="X14" s="7">
        <f>+T14*V14</f>
        <v>56967.569351175953</v>
      </c>
      <c r="AA14" s="7">
        <f>+SUM(T14,X14:Y14)</f>
        <v>394861.56935117597</v>
      </c>
      <c r="AC14" s="46"/>
      <c r="AD14" s="30">
        <f>+N14-AA14</f>
        <v>-44644.281662653899</v>
      </c>
      <c r="AE14" s="47"/>
    </row>
    <row r="15" spans="1:31">
      <c r="B15" s="20"/>
      <c r="C15" s="20" t="s">
        <v>50</v>
      </c>
      <c r="D15" s="20"/>
      <c r="E15" s="7">
        <f>+'[4]ADJ DETAIL INPUT'!$E65</f>
        <v>58679</v>
      </c>
      <c r="F15" s="7"/>
      <c r="G15" s="7"/>
      <c r="H15" s="7"/>
      <c r="I15" s="7"/>
      <c r="J15" s="7">
        <f>+'[4]ADJ DETAIL INPUT'!AG65</f>
        <v>1093.1010000000001</v>
      </c>
      <c r="K15" s="7"/>
      <c r="L15" s="7">
        <f>+'[4]ADJ DETAIL INPUT'!AI65-112</f>
        <v>13788.56596</v>
      </c>
      <c r="M15" s="7"/>
      <c r="N15" s="7">
        <f>+SUM(E15:L15)</f>
        <v>73560.666960000002</v>
      </c>
      <c r="Q15" s="20"/>
      <c r="R15" s="20" t="s">
        <v>50</v>
      </c>
      <c r="S15" s="20"/>
      <c r="T15" s="7">
        <f>+'[5]Attrition 09.2014 to 2016'!E71</f>
        <v>59169</v>
      </c>
      <c r="V15" s="11">
        <f>+$V$13</f>
        <v>0.16859597788411737</v>
      </c>
      <c r="X15" s="7">
        <f>+T15*V15</f>
        <v>9975.6554154253408</v>
      </c>
      <c r="Y15" s="7">
        <f>+'[5]Attrition 09.2014 to 2016'!$Q$71</f>
        <v>13239</v>
      </c>
      <c r="AA15" s="7">
        <f>+SUM(T15,X15:Y15)</f>
        <v>82383.655415425339</v>
      </c>
      <c r="AC15" s="46"/>
      <c r="AD15" s="30">
        <f>+N15-AA15</f>
        <v>-8822.9884554253367</v>
      </c>
      <c r="AE15" s="47"/>
    </row>
    <row r="16" spans="1:31">
      <c r="B16" s="20"/>
      <c r="C16" s="20" t="s">
        <v>54</v>
      </c>
      <c r="D16" s="18"/>
      <c r="E16" s="15">
        <f>+SUM(E13:E15)</f>
        <v>416050</v>
      </c>
      <c r="F16" s="7"/>
      <c r="G16" s="15">
        <f t="shared" ref="G16:N16" si="0">+SUM(G13:G15)</f>
        <v>0</v>
      </c>
      <c r="H16" s="15">
        <f t="shared" si="0"/>
        <v>0</v>
      </c>
      <c r="I16" s="15">
        <f t="shared" si="0"/>
        <v>0</v>
      </c>
      <c r="J16" s="15">
        <f t="shared" si="0"/>
        <v>14981.01649952888</v>
      </c>
      <c r="K16" s="15">
        <f t="shared" si="0"/>
        <v>0</v>
      </c>
      <c r="L16" s="15">
        <f t="shared" si="0"/>
        <v>18287.42296</v>
      </c>
      <c r="M16" s="7"/>
      <c r="N16" s="15">
        <f t="shared" si="0"/>
        <v>449318.43945952889</v>
      </c>
      <c r="Q16" s="20"/>
      <c r="R16" s="20" t="s">
        <v>54</v>
      </c>
      <c r="S16" s="20"/>
      <c r="T16" s="15">
        <f t="shared" ref="T16" si="1">+SUM(T13:T15)</f>
        <v>422298</v>
      </c>
      <c r="X16" s="15">
        <f t="shared" ref="X16" si="2">+SUM(X13:X15)</f>
        <v>71197.744268506998</v>
      </c>
      <c r="Y16" s="15">
        <f t="shared" ref="Y16" si="3">+SUM(Y13:Y15)</f>
        <v>13239</v>
      </c>
      <c r="AA16" s="15">
        <f t="shared" ref="AA16" si="4">+SUM(AA13:AA15)</f>
        <v>506734.744268507</v>
      </c>
      <c r="AC16" s="46"/>
      <c r="AD16" s="16">
        <f t="shared" ref="AD16" si="5">+SUM(AD13:AD15)</f>
        <v>-57416.304808978137</v>
      </c>
      <c r="AE16" s="47"/>
    </row>
    <row r="17" spans="2:31">
      <c r="B17" s="20"/>
      <c r="C17" s="20"/>
      <c r="D17" s="18"/>
      <c r="E17" s="7"/>
      <c r="F17" s="7"/>
      <c r="G17" s="7"/>
      <c r="H17" s="7"/>
      <c r="I17" s="7"/>
      <c r="J17" s="7"/>
      <c r="K17" s="7"/>
      <c r="L17" s="7"/>
      <c r="M17" s="7"/>
      <c r="N17" s="7"/>
      <c r="Q17" s="20"/>
      <c r="R17" s="20"/>
      <c r="S17" s="20"/>
      <c r="T17" s="7"/>
      <c r="AC17" s="46"/>
      <c r="AD17" s="30"/>
      <c r="AE17" s="47"/>
    </row>
    <row r="18" spans="2:31">
      <c r="B18" s="20" t="s">
        <v>55</v>
      </c>
      <c r="C18" s="20"/>
      <c r="D18" s="20"/>
      <c r="E18" s="7"/>
      <c r="F18" s="7"/>
      <c r="G18" s="7"/>
      <c r="H18" s="7"/>
      <c r="I18" s="7"/>
      <c r="J18" s="7"/>
      <c r="K18" s="7"/>
      <c r="L18" s="7"/>
      <c r="M18" s="7"/>
      <c r="N18" s="7"/>
      <c r="Q18" s="20" t="s">
        <v>55</v>
      </c>
      <c r="R18" s="20"/>
      <c r="S18" s="20"/>
      <c r="T18" s="7"/>
      <c r="AC18" s="46"/>
      <c r="AD18" s="30"/>
      <c r="AE18" s="47"/>
    </row>
    <row r="19" spans="2:31">
      <c r="B19" s="20"/>
      <c r="C19" s="20" t="s">
        <v>99</v>
      </c>
      <c r="D19" s="20"/>
      <c r="E19" s="7">
        <f>+'[4]ADJ DETAIL INPUT'!E69</f>
        <v>-9345</v>
      </c>
      <c r="F19" s="7"/>
      <c r="G19" s="7"/>
      <c r="H19" s="7"/>
      <c r="I19" s="7"/>
      <c r="J19" s="7">
        <f>+'[4]ADJ DETAIL INPUT'!AG69</f>
        <v>-201.38448992845179</v>
      </c>
      <c r="K19" s="7"/>
      <c r="L19" s="7">
        <f>+'[4]ADJ DETAIL INPUT'!AI69</f>
        <v>0</v>
      </c>
      <c r="M19" s="7"/>
      <c r="N19" s="7">
        <f>+SUM(E19:L19)</f>
        <v>-9546.3844899284522</v>
      </c>
      <c r="Q19" s="20"/>
      <c r="R19" s="20" t="s">
        <v>99</v>
      </c>
      <c r="S19" s="20"/>
      <c r="T19" s="7">
        <f>+'[5]Attrition 09.2014 to 2016'!E75</f>
        <v>-9521</v>
      </c>
      <c r="V19" s="11">
        <f>+$V$13</f>
        <v>0.16859597788411737</v>
      </c>
      <c r="X19" s="7">
        <f>+T19*V19</f>
        <v>-1605.2023054346814</v>
      </c>
      <c r="AA19" s="7">
        <f>+SUM(T19,X19:Y19)</f>
        <v>-11126.202305434681</v>
      </c>
      <c r="AC19" s="46"/>
      <c r="AD19" s="30">
        <f>+N19-AA19</f>
        <v>1579.8178155062287</v>
      </c>
      <c r="AE19" s="47"/>
    </row>
    <row r="20" spans="2:31">
      <c r="B20" s="20"/>
      <c r="C20" s="20" t="s">
        <v>46</v>
      </c>
      <c r="D20" s="20"/>
      <c r="E20" s="7">
        <f>+'[4]ADJ DETAIL INPUT'!E70</f>
        <v>-113282</v>
      </c>
      <c r="F20" s="7"/>
      <c r="G20" s="7"/>
      <c r="H20" s="7"/>
      <c r="I20" s="7"/>
      <c r="J20" s="7">
        <f>+'[4]ADJ DETAIL INPUT'!AG70</f>
        <v>-4409.5681650915885</v>
      </c>
      <c r="K20" s="7"/>
      <c r="L20" s="7">
        <f>+'[4]ADJ DETAIL INPUT'!AI70</f>
        <v>-76.746693450000009</v>
      </c>
      <c r="M20" s="7"/>
      <c r="N20" s="7">
        <f>+SUM(E20:L20)</f>
        <v>-117768.31485854159</v>
      </c>
      <c r="Q20" s="20"/>
      <c r="R20" s="20" t="s">
        <v>46</v>
      </c>
      <c r="S20" s="20"/>
      <c r="T20" s="7">
        <f>+'[5]Attrition 09.2014 to 2016'!E76</f>
        <v>-114795</v>
      </c>
      <c r="V20" s="11">
        <f>+$V$13</f>
        <v>0.16859597788411737</v>
      </c>
      <c r="X20" s="7">
        <f>+T20*V20</f>
        <v>-19353.975281207255</v>
      </c>
      <c r="AA20" s="7">
        <f>+SUM(T20,X20:Y20)</f>
        <v>-134148.97528120724</v>
      </c>
      <c r="AC20" s="46"/>
      <c r="AD20" s="30">
        <f>+N20-AA20</f>
        <v>16380.660422665649</v>
      </c>
      <c r="AE20" s="47"/>
    </row>
    <row r="21" spans="2:31">
      <c r="B21" s="20"/>
      <c r="C21" s="20" t="s">
        <v>50</v>
      </c>
      <c r="D21" s="20"/>
      <c r="E21" s="7">
        <f>+'[4]ADJ DETAIL INPUT'!E71</f>
        <v>-16998</v>
      </c>
      <c r="F21" s="7"/>
      <c r="G21" s="7"/>
      <c r="H21" s="7"/>
      <c r="I21" s="7"/>
      <c r="J21" s="7">
        <f>+'[4]ADJ DETAIL INPUT'!AG71</f>
        <v>-404.04600000000005</v>
      </c>
      <c r="K21" s="7"/>
      <c r="L21" s="7">
        <f>+'[4]ADJ DETAIL INPUT'!AI71</f>
        <v>-1057.5540799999999</v>
      </c>
      <c r="M21" s="7"/>
      <c r="N21" s="7">
        <f>+SUM(E21:L21)</f>
        <v>-18459.600079999997</v>
      </c>
      <c r="Q21" s="20"/>
      <c r="R21" s="20" t="s">
        <v>50</v>
      </c>
      <c r="S21" s="20"/>
      <c r="T21" s="7">
        <f>+'[5]Attrition 09.2014 to 2016'!E77</f>
        <v>-17429</v>
      </c>
      <c r="V21" s="11">
        <f>+$V$13</f>
        <v>0.16859597788411737</v>
      </c>
      <c r="X21" s="7">
        <f>+T21*V21</f>
        <v>-2938.4592985422814</v>
      </c>
      <c r="Y21" s="7">
        <f>+'[5]Attrition 09.2014 to 2016'!$Q$77</f>
        <v>-559</v>
      </c>
      <c r="AA21" s="7">
        <f>+SUM(T21,X21:Y21)</f>
        <v>-20926.459298542282</v>
      </c>
      <c r="AC21" s="46"/>
      <c r="AD21" s="30">
        <f>+N21-AA21</f>
        <v>2466.8592185422858</v>
      </c>
      <c r="AE21" s="47"/>
    </row>
    <row r="22" spans="2:31">
      <c r="B22" s="20"/>
      <c r="C22" s="20" t="s">
        <v>54</v>
      </c>
      <c r="D22" s="18"/>
      <c r="E22" s="15">
        <f>+SUM(E19:E21)</f>
        <v>-139625</v>
      </c>
      <c r="F22" s="7"/>
      <c r="G22" s="15">
        <f t="shared" ref="G22:N22" si="6">+SUM(G19:G21)</f>
        <v>0</v>
      </c>
      <c r="H22" s="15">
        <f t="shared" si="6"/>
        <v>0</v>
      </c>
      <c r="I22" s="15">
        <f t="shared" si="6"/>
        <v>0</v>
      </c>
      <c r="J22" s="15">
        <f t="shared" si="6"/>
        <v>-5014.998655020041</v>
      </c>
      <c r="K22" s="15">
        <f t="shared" si="6"/>
        <v>0</v>
      </c>
      <c r="L22" s="15">
        <f t="shared" si="6"/>
        <v>-1134.30077345</v>
      </c>
      <c r="M22" s="7"/>
      <c r="N22" s="15">
        <f t="shared" si="6"/>
        <v>-145774.29942847005</v>
      </c>
      <c r="Q22" s="20"/>
      <c r="R22" s="20" t="s">
        <v>54</v>
      </c>
      <c r="S22" s="20"/>
      <c r="T22" s="15">
        <f t="shared" ref="T22" si="7">+SUM(T19:T21)</f>
        <v>-141745</v>
      </c>
      <c r="X22" s="15">
        <f t="shared" ref="X22" si="8">+SUM(X19:X21)</f>
        <v>-23897.63688518422</v>
      </c>
      <c r="Y22" s="15">
        <f t="shared" ref="Y22" si="9">+SUM(Y19:Y21)</f>
        <v>-559</v>
      </c>
      <c r="AA22" s="15">
        <f t="shared" ref="AA22" si="10">+SUM(AA19:AA21)</f>
        <v>-166201.63688518421</v>
      </c>
      <c r="AC22" s="46"/>
      <c r="AD22" s="16">
        <f t="shared" ref="AD22" si="11">+SUM(AD19:AD21)</f>
        <v>20427.337456714162</v>
      </c>
      <c r="AE22" s="47"/>
    </row>
    <row r="23" spans="2:31">
      <c r="B23" s="20"/>
      <c r="C23" s="20"/>
      <c r="D23" s="20"/>
      <c r="E23" s="7"/>
      <c r="F23" s="7"/>
      <c r="G23" s="7"/>
      <c r="H23" s="7"/>
      <c r="I23" s="7"/>
      <c r="J23" s="7"/>
      <c r="K23" s="7"/>
      <c r="L23" s="7"/>
      <c r="M23" s="7"/>
      <c r="N23" s="7"/>
      <c r="Q23" s="20"/>
      <c r="R23" s="20"/>
      <c r="S23" s="20"/>
      <c r="T23" s="7"/>
      <c r="AC23" s="46"/>
      <c r="AD23" s="30"/>
      <c r="AE23" s="47"/>
    </row>
    <row r="24" spans="2:31">
      <c r="B24" s="20" t="s">
        <v>6</v>
      </c>
      <c r="C24" s="20"/>
      <c r="D24" s="20"/>
      <c r="E24" s="7">
        <f>+E16+E22</f>
        <v>276425</v>
      </c>
      <c r="F24" s="7"/>
      <c r="G24" s="7">
        <f t="shared" ref="G24:N24" si="12">+G16+G22</f>
        <v>0</v>
      </c>
      <c r="H24" s="7">
        <f t="shared" si="12"/>
        <v>0</v>
      </c>
      <c r="I24" s="7">
        <f t="shared" si="12"/>
        <v>0</v>
      </c>
      <c r="J24" s="7">
        <f t="shared" si="12"/>
        <v>9966.0178445088386</v>
      </c>
      <c r="K24" s="7">
        <f t="shared" si="12"/>
        <v>0</v>
      </c>
      <c r="L24" s="7">
        <f t="shared" si="12"/>
        <v>17153.122186550001</v>
      </c>
      <c r="M24" s="7"/>
      <c r="N24" s="7">
        <f t="shared" si="12"/>
        <v>303544.14003105881</v>
      </c>
      <c r="Q24" s="20" t="s">
        <v>6</v>
      </c>
      <c r="R24" s="20"/>
      <c r="S24" s="20"/>
      <c r="T24" s="7">
        <f t="shared" ref="T24" si="13">+T16+T22</f>
        <v>280553</v>
      </c>
      <c r="X24" s="7">
        <f t="shared" ref="X24" si="14">+X16+X22</f>
        <v>47300.107383322778</v>
      </c>
      <c r="Y24" s="7">
        <f t="shared" ref="Y24" si="15">+Y16+Y22</f>
        <v>12680</v>
      </c>
      <c r="AA24" s="7">
        <f t="shared" ref="AA24" si="16">+AA16+AA22</f>
        <v>340533.10738332279</v>
      </c>
      <c r="AC24" s="46"/>
      <c r="AD24" s="30">
        <f t="shared" ref="AD24" si="17">+AD16+AD22</f>
        <v>-36988.967352263979</v>
      </c>
      <c r="AE24" s="47"/>
    </row>
    <row r="25" spans="2:31">
      <c r="B25" s="20"/>
      <c r="C25" s="20"/>
      <c r="D25" s="20"/>
      <c r="E25" s="7"/>
      <c r="F25" s="7"/>
      <c r="G25" s="7"/>
      <c r="H25" s="7"/>
      <c r="I25" s="7"/>
      <c r="J25" s="7"/>
      <c r="K25" s="7"/>
      <c r="L25" s="7"/>
      <c r="M25" s="7"/>
      <c r="N25" s="7"/>
      <c r="Q25" s="20"/>
      <c r="R25" s="20"/>
      <c r="S25" s="20"/>
      <c r="T25" s="7"/>
      <c r="AC25" s="46"/>
      <c r="AD25" s="30"/>
      <c r="AE25" s="47"/>
    </row>
    <row r="26" spans="2:31">
      <c r="B26" s="20"/>
      <c r="C26" s="20" t="s">
        <v>7</v>
      </c>
      <c r="D26" s="20"/>
      <c r="E26" s="7">
        <f>+'[4]ADJ DETAIL INPUT'!$E$74</f>
        <v>-55323</v>
      </c>
      <c r="F26" s="7"/>
      <c r="G26" s="7">
        <f>+'[4]ADJ DETAIL INPUT'!$F$74</f>
        <v>-3032</v>
      </c>
      <c r="H26" s="7"/>
      <c r="I26" s="7"/>
      <c r="J26" s="7">
        <f>+'[4]ADJ DETAIL INPUT'!AG74</f>
        <v>-6578.4999999999927</v>
      </c>
      <c r="K26" s="7">
        <v>3500</v>
      </c>
      <c r="L26" s="7">
        <f>+'[4]ADJ DETAIL INPUT'!AI74</f>
        <v>-1200</v>
      </c>
      <c r="M26" s="7"/>
      <c r="N26" s="7">
        <f>+SUM(E26:L26)</f>
        <v>-62633.499999999993</v>
      </c>
      <c r="Q26" s="20"/>
      <c r="R26" s="20" t="s">
        <v>7</v>
      </c>
      <c r="S26" s="20"/>
      <c r="T26" s="7">
        <f>+'[5]Attrition 09.2014 to 2016'!$E$80</f>
        <v>-54652</v>
      </c>
      <c r="V26" s="11">
        <f>+$V$13</f>
        <v>0.16859597788411737</v>
      </c>
      <c r="X26" s="7">
        <f>+T26*V26</f>
        <v>-9214.107383322782</v>
      </c>
      <c r="Y26" s="7">
        <f>+'[5]Attrition 09.2014 to 2016'!$Q$80</f>
        <v>-577</v>
      </c>
      <c r="AA26" s="7">
        <f>+SUM(T26,X26:Y26)</f>
        <v>-64443.107383322786</v>
      </c>
      <c r="AC26" s="46"/>
      <c r="AD26" s="30">
        <f>+N26-AA26</f>
        <v>1809.6073833227929</v>
      </c>
      <c r="AE26" s="47"/>
    </row>
    <row r="27" spans="2:31">
      <c r="B27" s="20"/>
      <c r="C27" s="20"/>
      <c r="D27" s="20"/>
      <c r="E27" s="7"/>
      <c r="F27" s="7"/>
      <c r="G27" s="7"/>
      <c r="H27" s="7"/>
      <c r="I27" s="7"/>
      <c r="J27" s="7"/>
      <c r="K27" s="7"/>
      <c r="L27" s="7"/>
      <c r="M27" s="7"/>
      <c r="N27" s="7"/>
      <c r="Q27" s="20"/>
      <c r="R27" s="20"/>
      <c r="S27" s="20"/>
      <c r="T27" s="7"/>
      <c r="AC27" s="46"/>
      <c r="AD27" s="30"/>
      <c r="AE27" s="47"/>
    </row>
    <row r="28" spans="2:31">
      <c r="B28" s="20" t="s">
        <v>80</v>
      </c>
      <c r="C28" s="20"/>
      <c r="D28" s="20"/>
      <c r="E28" s="15">
        <f>+E24+E26</f>
        <v>221102</v>
      </c>
      <c r="F28" s="7"/>
      <c r="G28" s="15">
        <f t="shared" ref="G28:K28" si="18">+G24+G26</f>
        <v>-3032</v>
      </c>
      <c r="H28" s="15">
        <f t="shared" si="18"/>
        <v>0</v>
      </c>
      <c r="I28" s="15">
        <f t="shared" si="18"/>
        <v>0</v>
      </c>
      <c r="J28" s="15">
        <f t="shared" si="18"/>
        <v>3387.5178445088459</v>
      </c>
      <c r="K28" s="15">
        <f t="shared" si="18"/>
        <v>3500</v>
      </c>
      <c r="L28" s="15">
        <f>+L24+L26</f>
        <v>15953.122186550001</v>
      </c>
      <c r="M28" s="7"/>
      <c r="N28" s="15">
        <f>+N24+N26</f>
        <v>240910.64003105881</v>
      </c>
      <c r="Q28" s="20" t="s">
        <v>56</v>
      </c>
      <c r="R28" s="20"/>
      <c r="S28" s="20"/>
      <c r="T28" s="15">
        <f t="shared" ref="T28" si="19">+T24+T26</f>
        <v>225901</v>
      </c>
      <c r="X28" s="15">
        <f t="shared" ref="X28" si="20">+X24+X26</f>
        <v>38086</v>
      </c>
      <c r="Y28" s="15">
        <f t="shared" ref="Y28" si="21">+Y24+Y26</f>
        <v>12103</v>
      </c>
      <c r="AA28" s="15">
        <f t="shared" ref="AA28" si="22">+AA24+AA26</f>
        <v>276090</v>
      </c>
      <c r="AC28" s="46"/>
      <c r="AD28" s="16">
        <f t="shared" ref="AD28" si="23">+AD24+AD26</f>
        <v>-35179.359968941186</v>
      </c>
      <c r="AE28" s="47"/>
    </row>
    <row r="29" spans="2:31">
      <c r="B29" s="20"/>
      <c r="C29" s="20"/>
      <c r="D29" s="20"/>
      <c r="E29" s="7"/>
      <c r="F29" s="7"/>
      <c r="G29" s="7"/>
      <c r="H29" s="7"/>
      <c r="I29" s="7"/>
      <c r="J29" s="7"/>
      <c r="K29" s="7"/>
      <c r="L29" s="7"/>
      <c r="M29" s="7"/>
      <c r="N29" s="7"/>
      <c r="Q29" s="20"/>
      <c r="R29" s="20"/>
      <c r="S29" s="20"/>
      <c r="T29" s="7"/>
      <c r="AC29" s="46"/>
      <c r="AD29" s="30"/>
      <c r="AE29" s="47"/>
    </row>
    <row r="30" spans="2:31">
      <c r="B30" s="20" t="s">
        <v>57</v>
      </c>
      <c r="C30" s="20"/>
      <c r="D30" s="20"/>
      <c r="E30" s="7">
        <f>+'[4]ADJ DETAIL INPUT'!$E$76</f>
        <v>12801</v>
      </c>
      <c r="F30" s="7"/>
      <c r="G30" s="7"/>
      <c r="H30" s="7"/>
      <c r="I30" s="7"/>
      <c r="J30" s="7"/>
      <c r="K30" s="7"/>
      <c r="L30" s="7"/>
      <c r="M30" s="7"/>
      <c r="N30" s="7">
        <f>+SUM(E30:L30)</f>
        <v>12801</v>
      </c>
      <c r="Q30" s="20" t="s">
        <v>57</v>
      </c>
      <c r="R30" s="20"/>
      <c r="S30" s="20"/>
      <c r="T30" s="7">
        <f>+'[5]Attrition 09.2014 to 2016'!$E$82</f>
        <v>14762</v>
      </c>
      <c r="AA30" s="7">
        <f>+SUM(T30,X30:Y30)</f>
        <v>14762</v>
      </c>
      <c r="AC30" s="46"/>
      <c r="AD30" s="30">
        <f>+N30-AA30</f>
        <v>-1961</v>
      </c>
      <c r="AE30" s="47"/>
    </row>
    <row r="31" spans="2:31">
      <c r="B31" s="20" t="s">
        <v>58</v>
      </c>
      <c r="C31" s="20"/>
      <c r="D31" s="20"/>
      <c r="E31" s="7">
        <f>+'[4]ADJ DETAIL INPUT'!$E$78</f>
        <v>-428</v>
      </c>
      <c r="F31" s="7"/>
      <c r="G31" s="7"/>
      <c r="H31" s="7"/>
      <c r="I31" s="7"/>
      <c r="J31" s="7"/>
      <c r="K31" s="7"/>
      <c r="L31" s="7"/>
      <c r="M31" s="7"/>
      <c r="N31" s="7">
        <f>+SUM(E31:L31)</f>
        <v>-428</v>
      </c>
      <c r="Q31" s="20" t="s">
        <v>58</v>
      </c>
      <c r="R31" s="20"/>
      <c r="S31" s="20"/>
      <c r="T31" s="7">
        <f>+'[5]Attrition 09.2014 to 2016'!$E$84</f>
        <v>-479</v>
      </c>
      <c r="AA31" s="7">
        <f>+SUM(T31,X31:Y31)</f>
        <v>-479</v>
      </c>
      <c r="AC31" s="46"/>
      <c r="AD31" s="30">
        <f>+N31-AA31</f>
        <v>51</v>
      </c>
      <c r="AE31" s="47"/>
    </row>
    <row r="32" spans="2:31">
      <c r="B32" s="20" t="s">
        <v>8</v>
      </c>
      <c r="C32" s="20"/>
      <c r="D32" s="20"/>
      <c r="E32" s="7"/>
      <c r="F32" s="7"/>
      <c r="G32" s="7"/>
      <c r="H32" s="7">
        <f>+'[4]ADJ DETAIL INPUT'!$H$79</f>
        <v>10371</v>
      </c>
      <c r="I32" s="7"/>
      <c r="J32" s="7"/>
      <c r="K32" s="7"/>
      <c r="L32" s="7"/>
      <c r="M32" s="7"/>
      <c r="N32" s="7">
        <f>+SUM(E32:L32)</f>
        <v>10371</v>
      </c>
      <c r="Q32" s="20" t="s">
        <v>8</v>
      </c>
      <c r="R32" s="20"/>
      <c r="S32" s="20"/>
      <c r="T32" s="7">
        <f>+'[5]Attrition 09.2014 to 2016'!$E$85</f>
        <v>10073</v>
      </c>
      <c r="AA32" s="7">
        <f>+SUM(T32,X32:Y32)</f>
        <v>10073</v>
      </c>
      <c r="AC32" s="46"/>
      <c r="AD32" s="30">
        <f>+N32-AA32</f>
        <v>298</v>
      </c>
      <c r="AE32" s="47"/>
    </row>
    <row r="33" spans="2:33">
      <c r="E33" s="7"/>
      <c r="F33" s="7"/>
      <c r="G33" s="7"/>
      <c r="H33" s="7"/>
      <c r="I33" s="7"/>
      <c r="J33" s="7"/>
      <c r="K33" s="7"/>
      <c r="L33" s="7"/>
      <c r="M33" s="7"/>
      <c r="N33" s="7"/>
      <c r="T33" s="7"/>
      <c r="AC33" s="46"/>
      <c r="AD33" s="30"/>
      <c r="AE33" s="47"/>
    </row>
    <row r="34" spans="2:33">
      <c r="B34" s="21" t="s">
        <v>31</v>
      </c>
      <c r="E34" s="16">
        <f>+SUM(E28:E32)</f>
        <v>233475</v>
      </c>
      <c r="F34" s="17"/>
      <c r="G34" s="16">
        <f t="shared" ref="G34:L34" si="24">+SUM(G28:G32)</f>
        <v>-3032</v>
      </c>
      <c r="H34" s="16">
        <f t="shared" si="24"/>
        <v>10371</v>
      </c>
      <c r="I34" s="16">
        <f t="shared" si="24"/>
        <v>0</v>
      </c>
      <c r="J34" s="16">
        <f t="shared" si="24"/>
        <v>3387.5178445088459</v>
      </c>
      <c r="K34" s="16">
        <f t="shared" si="24"/>
        <v>3500</v>
      </c>
      <c r="L34" s="16">
        <f t="shared" si="24"/>
        <v>15953.122186550001</v>
      </c>
      <c r="M34" s="17"/>
      <c r="N34" s="16">
        <f>+SUM(N28:N32)</f>
        <v>263654.64003105881</v>
      </c>
      <c r="Q34" s="21" t="s">
        <v>31</v>
      </c>
      <c r="T34" s="16">
        <f>+SUM(T28:T32)</f>
        <v>250257</v>
      </c>
      <c r="X34" s="16">
        <f t="shared" ref="X34:AA34" si="25">+SUM(X28:X32)</f>
        <v>38086</v>
      </c>
      <c r="Y34" s="16">
        <f t="shared" si="25"/>
        <v>12103</v>
      </c>
      <c r="AA34" s="16">
        <f t="shared" si="25"/>
        <v>300446</v>
      </c>
      <c r="AC34" s="46"/>
      <c r="AD34" s="16">
        <f>+SUM(AD28:AD32)</f>
        <v>-36791.359968941186</v>
      </c>
      <c r="AE34" s="47"/>
      <c r="AG34" s="7">
        <f>+AD34*1000</f>
        <v>-36791359.968941189</v>
      </c>
    </row>
    <row r="35" spans="2:33">
      <c r="N35" s="45" t="s">
        <v>59</v>
      </c>
      <c r="AC35" s="46"/>
      <c r="AD35" s="29"/>
      <c r="AE35" s="47"/>
    </row>
    <row r="36" spans="2:33">
      <c r="AC36" s="46"/>
      <c r="AD36" s="29"/>
      <c r="AE36" s="47"/>
    </row>
    <row r="37" spans="2:33">
      <c r="B37" s="1" t="s">
        <v>66</v>
      </c>
      <c r="Q37" s="1" t="s">
        <v>66</v>
      </c>
      <c r="AC37" s="46"/>
      <c r="AD37" s="29"/>
      <c r="AE37" s="47"/>
    </row>
    <row r="38" spans="2:33">
      <c r="C38" s="20" t="s">
        <v>99</v>
      </c>
      <c r="E38" s="7">
        <f>+'[4]ADJ DETAIL INPUT'!$E$29</f>
        <v>392</v>
      </c>
      <c r="J38" s="7">
        <f>+'[4]ADJ DETAIL INPUT'!$AG$29</f>
        <v>10</v>
      </c>
      <c r="N38" s="7">
        <f>+SUM(E38:L38)</f>
        <v>402</v>
      </c>
      <c r="R38" s="20" t="s">
        <v>99</v>
      </c>
      <c r="T38" s="7">
        <f>+'[5]Attrition 09.2014 to 2016'!$E$26</f>
        <v>402</v>
      </c>
      <c r="V38" s="11">
        <f>+'[5]Attrition 09.2014 to 2016'!$K$26</f>
        <v>0.22272850270595312</v>
      </c>
      <c r="X38" s="7">
        <f t="shared" ref="X38:X40" si="26">+T38*V38</f>
        <v>89.536858087793149</v>
      </c>
      <c r="AA38" s="7">
        <f t="shared" ref="AA38:AA40" si="27">+SUM(T38,X38:Y38)</f>
        <v>491.53685808779312</v>
      </c>
      <c r="AC38" s="46"/>
      <c r="AD38" s="30">
        <f t="shared" ref="AD38:AD40" si="28">+N38-AA38</f>
        <v>-89.536858087793121</v>
      </c>
      <c r="AE38" s="47"/>
    </row>
    <row r="39" spans="2:33">
      <c r="C39" s="20" t="s">
        <v>46</v>
      </c>
      <c r="E39" s="7">
        <f>+'[4]ADJ DETAIL INPUT'!$E$35</f>
        <v>8386</v>
      </c>
      <c r="I39" s="7">
        <f>+'[4]ADJ DETAIL INPUT'!$Q$35</f>
        <v>-5</v>
      </c>
      <c r="J39" s="7">
        <f>+'[4]ADJ DETAIL INPUT'!$AG$35</f>
        <v>138.34399999999999</v>
      </c>
      <c r="L39" s="7">
        <f>+'[4]ADJ DETAIL INPUT'!$AI$35</f>
        <v>113</v>
      </c>
      <c r="N39" s="7">
        <f>+SUM(E39:L39)</f>
        <v>8632.3439999999991</v>
      </c>
      <c r="R39" s="20" t="s">
        <v>46</v>
      </c>
      <c r="T39" s="7">
        <f>+'[5]Attrition 09.2014 to 2016'!$E$32</f>
        <v>8513</v>
      </c>
      <c r="V39" s="11">
        <f>+$V$38</f>
        <v>0.22272850270595312</v>
      </c>
      <c r="X39" s="7">
        <f t="shared" si="26"/>
        <v>1896.0877435357791</v>
      </c>
      <c r="AA39" s="7">
        <f t="shared" si="27"/>
        <v>10409.08774353578</v>
      </c>
      <c r="AC39" s="46"/>
      <c r="AD39" s="30">
        <f t="shared" si="28"/>
        <v>-1776.7437435357806</v>
      </c>
      <c r="AE39" s="47"/>
    </row>
    <row r="40" spans="2:33">
      <c r="C40" s="20" t="s">
        <v>50</v>
      </c>
      <c r="E40" s="7">
        <f>+'[4]ADJ DETAIL INPUT'!$E$45</f>
        <v>4316</v>
      </c>
      <c r="J40" s="7">
        <f>+'[4]ADJ DETAIL INPUT'!$AG$45</f>
        <v>73.285599999999988</v>
      </c>
      <c r="L40" s="7">
        <f>+'[4]ADJ DETAIL INPUT'!$AI$45+15</f>
        <v>1281</v>
      </c>
      <c r="N40" s="7">
        <f>+SUM(E40:L40)</f>
        <v>5670.2856000000002</v>
      </c>
      <c r="R40" s="20" t="s">
        <v>50</v>
      </c>
      <c r="T40" s="7">
        <f>+'[5]Attrition 09.2014 to 2016'!$E$42</f>
        <v>4389</v>
      </c>
      <c r="V40" s="11">
        <f>+$V$38</f>
        <v>0.22272850270595312</v>
      </c>
      <c r="X40" s="7">
        <f t="shared" si="26"/>
        <v>977.55539837642823</v>
      </c>
      <c r="Y40" s="7">
        <f>+'[5]Attrition 09.2014 to 2016'!$Q$42</f>
        <v>1119</v>
      </c>
      <c r="AA40" s="7">
        <f t="shared" si="27"/>
        <v>6485.5553983764285</v>
      </c>
      <c r="AC40" s="46"/>
      <c r="AD40" s="30">
        <f t="shared" si="28"/>
        <v>-815.2697983764283</v>
      </c>
      <c r="AE40" s="47"/>
    </row>
    <row r="41" spans="2:33">
      <c r="C41" s="1" t="s">
        <v>104</v>
      </c>
      <c r="E41" s="15">
        <f>+SUM(E38:E40)</f>
        <v>13094</v>
      </c>
      <c r="G41" s="15">
        <f t="shared" ref="G41:N41" si="29">+SUM(G38:G40)</f>
        <v>0</v>
      </c>
      <c r="H41" s="15">
        <f t="shared" si="29"/>
        <v>0</v>
      </c>
      <c r="I41" s="15">
        <f t="shared" si="29"/>
        <v>-5</v>
      </c>
      <c r="J41" s="15">
        <f t="shared" si="29"/>
        <v>221.62959999999998</v>
      </c>
      <c r="K41" s="15">
        <f t="shared" si="29"/>
        <v>0</v>
      </c>
      <c r="L41" s="15">
        <f t="shared" si="29"/>
        <v>1394</v>
      </c>
      <c r="N41" s="15">
        <f t="shared" si="29"/>
        <v>14704.6296</v>
      </c>
      <c r="R41" s="1" t="s">
        <v>104</v>
      </c>
      <c r="T41" s="15">
        <f>+SUM(T38:T40)</f>
        <v>13304</v>
      </c>
      <c r="X41" s="15">
        <f>+SUM(X38:X40)</f>
        <v>2963.1800000000003</v>
      </c>
      <c r="Y41" s="15">
        <f>+SUM(Y38:Y40)</f>
        <v>1119</v>
      </c>
      <c r="AA41" s="15">
        <f>+SUM(AA38:AA40)</f>
        <v>17386.18</v>
      </c>
      <c r="AC41" s="46"/>
      <c r="AD41" s="16">
        <f>+SUM(AD38:AD40)</f>
        <v>-2681.5504000000019</v>
      </c>
      <c r="AE41" s="47"/>
      <c r="AG41" s="7">
        <f>+AD41*1000</f>
        <v>-2681550.4000000018</v>
      </c>
    </row>
    <row r="42" spans="2:33">
      <c r="AC42" s="46"/>
      <c r="AD42" s="29"/>
      <c r="AE42" s="47"/>
    </row>
    <row r="43" spans="2:33">
      <c r="AC43" s="46"/>
      <c r="AD43" s="29"/>
      <c r="AE43" s="47"/>
    </row>
    <row r="44" spans="2:33">
      <c r="B44" s="1" t="s">
        <v>96</v>
      </c>
      <c r="Q44" s="1" t="s">
        <v>96</v>
      </c>
      <c r="AC44" s="46"/>
      <c r="AD44" s="29"/>
      <c r="AE44" s="47"/>
    </row>
    <row r="45" spans="2:33">
      <c r="C45" s="1" t="s">
        <v>47</v>
      </c>
      <c r="E45" s="7">
        <f>-E41*0.35</f>
        <v>-4582.8999999999996</v>
      </c>
      <c r="G45" s="7">
        <f>-G41*0.35</f>
        <v>0</v>
      </c>
      <c r="H45" s="7">
        <f t="shared" ref="H45:L45" si="30">-H41*0.35</f>
        <v>0</v>
      </c>
      <c r="I45" s="7">
        <f t="shared" ref="I45" si="31">-I41*0.35</f>
        <v>1.75</v>
      </c>
      <c r="J45" s="7">
        <f t="shared" si="30"/>
        <v>-77.570359999999994</v>
      </c>
      <c r="K45" s="7">
        <f t="shared" si="30"/>
        <v>0</v>
      </c>
      <c r="L45" s="7">
        <f t="shared" si="30"/>
        <v>-487.9</v>
      </c>
      <c r="N45" s="7">
        <f>+SUM(E45:L45)</f>
        <v>-5146.620359999999</v>
      </c>
      <c r="R45" s="1" t="s">
        <v>47</v>
      </c>
      <c r="T45" s="7">
        <f>-T41*0.35</f>
        <v>-4656.3999999999996</v>
      </c>
      <c r="X45" s="7">
        <f>-X41*0.35</f>
        <v>-1037.1130000000001</v>
      </c>
      <c r="Y45" s="7">
        <f>-Y41*0.35</f>
        <v>-391.65</v>
      </c>
      <c r="AA45" s="7">
        <f t="shared" ref="AA45:AA46" si="32">+SUM(T45,X45:Y45)</f>
        <v>-6085.1629999999996</v>
      </c>
      <c r="AC45" s="46"/>
      <c r="AD45" s="30">
        <f t="shared" ref="AD45:AD46" si="33">+N45-AA45</f>
        <v>938.54264000000057</v>
      </c>
      <c r="AE45" s="47"/>
    </row>
    <row r="46" spans="2:33">
      <c r="C46" s="1" t="s">
        <v>48</v>
      </c>
      <c r="E46" s="7">
        <v>0</v>
      </c>
      <c r="G46" s="7">
        <f t="shared" ref="G46:L46" si="34">-G34*$E$67*0.35</f>
        <v>28.418935999999995</v>
      </c>
      <c r="H46" s="7">
        <f t="shared" si="34"/>
        <v>-97.207382999999979</v>
      </c>
      <c r="I46" s="7">
        <f t="shared" si="34"/>
        <v>0</v>
      </c>
      <c r="J46" s="7">
        <f t="shared" si="34"/>
        <v>-31.751204756581409</v>
      </c>
      <c r="K46" s="7">
        <f t="shared" si="34"/>
        <v>-32.805499999999995</v>
      </c>
      <c r="L46" s="7">
        <f t="shared" si="34"/>
        <v>-149.52861425453312</v>
      </c>
      <c r="N46" s="7">
        <f>+SUM(E46:L46)</f>
        <v>-282.87376601111453</v>
      </c>
      <c r="R46" s="1" t="s">
        <v>48</v>
      </c>
      <c r="T46" s="7">
        <v>0</v>
      </c>
      <c r="X46" s="7">
        <f>-X34*$E$67*0.35</f>
        <v>-356.98007799999993</v>
      </c>
      <c r="Y46" s="7">
        <f>-Y34*$E$67*0.35</f>
        <v>-113.44141899999998</v>
      </c>
      <c r="AA46" s="7">
        <f t="shared" si="32"/>
        <v>-470.42149699999993</v>
      </c>
      <c r="AC46" s="46"/>
      <c r="AD46" s="30">
        <f t="shared" si="33"/>
        <v>187.54773098888541</v>
      </c>
      <c r="AE46" s="47"/>
    </row>
    <row r="47" spans="2:33">
      <c r="C47" s="1" t="s">
        <v>49</v>
      </c>
      <c r="E47" s="15">
        <f>+SUM(E45:E46)</f>
        <v>-4582.8999999999996</v>
      </c>
      <c r="G47" s="15">
        <f>+SUM(G45:G46)</f>
        <v>28.418935999999995</v>
      </c>
      <c r="H47" s="15">
        <f t="shared" ref="H47:N47" si="35">+SUM(H45:H46)</f>
        <v>-97.207382999999979</v>
      </c>
      <c r="I47" s="15">
        <f t="shared" si="35"/>
        <v>1.75</v>
      </c>
      <c r="J47" s="15">
        <f t="shared" si="35"/>
        <v>-109.32156475658141</v>
      </c>
      <c r="K47" s="15">
        <f t="shared" si="35"/>
        <v>-32.805499999999995</v>
      </c>
      <c r="L47" s="15">
        <f t="shared" si="35"/>
        <v>-637.42861425453316</v>
      </c>
      <c r="N47" s="15">
        <f t="shared" si="35"/>
        <v>-5429.4941260111136</v>
      </c>
      <c r="R47" s="1" t="s">
        <v>49</v>
      </c>
      <c r="T47" s="15">
        <f>+SUM(T45:T46)</f>
        <v>-4656.3999999999996</v>
      </c>
      <c r="X47" s="15">
        <f>+SUM(X45:X46)</f>
        <v>-1394.0930779999999</v>
      </c>
      <c r="Y47" s="15">
        <f>+SUM(Y45:Y46)</f>
        <v>-505.09141899999997</v>
      </c>
      <c r="AA47" s="15">
        <f>+SUM(AA45:AA46)</f>
        <v>-6555.5844969999998</v>
      </c>
      <c r="AC47" s="46"/>
      <c r="AD47" s="16">
        <f>+SUM(AD45:AD46)</f>
        <v>1126.090370988886</v>
      </c>
      <c r="AE47" s="47"/>
    </row>
    <row r="48" spans="2:33">
      <c r="AC48" s="46"/>
      <c r="AD48" s="29"/>
      <c r="AE48" s="47"/>
    </row>
    <row r="49" spans="2:31">
      <c r="B49" s="10" t="s">
        <v>84</v>
      </c>
      <c r="C49" s="10"/>
      <c r="D49" s="10"/>
      <c r="E49" s="16">
        <f>+E41+E47</f>
        <v>8511.1</v>
      </c>
      <c r="F49" s="10"/>
      <c r="G49" s="16">
        <f t="shared" ref="G49:N49" si="36">+G41+G47</f>
        <v>28.418935999999995</v>
      </c>
      <c r="H49" s="16">
        <f t="shared" si="36"/>
        <v>-97.207382999999979</v>
      </c>
      <c r="I49" s="16">
        <f t="shared" si="36"/>
        <v>-3.25</v>
      </c>
      <c r="J49" s="16">
        <f t="shared" si="36"/>
        <v>112.30803524341857</v>
      </c>
      <c r="K49" s="16">
        <f t="shared" si="36"/>
        <v>-32.805499999999995</v>
      </c>
      <c r="L49" s="16">
        <f t="shared" si="36"/>
        <v>756.57138574546684</v>
      </c>
      <c r="M49" s="10"/>
      <c r="N49" s="16">
        <f t="shared" si="36"/>
        <v>9275.1354739888866</v>
      </c>
      <c r="O49" s="10"/>
      <c r="P49" s="10"/>
      <c r="Q49" s="10" t="s">
        <v>84</v>
      </c>
      <c r="R49" s="10"/>
      <c r="S49" s="10"/>
      <c r="T49" s="16">
        <f t="shared" ref="T49" si="37">+T41+T47</f>
        <v>8647.6</v>
      </c>
      <c r="U49" s="10"/>
      <c r="V49" s="10"/>
      <c r="W49" s="10"/>
      <c r="X49" s="16">
        <f t="shared" ref="X49:Y49" si="38">+X41+X47</f>
        <v>1569.0869220000004</v>
      </c>
      <c r="Y49" s="16">
        <f t="shared" si="38"/>
        <v>613.90858100000003</v>
      </c>
      <c r="Z49" s="10"/>
      <c r="AA49" s="16">
        <f t="shared" ref="AA49" si="39">+AA41+AA47</f>
        <v>10830.595503</v>
      </c>
      <c r="AB49" s="10"/>
      <c r="AC49" s="54"/>
      <c r="AD49" s="16">
        <f t="shared" ref="AD49" si="40">+AD41+AD47</f>
        <v>-1555.4600290111159</v>
      </c>
      <c r="AE49" s="47"/>
    </row>
    <row r="50" spans="2:31">
      <c r="AC50" s="46"/>
      <c r="AD50" s="29"/>
      <c r="AE50" s="47"/>
    </row>
    <row r="51" spans="2:31">
      <c r="B51" s="1" t="s">
        <v>64</v>
      </c>
      <c r="Q51" s="1" t="s">
        <v>74</v>
      </c>
      <c r="AC51" s="46"/>
      <c r="AD51" s="29"/>
      <c r="AE51" s="47"/>
    </row>
    <row r="52" spans="2:31">
      <c r="C52" s="1" t="s">
        <v>85</v>
      </c>
      <c r="E52" s="7">
        <f>+E34*$E$66</f>
        <v>17020.327500000003</v>
      </c>
      <c r="G52" s="7">
        <f t="shared" ref="G52:L52" si="41">+G34*$E$66</f>
        <v>-221.03280000000001</v>
      </c>
      <c r="H52" s="7">
        <f t="shared" si="41"/>
        <v>756.04590000000007</v>
      </c>
      <c r="I52" s="7">
        <f t="shared" si="41"/>
        <v>0</v>
      </c>
      <c r="J52" s="7">
        <f t="shared" si="41"/>
        <v>246.95005086469487</v>
      </c>
      <c r="K52" s="7">
        <f t="shared" si="41"/>
        <v>255.15000000000003</v>
      </c>
      <c r="L52" s="7">
        <f t="shared" si="41"/>
        <v>1162.9826073994952</v>
      </c>
      <c r="N52" s="7">
        <f>+N34*$E$66</f>
        <v>19220.423258264189</v>
      </c>
      <c r="R52" s="1" t="s">
        <v>85</v>
      </c>
      <c r="T52" s="7">
        <f>+T34*$E$66</f>
        <v>18243.7353</v>
      </c>
      <c r="X52" s="7">
        <f>+X34*$E$66</f>
        <v>2776.4694000000004</v>
      </c>
      <c r="Y52" s="7">
        <f>+Y34*$E$66</f>
        <v>882.30870000000004</v>
      </c>
      <c r="AA52" s="7">
        <f>+AA34*$E$66</f>
        <v>21902.513400000003</v>
      </c>
      <c r="AC52" s="46"/>
      <c r="AD52" s="30">
        <f>+AD34*$E$66</f>
        <v>-2682.0901417358127</v>
      </c>
      <c r="AE52" s="47"/>
    </row>
    <row r="53" spans="2:31">
      <c r="C53" s="1" t="s">
        <v>86</v>
      </c>
      <c r="E53" s="7">
        <f>+E49</f>
        <v>8511.1</v>
      </c>
      <c r="G53" s="7">
        <f t="shared" ref="G53:L53" si="42">+G49</f>
        <v>28.418935999999995</v>
      </c>
      <c r="H53" s="7">
        <f t="shared" si="42"/>
        <v>-97.207382999999979</v>
      </c>
      <c r="I53" s="7">
        <f t="shared" si="42"/>
        <v>-3.25</v>
      </c>
      <c r="J53" s="7">
        <f t="shared" si="42"/>
        <v>112.30803524341857</v>
      </c>
      <c r="K53" s="7">
        <f t="shared" si="42"/>
        <v>-32.805499999999995</v>
      </c>
      <c r="L53" s="7">
        <f t="shared" si="42"/>
        <v>756.57138574546684</v>
      </c>
      <c r="N53" s="7">
        <f t="shared" ref="N53" si="43">+N49</f>
        <v>9275.1354739888866</v>
      </c>
      <c r="R53" s="1" t="s">
        <v>86</v>
      </c>
      <c r="T53" s="7">
        <f t="shared" ref="T53" si="44">+T49</f>
        <v>8647.6</v>
      </c>
      <c r="X53" s="7">
        <f t="shared" ref="X53:Y53" si="45">+X49</f>
        <v>1569.0869220000004</v>
      </c>
      <c r="Y53" s="7">
        <f t="shared" si="45"/>
        <v>613.90858100000003</v>
      </c>
      <c r="AA53" s="7">
        <f t="shared" ref="AA53" si="46">+AA49</f>
        <v>10830.595503</v>
      </c>
      <c r="AC53" s="46"/>
      <c r="AD53" s="30">
        <f t="shared" ref="AD53" si="47">+AD49</f>
        <v>-1555.4600290111159</v>
      </c>
      <c r="AE53" s="47"/>
    </row>
    <row r="54" spans="2:31">
      <c r="C54" s="1" t="s">
        <v>62</v>
      </c>
      <c r="E54" s="15">
        <f>+SUM(E52:E53)</f>
        <v>25531.427500000005</v>
      </c>
      <c r="G54" s="15">
        <f t="shared" ref="G54:N54" si="48">+SUM(G52:G53)</f>
        <v>-192.61386400000001</v>
      </c>
      <c r="H54" s="15">
        <f t="shared" si="48"/>
        <v>658.83851700000014</v>
      </c>
      <c r="I54" s="15">
        <f t="shared" si="48"/>
        <v>-3.25</v>
      </c>
      <c r="J54" s="15">
        <f t="shared" si="48"/>
        <v>359.25808610811345</v>
      </c>
      <c r="K54" s="15">
        <f t="shared" si="48"/>
        <v>222.34450000000004</v>
      </c>
      <c r="L54" s="15">
        <f t="shared" si="48"/>
        <v>1919.5539931449621</v>
      </c>
      <c r="N54" s="15">
        <f t="shared" si="48"/>
        <v>28495.558732253077</v>
      </c>
      <c r="R54" s="1" t="s">
        <v>62</v>
      </c>
      <c r="T54" s="15">
        <f t="shared" ref="T54" si="49">+SUM(T52:T53)</f>
        <v>26891.335299999999</v>
      </c>
      <c r="X54" s="15">
        <f t="shared" ref="X54:Y54" si="50">+SUM(X52:X53)</f>
        <v>4345.5563220000004</v>
      </c>
      <c r="Y54" s="15">
        <f t="shared" si="50"/>
        <v>1496.2172810000002</v>
      </c>
      <c r="AA54" s="15">
        <f t="shared" ref="AA54" si="51">+SUM(AA52:AA53)</f>
        <v>32733.108903000004</v>
      </c>
      <c r="AC54" s="46"/>
      <c r="AD54" s="16">
        <f t="shared" ref="AD54" si="52">+SUM(AD52:AD53)</f>
        <v>-4237.5501707469284</v>
      </c>
      <c r="AE54" s="47"/>
    </row>
    <row r="55" spans="2:31">
      <c r="AC55" s="46"/>
      <c r="AD55" s="29"/>
      <c r="AE55" s="47"/>
    </row>
    <row r="56" spans="2:31">
      <c r="C56" s="1" t="s">
        <v>61</v>
      </c>
      <c r="E56" s="1">
        <f>+Electric!E58</f>
        <v>0.62017999999999995</v>
      </c>
      <c r="G56" s="1">
        <f>+$E$56</f>
        <v>0.62017999999999995</v>
      </c>
      <c r="H56" s="1">
        <f t="shared" ref="H56:N56" si="53">+$E$56</f>
        <v>0.62017999999999995</v>
      </c>
      <c r="I56" s="1">
        <f t="shared" si="53"/>
        <v>0.62017999999999995</v>
      </c>
      <c r="J56" s="1">
        <f t="shared" si="53"/>
        <v>0.62017999999999995</v>
      </c>
      <c r="K56" s="1">
        <f t="shared" si="53"/>
        <v>0.62017999999999995</v>
      </c>
      <c r="L56" s="1">
        <f t="shared" si="53"/>
        <v>0.62017999999999995</v>
      </c>
      <c r="N56" s="1">
        <f t="shared" si="53"/>
        <v>0.62017999999999995</v>
      </c>
      <c r="R56" s="1" t="s">
        <v>61</v>
      </c>
      <c r="T56" s="1">
        <f>+$E$56</f>
        <v>0.62017999999999995</v>
      </c>
      <c r="X56" s="1">
        <f>+$E$56</f>
        <v>0.62017999999999995</v>
      </c>
      <c r="Y56" s="1">
        <f>+$E$56</f>
        <v>0.62017999999999995</v>
      </c>
      <c r="AA56" s="1">
        <f>+$E$56</f>
        <v>0.62017999999999995</v>
      </c>
      <c r="AC56" s="46"/>
      <c r="AD56" s="29">
        <f>+$E$56</f>
        <v>0.62017999999999995</v>
      </c>
      <c r="AE56" s="47"/>
    </row>
    <row r="57" spans="2:31">
      <c r="AC57" s="46"/>
      <c r="AD57" s="29"/>
      <c r="AE57" s="47"/>
    </row>
    <row r="58" spans="2:31">
      <c r="B58" s="1" t="s">
        <v>65</v>
      </c>
      <c r="Q58" s="1" t="s">
        <v>75</v>
      </c>
      <c r="AC58" s="46"/>
      <c r="AD58" s="29"/>
      <c r="AE58" s="47"/>
    </row>
    <row r="59" spans="2:31">
      <c r="C59" s="1" t="s">
        <v>63</v>
      </c>
      <c r="E59" s="7">
        <f>+E52/E$56</f>
        <v>27444.17346576801</v>
      </c>
      <c r="G59" s="7">
        <f>+G52/G$56</f>
        <v>-356.4010448579445</v>
      </c>
      <c r="H59" s="7">
        <f t="shared" ref="H59:L59" si="54">+H52/H$56</f>
        <v>1219.0749459834244</v>
      </c>
      <c r="I59" s="7">
        <f t="shared" si="54"/>
        <v>0</v>
      </c>
      <c r="J59" s="7">
        <f t="shared" si="54"/>
        <v>398.19092983439469</v>
      </c>
      <c r="K59" s="7">
        <f t="shared" si="54"/>
        <v>411.41281563417078</v>
      </c>
      <c r="L59" s="7">
        <f t="shared" si="54"/>
        <v>1875.2339762641416</v>
      </c>
      <c r="N59" s="7">
        <f t="shared" ref="N59" si="55">+N52/N$56</f>
        <v>30991.685088626189</v>
      </c>
      <c r="R59" s="1" t="s">
        <v>63</v>
      </c>
      <c r="T59" s="7">
        <f>+T52/T$56</f>
        <v>29416.839143474477</v>
      </c>
      <c r="X59" s="7">
        <f>+X52/X$56</f>
        <v>4476.8767132122939</v>
      </c>
      <c r="Y59" s="7">
        <f>+Y52/Y$56</f>
        <v>1422.6655164629626</v>
      </c>
      <c r="AA59" s="7">
        <f>+AA52/AA$56</f>
        <v>35316.381373149736</v>
      </c>
      <c r="AC59" s="46"/>
      <c r="AD59" s="30">
        <f>+AD52/AD$56</f>
        <v>-4324.6962845235466</v>
      </c>
      <c r="AE59" s="47"/>
    </row>
    <row r="60" spans="2:31">
      <c r="C60" s="1" t="s">
        <v>88</v>
      </c>
      <c r="E60" s="7">
        <f>+E53/E$56</f>
        <v>13723.596375245897</v>
      </c>
      <c r="G60" s="7">
        <f>+G53/G$56</f>
        <v>45.82368989648166</v>
      </c>
      <c r="H60" s="7">
        <f t="shared" ref="H60:L60" si="56">+H53/H$56</f>
        <v>-156.74059627849977</v>
      </c>
      <c r="I60" s="7">
        <f t="shared" si="56"/>
        <v>-5.2404140733335485</v>
      </c>
      <c r="J60" s="7">
        <f t="shared" si="56"/>
        <v>181.08941798093872</v>
      </c>
      <c r="K60" s="7">
        <f t="shared" si="56"/>
        <v>-52.896739656228831</v>
      </c>
      <c r="L60" s="7">
        <f t="shared" si="56"/>
        <v>1219.9222576436953</v>
      </c>
      <c r="N60" s="7">
        <f t="shared" ref="N60" si="57">+N53/N$56</f>
        <v>14955.553990758952</v>
      </c>
      <c r="R60" s="1" t="s">
        <v>88</v>
      </c>
      <c r="T60" s="7">
        <f>+T53/T$56</f>
        <v>13943.693766325907</v>
      </c>
      <c r="X60" s="7">
        <f>+X53/X$56</f>
        <v>2530.0508271792069</v>
      </c>
      <c r="Y60" s="7">
        <f>+Y53/Y$56</f>
        <v>989.8877438808089</v>
      </c>
      <c r="AA60" s="7">
        <f>+AA53/AA$56</f>
        <v>17463.632337385923</v>
      </c>
      <c r="AC60" s="46"/>
      <c r="AD60" s="30">
        <f>+AD53/AD$56</f>
        <v>-2508.0783466269727</v>
      </c>
      <c r="AE60" s="47"/>
    </row>
    <row r="61" spans="2:31">
      <c r="C61" s="10" t="s">
        <v>87</v>
      </c>
      <c r="D61" s="10"/>
      <c r="E61" s="16">
        <f>+SUM(E59:E60)</f>
        <v>41167.769841013906</v>
      </c>
      <c r="F61" s="10"/>
      <c r="G61" s="16">
        <f t="shared" ref="G61:N61" si="58">+SUM(G59:G60)</f>
        <v>-310.57735496146285</v>
      </c>
      <c r="H61" s="16">
        <f t="shared" si="58"/>
        <v>1062.3343497049245</v>
      </c>
      <c r="I61" s="16">
        <f t="shared" si="58"/>
        <v>-5.2404140733335485</v>
      </c>
      <c r="J61" s="16">
        <f t="shared" si="58"/>
        <v>579.28034781533347</v>
      </c>
      <c r="K61" s="16">
        <f t="shared" si="58"/>
        <v>358.51607597794197</v>
      </c>
      <c r="L61" s="16">
        <f t="shared" si="58"/>
        <v>3095.1562339078368</v>
      </c>
      <c r="M61" s="10"/>
      <c r="N61" s="16">
        <f t="shared" si="58"/>
        <v>45947.239079385137</v>
      </c>
      <c r="O61" s="10"/>
      <c r="P61" s="10"/>
      <c r="Q61" s="10"/>
      <c r="R61" s="10" t="s">
        <v>87</v>
      </c>
      <c r="S61" s="10"/>
      <c r="T61" s="16">
        <f t="shared" ref="T61" si="59">+SUM(T59:T60)</f>
        <v>43360.532909800386</v>
      </c>
      <c r="U61" s="10"/>
      <c r="V61" s="10"/>
      <c r="W61" s="10"/>
      <c r="X61" s="16">
        <f t="shared" ref="X61:Y61" si="60">+SUM(X59:X60)</f>
        <v>7006.9275403915008</v>
      </c>
      <c r="Y61" s="16">
        <f t="shared" si="60"/>
        <v>2412.5532603437714</v>
      </c>
      <c r="Z61" s="53"/>
      <c r="AA61" s="16">
        <f t="shared" ref="AA61" si="61">+SUM(AA59:AA60)</f>
        <v>52780.013710535655</v>
      </c>
      <c r="AB61" s="10"/>
      <c r="AC61" s="54"/>
      <c r="AD61" s="16">
        <f t="shared" ref="AD61" si="62">+SUM(AD59:AD60)</f>
        <v>-6832.7746311505198</v>
      </c>
      <c r="AE61" s="47"/>
    </row>
    <row r="62" spans="2:31">
      <c r="G62" s="9" t="s">
        <v>103</v>
      </c>
      <c r="AC62" s="48"/>
      <c r="AD62" s="4"/>
      <c r="AE62" s="49"/>
    </row>
    <row r="64" spans="2:31">
      <c r="B64" s="1" t="s">
        <v>102</v>
      </c>
    </row>
    <row r="66" spans="3:5">
      <c r="C66" s="1" t="s">
        <v>60</v>
      </c>
      <c r="E66" s="11">
        <v>7.2900000000000006E-2</v>
      </c>
    </row>
    <row r="67" spans="3:5">
      <c r="C67" s="1" t="s">
        <v>70</v>
      </c>
      <c r="E67" s="11">
        <v>2.6779999999999998E-2</v>
      </c>
    </row>
  </sheetData>
  <pageMargins left="0.25" right="0.25" top="0.5" bottom="0.5" header="0" footer="0"/>
  <pageSetup scale="70" orientation="portrait" horizontalDpi="0" verticalDpi="0" r:id="rId1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SignificantOrder xmlns="dc463f71-b30c-4ab2-9473-d307f9d35888">false</SignificantOrder>
    <Date1 xmlns="dc463f71-b30c-4ab2-9473-d307f9d35888">2019-09-13T07:00:00+00:00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150204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E924A4-D237-4316-AB0D-59E62134E986}"/>
</file>

<file path=customXml/itemProps2.xml><?xml version="1.0" encoding="utf-8"?>
<ds:datastoreItem xmlns:ds="http://schemas.openxmlformats.org/officeDocument/2006/customXml" ds:itemID="{EE3AB7A5-9D28-4D95-B15F-9BEE3A005BB2}"/>
</file>

<file path=customXml/itemProps3.xml><?xml version="1.0" encoding="utf-8"?>
<ds:datastoreItem xmlns:ds="http://schemas.openxmlformats.org/officeDocument/2006/customXml" ds:itemID="{6BED53E4-884D-4ACD-A5AD-1CAC0B696FE3}"/>
</file>

<file path=customXml/itemProps4.xml><?xml version="1.0" encoding="utf-8"?>
<ds:datastoreItem xmlns:ds="http://schemas.openxmlformats.org/officeDocument/2006/customXml" ds:itemID="{604FFDB3-DE20-49BB-9D6C-0C8C42104B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Gas</vt:lpstr>
      <vt:lpstr>Electric!Print_Area</vt:lpstr>
      <vt:lpstr>Gas!Print_Area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</dc:creator>
  <cp:lastModifiedBy>Brad</cp:lastModifiedBy>
  <cp:lastPrinted>2019-09-10T06:56:33Z</cp:lastPrinted>
  <dcterms:created xsi:type="dcterms:W3CDTF">2019-09-09T09:17:37Z</dcterms:created>
  <dcterms:modified xsi:type="dcterms:W3CDTF">2019-09-13T05:54:22Z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