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4505" yWindow="-15" windowWidth="14310" windowHeight="12810" tabRatio="863" activeTab="1"/>
  </bookViews>
  <sheets>
    <sheet name="Lead E" sheetId="28" r:id="rId1"/>
    <sheet name="Lead G" sheetId="15" r:id="rId2"/>
    <sheet name="Main wp" sheetId="70" r:id="rId3"/>
    <sheet name="CE Allocation" sheetId="68" r:id="rId4"/>
    <sheet name="Director's Fees" sheetId="26" r:id="rId5"/>
    <sheet name="Utility-Non-Utility" sheetId="71" r:id="rId6"/>
  </sheets>
  <externalReferences>
    <externalReference r:id="rId7"/>
  </externalReferences>
  <calcPr calcId="162913" calcMode="autoNoTable"/>
</workbook>
</file>

<file path=xl/calcChain.xml><?xml version="1.0" encoding="utf-8"?>
<calcChain xmlns="http://schemas.openxmlformats.org/spreadsheetml/2006/main">
  <c r="A6" i="70" l="1"/>
  <c r="A5" i="70"/>
  <c r="M2" i="70"/>
  <c r="C18" i="15" l="1"/>
  <c r="A13" i="28" l="1"/>
  <c r="A14" i="28" s="1"/>
  <c r="A15" i="28" s="1"/>
  <c r="A16" i="28" s="1"/>
  <c r="A17" i="28" s="1"/>
  <c r="A18" i="28" s="1"/>
  <c r="A19" i="28" s="1"/>
  <c r="A13" i="15" l="1"/>
  <c r="A14" i="15" s="1"/>
  <c r="A15" i="15" s="1"/>
  <c r="A16" i="15" s="1"/>
  <c r="A17" i="15" s="1"/>
  <c r="A18" i="15" s="1"/>
  <c r="A19" i="15" s="1"/>
  <c r="K16" i="26" l="1"/>
  <c r="K14" i="26"/>
  <c r="K12" i="26"/>
  <c r="K10" i="26"/>
  <c r="K8" i="26"/>
  <c r="K6" i="26"/>
  <c r="I16" i="26"/>
  <c r="I14" i="26"/>
  <c r="I12" i="26"/>
  <c r="I10" i="26"/>
  <c r="I8" i="26"/>
  <c r="I6" i="26"/>
  <c r="G16" i="26"/>
  <c r="G14" i="26"/>
  <c r="G12" i="26"/>
  <c r="G10" i="26"/>
  <c r="G8" i="26"/>
  <c r="G6" i="26"/>
  <c r="E16" i="26"/>
  <c r="E14" i="26"/>
  <c r="E12" i="26"/>
  <c r="E10" i="26"/>
  <c r="E6" i="26"/>
  <c r="E8" i="26"/>
  <c r="M8" i="71"/>
  <c r="M10" i="71"/>
  <c r="M12" i="71"/>
  <c r="M15" i="71"/>
  <c r="M18" i="71"/>
  <c r="E20" i="71"/>
  <c r="G20" i="71"/>
  <c r="I20" i="71"/>
  <c r="K20" i="71"/>
  <c r="M20" i="71" l="1"/>
  <c r="O10" i="71" s="1"/>
  <c r="O8" i="71" l="1"/>
  <c r="O15" i="71"/>
  <c r="O12" i="71"/>
  <c r="O18" i="71"/>
  <c r="D6" i="68"/>
  <c r="F6" i="68" s="1"/>
  <c r="E7" i="68" s="1"/>
  <c r="O20" i="71" l="1"/>
  <c r="F7" i="68"/>
  <c r="B7" i="68"/>
  <c r="C7" i="68"/>
  <c r="D7" i="68" l="1"/>
  <c r="G18" i="26" l="1"/>
  <c r="I18" i="26"/>
  <c r="K18" i="26"/>
  <c r="M8" i="26" l="1"/>
  <c r="M14" i="26" l="1"/>
  <c r="M12" i="26"/>
  <c r="N14" i="70" l="1"/>
  <c r="B15" i="70"/>
  <c r="C15" i="70" l="1"/>
  <c r="N13" i="70" l="1"/>
  <c r="N15" i="70" s="1"/>
  <c r="E36" i="70" s="1"/>
  <c r="B35" i="70"/>
  <c r="B36" i="70"/>
  <c r="I15" i="70"/>
  <c r="D15" i="70"/>
  <c r="E35" i="70" l="1"/>
  <c r="B37" i="70"/>
  <c r="L15" i="70"/>
  <c r="J15" i="70"/>
  <c r="E15" i="70"/>
  <c r="K15" i="70" l="1"/>
  <c r="F15" i="70"/>
  <c r="M15" i="70" l="1"/>
  <c r="C5" i="70"/>
  <c r="D12" i="28" s="1"/>
  <c r="G15" i="70"/>
  <c r="H15" i="70"/>
  <c r="D14" i="28" l="1"/>
  <c r="D16" i="28" s="1"/>
  <c r="G12" i="28"/>
  <c r="C6" i="70"/>
  <c r="D12" i="15" s="1"/>
  <c r="N16" i="70"/>
  <c r="D18" i="28" l="1"/>
  <c r="D19" i="28" s="1"/>
  <c r="D14" i="15"/>
  <c r="D16" i="15" s="1"/>
  <c r="G12" i="15"/>
  <c r="G14" i="28"/>
  <c r="G16" i="28" s="1"/>
  <c r="N7" i="70"/>
  <c r="G14" i="15" l="1"/>
  <c r="G16" i="15" s="1"/>
  <c r="D18" i="15"/>
  <c r="D19" i="15" s="1"/>
  <c r="G18" i="28"/>
  <c r="N5" i="70"/>
  <c r="N6" i="70" s="1"/>
  <c r="C7" i="70"/>
  <c r="G18" i="15" l="1"/>
  <c r="G19" i="15" s="1"/>
  <c r="G19" i="28"/>
  <c r="M16" i="26"/>
  <c r="M10" i="26"/>
  <c r="M18" i="26" l="1"/>
  <c r="O8" i="26" s="1"/>
  <c r="C35" i="70" s="1"/>
  <c r="D35" i="70" s="1"/>
  <c r="B18" i="70" s="1"/>
  <c r="E18" i="26"/>
  <c r="M18" i="70" l="1"/>
  <c r="I18" i="70"/>
  <c r="E18" i="70"/>
  <c r="L18" i="70"/>
  <c r="H18" i="70"/>
  <c r="D18" i="70"/>
  <c r="K18" i="70"/>
  <c r="G18" i="70"/>
  <c r="C18" i="70"/>
  <c r="J18" i="70"/>
  <c r="F18" i="70"/>
  <c r="J23" i="70" l="1"/>
  <c r="J28" i="70" s="1"/>
  <c r="F23" i="70"/>
  <c r="F28" i="70" s="1"/>
  <c r="M23" i="70"/>
  <c r="M28" i="70" s="1"/>
  <c r="I23" i="70"/>
  <c r="I28" i="70" s="1"/>
  <c r="E23" i="70"/>
  <c r="E28" i="70" s="1"/>
  <c r="L23" i="70"/>
  <c r="L28" i="70" s="1"/>
  <c r="H23" i="70"/>
  <c r="H28" i="70" s="1"/>
  <c r="D23" i="70"/>
  <c r="D28" i="70" s="1"/>
  <c r="K23" i="70"/>
  <c r="K28" i="70" s="1"/>
  <c r="G23" i="70"/>
  <c r="G28" i="70" s="1"/>
  <c r="C23" i="70"/>
  <c r="C28" i="70" s="1"/>
  <c r="B23" i="70"/>
  <c r="B28" i="70" s="1"/>
  <c r="O16" i="26"/>
  <c r="O12" i="26"/>
  <c r="O14" i="26"/>
  <c r="O10" i="26" l="1"/>
  <c r="C36" i="70" s="1"/>
  <c r="D36" i="70" s="1"/>
  <c r="C37" i="70" l="1"/>
  <c r="O18" i="26"/>
  <c r="J19" i="70" l="1"/>
  <c r="F19" i="70"/>
  <c r="M19" i="70"/>
  <c r="I19" i="70"/>
  <c r="E19" i="70"/>
  <c r="L19" i="70"/>
  <c r="H19" i="70"/>
  <c r="D19" i="70"/>
  <c r="K19" i="70"/>
  <c r="G19" i="70"/>
  <c r="C19" i="70"/>
  <c r="B19" i="70"/>
  <c r="D37" i="70"/>
  <c r="K24" i="70" l="1"/>
  <c r="K29" i="70" s="1"/>
  <c r="K30" i="70" s="1"/>
  <c r="G24" i="70"/>
  <c r="G29" i="70" s="1"/>
  <c r="G30" i="70" s="1"/>
  <c r="C24" i="70"/>
  <c r="C29" i="70" s="1"/>
  <c r="B24" i="70"/>
  <c r="B29" i="70" s="1"/>
  <c r="B30" i="70" s="1"/>
  <c r="J24" i="70"/>
  <c r="J29" i="70" s="1"/>
  <c r="J30" i="70" s="1"/>
  <c r="F24" i="70"/>
  <c r="F29" i="70" s="1"/>
  <c r="F30" i="70" s="1"/>
  <c r="M24" i="70"/>
  <c r="M29" i="70" s="1"/>
  <c r="I24" i="70"/>
  <c r="I29" i="70" s="1"/>
  <c r="I30" i="70" s="1"/>
  <c r="E24" i="70"/>
  <c r="E29" i="70" s="1"/>
  <c r="L24" i="70"/>
  <c r="L29" i="70" s="1"/>
  <c r="H24" i="70"/>
  <c r="H29" i="70" s="1"/>
  <c r="H30" i="70" s="1"/>
  <c r="D24" i="70"/>
  <c r="D29" i="70" s="1"/>
  <c r="B20" i="70"/>
  <c r="I20" i="70"/>
  <c r="H20" i="70"/>
  <c r="M30" i="70"/>
  <c r="M20" i="70"/>
  <c r="G20" i="70"/>
  <c r="L30" i="70"/>
  <c r="L20" i="70"/>
  <c r="F20" i="70"/>
  <c r="K20" i="70"/>
  <c r="E30" i="70"/>
  <c r="E20" i="70"/>
  <c r="J20" i="70"/>
  <c r="J25" i="70" l="1"/>
  <c r="K25" i="70"/>
  <c r="M25" i="70"/>
  <c r="I25" i="70"/>
  <c r="E25" i="70"/>
  <c r="G25" i="70"/>
  <c r="H25" i="70"/>
  <c r="C20" i="70"/>
  <c r="D20" i="70"/>
  <c r="N18" i="70"/>
  <c r="N19" i="70"/>
  <c r="L25" i="70" l="1"/>
  <c r="D25" i="70"/>
  <c r="N24" i="70"/>
  <c r="O24" i="70" s="1"/>
  <c r="F25" i="70"/>
  <c r="B25" i="70"/>
  <c r="N23" i="70"/>
  <c r="N28" i="70"/>
  <c r="N29" i="70"/>
  <c r="N20" i="70"/>
  <c r="D30" i="70"/>
  <c r="C30" i="70"/>
  <c r="P7" i="70" l="1"/>
  <c r="O23" i="70"/>
  <c r="C25" i="70"/>
  <c r="N25" i="70"/>
  <c r="O18" i="70"/>
  <c r="P18" i="70" s="1"/>
  <c r="O19" i="70"/>
  <c r="P19" i="70" s="1"/>
  <c r="N30" i="70"/>
  <c r="F36" i="70"/>
  <c r="F35" i="70"/>
  <c r="Q18" i="70" l="1"/>
  <c r="P5" i="70"/>
  <c r="O20" i="70"/>
  <c r="F37" i="70"/>
  <c r="E37" i="70"/>
  <c r="O7" i="70"/>
  <c r="O5" i="70" s="1"/>
  <c r="O6" i="70" s="1"/>
  <c r="O28" i="70"/>
  <c r="R27" i="70" s="1"/>
  <c r="Q19" i="70"/>
  <c r="O29" i="70"/>
  <c r="P29" i="70" s="1"/>
  <c r="P6" i="70" l="1"/>
  <c r="D6" i="70"/>
  <c r="E12" i="15" s="1"/>
  <c r="D5" i="70"/>
  <c r="Q23" i="70"/>
  <c r="P23" i="70"/>
  <c r="O25" i="70"/>
  <c r="P24" i="70"/>
  <c r="Q24" i="70"/>
  <c r="P20" i="70"/>
  <c r="O30" i="70"/>
  <c r="P28" i="70"/>
  <c r="R28" i="70" s="1"/>
  <c r="E6" i="70" l="1"/>
  <c r="E12" i="28"/>
  <c r="E5" i="70"/>
  <c r="F12" i="15"/>
  <c r="F14" i="15" s="1"/>
  <c r="F16" i="15" s="1"/>
  <c r="E14" i="15"/>
  <c r="E16" i="15" s="1"/>
  <c r="H12" i="15"/>
  <c r="H14" i="15" s="1"/>
  <c r="H16" i="15" s="1"/>
  <c r="D7" i="70"/>
  <c r="P25" i="70"/>
  <c r="P30" i="70"/>
  <c r="E7" i="70" l="1"/>
  <c r="E18" i="15"/>
  <c r="E14" i="28"/>
  <c r="E16" i="28" s="1"/>
  <c r="F12" i="28"/>
  <c r="F14" i="28" s="1"/>
  <c r="F16" i="28" s="1"/>
  <c r="H12" i="28"/>
  <c r="H14" i="28" s="1"/>
  <c r="H16" i="28" s="1"/>
  <c r="E18" i="28" l="1"/>
  <c r="E19" i="28" s="1"/>
  <c r="F18" i="15"/>
  <c r="F19" i="15" s="1"/>
  <c r="H18" i="15"/>
  <c r="H19" i="15" s="1"/>
  <c r="E19" i="15"/>
  <c r="F18" i="28" l="1"/>
  <c r="F19" i="28" s="1"/>
  <c r="H18" i="28"/>
  <c r="H19" i="28" s="1"/>
</calcChain>
</file>

<file path=xl/sharedStrings.xml><?xml version="1.0" encoding="utf-8"?>
<sst xmlns="http://schemas.openxmlformats.org/spreadsheetml/2006/main" count="186" uniqueCount="109">
  <si>
    <t>LINE</t>
  </si>
  <si>
    <t>NO.</t>
  </si>
  <si>
    <t>DESCRIPTION</t>
  </si>
  <si>
    <t>TEST YEAR</t>
  </si>
  <si>
    <t>RESTATED</t>
  </si>
  <si>
    <t>ADJUSTMENT</t>
  </si>
  <si>
    <t>D &amp; O INS. CHG  EXPENSE</t>
  </si>
  <si>
    <t>INCREASE (DECREASE) FIT @</t>
  </si>
  <si>
    <t>INCREASE (DECREASE) NOI</t>
  </si>
  <si>
    <t>Total</t>
  </si>
  <si>
    <t>INCREASE (DECREASE) IN EXPENSE</t>
  </si>
  <si>
    <t>INCREASE(DECREASE) OPERATING EXPENSE (LINE 3)</t>
  </si>
  <si>
    <t>DIRECTORS &amp; OFFICERS INSURANCE</t>
  </si>
  <si>
    <t>PUGET SOUND ENERGY</t>
  </si>
  <si>
    <t>Order/Account</t>
  </si>
  <si>
    <t>Percentage</t>
  </si>
  <si>
    <t>Number</t>
  </si>
  <si>
    <t>Totals</t>
  </si>
  <si>
    <t>of Total</t>
  </si>
  <si>
    <t>Puget Energy</t>
  </si>
  <si>
    <t>Puget Holdings LLC</t>
  </si>
  <si>
    <t>Director Fee Expenses</t>
  </si>
  <si>
    <t>Utility O&amp;M</t>
  </si>
  <si>
    <t>Non-Utility</t>
  </si>
  <si>
    <t>93020677</t>
  </si>
  <si>
    <t>Puget Itermediate</t>
  </si>
  <si>
    <t>400s</t>
  </si>
  <si>
    <t>Amount</t>
  </si>
  <si>
    <t>Allocation of charges for employees considered to be covered under PSE's D&amp;O policy</t>
  </si>
  <si>
    <t>Capital</t>
  </si>
  <si>
    <t>O&amp;M</t>
  </si>
  <si>
    <t>Operating</t>
  </si>
  <si>
    <t># OF CUST</t>
  </si>
  <si>
    <t>TY</t>
  </si>
  <si>
    <t>TO EXP</t>
  </si>
  <si>
    <t>ELECTRIC</t>
  </si>
  <si>
    <t>o&amp;m</t>
  </si>
  <si>
    <t>GAS</t>
  </si>
  <si>
    <t>capital</t>
  </si>
  <si>
    <t>ALLOCATION</t>
  </si>
  <si>
    <t>o&amp;m/capital</t>
  </si>
  <si>
    <t>AFTER</t>
  </si>
  <si>
    <t>non-utility</t>
  </si>
  <si>
    <t>RECALCULATED</t>
  </si>
  <si>
    <t>FOR RECALCULATED</t>
  </si>
  <si>
    <t>total invoice</t>
  </si>
  <si>
    <t>|</t>
  </si>
  <si>
    <t>V</t>
  </si>
  <si>
    <t>ADJUSTMENT FOR ANNUALIZING PREMIUMS (LOWER EXPENSE)</t>
  </si>
  <si>
    <t>o&amp;m portion --&gt;</t>
  </si>
  <si>
    <t>^</t>
  </si>
  <si>
    <t>COVERED</t>
  </si>
  <si>
    <t>BOARD OF</t>
  </si>
  <si>
    <t>EQUALLY</t>
  </si>
  <si>
    <t>EXISTING</t>
  </si>
  <si>
    <t>TOTAL</t>
  </si>
  <si>
    <t>EMPLOYEES</t>
  </si>
  <si>
    <t>DIRECTORS</t>
  </si>
  <si>
    <t>WEIGHTED</t>
  </si>
  <si>
    <t>TO ANNUALIZE</t>
  </si>
  <si>
    <t>UTILITY</t>
  </si>
  <si>
    <t>PREMIUMS</t>
  </si>
  <si>
    <t>NON-UTILITY</t>
  </si>
  <si>
    <t>18600884/18600887</t>
  </si>
  <si>
    <t>Source:  Confidential support summarized by Accounts Payable Group.</t>
  </si>
  <si>
    <t>107, 108, 182.3, 184s</t>
  </si>
  <si>
    <t>FERC</t>
  </si>
  <si>
    <t>500, 700, 800, 900s</t>
  </si>
  <si>
    <t>A</t>
  </si>
  <si>
    <t>B</t>
  </si>
  <si>
    <t>C</t>
  </si>
  <si>
    <t>D</t>
  </si>
  <si>
    <t>E</t>
  </si>
  <si>
    <t>A + B</t>
  </si>
  <si>
    <t>C + D</t>
  </si>
  <si>
    <t>Q1 2018</t>
  </si>
  <si>
    <t>Utility</t>
  </si>
  <si>
    <t>Non-utility</t>
  </si>
  <si>
    <t>Q2 2018</t>
  </si>
  <si>
    <t>Invoice covers May 1 through April 30 each year.</t>
  </si>
  <si>
    <t xml:space="preserve">                </t>
  </si>
  <si>
    <t xml:space="preserve">                                                                          </t>
  </si>
  <si>
    <t xml:space="preserve">                                                                        </t>
  </si>
  <si>
    <t>12 ME Dec 18</t>
  </si>
  <si>
    <t>12 ME DEC 2018</t>
  </si>
  <si>
    <t>149070008 (Q2-Q4)</t>
  </si>
  <si>
    <t>18600887 (Q1)</t>
  </si>
  <si>
    <t>149060037 (Q2-Q4)</t>
  </si>
  <si>
    <t>18600818 (Q1)</t>
  </si>
  <si>
    <t>Q3 2018</t>
  </si>
  <si>
    <t>Q4 2018</t>
  </si>
  <si>
    <t>DETAIL OF DIRECTOR COMPENSATION EXPENSE FOR 12 MONTHS ENDED DECEMBER 2018</t>
  </si>
  <si>
    <t>ALLOC FACTOR</t>
  </si>
  <si>
    <t>O&amp;M % SPLIT</t>
  </si>
  <si>
    <t>RESTATE TO ANNUALIZE PREMIUMS</t>
  </si>
  <si>
    <t>RESTATE TO ADJUST ATL/BTL ALLOCATION</t>
  </si>
  <si>
    <t>RESTATED RATIO</t>
  </si>
  <si>
    <t>RESTATED ANNUALIZE</t>
  </si>
  <si>
    <t>PROFORMA</t>
  </si>
  <si>
    <t>ACTUAL</t>
  </si>
  <si>
    <t>%'s</t>
  </si>
  <si>
    <t>(a)</t>
  </si>
  <si>
    <t>(b)</t>
  </si>
  <si>
    <t>(c)=(b)-(a)</t>
  </si>
  <si>
    <t>(d)</t>
  </si>
  <si>
    <t>(e)=(d)-(b)</t>
  </si>
  <si>
    <t xml:space="preserve">PUGET SOUND ENERGY </t>
  </si>
  <si>
    <t>12 MONTHS ENDED DECEMBER 31, 2018</t>
  </si>
  <si>
    <t>2019 GENERAL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</si>
</sst>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m/d/yy;@"/>
    <numFmt numFmtId="169" formatCode="\$\ #,##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FF"/>
      <name val="Arial"/>
      <family val="2"/>
    </font>
    <font>
      <u val="singleAccounting"/>
      <sz val="8"/>
      <color rgb="FF0000FF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2" fontId="6" fillId="0" borderId="0" xfId="0" applyNumberFormat="1" applyFont="1" applyAlignment="1" applyProtection="1">
      <alignment horizontal="right"/>
      <protection locked="0"/>
    </xf>
    <xf numFmtId="42" fontId="6" fillId="0" borderId="0" xfId="0" applyNumberFormat="1" applyFont="1" applyAlignment="1">
      <alignment horizontal="right"/>
    </xf>
    <xf numFmtId="41" fontId="6" fillId="0" borderId="0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8" fillId="0" borderId="0" xfId="0" applyFont="1" applyFill="1" applyAlignment="1">
      <alignment horizontal="center"/>
    </xf>
    <xf numFmtId="166" fontId="0" fillId="0" borderId="0" xfId="0" applyNumberFormat="1" applyFill="1"/>
    <xf numFmtId="0" fontId="8" fillId="0" borderId="3" xfId="0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43" fontId="12" fillId="0" borderId="0" xfId="0" applyNumberFormat="1" applyFont="1" applyFill="1"/>
    <xf numFmtId="0" fontId="12" fillId="0" borderId="0" xfId="0" applyFont="1" applyFill="1"/>
    <xf numFmtId="165" fontId="12" fillId="0" borderId="0" xfId="0" applyNumberFormat="1" applyFont="1" applyFill="1"/>
    <xf numFmtId="0" fontId="12" fillId="0" borderId="0" xfId="0" applyFont="1" applyFill="1" applyAlignment="1">
      <alignment horizontal="right"/>
    </xf>
    <xf numFmtId="165" fontId="13" fillId="0" borderId="0" xfId="0" applyNumberFormat="1" applyFont="1" applyFill="1"/>
    <xf numFmtId="165" fontId="12" fillId="0" borderId="0" xfId="0" applyNumberFormat="1" applyFont="1" applyFill="1"/>
    <xf numFmtId="0" fontId="4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7" fontId="0" fillId="0" borderId="0" xfId="0" applyNumberFormat="1" applyFont="1" applyFill="1"/>
    <xf numFmtId="0" fontId="4" fillId="0" borderId="5" xfId="0" applyFont="1" applyBorder="1" applyAlignment="1">
      <alignment horizontal="center"/>
    </xf>
    <xf numFmtId="41" fontId="4" fillId="0" borderId="0" xfId="0" applyNumberFormat="1" applyFont="1" applyFill="1"/>
    <xf numFmtId="0" fontId="4" fillId="0" borderId="5" xfId="0" applyFont="1" applyFill="1" applyBorder="1" applyAlignment="1">
      <alignment horizontal="centerContinuous"/>
    </xf>
    <xf numFmtId="0" fontId="4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66" fontId="10" fillId="0" borderId="0" xfId="0" applyNumberFormat="1" applyFont="1" applyFill="1"/>
    <xf numFmtId="167" fontId="0" fillId="0" borderId="0" xfId="0" applyNumberFormat="1" applyFont="1" applyFill="1"/>
    <xf numFmtId="167" fontId="0" fillId="0" borderId="0" xfId="0" applyNumberFormat="1" applyFill="1"/>
    <xf numFmtId="166" fontId="10" fillId="0" borderId="0" xfId="0" applyNumberFormat="1" applyFont="1" applyFill="1"/>
    <xf numFmtId="166" fontId="10" fillId="0" borderId="4" xfId="0" applyNumberFormat="1" applyFont="1" applyFill="1" applyBorder="1"/>
    <xf numFmtId="167" fontId="0" fillId="0" borderId="4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4" fontId="4" fillId="0" borderId="0" xfId="0" applyNumberFormat="1" applyFont="1"/>
    <xf numFmtId="0" fontId="11" fillId="0" borderId="0" xfId="0" applyFont="1" applyFill="1"/>
    <xf numFmtId="42" fontId="4" fillId="0" borderId="0" xfId="0" applyNumberFormat="1" applyFont="1" applyFill="1"/>
    <xf numFmtId="42" fontId="4" fillId="0" borderId="0" xfId="0" applyNumberFormat="1" applyFont="1" applyFill="1"/>
    <xf numFmtId="42" fontId="4" fillId="0" borderId="4" xfId="0" applyNumberFormat="1" applyFont="1" applyFill="1" applyBorder="1"/>
    <xf numFmtId="42" fontId="4" fillId="0" borderId="4" xfId="0" applyNumberFormat="1" applyFont="1" applyFill="1" applyBorder="1"/>
    <xf numFmtId="0" fontId="4" fillId="0" borderId="5" xfId="0" applyFont="1" applyFill="1" applyBorder="1" applyAlignment="1">
      <alignment horizontal="centerContinuous"/>
    </xf>
    <xf numFmtId="37" fontId="15" fillId="0" borderId="0" xfId="0" applyNumberFormat="1" applyFont="1" applyFill="1"/>
    <xf numFmtId="41" fontId="4" fillId="0" borderId="0" xfId="0" applyNumberFormat="1" applyFont="1" applyFill="1"/>
    <xf numFmtId="167" fontId="4" fillId="0" borderId="0" xfId="0" applyNumberFormat="1" applyFont="1" applyFill="1"/>
    <xf numFmtId="167" fontId="4" fillId="0" borderId="4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169" fontId="4" fillId="0" borderId="6" xfId="0" applyNumberFormat="1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0" xfId="0" applyFont="1" applyFill="1"/>
    <xf numFmtId="168" fontId="4" fillId="0" borderId="10" xfId="0" applyNumberFormat="1" applyFont="1" applyFill="1" applyBorder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168" fontId="4" fillId="0" borderId="1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4" fillId="0" borderId="0" xfId="0" applyFont="1" applyFill="1"/>
    <xf numFmtId="42" fontId="0" fillId="0" borderId="0" xfId="0" applyNumberFormat="1" applyFont="1" applyFill="1"/>
    <xf numFmtId="166" fontId="4" fillId="0" borderId="0" xfId="0" applyNumberFormat="1" applyFont="1" applyFill="1"/>
    <xf numFmtId="165" fontId="0" fillId="0" borderId="0" xfId="0" applyNumberFormat="1" applyFont="1" applyFill="1"/>
    <xf numFmtId="166" fontId="5" fillId="0" borderId="0" xfId="0" applyNumberFormat="1" applyFont="1" applyFill="1"/>
    <xf numFmtId="166" fontId="5" fillId="0" borderId="0" xfId="0" applyNumberFormat="1" applyFont="1" applyFill="1"/>
    <xf numFmtId="165" fontId="5" fillId="0" borderId="0" xfId="0" applyNumberFormat="1" applyFont="1" applyFill="1"/>
    <xf numFmtId="165" fontId="10" fillId="0" borderId="0" xfId="0" applyNumberFormat="1" applyFont="1" applyFill="1"/>
    <xf numFmtId="0" fontId="3" fillId="0" borderId="5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12" fillId="0" borderId="0" xfId="0" applyFont="1" applyFill="1"/>
    <xf numFmtId="165" fontId="12" fillId="0" borderId="0" xfId="0" applyNumberFormat="1" applyFont="1" applyFill="1"/>
    <xf numFmtId="43" fontId="12" fillId="0" borderId="0" xfId="0" applyNumberFormat="1" applyFont="1" applyFill="1"/>
    <xf numFmtId="165" fontId="13" fillId="0" borderId="0" xfId="0" applyNumberFormat="1" applyFont="1" applyFill="1"/>
    <xf numFmtId="0" fontId="12" fillId="0" borderId="0" xfId="0" applyFont="1" applyFill="1" applyAlignment="1">
      <alignment horizontal="right"/>
    </xf>
    <xf numFmtId="167" fontId="0" fillId="0" borderId="4" xfId="0" applyNumberFormat="1" applyFont="1" applyFill="1" applyBorder="1"/>
    <xf numFmtId="166" fontId="5" fillId="0" borderId="4" xfId="0" applyNumberFormat="1" applyFont="1" applyFill="1" applyBorder="1"/>
    <xf numFmtId="166" fontId="5" fillId="0" borderId="0" xfId="0" applyNumberFormat="1" applyFont="1" applyFill="1"/>
    <xf numFmtId="0" fontId="5" fillId="0" borderId="0" xfId="0" applyFont="1" applyFill="1" applyAlignment="1">
      <alignment horizontal="center"/>
    </xf>
    <xf numFmtId="167" fontId="5" fillId="0" borderId="0" xfId="0" applyNumberFormat="1" applyFont="1" applyFill="1"/>
    <xf numFmtId="165" fontId="5" fillId="0" borderId="0" xfId="0" applyNumberFormat="1" applyFont="1" applyFill="1"/>
    <xf numFmtId="167" fontId="0" fillId="0" borderId="0" xfId="0" applyNumberFormat="1" applyFont="1" applyFill="1"/>
    <xf numFmtId="166" fontId="5" fillId="0" borderId="0" xfId="0" applyNumberFormat="1" applyFont="1" applyFill="1"/>
    <xf numFmtId="166" fontId="2" fillId="0" borderId="0" xfId="0" applyNumberFormat="1" applyFont="1" applyFill="1"/>
    <xf numFmtId="165" fontId="5" fillId="0" borderId="0" xfId="0" applyNumberFormat="1" applyFont="1" applyFill="1"/>
    <xf numFmtId="42" fontId="0" fillId="0" borderId="0" xfId="0" applyNumberFormat="1" applyFont="1" applyFill="1"/>
    <xf numFmtId="165" fontId="0" fillId="0" borderId="0" xfId="0" applyNumberFormat="1" applyFont="1" applyFill="1"/>
    <xf numFmtId="0" fontId="5" fillId="0" borderId="0" xfId="0" quotePrefix="1" applyFont="1" applyFill="1" applyAlignment="1">
      <alignment horizontal="center"/>
    </xf>
    <xf numFmtId="0" fontId="2" fillId="0" borderId="0" xfId="0" applyFont="1" applyFill="1"/>
    <xf numFmtId="0" fontId="8" fillId="0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2" fontId="4" fillId="0" borderId="0" xfId="0" applyNumberFormat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44" fontId="4" fillId="0" borderId="0" xfId="0" applyNumberFormat="1" applyFont="1" applyFill="1"/>
    <xf numFmtId="43" fontId="4" fillId="0" borderId="0" xfId="0" applyNumberFormat="1" applyFont="1" applyFill="1"/>
    <xf numFmtId="0" fontId="19" fillId="0" borderId="0" xfId="0" applyFont="1"/>
    <xf numFmtId="0" fontId="20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7" fillId="0" borderId="0" xfId="0" applyFont="1" applyFill="1" applyBorder="1" applyAlignment="1" applyProtection="1">
      <protection locked="0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5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protection locked="0"/>
    </xf>
    <xf numFmtId="0" fontId="7" fillId="0" borderId="5" xfId="0" quotePrefix="1" applyFont="1" applyFill="1" applyBorder="1" applyAlignment="1" applyProtection="1">
      <alignment horizontal="center"/>
      <protection locked="0"/>
    </xf>
    <xf numFmtId="0" fontId="20" fillId="0" borderId="5" xfId="0" applyFont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left"/>
    </xf>
    <xf numFmtId="42" fontId="6" fillId="0" borderId="0" xfId="0" applyNumberFormat="1" applyFont="1" applyAlignment="1">
      <alignment horizontal="left"/>
    </xf>
    <xf numFmtId="42" fontId="19" fillId="0" borderId="0" xfId="0" applyNumberFormat="1" applyFont="1"/>
    <xf numFmtId="0" fontId="6" fillId="0" borderId="6" xfId="0" applyNumberFormat="1" applyFont="1" applyBorder="1" applyAlignment="1">
      <alignment horizontal="left"/>
    </xf>
    <xf numFmtId="164" fontId="6" fillId="0" borderId="6" xfId="0" applyNumberFormat="1" applyFont="1" applyBorder="1" applyAlignment="1" applyProtection="1">
      <alignment horizontal="right"/>
      <protection locked="0"/>
    </xf>
    <xf numFmtId="0" fontId="19" fillId="0" borderId="6" xfId="0" applyFont="1" applyBorder="1"/>
    <xf numFmtId="0" fontId="6" fillId="0" borderId="6" xfId="0" applyFont="1" applyBorder="1"/>
    <xf numFmtId="42" fontId="6" fillId="0" borderId="0" xfId="0" applyNumberFormat="1" applyFont="1"/>
    <xf numFmtId="0" fontId="6" fillId="0" borderId="0" xfId="0" applyFont="1" applyBorder="1" applyAlignment="1">
      <alignment horizontal="left"/>
    </xf>
    <xf numFmtId="9" fontId="6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42" fontId="6" fillId="0" borderId="4" xfId="0" applyNumberFormat="1" applyFont="1" applyBorder="1" applyAlignment="1">
      <alignment horizontal="right"/>
    </xf>
    <xf numFmtId="0" fontId="20" fillId="0" borderId="0" xfId="0" applyNumberFormat="1" applyFont="1" applyFill="1" applyAlignment="1">
      <alignment horizontal="centerContinuous"/>
    </xf>
    <xf numFmtId="10" fontId="1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0000FF"/>
      <color rgb="FFFFCC66"/>
      <color rgb="FFFF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L18" sqref="L18"/>
    </sheetView>
  </sheetViews>
  <sheetFormatPr defaultRowHeight="12.75" x14ac:dyDescent="0.2"/>
  <cols>
    <col min="1" max="1" width="5.42578125" bestFit="1" customWidth="1"/>
    <col min="2" max="2" width="47" customWidth="1"/>
    <col min="3" max="3" width="10.85546875" bestFit="1" customWidth="1"/>
    <col min="4" max="4" width="10.5703125" bestFit="1" customWidth="1"/>
    <col min="5" max="5" width="13.5703125" bestFit="1" customWidth="1"/>
    <col min="7" max="7" width="10.85546875" bestFit="1" customWidth="1"/>
    <col min="8" max="8" width="14.140625" bestFit="1" customWidth="1"/>
    <col min="9" max="9" width="13.5703125" bestFit="1" customWidth="1"/>
  </cols>
  <sheetData>
    <row r="1" spans="1:8" x14ac:dyDescent="0.2">
      <c r="A1" s="103"/>
      <c r="B1" s="103"/>
      <c r="C1" s="103"/>
      <c r="D1" s="103"/>
      <c r="E1" s="103"/>
      <c r="F1" s="103"/>
      <c r="G1" s="103"/>
      <c r="H1" s="103"/>
    </row>
    <row r="2" spans="1:8" x14ac:dyDescent="0.2">
      <c r="A2" s="103"/>
      <c r="B2" s="103"/>
      <c r="C2" s="103"/>
      <c r="D2" s="103"/>
      <c r="E2" s="103"/>
      <c r="F2" s="103"/>
      <c r="G2" s="103"/>
      <c r="H2" s="103"/>
    </row>
    <row r="3" spans="1:8" x14ac:dyDescent="0.2">
      <c r="A3" s="104" t="s">
        <v>106</v>
      </c>
      <c r="B3" s="104"/>
      <c r="C3" s="104"/>
      <c r="D3" s="104"/>
      <c r="E3" s="104"/>
      <c r="F3" s="104"/>
      <c r="G3" s="104"/>
      <c r="H3" s="104"/>
    </row>
    <row r="4" spans="1:8" x14ac:dyDescent="0.2">
      <c r="A4" s="130" t="s">
        <v>12</v>
      </c>
      <c r="B4" s="105"/>
      <c r="C4" s="105"/>
      <c r="D4" s="105"/>
      <c r="E4" s="105"/>
      <c r="F4" s="105"/>
      <c r="G4" s="105"/>
      <c r="H4" s="105"/>
    </row>
    <row r="5" spans="1:8" x14ac:dyDescent="0.2">
      <c r="A5" s="104" t="s">
        <v>107</v>
      </c>
      <c r="B5" s="104"/>
      <c r="C5" s="104"/>
      <c r="D5" s="104"/>
      <c r="E5" s="104"/>
      <c r="F5" s="104"/>
      <c r="G5" s="104"/>
      <c r="H5" s="104"/>
    </row>
    <row r="6" spans="1:8" x14ac:dyDescent="0.2">
      <c r="A6" s="104" t="s">
        <v>108</v>
      </c>
      <c r="B6" s="104"/>
      <c r="C6" s="104"/>
      <c r="D6" s="104"/>
      <c r="E6" s="104"/>
      <c r="F6" s="104"/>
      <c r="G6" s="104"/>
      <c r="H6" s="104"/>
    </row>
    <row r="7" spans="1:8" x14ac:dyDescent="0.2">
      <c r="A7" s="106"/>
      <c r="B7" s="106"/>
      <c r="C7" s="106"/>
      <c r="D7" s="106"/>
      <c r="E7" s="106"/>
      <c r="F7" s="106"/>
      <c r="G7" s="106"/>
      <c r="H7" s="106"/>
    </row>
    <row r="8" spans="1:8" x14ac:dyDescent="0.2">
      <c r="A8" s="103"/>
      <c r="B8" s="103"/>
      <c r="C8" s="107"/>
      <c r="D8" s="108" t="s">
        <v>33</v>
      </c>
      <c r="E8" s="109"/>
      <c r="F8" s="110" t="s">
        <v>4</v>
      </c>
      <c r="G8" s="109"/>
      <c r="H8" s="110" t="s">
        <v>98</v>
      </c>
    </row>
    <row r="9" spans="1:8" x14ac:dyDescent="0.2">
      <c r="A9" s="111" t="s">
        <v>0</v>
      </c>
      <c r="B9" s="103"/>
      <c r="C9" s="112"/>
      <c r="D9" s="110" t="s">
        <v>99</v>
      </c>
      <c r="E9" s="110" t="s">
        <v>4</v>
      </c>
      <c r="F9" s="110" t="s">
        <v>5</v>
      </c>
      <c r="G9" s="110" t="s">
        <v>98</v>
      </c>
      <c r="H9" s="110" t="s">
        <v>5</v>
      </c>
    </row>
    <row r="10" spans="1:8" x14ac:dyDescent="0.2">
      <c r="A10" s="113" t="s">
        <v>1</v>
      </c>
      <c r="B10" s="114" t="s">
        <v>2</v>
      </c>
      <c r="C10" s="115" t="s">
        <v>100</v>
      </c>
      <c r="D10" s="116" t="s">
        <v>101</v>
      </c>
      <c r="E10" s="117" t="s">
        <v>102</v>
      </c>
      <c r="F10" s="116" t="s">
        <v>103</v>
      </c>
      <c r="G10" s="117" t="s">
        <v>104</v>
      </c>
      <c r="H10" s="116" t="s">
        <v>105</v>
      </c>
    </row>
    <row r="12" spans="1:8" x14ac:dyDescent="0.2">
      <c r="A12" s="3">
        <v>1</v>
      </c>
      <c r="B12" s="2" t="s">
        <v>6</v>
      </c>
      <c r="C12" s="118"/>
      <c r="D12" s="119">
        <f>'Main wp'!C5</f>
        <v>84154.734218343758</v>
      </c>
      <c r="E12" s="119">
        <f>'Main wp'!D5</f>
        <v>77444.18431150305</v>
      </c>
      <c r="F12" s="4">
        <f>+E12-D12</f>
        <v>-6710.549906840708</v>
      </c>
      <c r="G12" s="120">
        <f>+D12</f>
        <v>84154.734218343758</v>
      </c>
      <c r="H12" s="4">
        <f>+G12-E12</f>
        <v>6710.549906840708</v>
      </c>
    </row>
    <row r="13" spans="1:8" x14ac:dyDescent="0.2">
      <c r="A13" s="3">
        <f t="shared" ref="A13:A19" si="0">A12+1</f>
        <v>2</v>
      </c>
      <c r="B13" s="2"/>
      <c r="C13" s="118"/>
      <c r="D13" s="121"/>
      <c r="E13" s="121"/>
      <c r="F13" s="122"/>
      <c r="G13" s="123"/>
      <c r="H13" s="122"/>
    </row>
    <row r="14" spans="1:8" x14ac:dyDescent="0.2">
      <c r="A14" s="3">
        <f t="shared" si="0"/>
        <v>3</v>
      </c>
      <c r="B14" s="2" t="s">
        <v>10</v>
      </c>
      <c r="C14" s="118"/>
      <c r="D14" s="5">
        <f t="shared" ref="D14:H14" si="1">SUM(D12:D13)</f>
        <v>84154.734218343758</v>
      </c>
      <c r="E14" s="5">
        <f t="shared" si="1"/>
        <v>77444.18431150305</v>
      </c>
      <c r="F14" s="5">
        <f t="shared" si="1"/>
        <v>-6710.549906840708</v>
      </c>
      <c r="G14" s="5">
        <f t="shared" si="1"/>
        <v>84154.734218343758</v>
      </c>
      <c r="H14" s="5">
        <f t="shared" si="1"/>
        <v>6710.549906840708</v>
      </c>
    </row>
    <row r="15" spans="1:8" x14ac:dyDescent="0.2">
      <c r="A15" s="3">
        <f t="shared" si="0"/>
        <v>4</v>
      </c>
      <c r="B15" s="2"/>
      <c r="C15" s="118"/>
      <c r="D15" s="124"/>
      <c r="E15" s="124"/>
      <c r="F15" s="124"/>
      <c r="G15" s="124"/>
      <c r="H15" s="124"/>
    </row>
    <row r="16" spans="1:8" x14ac:dyDescent="0.2">
      <c r="A16" s="3">
        <f t="shared" si="0"/>
        <v>5</v>
      </c>
      <c r="B16" s="2" t="s">
        <v>11</v>
      </c>
      <c r="C16" s="2"/>
      <c r="D16" s="125">
        <f>+D14</f>
        <v>84154.734218343758</v>
      </c>
      <c r="E16" s="125">
        <f>+E14</f>
        <v>77444.18431150305</v>
      </c>
      <c r="F16" s="125">
        <f>+F14</f>
        <v>-6710.549906840708</v>
      </c>
      <c r="G16" s="125">
        <f>+G14</f>
        <v>84154.734218343758</v>
      </c>
      <c r="H16" s="125">
        <f>+H14</f>
        <v>6710.549906840708</v>
      </c>
    </row>
    <row r="17" spans="1:8" x14ac:dyDescent="0.2">
      <c r="A17" s="3">
        <f t="shared" si="0"/>
        <v>6</v>
      </c>
      <c r="B17" s="2"/>
      <c r="C17" s="103"/>
      <c r="D17" s="1"/>
      <c r="E17" s="1"/>
      <c r="F17" s="1"/>
      <c r="G17" s="1"/>
      <c r="H17" s="1"/>
    </row>
    <row r="18" spans="1:8" x14ac:dyDescent="0.2">
      <c r="A18" s="3">
        <f t="shared" si="0"/>
        <v>7</v>
      </c>
      <c r="B18" s="126" t="s">
        <v>7</v>
      </c>
      <c r="C18" s="127">
        <v>0.21</v>
      </c>
      <c r="D18" s="6">
        <f>-D16*$C$18</f>
        <v>-17672.494185852189</v>
      </c>
      <c r="E18" s="6">
        <f>-E16*$C$18</f>
        <v>-16263.27870541564</v>
      </c>
      <c r="F18" s="6">
        <f>+E18-D18</f>
        <v>1409.2154804365491</v>
      </c>
      <c r="G18" s="6">
        <f>-G16*$C$18</f>
        <v>-17672.494185852189</v>
      </c>
      <c r="H18" s="6">
        <f>+G18-E18</f>
        <v>-1409.2154804365491</v>
      </c>
    </row>
    <row r="19" spans="1:8" ht="13.5" thickBot="1" x14ac:dyDescent="0.25">
      <c r="A19" s="3">
        <f t="shared" si="0"/>
        <v>8</v>
      </c>
      <c r="B19" s="126" t="s">
        <v>8</v>
      </c>
      <c r="C19" s="128"/>
      <c r="D19" s="129">
        <f>-D16-D18</f>
        <v>-66482.240032491565</v>
      </c>
      <c r="E19" s="129">
        <f>-E16-E18</f>
        <v>-61180.905606087414</v>
      </c>
      <c r="F19" s="129">
        <f>-F16-F18</f>
        <v>5301.3344264041589</v>
      </c>
      <c r="G19" s="129">
        <f>-G16-G18</f>
        <v>-66482.240032491565</v>
      </c>
      <c r="H19" s="129">
        <f>-H16-H18</f>
        <v>-5301.3344264041589</v>
      </c>
    </row>
    <row r="20" spans="1:8" ht="13.5" thickTop="1" x14ac:dyDescent="0.2"/>
  </sheetData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0"/>
  <sheetViews>
    <sheetView tabSelected="1" zoomScaleNormal="100" workbookViewId="0">
      <selection activeCell="C27" sqref="C27"/>
    </sheetView>
  </sheetViews>
  <sheetFormatPr defaultRowHeight="12.75" x14ac:dyDescent="0.2"/>
  <cols>
    <col min="1" max="1" width="5.42578125" bestFit="1" customWidth="1"/>
    <col min="2" max="2" width="47" customWidth="1"/>
    <col min="3" max="3" width="11.5703125" customWidth="1"/>
    <col min="4" max="4" width="11.28515625" bestFit="1" customWidth="1"/>
    <col min="5" max="5" width="13.5703125" bestFit="1" customWidth="1"/>
    <col min="7" max="7" width="10.85546875" bestFit="1" customWidth="1"/>
    <col min="8" max="8" width="15.7109375" customWidth="1"/>
    <col min="9" max="9" width="13.5703125" bestFit="1" customWidth="1"/>
  </cols>
  <sheetData>
    <row r="1" spans="1:8" x14ac:dyDescent="0.2">
      <c r="A1" s="103"/>
      <c r="B1" s="103"/>
      <c r="C1" s="103"/>
      <c r="D1" s="103"/>
      <c r="E1" s="103"/>
      <c r="F1" s="103"/>
      <c r="G1" s="103"/>
      <c r="H1" s="103"/>
    </row>
    <row r="2" spans="1:8" x14ac:dyDescent="0.2">
      <c r="A2" s="103"/>
      <c r="B2" s="103"/>
      <c r="C2" s="103"/>
      <c r="D2" s="103"/>
      <c r="E2" s="103"/>
      <c r="F2" s="103"/>
      <c r="G2" s="103"/>
      <c r="H2" s="103"/>
    </row>
    <row r="3" spans="1:8" x14ac:dyDescent="0.2">
      <c r="A3" s="104" t="s">
        <v>106</v>
      </c>
      <c r="B3" s="104"/>
      <c r="C3" s="104"/>
      <c r="D3" s="104"/>
      <c r="E3" s="104"/>
      <c r="F3" s="104"/>
      <c r="G3" s="104"/>
      <c r="H3" s="104"/>
    </row>
    <row r="4" spans="1:8" x14ac:dyDescent="0.2">
      <c r="A4" s="130" t="s">
        <v>12</v>
      </c>
      <c r="B4" s="105"/>
      <c r="C4" s="105"/>
      <c r="D4" s="105"/>
      <c r="E4" s="105"/>
      <c r="F4" s="105"/>
      <c r="G4" s="105"/>
      <c r="H4" s="105"/>
    </row>
    <row r="5" spans="1:8" x14ac:dyDescent="0.2">
      <c r="A5" s="104" t="s">
        <v>107</v>
      </c>
      <c r="B5" s="104"/>
      <c r="C5" s="104"/>
      <c r="D5" s="104"/>
      <c r="E5" s="104"/>
      <c r="F5" s="104"/>
      <c r="G5" s="104"/>
      <c r="H5" s="104"/>
    </row>
    <row r="6" spans="1:8" x14ac:dyDescent="0.2">
      <c r="A6" s="104" t="s">
        <v>108</v>
      </c>
      <c r="B6" s="104"/>
      <c r="C6" s="104"/>
      <c r="D6" s="104"/>
      <c r="E6" s="104"/>
      <c r="F6" s="104"/>
      <c r="G6" s="104"/>
      <c r="H6" s="104"/>
    </row>
    <row r="7" spans="1:8" x14ac:dyDescent="0.2">
      <c r="A7" s="106"/>
      <c r="B7" s="106"/>
      <c r="C7" s="106"/>
      <c r="D7" s="106"/>
      <c r="E7" s="106"/>
      <c r="F7" s="106"/>
      <c r="G7" s="106"/>
      <c r="H7" s="106"/>
    </row>
    <row r="8" spans="1:8" x14ac:dyDescent="0.2">
      <c r="A8" s="103"/>
      <c r="B8" s="103"/>
      <c r="C8" s="107"/>
      <c r="D8" s="108" t="s">
        <v>33</v>
      </c>
      <c r="E8" s="109"/>
      <c r="F8" s="110" t="s">
        <v>4</v>
      </c>
      <c r="G8" s="109"/>
      <c r="H8" s="110" t="s">
        <v>98</v>
      </c>
    </row>
    <row r="9" spans="1:8" x14ac:dyDescent="0.2">
      <c r="A9" s="111" t="s">
        <v>0</v>
      </c>
      <c r="B9" s="103"/>
      <c r="C9" s="112"/>
      <c r="D9" s="110" t="s">
        <v>99</v>
      </c>
      <c r="E9" s="110" t="s">
        <v>4</v>
      </c>
      <c r="F9" s="110" t="s">
        <v>5</v>
      </c>
      <c r="G9" s="110" t="s">
        <v>98</v>
      </c>
      <c r="H9" s="110" t="s">
        <v>5</v>
      </c>
    </row>
    <row r="10" spans="1:8" x14ac:dyDescent="0.2">
      <c r="A10" s="113" t="s">
        <v>1</v>
      </c>
      <c r="B10" s="114" t="s">
        <v>2</v>
      </c>
      <c r="C10" s="115" t="s">
        <v>100</v>
      </c>
      <c r="D10" s="116" t="s">
        <v>101</v>
      </c>
      <c r="E10" s="117" t="s">
        <v>102</v>
      </c>
      <c r="F10" s="116" t="s">
        <v>103</v>
      </c>
      <c r="G10" s="117" t="s">
        <v>104</v>
      </c>
      <c r="H10" s="116" t="s">
        <v>105</v>
      </c>
    </row>
    <row r="12" spans="1:8" x14ac:dyDescent="0.2">
      <c r="A12" s="3">
        <v>1</v>
      </c>
      <c r="B12" s="2" t="s">
        <v>6</v>
      </c>
      <c r="C12" s="118"/>
      <c r="D12" s="119">
        <f>'Main wp'!C6</f>
        <v>60814.661506623946</v>
      </c>
      <c r="E12" s="119">
        <f>'Main wp'!D6</f>
        <v>55965.26325353235</v>
      </c>
      <c r="F12" s="4">
        <f>+E12-D12</f>
        <v>-4849.3982530915964</v>
      </c>
      <c r="G12" s="120">
        <f>+D12</f>
        <v>60814.661506623946</v>
      </c>
      <c r="H12" s="4">
        <f>+G12-E12</f>
        <v>4849.3982530915964</v>
      </c>
    </row>
    <row r="13" spans="1:8" x14ac:dyDescent="0.2">
      <c r="A13" s="3">
        <f t="shared" ref="A13:A19" si="0">A12+1</f>
        <v>2</v>
      </c>
      <c r="B13" s="2"/>
      <c r="C13" s="118"/>
      <c r="D13" s="121"/>
      <c r="E13" s="121"/>
      <c r="F13" s="122"/>
      <c r="G13" s="123"/>
      <c r="H13" s="122"/>
    </row>
    <row r="14" spans="1:8" x14ac:dyDescent="0.2">
      <c r="A14" s="3">
        <f t="shared" si="0"/>
        <v>3</v>
      </c>
      <c r="B14" s="2" t="s">
        <v>10</v>
      </c>
      <c r="C14" s="118"/>
      <c r="D14" s="5">
        <f t="shared" ref="D14:H14" si="1">SUM(D12:D13)</f>
        <v>60814.661506623946</v>
      </c>
      <c r="E14" s="5">
        <f t="shared" si="1"/>
        <v>55965.26325353235</v>
      </c>
      <c r="F14" s="5">
        <f t="shared" si="1"/>
        <v>-4849.3982530915964</v>
      </c>
      <c r="G14" s="5">
        <f t="shared" si="1"/>
        <v>60814.661506623946</v>
      </c>
      <c r="H14" s="5">
        <f t="shared" si="1"/>
        <v>4849.3982530915964</v>
      </c>
    </row>
    <row r="15" spans="1:8" x14ac:dyDescent="0.2">
      <c r="A15" s="3">
        <f t="shared" si="0"/>
        <v>4</v>
      </c>
      <c r="B15" s="2"/>
      <c r="C15" s="118"/>
      <c r="D15" s="124"/>
      <c r="E15" s="124"/>
      <c r="F15" s="124"/>
      <c r="G15" s="124"/>
      <c r="H15" s="124"/>
    </row>
    <row r="16" spans="1:8" x14ac:dyDescent="0.2">
      <c r="A16" s="3">
        <f t="shared" si="0"/>
        <v>5</v>
      </c>
      <c r="B16" s="2" t="s">
        <v>11</v>
      </c>
      <c r="C16" s="2"/>
      <c r="D16" s="125">
        <f>+D14</f>
        <v>60814.661506623946</v>
      </c>
      <c r="E16" s="125">
        <f>+E14</f>
        <v>55965.26325353235</v>
      </c>
      <c r="F16" s="125">
        <f>+F14</f>
        <v>-4849.3982530915964</v>
      </c>
      <c r="G16" s="125">
        <f>+G14</f>
        <v>60814.661506623946</v>
      </c>
      <c r="H16" s="125">
        <f>+H14</f>
        <v>4849.3982530915964</v>
      </c>
    </row>
    <row r="17" spans="1:8" x14ac:dyDescent="0.2">
      <c r="A17" s="3">
        <f t="shared" si="0"/>
        <v>6</v>
      </c>
      <c r="B17" s="2"/>
      <c r="C17" s="103"/>
      <c r="D17" s="1"/>
      <c r="E17" s="1"/>
      <c r="F17" s="1"/>
      <c r="G17" s="1"/>
      <c r="H17" s="1"/>
    </row>
    <row r="18" spans="1:8" x14ac:dyDescent="0.2">
      <c r="A18" s="3">
        <f t="shared" si="0"/>
        <v>7</v>
      </c>
      <c r="B18" s="126" t="s">
        <v>7</v>
      </c>
      <c r="C18" s="127">
        <f>+'Lead E'!C18</f>
        <v>0.21</v>
      </c>
      <c r="D18" s="6">
        <f>-D16*$C$18</f>
        <v>-12771.078916391029</v>
      </c>
      <c r="E18" s="6">
        <f>-E16*$C$18</f>
        <v>-11752.705283241794</v>
      </c>
      <c r="F18" s="6">
        <f>+E18-D18</f>
        <v>1018.3736331492346</v>
      </c>
      <c r="G18" s="6">
        <f>-G16*$C$18</f>
        <v>-12771.078916391029</v>
      </c>
      <c r="H18" s="6">
        <f>+G18-E18</f>
        <v>-1018.3736331492346</v>
      </c>
    </row>
    <row r="19" spans="1:8" ht="13.5" thickBot="1" x14ac:dyDescent="0.25">
      <c r="A19" s="3">
        <f t="shared" si="0"/>
        <v>8</v>
      </c>
      <c r="B19" s="126" t="s">
        <v>8</v>
      </c>
      <c r="C19" s="128"/>
      <c r="D19" s="129">
        <f>-D16-D18</f>
        <v>-48043.582590232916</v>
      </c>
      <c r="E19" s="129">
        <f>-E16-E18</f>
        <v>-44212.557970290552</v>
      </c>
      <c r="F19" s="129">
        <f>-F16-F18</f>
        <v>3831.0246199423618</v>
      </c>
      <c r="G19" s="129">
        <f>-G16-G18</f>
        <v>-48043.582590232916</v>
      </c>
      <c r="H19" s="129">
        <f>-H16-H18</f>
        <v>-3831.0246199423618</v>
      </c>
    </row>
    <row r="20" spans="1:8" ht="13.5" thickTop="1" x14ac:dyDescent="0.2"/>
  </sheetData>
  <phoneticPr fontId="0" type="noConversion"/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0"/>
  <sheetViews>
    <sheetView topLeftCell="A22" workbookViewId="0">
      <selection activeCell="A5" sqref="A5"/>
    </sheetView>
  </sheetViews>
  <sheetFormatPr defaultColWidth="8.85546875" defaultRowHeight="15" x14ac:dyDescent="0.25"/>
  <cols>
    <col min="1" max="1" width="14.140625" style="19" bestFit="1" customWidth="1"/>
    <col min="2" max="2" width="10.7109375" style="19" bestFit="1" customWidth="1"/>
    <col min="3" max="3" width="10.28515625" style="19" bestFit="1" customWidth="1"/>
    <col min="4" max="4" width="10" style="19" bestFit="1" customWidth="1"/>
    <col min="5" max="5" width="11.85546875" style="19" customWidth="1"/>
    <col min="6" max="6" width="11.42578125" style="19" customWidth="1"/>
    <col min="7" max="13" width="9" style="19" bestFit="1" customWidth="1"/>
    <col min="14" max="14" width="13.42578125" style="19" bestFit="1" customWidth="1"/>
    <col min="15" max="15" width="17" style="19" customWidth="1"/>
    <col min="16" max="16" width="17.85546875" style="19" bestFit="1" customWidth="1"/>
    <col min="17" max="17" width="15.28515625" style="19" bestFit="1" customWidth="1"/>
    <col min="18" max="18" width="12.28515625" style="19" bestFit="1" customWidth="1"/>
    <col min="19" max="16384" width="8.85546875" style="19"/>
  </cols>
  <sheetData>
    <row r="1" spans="1:17" x14ac:dyDescent="0.25">
      <c r="M1" s="21" t="s">
        <v>93</v>
      </c>
    </row>
    <row r="2" spans="1:17" x14ac:dyDescent="0.25">
      <c r="M2" s="131">
        <f>+[1]Lead!$G$43</f>
        <v>0.49997132880489842</v>
      </c>
      <c r="O2" s="99"/>
      <c r="P2" s="99"/>
    </row>
    <row r="3" spans="1:17" x14ac:dyDescent="0.25">
      <c r="A3" s="23" t="s">
        <v>32</v>
      </c>
      <c r="E3" s="21" t="s">
        <v>5</v>
      </c>
      <c r="O3" s="99"/>
      <c r="P3" s="99"/>
    </row>
    <row r="4" spans="1:17" x14ac:dyDescent="0.25">
      <c r="A4" s="21" t="s">
        <v>92</v>
      </c>
      <c r="C4" s="25" t="s">
        <v>33</v>
      </c>
      <c r="D4" s="25" t="s">
        <v>4</v>
      </c>
      <c r="E4" s="25" t="s">
        <v>34</v>
      </c>
      <c r="N4" s="25" t="s">
        <v>33</v>
      </c>
      <c r="O4" s="25" t="s">
        <v>96</v>
      </c>
      <c r="P4" s="25" t="s">
        <v>97</v>
      </c>
    </row>
    <row r="5" spans="1:17" x14ac:dyDescent="0.25">
      <c r="A5" s="131">
        <f>+[1]Lead!$E$9</f>
        <v>0.58050000000000002</v>
      </c>
      <c r="B5" s="22" t="s">
        <v>35</v>
      </c>
      <c r="C5" s="43">
        <f>N13*M2*A5</f>
        <v>84154.734218343758</v>
      </c>
      <c r="D5" s="44">
        <f>P5*A5</f>
        <v>77444.18431150305</v>
      </c>
      <c r="E5" s="44">
        <f>D5-C5</f>
        <v>-6710.549906840708</v>
      </c>
      <c r="F5" s="102"/>
      <c r="G5" s="22"/>
      <c r="H5" s="22"/>
      <c r="I5" s="22"/>
      <c r="J5" s="22"/>
      <c r="K5" s="22"/>
      <c r="L5" s="22"/>
      <c r="M5" s="22" t="s">
        <v>36</v>
      </c>
      <c r="N5" s="43">
        <f>N7*M2</f>
        <v>144969.3957249677</v>
      </c>
      <c r="O5" s="43">
        <f>O7*M2</f>
        <v>136302.24873935158</v>
      </c>
      <c r="P5" s="43">
        <f>P7*M2</f>
        <v>133409.4475650354</v>
      </c>
      <c r="Q5" s="22"/>
    </row>
    <row r="6" spans="1:17" x14ac:dyDescent="0.25">
      <c r="A6" s="131">
        <f>+[1]Lead!$F$9</f>
        <v>0.41949999999999998</v>
      </c>
      <c r="B6" s="22" t="s">
        <v>37</v>
      </c>
      <c r="C6" s="26">
        <f>N13*M2*A6</f>
        <v>60814.661506623946</v>
      </c>
      <c r="D6" s="26">
        <f>P5*A6</f>
        <v>55965.26325353235</v>
      </c>
      <c r="E6" s="26">
        <f>D6-C6</f>
        <v>-4849.3982530915964</v>
      </c>
      <c r="F6" s="22"/>
      <c r="G6" s="22"/>
      <c r="H6" s="22"/>
      <c r="I6" s="22"/>
      <c r="J6" s="22"/>
      <c r="K6" s="22"/>
      <c r="L6" s="22"/>
      <c r="M6" s="22" t="s">
        <v>38</v>
      </c>
      <c r="N6" s="26">
        <f>N7-N5</f>
        <v>144986.02246169891</v>
      </c>
      <c r="O6" s="26">
        <f>O7-O5</f>
        <v>136317.88142923295</v>
      </c>
      <c r="P6" s="26">
        <f>P7-P5</f>
        <v>133424.74847562434</v>
      </c>
      <c r="Q6" s="22"/>
    </row>
    <row r="7" spans="1:17" ht="15.75" thickBot="1" x14ac:dyDescent="0.3">
      <c r="A7" s="22"/>
      <c r="B7" s="22"/>
      <c r="C7" s="45">
        <f>SUM(C5:C6)</f>
        <v>144969.3957249677</v>
      </c>
      <c r="D7" s="45">
        <f t="shared" ref="D7" si="0">SUM(D5:D6)</f>
        <v>133409.4475650354</v>
      </c>
      <c r="E7" s="46">
        <f>SUM(E5:E6)</f>
        <v>-11559.948159932304</v>
      </c>
      <c r="F7" s="101"/>
      <c r="G7" s="22"/>
      <c r="H7" s="22"/>
      <c r="I7" s="22"/>
      <c r="J7" s="22"/>
      <c r="K7" s="22"/>
      <c r="L7" s="22"/>
      <c r="M7" s="22"/>
      <c r="N7" s="46">
        <f>N13</f>
        <v>289955.41818666662</v>
      </c>
      <c r="O7" s="46">
        <f>O18</f>
        <v>272620.13016858452</v>
      </c>
      <c r="P7" s="46">
        <f>N23</f>
        <v>266834.19604065974</v>
      </c>
      <c r="Q7" s="22"/>
    </row>
    <row r="8" spans="1:17" ht="15.75" thickTop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.75" thickBot="1" x14ac:dyDescent="0.3">
      <c r="A10" s="22"/>
      <c r="B10" s="58" t="s">
        <v>79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5.75" thickBot="1" x14ac:dyDescent="0.3">
      <c r="A11" s="47"/>
      <c r="B11" s="59">
        <v>43131</v>
      </c>
      <c r="C11" s="60">
        <v>43159</v>
      </c>
      <c r="D11" s="60">
        <v>43190</v>
      </c>
      <c r="E11" s="60">
        <v>43220</v>
      </c>
      <c r="F11" s="59">
        <v>43251</v>
      </c>
      <c r="G11" s="60">
        <v>43281</v>
      </c>
      <c r="H11" s="60">
        <v>43312</v>
      </c>
      <c r="I11" s="60">
        <v>43343</v>
      </c>
      <c r="J11" s="60">
        <v>43373</v>
      </c>
      <c r="K11" s="60">
        <v>43404</v>
      </c>
      <c r="L11" s="60">
        <v>43434</v>
      </c>
      <c r="M11" s="61">
        <v>43465</v>
      </c>
      <c r="N11" s="71" t="s">
        <v>83</v>
      </c>
      <c r="O11" s="27" t="s">
        <v>39</v>
      </c>
      <c r="P11" s="27"/>
      <c r="Q11" s="22"/>
    </row>
    <row r="12" spans="1:17" x14ac:dyDescent="0.25">
      <c r="A12" s="28" t="s">
        <v>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2"/>
      <c r="P12" s="22"/>
      <c r="Q12" s="22"/>
    </row>
    <row r="13" spans="1:17" x14ac:dyDescent="0.25">
      <c r="A13" s="28" t="s">
        <v>76</v>
      </c>
      <c r="B13" s="43">
        <v>24902.263956666666</v>
      </c>
      <c r="C13" s="43">
        <v>24902.263956666666</v>
      </c>
      <c r="D13" s="43">
        <v>24902.263956666666</v>
      </c>
      <c r="E13" s="43">
        <v>24902.263956666666</v>
      </c>
      <c r="F13" s="43">
        <v>23793.295295</v>
      </c>
      <c r="G13" s="43">
        <v>23793.295295</v>
      </c>
      <c r="H13" s="43">
        <v>23793.295295</v>
      </c>
      <c r="I13" s="43">
        <v>23793.295295</v>
      </c>
      <c r="J13" s="43">
        <v>23793.295295</v>
      </c>
      <c r="K13" s="43">
        <v>23793.295295</v>
      </c>
      <c r="L13" s="43">
        <v>23793.295295</v>
      </c>
      <c r="M13" s="43">
        <v>23793.295295</v>
      </c>
      <c r="N13" s="43">
        <f>SUM(B13:M13)</f>
        <v>289955.41818666662</v>
      </c>
      <c r="O13" s="29" t="s">
        <v>41</v>
      </c>
      <c r="P13" s="29" t="s">
        <v>5</v>
      </c>
      <c r="Q13" s="22"/>
    </row>
    <row r="14" spans="1:17" x14ac:dyDescent="0.25">
      <c r="A14" s="28" t="s">
        <v>77</v>
      </c>
      <c r="B14" s="26">
        <v>2523.1368766666665</v>
      </c>
      <c r="C14" s="26">
        <v>2523.1368766666665</v>
      </c>
      <c r="D14" s="26">
        <v>2523.1368766666665</v>
      </c>
      <c r="E14" s="26">
        <v>2523.1368766666665</v>
      </c>
      <c r="F14" s="26">
        <v>1957.0242883333331</v>
      </c>
      <c r="G14" s="26">
        <v>1957.0242883333331</v>
      </c>
      <c r="H14" s="26">
        <v>1957.0242883333331</v>
      </c>
      <c r="I14" s="26">
        <v>1957.0242883333331</v>
      </c>
      <c r="J14" s="26">
        <v>1957.0242883333331</v>
      </c>
      <c r="K14" s="26">
        <v>1957.0242883333331</v>
      </c>
      <c r="L14" s="26">
        <v>1957.0242883333331</v>
      </c>
      <c r="M14" s="26">
        <v>1957.0242883333331</v>
      </c>
      <c r="N14" s="26">
        <f>SUM(B14:M14)</f>
        <v>25748.741813333338</v>
      </c>
      <c r="O14" s="30" t="s">
        <v>43</v>
      </c>
      <c r="P14" s="30" t="s">
        <v>44</v>
      </c>
      <c r="Q14" s="22"/>
    </row>
    <row r="15" spans="1:17" ht="15.75" thickBot="1" x14ac:dyDescent="0.3">
      <c r="A15" s="28" t="s">
        <v>45</v>
      </c>
      <c r="B15" s="45">
        <f>SUM(B13:B14)</f>
        <v>27425.400833333333</v>
      </c>
      <c r="C15" s="45">
        <f t="shared" ref="C15:M15" si="1">SUM(C13:C14)</f>
        <v>27425.400833333333</v>
      </c>
      <c r="D15" s="45">
        <f t="shared" si="1"/>
        <v>27425.400833333333</v>
      </c>
      <c r="E15" s="45">
        <f t="shared" si="1"/>
        <v>27425.400833333333</v>
      </c>
      <c r="F15" s="45">
        <f t="shared" si="1"/>
        <v>25750.319583333334</v>
      </c>
      <c r="G15" s="45">
        <f t="shared" si="1"/>
        <v>25750.319583333334</v>
      </c>
      <c r="H15" s="45">
        <f t="shared" si="1"/>
        <v>25750.319583333334</v>
      </c>
      <c r="I15" s="45">
        <f t="shared" si="1"/>
        <v>25750.319583333334</v>
      </c>
      <c r="J15" s="45">
        <f t="shared" si="1"/>
        <v>25750.319583333334</v>
      </c>
      <c r="K15" s="45">
        <f t="shared" si="1"/>
        <v>25750.319583333334</v>
      </c>
      <c r="L15" s="45">
        <f t="shared" si="1"/>
        <v>25750.319583333334</v>
      </c>
      <c r="M15" s="45">
        <f t="shared" si="1"/>
        <v>25750.319583333334</v>
      </c>
      <c r="N15" s="46">
        <f>SUM(N13:N14)</f>
        <v>315704.15999999997</v>
      </c>
      <c r="O15" s="31" t="s">
        <v>39</v>
      </c>
      <c r="P15" s="31" t="s">
        <v>39</v>
      </c>
      <c r="Q15" s="22"/>
    </row>
    <row r="16" spans="1:17" ht="15.75" thickTop="1" x14ac:dyDescent="0.25">
      <c r="A16" s="2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8" t="e">
        <f>#REF!-'Main wp'!N15</f>
        <v>#REF!</v>
      </c>
      <c r="O16" s="23" t="s">
        <v>46</v>
      </c>
      <c r="P16" s="23" t="s">
        <v>46</v>
      </c>
      <c r="Q16" s="22"/>
    </row>
    <row r="17" spans="1:19" x14ac:dyDescent="0.25">
      <c r="A17" s="28" t="s">
        <v>95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3" t="s">
        <v>47</v>
      </c>
      <c r="P17" s="23" t="s">
        <v>47</v>
      </c>
      <c r="Q17" s="22"/>
    </row>
    <row r="18" spans="1:19" x14ac:dyDescent="0.25">
      <c r="A18" s="28" t="s">
        <v>76</v>
      </c>
      <c r="B18" s="43">
        <f>B15*$D$35</f>
        <v>23682.666535369503</v>
      </c>
      <c r="C18" s="43">
        <f t="shared" ref="C18:M18" si="2">C15*$D$35</f>
        <v>23682.666535369503</v>
      </c>
      <c r="D18" s="43">
        <f t="shared" si="2"/>
        <v>23682.666535369503</v>
      </c>
      <c r="E18" s="43">
        <f t="shared" si="2"/>
        <v>23682.666535369503</v>
      </c>
      <c r="F18" s="43">
        <f t="shared" si="2"/>
        <v>22236.183003388309</v>
      </c>
      <c r="G18" s="43">
        <f t="shared" si="2"/>
        <v>22236.183003388309</v>
      </c>
      <c r="H18" s="43">
        <f t="shared" si="2"/>
        <v>22236.183003388309</v>
      </c>
      <c r="I18" s="43">
        <f t="shared" si="2"/>
        <v>22236.183003388309</v>
      </c>
      <c r="J18" s="43">
        <f t="shared" si="2"/>
        <v>22236.183003388309</v>
      </c>
      <c r="K18" s="43">
        <f t="shared" si="2"/>
        <v>22236.183003388309</v>
      </c>
      <c r="L18" s="43">
        <f t="shared" si="2"/>
        <v>22236.183003388309</v>
      </c>
      <c r="M18" s="43">
        <f t="shared" si="2"/>
        <v>22236.183003388309</v>
      </c>
      <c r="N18" s="43">
        <f>SUM(B18:M18)</f>
        <v>272620.13016858452</v>
      </c>
      <c r="O18" s="43">
        <f>N20*D35</f>
        <v>272620.13016858452</v>
      </c>
      <c r="P18" s="44">
        <f>O18-N13</f>
        <v>-17335.288018082094</v>
      </c>
      <c r="Q18" s="52">
        <f>O18/N20</f>
        <v>0.86353037023200607</v>
      </c>
    </row>
    <row r="19" spans="1:19" x14ac:dyDescent="0.25">
      <c r="A19" s="28" t="s">
        <v>77</v>
      </c>
      <c r="B19" s="26">
        <f>B15*$D$36</f>
        <v>3742.7342979638329</v>
      </c>
      <c r="C19" s="26">
        <f t="shared" ref="C19:M19" si="3">C15*$D$36</f>
        <v>3742.7342979638329</v>
      </c>
      <c r="D19" s="26">
        <f t="shared" si="3"/>
        <v>3742.7342979638329</v>
      </c>
      <c r="E19" s="26">
        <f t="shared" si="3"/>
        <v>3742.7342979638329</v>
      </c>
      <c r="F19" s="26">
        <f t="shared" si="3"/>
        <v>3514.1365799450246</v>
      </c>
      <c r="G19" s="26">
        <f t="shared" si="3"/>
        <v>3514.1365799450246</v>
      </c>
      <c r="H19" s="26">
        <f t="shared" si="3"/>
        <v>3514.1365799450246</v>
      </c>
      <c r="I19" s="26">
        <f t="shared" si="3"/>
        <v>3514.1365799450246</v>
      </c>
      <c r="J19" s="26">
        <f t="shared" si="3"/>
        <v>3514.1365799450246</v>
      </c>
      <c r="K19" s="26">
        <f t="shared" si="3"/>
        <v>3514.1365799450246</v>
      </c>
      <c r="L19" s="26">
        <f t="shared" si="3"/>
        <v>3514.1365799450246</v>
      </c>
      <c r="M19" s="26">
        <f t="shared" si="3"/>
        <v>3514.1365799450246</v>
      </c>
      <c r="N19" s="26">
        <f>SUM(B19:M19)</f>
        <v>43084.029831415522</v>
      </c>
      <c r="O19" s="26">
        <f>N20*D36</f>
        <v>43084.02983141553</v>
      </c>
      <c r="P19" s="26">
        <f>O19-N14</f>
        <v>17335.288018082192</v>
      </c>
      <c r="Q19" s="52">
        <f>O19/N20</f>
        <v>0.13646962976799396</v>
      </c>
    </row>
    <row r="20" spans="1:19" ht="15.75" thickBot="1" x14ac:dyDescent="0.3">
      <c r="A20" s="28" t="s">
        <v>45</v>
      </c>
      <c r="B20" s="45">
        <f>SUM(B18:B19)</f>
        <v>27425.400833333337</v>
      </c>
      <c r="C20" s="45">
        <f t="shared" ref="C20:N20" si="4">SUM(C18:C19)</f>
        <v>27425.400833333337</v>
      </c>
      <c r="D20" s="45">
        <f>SUM(D18:D19)</f>
        <v>27425.400833333337</v>
      </c>
      <c r="E20" s="45">
        <f t="shared" si="4"/>
        <v>27425.400833333337</v>
      </c>
      <c r="F20" s="45">
        <f t="shared" si="4"/>
        <v>25750.319583333334</v>
      </c>
      <c r="G20" s="45">
        <f t="shared" si="4"/>
        <v>25750.319583333334</v>
      </c>
      <c r="H20" s="45">
        <f>SUM(H18:H19)</f>
        <v>25750.319583333334</v>
      </c>
      <c r="I20" s="45">
        <f t="shared" si="4"/>
        <v>25750.319583333334</v>
      </c>
      <c r="J20" s="45">
        <f>SUM(J18:J19)</f>
        <v>25750.319583333334</v>
      </c>
      <c r="K20" s="45">
        <f t="shared" si="4"/>
        <v>25750.319583333334</v>
      </c>
      <c r="L20" s="45">
        <f>SUM(L18:L19)</f>
        <v>25750.319583333334</v>
      </c>
      <c r="M20" s="45">
        <f t="shared" si="4"/>
        <v>25750.319583333334</v>
      </c>
      <c r="N20" s="46">
        <f t="shared" si="4"/>
        <v>315704.16000000003</v>
      </c>
      <c r="O20" s="45">
        <f>SUM(O18:O19)</f>
        <v>315704.16000000003</v>
      </c>
      <c r="P20" s="45">
        <f>SUM(P18:P19)</f>
        <v>9.822542779147625E-11</v>
      </c>
      <c r="Q20" s="22"/>
    </row>
    <row r="21" spans="1:19" ht="15.75" thickTop="1" x14ac:dyDescent="0.25">
      <c r="A21" s="28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8"/>
      <c r="O21" s="22"/>
      <c r="P21" s="22"/>
      <c r="Q21" s="22"/>
    </row>
    <row r="22" spans="1:19" x14ac:dyDescent="0.25">
      <c r="A22" s="28" t="s">
        <v>94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98"/>
      <c r="P22" s="23"/>
      <c r="Q22" s="22"/>
    </row>
    <row r="23" spans="1:19" x14ac:dyDescent="0.25">
      <c r="A23" s="28" t="s">
        <v>76</v>
      </c>
      <c r="B23" s="43">
        <f>$F$18</f>
        <v>22236.183003388309</v>
      </c>
      <c r="C23" s="43">
        <f t="shared" ref="C23:M23" si="5">$F$18</f>
        <v>22236.183003388309</v>
      </c>
      <c r="D23" s="43">
        <f t="shared" si="5"/>
        <v>22236.183003388309</v>
      </c>
      <c r="E23" s="43">
        <f t="shared" si="5"/>
        <v>22236.183003388309</v>
      </c>
      <c r="F23" s="43">
        <f t="shared" si="5"/>
        <v>22236.183003388309</v>
      </c>
      <c r="G23" s="43">
        <f t="shared" si="5"/>
        <v>22236.183003388309</v>
      </c>
      <c r="H23" s="43">
        <f t="shared" si="5"/>
        <v>22236.183003388309</v>
      </c>
      <c r="I23" s="43">
        <f t="shared" si="5"/>
        <v>22236.183003388309</v>
      </c>
      <c r="J23" s="43">
        <f t="shared" si="5"/>
        <v>22236.183003388309</v>
      </c>
      <c r="K23" s="43">
        <f t="shared" si="5"/>
        <v>22236.183003388309</v>
      </c>
      <c r="L23" s="43">
        <f t="shared" si="5"/>
        <v>22236.183003388309</v>
      </c>
      <c r="M23" s="43">
        <f t="shared" si="5"/>
        <v>22236.183003388309</v>
      </c>
      <c r="N23" s="43">
        <f>SUM(B23:M23)</f>
        <v>266834.19604065974</v>
      </c>
      <c r="O23" s="43">
        <f>N23</f>
        <v>266834.19604065974</v>
      </c>
      <c r="P23" s="44">
        <f>O23-N23</f>
        <v>0</v>
      </c>
      <c r="Q23" s="52">
        <f>O23/N25</f>
        <v>0.86353037023200607</v>
      </c>
    </row>
    <row r="24" spans="1:19" x14ac:dyDescent="0.25">
      <c r="A24" s="28" t="s">
        <v>77</v>
      </c>
      <c r="B24" s="26">
        <f>$F$19</f>
        <v>3514.1365799450246</v>
      </c>
      <c r="C24" s="26">
        <f t="shared" ref="C24:M24" si="6">$F$19</f>
        <v>3514.1365799450246</v>
      </c>
      <c r="D24" s="26">
        <f t="shared" si="6"/>
        <v>3514.1365799450246</v>
      </c>
      <c r="E24" s="26">
        <f t="shared" si="6"/>
        <v>3514.1365799450246</v>
      </c>
      <c r="F24" s="26">
        <f t="shared" si="6"/>
        <v>3514.1365799450246</v>
      </c>
      <c r="G24" s="26">
        <f t="shared" si="6"/>
        <v>3514.1365799450246</v>
      </c>
      <c r="H24" s="26">
        <f t="shared" si="6"/>
        <v>3514.1365799450246</v>
      </c>
      <c r="I24" s="26">
        <f t="shared" si="6"/>
        <v>3514.1365799450246</v>
      </c>
      <c r="J24" s="26">
        <f t="shared" si="6"/>
        <v>3514.1365799450246</v>
      </c>
      <c r="K24" s="26">
        <f t="shared" si="6"/>
        <v>3514.1365799450246</v>
      </c>
      <c r="L24" s="26">
        <f t="shared" si="6"/>
        <v>3514.1365799450246</v>
      </c>
      <c r="M24" s="26">
        <f t="shared" si="6"/>
        <v>3514.1365799450246</v>
      </c>
      <c r="N24" s="26">
        <f>SUM(B24:M24)</f>
        <v>42169.638959340286</v>
      </c>
      <c r="O24" s="26">
        <f>N24</f>
        <v>42169.638959340286</v>
      </c>
      <c r="P24" s="26">
        <f>O24-N24</f>
        <v>0</v>
      </c>
      <c r="Q24" s="52">
        <f>O24/N25</f>
        <v>0.13646962976799393</v>
      </c>
    </row>
    <row r="25" spans="1:19" ht="15.75" thickBot="1" x14ac:dyDescent="0.3">
      <c r="A25" s="28" t="s">
        <v>45</v>
      </c>
      <c r="B25" s="45">
        <f>SUM(B23:B24)</f>
        <v>25750.319583333334</v>
      </c>
      <c r="C25" s="45">
        <f t="shared" ref="C25" si="7">SUM(C23:C24)</f>
        <v>25750.319583333334</v>
      </c>
      <c r="D25" s="45">
        <f>SUM(D23:D24)</f>
        <v>25750.319583333334</v>
      </c>
      <c r="E25" s="45">
        <f t="shared" ref="E25:G25" si="8">SUM(E23:E24)</f>
        <v>25750.319583333334</v>
      </c>
      <c r="F25" s="45">
        <f t="shared" si="8"/>
        <v>25750.319583333334</v>
      </c>
      <c r="G25" s="45">
        <f t="shared" si="8"/>
        <v>25750.319583333334</v>
      </c>
      <c r="H25" s="45">
        <f>SUM(H23:H24)</f>
        <v>25750.319583333334</v>
      </c>
      <c r="I25" s="45">
        <f t="shared" ref="I25" si="9">SUM(I23:I24)</f>
        <v>25750.319583333334</v>
      </c>
      <c r="J25" s="45">
        <f>SUM(J23:J24)</f>
        <v>25750.319583333334</v>
      </c>
      <c r="K25" s="45">
        <f t="shared" ref="K25" si="10">SUM(K23:K24)</f>
        <v>25750.319583333334</v>
      </c>
      <c r="L25" s="45">
        <f>SUM(L23:L24)</f>
        <v>25750.319583333334</v>
      </c>
      <c r="M25" s="45">
        <f t="shared" ref="M25:N25" si="11">SUM(M23:M24)</f>
        <v>25750.319583333334</v>
      </c>
      <c r="N25" s="46">
        <f t="shared" si="11"/>
        <v>309003.83500000002</v>
      </c>
      <c r="O25" s="45">
        <f>SUM(O23:O24)</f>
        <v>309003.83500000002</v>
      </c>
      <c r="P25" s="45">
        <f>SUM(P23:P24)</f>
        <v>0</v>
      </c>
      <c r="Q25" s="22"/>
    </row>
    <row r="26" spans="1:19" ht="15.75" thickTop="1" x14ac:dyDescent="0.25">
      <c r="A26" s="28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22"/>
    </row>
    <row r="27" spans="1:19" x14ac:dyDescent="0.25">
      <c r="A27" s="28" t="s">
        <v>48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2"/>
      <c r="P27" s="22"/>
      <c r="Q27" s="22" t="s">
        <v>49</v>
      </c>
      <c r="R27" s="44">
        <f>O28*M2</f>
        <v>-8667.1469856161384</v>
      </c>
      <c r="S27" s="100"/>
    </row>
    <row r="28" spans="1:19" x14ac:dyDescent="0.25">
      <c r="A28" s="28" t="s">
        <v>40</v>
      </c>
      <c r="B28" s="43">
        <f>B23-B18</f>
        <v>-1446.4835319811937</v>
      </c>
      <c r="C28" s="43">
        <f t="shared" ref="C28:M28" si="12">C23-C18</f>
        <v>-1446.4835319811937</v>
      </c>
      <c r="D28" s="43">
        <f t="shared" si="12"/>
        <v>-1446.4835319811937</v>
      </c>
      <c r="E28" s="43">
        <f t="shared" si="12"/>
        <v>-1446.4835319811937</v>
      </c>
      <c r="F28" s="43">
        <f t="shared" si="12"/>
        <v>0</v>
      </c>
      <c r="G28" s="43">
        <f t="shared" si="12"/>
        <v>0</v>
      </c>
      <c r="H28" s="43">
        <f t="shared" si="12"/>
        <v>0</v>
      </c>
      <c r="I28" s="43">
        <f t="shared" si="12"/>
        <v>0</v>
      </c>
      <c r="J28" s="43">
        <f t="shared" si="12"/>
        <v>0</v>
      </c>
      <c r="K28" s="43">
        <f t="shared" si="12"/>
        <v>0</v>
      </c>
      <c r="L28" s="43">
        <f t="shared" si="12"/>
        <v>0</v>
      </c>
      <c r="M28" s="43">
        <f t="shared" si="12"/>
        <v>0</v>
      </c>
      <c r="N28" s="43">
        <f>SUM(B28:M28)</f>
        <v>-5785.9341279247747</v>
      </c>
      <c r="O28" s="44">
        <f>P18</f>
        <v>-17335.288018082094</v>
      </c>
      <c r="P28" s="44">
        <f>SUM(N28:O28)</f>
        <v>-23121.222146006869</v>
      </c>
      <c r="Q28" s="22" t="s">
        <v>49</v>
      </c>
      <c r="R28" s="44">
        <f>P28*M2</f>
        <v>-11559.948159932299</v>
      </c>
      <c r="S28" s="100"/>
    </row>
    <row r="29" spans="1:19" x14ac:dyDescent="0.25">
      <c r="A29" s="28" t="s">
        <v>42</v>
      </c>
      <c r="B29" s="26">
        <f t="shared" ref="B29:M29" si="13">B24-B19</f>
        <v>-228.59771801880834</v>
      </c>
      <c r="C29" s="26">
        <f t="shared" si="13"/>
        <v>-228.59771801880834</v>
      </c>
      <c r="D29" s="26">
        <f t="shared" si="13"/>
        <v>-228.59771801880834</v>
      </c>
      <c r="E29" s="26">
        <f t="shared" si="13"/>
        <v>-228.59771801880834</v>
      </c>
      <c r="F29" s="26">
        <f t="shared" si="13"/>
        <v>0</v>
      </c>
      <c r="G29" s="26">
        <f t="shared" si="13"/>
        <v>0</v>
      </c>
      <c r="H29" s="26">
        <f t="shared" si="13"/>
        <v>0</v>
      </c>
      <c r="I29" s="26">
        <f t="shared" si="13"/>
        <v>0</v>
      </c>
      <c r="J29" s="26">
        <f t="shared" si="13"/>
        <v>0</v>
      </c>
      <c r="K29" s="26">
        <f t="shared" si="13"/>
        <v>0</v>
      </c>
      <c r="L29" s="26">
        <f t="shared" si="13"/>
        <v>0</v>
      </c>
      <c r="M29" s="26">
        <f t="shared" si="13"/>
        <v>0</v>
      </c>
      <c r="N29" s="26">
        <f>SUM(B29:M29)</f>
        <v>-914.39087207523335</v>
      </c>
      <c r="O29" s="49">
        <f>P19</f>
        <v>17335.288018082192</v>
      </c>
      <c r="P29" s="44">
        <f>SUM(N29:O29)</f>
        <v>16420.897146006959</v>
      </c>
      <c r="Q29" s="22"/>
    </row>
    <row r="30" spans="1:19" ht="15.75" thickBot="1" x14ac:dyDescent="0.3">
      <c r="A30" s="28" t="s">
        <v>45</v>
      </c>
      <c r="B30" s="45">
        <f t="shared" ref="B30:P30" si="14">SUM(B28:B29)</f>
        <v>-1675.081250000002</v>
      </c>
      <c r="C30" s="45">
        <f t="shared" si="14"/>
        <v>-1675.081250000002</v>
      </c>
      <c r="D30" s="45">
        <f t="shared" si="14"/>
        <v>-1675.081250000002</v>
      </c>
      <c r="E30" s="45">
        <f t="shared" si="14"/>
        <v>-1675.081250000002</v>
      </c>
      <c r="F30" s="45">
        <f>SUM(F28:F29)</f>
        <v>0</v>
      </c>
      <c r="G30" s="45">
        <f t="shared" si="14"/>
        <v>0</v>
      </c>
      <c r="H30" s="45">
        <f>SUM(H28:H29)</f>
        <v>0</v>
      </c>
      <c r="I30" s="45">
        <f t="shared" si="14"/>
        <v>0</v>
      </c>
      <c r="J30" s="45">
        <f t="shared" si="14"/>
        <v>0</v>
      </c>
      <c r="K30" s="45">
        <f t="shared" si="14"/>
        <v>0</v>
      </c>
      <c r="L30" s="45">
        <f t="shared" si="14"/>
        <v>0</v>
      </c>
      <c r="M30" s="45">
        <f t="shared" si="14"/>
        <v>0</v>
      </c>
      <c r="N30" s="45">
        <f t="shared" si="14"/>
        <v>-6700.325000000008</v>
      </c>
      <c r="O30" s="45">
        <f t="shared" si="14"/>
        <v>9.822542779147625E-11</v>
      </c>
      <c r="P30" s="45">
        <f t="shared" si="14"/>
        <v>-6700.3249999999098</v>
      </c>
      <c r="Q30" s="22"/>
      <c r="R30" s="41"/>
    </row>
    <row r="31" spans="1:19" ht="15.75" thickTop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38" t="s">
        <v>50</v>
      </c>
      <c r="O31" s="38" t="s">
        <v>50</v>
      </c>
      <c r="P31" s="38" t="s">
        <v>50</v>
      </c>
      <c r="Q31" s="22"/>
    </row>
    <row r="32" spans="1:19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 t="s">
        <v>46</v>
      </c>
      <c r="O32" s="23" t="s">
        <v>46</v>
      </c>
      <c r="P32" s="23" t="s">
        <v>46</v>
      </c>
      <c r="Q32" s="22"/>
    </row>
    <row r="33" spans="1:17" x14ac:dyDescent="0.25">
      <c r="A33" s="22"/>
      <c r="B33" s="39" t="s">
        <v>51</v>
      </c>
      <c r="C33" s="39" t="s">
        <v>52</v>
      </c>
      <c r="D33" s="39" t="s">
        <v>53</v>
      </c>
      <c r="E33" s="39" t="s">
        <v>54</v>
      </c>
      <c r="F33" s="22"/>
      <c r="G33" s="22"/>
      <c r="H33" s="22"/>
      <c r="I33" s="22"/>
      <c r="J33" s="22"/>
      <c r="K33" s="22"/>
      <c r="L33" s="22"/>
      <c r="M33" s="22"/>
      <c r="N33" s="29" t="s">
        <v>5</v>
      </c>
      <c r="O33" s="29" t="s">
        <v>5</v>
      </c>
      <c r="P33" s="29" t="s">
        <v>55</v>
      </c>
      <c r="Q33" s="22"/>
    </row>
    <row r="34" spans="1:17" x14ac:dyDescent="0.25">
      <c r="A34" s="22"/>
      <c r="B34" s="40" t="s">
        <v>56</v>
      </c>
      <c r="C34" s="40" t="s">
        <v>57</v>
      </c>
      <c r="D34" s="40" t="s">
        <v>58</v>
      </c>
      <c r="E34" s="40" t="s">
        <v>39</v>
      </c>
      <c r="F34" s="40" t="s">
        <v>5</v>
      </c>
      <c r="G34" s="22"/>
      <c r="H34" s="22"/>
      <c r="I34" s="22"/>
      <c r="J34" s="22"/>
      <c r="K34" s="22"/>
      <c r="L34" s="22"/>
      <c r="M34" s="22"/>
      <c r="N34" s="30" t="s">
        <v>59</v>
      </c>
      <c r="O34" s="30" t="s">
        <v>44</v>
      </c>
      <c r="P34" s="30" t="s">
        <v>5</v>
      </c>
      <c r="Q34" s="22"/>
    </row>
    <row r="35" spans="1:17" x14ac:dyDescent="0.25">
      <c r="A35" s="22" t="s">
        <v>60</v>
      </c>
      <c r="B35" s="50">
        <f>'CE Allocation'!D7</f>
        <v>0.98830727446645128</v>
      </c>
      <c r="C35" s="50">
        <f>'Director''s Fees'!O8</f>
        <v>0.73875346599756087</v>
      </c>
      <c r="D35" s="50">
        <f>AVERAGE(B35:C35)</f>
        <v>0.86353037023200607</v>
      </c>
      <c r="E35" s="50">
        <f>N13/N15</f>
        <v>0.91844028341807926</v>
      </c>
      <c r="F35" s="50">
        <f>D35-E35</f>
        <v>-5.4909913186073189E-2</v>
      </c>
      <c r="G35" s="22"/>
      <c r="H35" s="22"/>
      <c r="I35" s="22"/>
      <c r="J35" s="22"/>
      <c r="K35" s="22"/>
      <c r="L35" s="22"/>
      <c r="M35" s="22"/>
      <c r="N35" s="31" t="s">
        <v>61</v>
      </c>
      <c r="O35" s="31" t="s">
        <v>39</v>
      </c>
      <c r="P35" s="31"/>
      <c r="Q35" s="22"/>
    </row>
    <row r="36" spans="1:17" x14ac:dyDescent="0.25">
      <c r="A36" s="22" t="s">
        <v>62</v>
      </c>
      <c r="B36" s="50">
        <f>'CE Allocation'!E7</f>
        <v>1.1692725533548722E-2</v>
      </c>
      <c r="C36" s="50">
        <f>SUM('Director''s Fees'!O10:O17)</f>
        <v>0.26124653400243919</v>
      </c>
      <c r="D36" s="50">
        <f>AVERAGE(B36:C36)</f>
        <v>0.13646962976799396</v>
      </c>
      <c r="E36" s="50">
        <f>N14/N15</f>
        <v>8.1559716581920683E-2</v>
      </c>
      <c r="F36" s="50">
        <f>D36-E36</f>
        <v>5.4909913186073273E-2</v>
      </c>
      <c r="G36" s="22"/>
      <c r="H36" s="22"/>
      <c r="I36" s="22"/>
      <c r="J36" s="22"/>
      <c r="K36" s="22"/>
      <c r="L36" s="22"/>
      <c r="M36" s="22"/>
      <c r="N36" s="98"/>
      <c r="O36" s="98"/>
      <c r="P36" s="98"/>
      <c r="Q36" s="22"/>
    </row>
    <row r="37" spans="1:17" ht="15.75" thickBot="1" x14ac:dyDescent="0.3">
      <c r="A37" s="22" t="s">
        <v>55</v>
      </c>
      <c r="B37" s="51">
        <f>SUM(B35:B36)</f>
        <v>1</v>
      </c>
      <c r="C37" s="51">
        <f>SUM(C35:C36)</f>
        <v>1</v>
      </c>
      <c r="D37" s="51">
        <f>SUM(D35:D36)</f>
        <v>1</v>
      </c>
      <c r="E37" s="51">
        <f>SUM(E35:E36)</f>
        <v>1</v>
      </c>
      <c r="F37" s="51">
        <f>SUM(F35:F36)</f>
        <v>8.3266726846886741E-17</v>
      </c>
      <c r="G37" s="22"/>
      <c r="H37" s="22"/>
      <c r="I37" s="22"/>
      <c r="J37" s="22"/>
      <c r="K37" s="22"/>
      <c r="L37" s="22"/>
      <c r="M37" s="22"/>
      <c r="N37" s="22"/>
      <c r="O37" s="98"/>
      <c r="P37" s="22"/>
      <c r="Q37" s="22"/>
    </row>
    <row r="38" spans="1:17" ht="15.75" thickTop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 t="s">
        <v>81</v>
      </c>
      <c r="K38" s="22"/>
      <c r="L38" s="22"/>
      <c r="M38" s="22"/>
      <c r="N38" s="22"/>
      <c r="O38" s="22"/>
      <c r="P38" s="22"/>
      <c r="Q38" s="22"/>
    </row>
    <row r="39" spans="1:17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7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7" x14ac:dyDescent="0.2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7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7" x14ac:dyDescent="0.2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7" x14ac:dyDescent="0.25">
      <c r="B44" s="22"/>
      <c r="C44" s="22"/>
      <c r="D44" s="22"/>
      <c r="E44" s="22"/>
      <c r="F44" s="22" t="s">
        <v>80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7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7" x14ac:dyDescent="0.2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7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7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2:16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2:16" x14ac:dyDescent="0.2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2:16" x14ac:dyDescent="0.2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2:16" x14ac:dyDescent="0.2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2:16" x14ac:dyDescent="0.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2:16" x14ac:dyDescent="0.2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2:16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2:16" x14ac:dyDescent="0.2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2:16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2:16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2:16" x14ac:dyDescent="0.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2:16" x14ac:dyDescent="0.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2:16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2:16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2:16" x14ac:dyDescent="0.2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2:16" x14ac:dyDescent="0.2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2:16" x14ac:dyDescent="0.2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2:16" x14ac:dyDescent="0.2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2:16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2:16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2:16" x14ac:dyDescent="0.2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2:16" x14ac:dyDescent="0.2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2:16" x14ac:dyDescent="0.2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2:16" x14ac:dyDescent="0.2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2:16" x14ac:dyDescent="0.2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2:16" x14ac:dyDescent="0.2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2:16" x14ac:dyDescent="0.2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2:16" x14ac:dyDescent="0.2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2:16" x14ac:dyDescent="0.2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2:16" x14ac:dyDescent="0.2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2:16" x14ac:dyDescent="0.2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2:16" x14ac:dyDescent="0.2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2:16" x14ac:dyDescent="0.2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2:16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2:16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2:16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2:16" x14ac:dyDescent="0.2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2:16" x14ac:dyDescent="0.2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2:16" x14ac:dyDescent="0.2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2:16" x14ac:dyDescent="0.25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2:16" x14ac:dyDescent="0.25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2:16" x14ac:dyDescent="0.25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2:16" x14ac:dyDescent="0.25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2:16" x14ac:dyDescent="0.25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2:16" x14ac:dyDescent="0.25"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2:16" x14ac:dyDescent="0.25"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2:16" x14ac:dyDescent="0.25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2:16" x14ac:dyDescent="0.25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2:16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2:16" x14ac:dyDescent="0.25"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2:16" x14ac:dyDescent="0.25"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2:16" x14ac:dyDescent="0.25"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2:16" x14ac:dyDescent="0.25"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2:16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2:16" x14ac:dyDescent="0.25"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2:16" x14ac:dyDescent="0.25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2:16" x14ac:dyDescent="0.25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2:16" x14ac:dyDescent="0.25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2:16" x14ac:dyDescent="0.25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2:16" x14ac:dyDescent="0.25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2:16" x14ac:dyDescent="0.25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2:16" x14ac:dyDescent="0.25"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2:16" x14ac:dyDescent="0.25"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2:16" x14ac:dyDescent="0.25"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2:16" x14ac:dyDescent="0.25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2:16" x14ac:dyDescent="0.25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2:16" x14ac:dyDescent="0.25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2:16" x14ac:dyDescent="0.25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2:16" x14ac:dyDescent="0.25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2:16" x14ac:dyDescent="0.25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2:16" x14ac:dyDescent="0.25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2:16" x14ac:dyDescent="0.25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2:16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2:16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2:16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2:16" x14ac:dyDescent="0.25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2:16" x14ac:dyDescent="0.25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2:16" x14ac:dyDescent="0.25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2:16" x14ac:dyDescent="0.25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2:16" x14ac:dyDescent="0.25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2:16" x14ac:dyDescent="0.25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2:16" x14ac:dyDescent="0.25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2:16" x14ac:dyDescent="0.25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2:16" x14ac:dyDescent="0.25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2:16" x14ac:dyDescent="0.25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2:16" x14ac:dyDescent="0.25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2:16" x14ac:dyDescent="0.25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2:16" x14ac:dyDescent="0.25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2:16" x14ac:dyDescent="0.25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2:16" x14ac:dyDescent="0.25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2:16" x14ac:dyDescent="0.25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2:16" x14ac:dyDescent="0.25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</sheetData>
  <printOptions horizontalCentered="1"/>
  <pageMargins left="0.45" right="0.45" top="0.7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6" sqref="B6"/>
    </sheetView>
  </sheetViews>
  <sheetFormatPr defaultColWidth="8.85546875" defaultRowHeight="15" x14ac:dyDescent="0.25"/>
  <cols>
    <col min="1" max="1" width="15.85546875" style="19" bestFit="1" customWidth="1"/>
    <col min="2" max="2" width="13.28515625" style="19" bestFit="1" customWidth="1"/>
    <col min="3" max="4" width="14" style="19" bestFit="1" customWidth="1"/>
    <col min="5" max="5" width="13.28515625" style="19" bestFit="1" customWidth="1"/>
    <col min="6" max="6" width="14" style="19" bestFit="1" customWidth="1"/>
    <col min="7" max="8" width="11.28515625" style="19" bestFit="1" customWidth="1"/>
    <col min="9" max="9" width="12.140625" style="19" bestFit="1" customWidth="1"/>
    <col min="10" max="10" width="10.140625" style="19" bestFit="1" customWidth="1"/>
    <col min="11" max="11" width="10" style="19" bestFit="1" customWidth="1"/>
    <col min="12" max="12" width="12.140625" style="19" bestFit="1" customWidth="1"/>
    <col min="13" max="16384" width="8.85546875" style="19"/>
  </cols>
  <sheetData>
    <row r="1" spans="1:9" x14ac:dyDescent="0.25">
      <c r="A1" s="20" t="s">
        <v>28</v>
      </c>
      <c r="B1" s="22"/>
      <c r="C1" s="22"/>
      <c r="D1" s="22"/>
      <c r="E1" s="22"/>
      <c r="F1" s="22"/>
    </row>
    <row r="2" spans="1:9" x14ac:dyDescent="0.25">
      <c r="A2" s="42" t="s">
        <v>84</v>
      </c>
      <c r="B2"/>
      <c r="C2"/>
      <c r="D2"/>
      <c r="E2"/>
      <c r="F2"/>
    </row>
    <row r="3" spans="1:9" x14ac:dyDescent="0.25">
      <c r="B3" s="55" t="s">
        <v>68</v>
      </c>
      <c r="C3" s="55" t="s">
        <v>69</v>
      </c>
      <c r="D3" s="55" t="s">
        <v>70</v>
      </c>
      <c r="E3" s="55" t="s">
        <v>71</v>
      </c>
      <c r="F3" s="55" t="s">
        <v>72</v>
      </c>
    </row>
    <row r="4" spans="1:9" x14ac:dyDescent="0.25">
      <c r="B4" s="54" t="s">
        <v>29</v>
      </c>
      <c r="C4" s="54" t="s">
        <v>30</v>
      </c>
      <c r="D4" s="54" t="s">
        <v>31</v>
      </c>
      <c r="E4" s="54" t="s">
        <v>23</v>
      </c>
      <c r="F4" s="54" t="s">
        <v>9</v>
      </c>
      <c r="G4" s="22"/>
      <c r="H4" s="22"/>
    </row>
    <row r="5" spans="1:9" ht="22.5" x14ac:dyDescent="0.25">
      <c r="A5" s="19" t="s">
        <v>66</v>
      </c>
      <c r="B5" s="56" t="s">
        <v>65</v>
      </c>
      <c r="C5" s="56" t="s">
        <v>67</v>
      </c>
      <c r="D5" s="57" t="s">
        <v>73</v>
      </c>
      <c r="E5" s="56" t="s">
        <v>26</v>
      </c>
      <c r="F5" s="57" t="s">
        <v>74</v>
      </c>
      <c r="G5" s="22"/>
      <c r="H5" s="22"/>
    </row>
    <row r="6" spans="1:9" x14ac:dyDescent="0.25">
      <c r="A6" s="19" t="s">
        <v>27</v>
      </c>
      <c r="B6" s="53">
        <v>15947557.492099999</v>
      </c>
      <c r="C6" s="53">
        <v>16406276.907899993</v>
      </c>
      <c r="D6" s="53">
        <f>SUM(B6:C6)</f>
        <v>32353834.399999991</v>
      </c>
      <c r="E6" s="53">
        <v>382780.25000000006</v>
      </c>
      <c r="F6" s="53">
        <f>D6+E6</f>
        <v>32736614.649999991</v>
      </c>
      <c r="G6" s="22"/>
      <c r="H6" s="22"/>
    </row>
    <row r="7" spans="1:9" x14ac:dyDescent="0.25">
      <c r="A7" s="19" t="s">
        <v>15</v>
      </c>
      <c r="B7" s="24">
        <f>B6/$F$6</f>
        <v>0.48714742384335097</v>
      </c>
      <c r="C7" s="24">
        <f>C6/$F$6</f>
        <v>0.50115985062310031</v>
      </c>
      <c r="D7" s="24">
        <f>SUM(B7:C7)</f>
        <v>0.98830727446645128</v>
      </c>
      <c r="E7" s="24">
        <f>E6/$F$6</f>
        <v>1.1692725533548722E-2</v>
      </c>
      <c r="F7" s="24">
        <f>F6/$F$6</f>
        <v>1</v>
      </c>
      <c r="G7"/>
      <c r="H7"/>
    </row>
    <row r="8" spans="1:9" x14ac:dyDescent="0.25">
      <c r="B8" s="22"/>
      <c r="C8" s="22"/>
      <c r="D8" s="22"/>
      <c r="E8" s="22"/>
      <c r="F8" s="22"/>
      <c r="G8"/>
      <c r="H8"/>
    </row>
    <row r="9" spans="1:9" x14ac:dyDescent="0.25">
      <c r="B9" s="22"/>
      <c r="C9" s="22"/>
      <c r="D9" s="22"/>
      <c r="E9" s="22"/>
      <c r="F9" s="22"/>
      <c r="G9" s="22"/>
      <c r="H9" s="22"/>
    </row>
    <row r="10" spans="1:9" x14ac:dyDescent="0.25">
      <c r="A10"/>
      <c r="B10"/>
      <c r="C10"/>
      <c r="D10"/>
      <c r="E10"/>
      <c r="F10"/>
      <c r="G10" s="22"/>
      <c r="H10" s="22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x14ac:dyDescent="0.25">
      <c r="A15"/>
      <c r="B15"/>
      <c r="C15"/>
      <c r="D15"/>
      <c r="E15"/>
      <c r="F15"/>
      <c r="G15"/>
      <c r="H15"/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D21" s="22"/>
      <c r="E21" s="22"/>
      <c r="F21" s="22"/>
      <c r="G21"/>
      <c r="H21"/>
      <c r="I21"/>
    </row>
    <row r="22" spans="1:9" x14ac:dyDescent="0.25">
      <c r="G22" s="22"/>
      <c r="H22" s="22"/>
    </row>
    <row r="33" spans="6:6" x14ac:dyDescent="0.25">
      <c r="F33" s="19" t="s">
        <v>82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G26" sqref="G26"/>
    </sheetView>
  </sheetViews>
  <sheetFormatPr defaultRowHeight="12.75" x14ac:dyDescent="0.2"/>
  <cols>
    <col min="1" max="1" width="20.28515625" style="7" bestFit="1" customWidth="1"/>
    <col min="2" max="2" width="1.7109375" style="7" customWidth="1"/>
    <col min="3" max="3" width="17.7109375" style="7" bestFit="1" customWidth="1"/>
    <col min="4" max="4" width="1.7109375" style="7" customWidth="1"/>
    <col min="5" max="5" width="10.28515625" style="7" bestFit="1" customWidth="1"/>
    <col min="6" max="6" width="1.7109375" style="7" customWidth="1"/>
    <col min="7" max="7" width="10.28515625" style="7" bestFit="1" customWidth="1"/>
    <col min="8" max="8" width="1.5703125" style="7" customWidth="1"/>
    <col min="9" max="9" width="12.7109375" style="7" customWidth="1"/>
    <col min="10" max="10" width="2.140625" style="7" customWidth="1"/>
    <col min="11" max="11" width="9.85546875" style="7" bestFit="1" customWidth="1"/>
    <col min="12" max="12" width="1.7109375" style="7" customWidth="1"/>
    <col min="13" max="13" width="10.7109375" style="7" bestFit="1" customWidth="1"/>
    <col min="14" max="14" width="1.85546875" style="7" customWidth="1"/>
    <col min="15" max="15" width="11.28515625" style="7" customWidth="1"/>
    <col min="16" max="18" width="8.85546875" style="7"/>
  </cols>
  <sheetData>
    <row r="1" spans="1:20" ht="15.75" x14ac:dyDescent="0.25">
      <c r="A1" s="132" t="s">
        <v>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S1" s="7"/>
      <c r="T1" s="7"/>
    </row>
    <row r="2" spans="1:20" s="7" customFormat="1" ht="15.75" x14ac:dyDescent="0.25">
      <c r="A2" s="133" t="s">
        <v>91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20" ht="15.75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S3" s="7"/>
      <c r="T3" s="7"/>
    </row>
    <row r="4" spans="1:20" x14ac:dyDescent="0.2">
      <c r="S4" s="7"/>
      <c r="T4" s="7"/>
    </row>
    <row r="5" spans="1:20" x14ac:dyDescent="0.2">
      <c r="A5" s="8"/>
      <c r="B5" s="8"/>
      <c r="C5" s="8" t="s">
        <v>14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 t="s">
        <v>15</v>
      </c>
      <c r="S5" s="7"/>
      <c r="T5" s="7"/>
    </row>
    <row r="6" spans="1:20" ht="15.75" thickBot="1" x14ac:dyDescent="0.3">
      <c r="A6" s="8"/>
      <c r="B6" s="8"/>
      <c r="C6" s="10" t="s">
        <v>16</v>
      </c>
      <c r="D6" s="8"/>
      <c r="E6" s="62" t="str">
        <f>+'Utility-Non-Utility'!E6</f>
        <v>Q4 2018</v>
      </c>
      <c r="F6" s="63"/>
      <c r="G6" s="62" t="str">
        <f>+'Utility-Non-Utility'!G6</f>
        <v>Q3 2018</v>
      </c>
      <c r="H6" s="63"/>
      <c r="I6" s="62" t="str">
        <f>+'Utility-Non-Utility'!I6</f>
        <v>Q2 2018</v>
      </c>
      <c r="J6" s="62"/>
      <c r="K6" s="62" t="str">
        <f>+'Utility-Non-Utility'!K6</f>
        <v>Q1 2018</v>
      </c>
      <c r="M6" s="10" t="s">
        <v>17</v>
      </c>
      <c r="N6" s="8"/>
      <c r="O6" s="10" t="s">
        <v>18</v>
      </c>
      <c r="S6" s="7"/>
      <c r="T6" s="7"/>
    </row>
    <row r="7" spans="1:20" ht="15" x14ac:dyDescent="0.25">
      <c r="E7" s="63"/>
      <c r="F7" s="63"/>
      <c r="G7" s="63"/>
      <c r="H7" s="63"/>
      <c r="I7" s="63"/>
      <c r="J7" s="63"/>
      <c r="K7" s="63"/>
      <c r="S7" s="7"/>
      <c r="T7" s="7"/>
    </row>
    <row r="8" spans="1:20" ht="15" x14ac:dyDescent="0.25">
      <c r="A8" s="7" t="s">
        <v>22</v>
      </c>
      <c r="C8" s="11" t="s">
        <v>24</v>
      </c>
      <c r="E8" s="64">
        <f>+'Utility-Non-Utility'!E8</f>
        <v>94643</v>
      </c>
      <c r="F8" s="65"/>
      <c r="G8" s="64">
        <f>+'Utility-Non-Utility'!G8</f>
        <v>107094</v>
      </c>
      <c r="H8" s="65"/>
      <c r="I8" s="64">
        <f>+'Utility-Non-Utility'!I8</f>
        <v>94336.666666666672</v>
      </c>
      <c r="J8" s="64"/>
      <c r="K8" s="64">
        <f>+'Utility-Non-Utility'!K8</f>
        <v>121346.6692</v>
      </c>
      <c r="L8" s="9"/>
      <c r="M8" s="32">
        <f>SUM(E8:K8)</f>
        <v>417420.33586666669</v>
      </c>
      <c r="O8" s="33">
        <f>M8/$M$18</f>
        <v>0.73875346599756087</v>
      </c>
      <c r="S8" s="7"/>
      <c r="T8" s="7"/>
    </row>
    <row r="9" spans="1:20" ht="15" x14ac:dyDescent="0.25">
      <c r="C9" s="12"/>
      <c r="E9" s="66"/>
      <c r="F9" s="65"/>
      <c r="G9" s="66"/>
      <c r="H9" s="65"/>
      <c r="I9" s="66"/>
      <c r="J9" s="66"/>
      <c r="K9" s="66"/>
      <c r="L9" s="9"/>
      <c r="M9" s="9"/>
      <c r="O9" s="34"/>
      <c r="S9" s="7"/>
      <c r="T9" s="7"/>
    </row>
    <row r="10" spans="1:20" ht="15" x14ac:dyDescent="0.25">
      <c r="A10" s="7" t="s">
        <v>23</v>
      </c>
      <c r="C10" s="11">
        <v>41710250</v>
      </c>
      <c r="E10" s="67">
        <f>+'Utility-Non-Utility'!E10</f>
        <v>0</v>
      </c>
      <c r="F10" s="65"/>
      <c r="G10" s="67">
        <f>+'Utility-Non-Utility'!G10</f>
        <v>0</v>
      </c>
      <c r="H10" s="65"/>
      <c r="I10" s="67">
        <f>+'Utility-Non-Utility'!I10</f>
        <v>0</v>
      </c>
      <c r="J10" s="68"/>
      <c r="K10" s="67">
        <f>+'Utility-Non-Utility'!K10</f>
        <v>0</v>
      </c>
      <c r="L10" s="9"/>
      <c r="M10" s="32">
        <f>SUM(E10:K10)</f>
        <v>0</v>
      </c>
      <c r="O10" s="33">
        <f>M10/$M$18</f>
        <v>0</v>
      </c>
      <c r="S10" s="7"/>
      <c r="T10" s="7"/>
    </row>
    <row r="11" spans="1:20" ht="15" x14ac:dyDescent="0.25">
      <c r="C11" s="12"/>
      <c r="E11" s="66"/>
      <c r="F11" s="65"/>
      <c r="G11" s="66"/>
      <c r="H11" s="65"/>
      <c r="I11" s="66"/>
      <c r="J11" s="66"/>
      <c r="K11" s="66"/>
      <c r="L11" s="9"/>
      <c r="M11" s="35"/>
      <c r="O11" s="34"/>
      <c r="S11" s="7"/>
      <c r="T11" s="7"/>
    </row>
    <row r="12" spans="1:20" ht="15" x14ac:dyDescent="0.25">
      <c r="A12" s="7" t="s">
        <v>19</v>
      </c>
      <c r="C12" s="12">
        <v>18600818</v>
      </c>
      <c r="E12" s="64">
        <f>+'Utility-Non-Utility'!E12+'Utility-Non-Utility'!E13</f>
        <v>18662</v>
      </c>
      <c r="F12" s="65"/>
      <c r="G12" s="64">
        <f>+'Utility-Non-Utility'!G12+'Utility-Non-Utility'!G13</f>
        <v>15103</v>
      </c>
      <c r="H12" s="65"/>
      <c r="I12" s="64">
        <f>+'Utility-Non-Utility'!I12+'Utility-Non-Utility'!I13</f>
        <v>5390.666666666667</v>
      </c>
      <c r="J12" s="64"/>
      <c r="K12" s="64">
        <f>+'Utility-Non-Utility'!K12+'Utility-Non-Utility'!K13</f>
        <v>25546.6672</v>
      </c>
      <c r="L12" s="9"/>
      <c r="M12" s="32">
        <f>SUM(E12:K12)</f>
        <v>64702.333866666668</v>
      </c>
      <c r="O12" s="33">
        <f>M12/$M$18</f>
        <v>0.11451064860768893</v>
      </c>
      <c r="S12" s="7"/>
      <c r="T12" s="7"/>
    </row>
    <row r="13" spans="1:20" ht="15" x14ac:dyDescent="0.25">
      <c r="C13" s="12"/>
      <c r="E13" s="66"/>
      <c r="F13" s="65"/>
      <c r="G13" s="66"/>
      <c r="H13" s="65"/>
      <c r="I13" s="66"/>
      <c r="J13" s="66"/>
      <c r="K13" s="66"/>
      <c r="L13" s="9"/>
      <c r="M13" s="35"/>
      <c r="O13" s="34"/>
      <c r="S13" s="7"/>
      <c r="T13" s="7"/>
    </row>
    <row r="14" spans="1:20" ht="15" x14ac:dyDescent="0.25">
      <c r="A14" s="7" t="s">
        <v>20</v>
      </c>
      <c r="C14" s="12" t="s">
        <v>63</v>
      </c>
      <c r="E14" s="64">
        <f>+'Utility-Non-Utility'!E15+'Utility-Non-Utility'!E16</f>
        <v>19995</v>
      </c>
      <c r="F14" s="65"/>
      <c r="G14" s="64">
        <f>+'Utility-Non-Utility'!G15+'Utility-Non-Utility'!G16</f>
        <v>15103</v>
      </c>
      <c r="H14" s="65"/>
      <c r="I14" s="64">
        <f>+'Utility-Non-Utility'!I15+'Utility-Non-Utility'!I16</f>
        <v>35039.333333333336</v>
      </c>
      <c r="J14" s="64"/>
      <c r="K14" s="64">
        <f>+'Utility-Non-Utility'!K15+'Utility-Non-Utility'!K16</f>
        <v>12773.3336</v>
      </c>
      <c r="L14" s="9"/>
      <c r="M14" s="32">
        <f>SUM(E14:K14)</f>
        <v>82910.666933333341</v>
      </c>
      <c r="O14" s="33">
        <f>M14/$M$18</f>
        <v>0.14673588539475027</v>
      </c>
      <c r="S14" s="7"/>
      <c r="T14" s="7"/>
    </row>
    <row r="15" spans="1:20" ht="15" x14ac:dyDescent="0.25">
      <c r="C15" s="12"/>
      <c r="E15" s="69"/>
      <c r="F15" s="65"/>
      <c r="G15" s="69"/>
      <c r="H15" s="65"/>
      <c r="I15" s="69"/>
      <c r="J15" s="69"/>
      <c r="K15" s="69"/>
      <c r="L15" s="9"/>
      <c r="M15" s="35"/>
      <c r="O15" s="34"/>
      <c r="S15" s="7"/>
      <c r="T15" s="7"/>
    </row>
    <row r="16" spans="1:20" ht="15" x14ac:dyDescent="0.25">
      <c r="A16" s="7" t="s">
        <v>25</v>
      </c>
      <c r="C16" s="12">
        <v>18600883</v>
      </c>
      <c r="E16" s="68">
        <f>+'Utility-Non-Utility'!E18</f>
        <v>0</v>
      </c>
      <c r="F16" s="65"/>
      <c r="G16" s="68">
        <f>+'Utility-Non-Utility'!G18</f>
        <v>0</v>
      </c>
      <c r="H16" s="65"/>
      <c r="I16" s="68">
        <f>+'Utility-Non-Utility'!I18</f>
        <v>0</v>
      </c>
      <c r="J16" s="68"/>
      <c r="K16" s="68">
        <f>+'Utility-Non-Utility'!K18</f>
        <v>0</v>
      </c>
      <c r="L16" s="9"/>
      <c r="M16" s="32">
        <f>SUM(E16:K16)</f>
        <v>0</v>
      </c>
      <c r="O16" s="33">
        <f>M16/$M$18</f>
        <v>0</v>
      </c>
      <c r="S16" s="7"/>
      <c r="T16" s="7"/>
    </row>
    <row r="17" spans="1:20" x14ac:dyDescent="0.2">
      <c r="C17" s="12"/>
      <c r="E17" s="70"/>
      <c r="F17" s="9"/>
      <c r="G17" s="70"/>
      <c r="H17" s="9"/>
      <c r="I17" s="70"/>
      <c r="J17" s="70"/>
      <c r="K17" s="70"/>
      <c r="L17" s="9"/>
      <c r="M17" s="35"/>
      <c r="O17" s="34"/>
      <c r="S17" s="7"/>
      <c r="T17" s="7"/>
    </row>
    <row r="18" spans="1:20" ht="13.5" thickBot="1" x14ac:dyDescent="0.25">
      <c r="A18" s="7" t="s">
        <v>21</v>
      </c>
      <c r="C18" s="12"/>
      <c r="E18" s="36">
        <f>SUM(E8:E16)</f>
        <v>133300</v>
      </c>
      <c r="F18" s="9"/>
      <c r="G18" s="36">
        <f>SUM(G8:G16)</f>
        <v>137300</v>
      </c>
      <c r="H18" s="9"/>
      <c r="I18" s="36">
        <f>SUM(I8:I16)</f>
        <v>134766.66666666669</v>
      </c>
      <c r="J18" s="36"/>
      <c r="K18" s="36">
        <f>SUM(K8:K16)</f>
        <v>159666.67000000001</v>
      </c>
      <c r="L18" s="9"/>
      <c r="M18" s="36">
        <f>SUM(M8:M16)</f>
        <v>565033.33666666667</v>
      </c>
      <c r="O18" s="37">
        <f>SUM(O8:O16)</f>
        <v>1</v>
      </c>
      <c r="S18" s="7"/>
      <c r="T18" s="7"/>
    </row>
    <row r="19" spans="1:20" ht="15.75" thickTop="1" x14ac:dyDescent="0.35">
      <c r="C19" s="16"/>
      <c r="D19" s="14"/>
      <c r="E19" s="17"/>
      <c r="F19" s="13"/>
      <c r="G19" s="17"/>
      <c r="H19" s="17"/>
      <c r="I19" s="13"/>
      <c r="J19" s="17"/>
      <c r="K19" s="13"/>
      <c r="L19" s="13"/>
      <c r="M19" s="17"/>
      <c r="N19" s="14"/>
      <c r="O19" s="14"/>
      <c r="P19" s="14"/>
      <c r="Q19" s="14"/>
      <c r="S19" s="7"/>
      <c r="T19" s="7"/>
    </row>
    <row r="20" spans="1:20" x14ac:dyDescent="0.2">
      <c r="A20" s="7" t="s">
        <v>64</v>
      </c>
      <c r="C20" s="14"/>
      <c r="D20" s="14"/>
      <c r="E20" s="18"/>
      <c r="F20" s="13"/>
      <c r="G20" s="13"/>
      <c r="H20" s="13"/>
      <c r="I20" s="13"/>
      <c r="J20" s="18"/>
      <c r="K20" s="13"/>
      <c r="L20" s="13"/>
      <c r="M20" s="18"/>
      <c r="N20" s="14"/>
      <c r="O20" s="14"/>
      <c r="P20" s="14"/>
      <c r="Q20" s="14"/>
      <c r="S20" s="7"/>
      <c r="T20" s="7"/>
    </row>
    <row r="21" spans="1:20" x14ac:dyDescent="0.2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S21" s="7"/>
      <c r="T21" s="7"/>
    </row>
    <row r="22" spans="1:20" x14ac:dyDescent="0.2">
      <c r="C22" s="14"/>
      <c r="D22" s="14"/>
      <c r="E22" s="14"/>
      <c r="F22" s="14"/>
      <c r="G22" s="14"/>
      <c r="H22" s="14"/>
      <c r="I22" s="14"/>
      <c r="J22" s="15"/>
      <c r="K22" s="14"/>
      <c r="L22" s="14"/>
      <c r="M22" s="14"/>
      <c r="N22" s="14"/>
      <c r="O22" s="14"/>
      <c r="P22" s="14"/>
      <c r="Q22" s="14"/>
      <c r="S22" s="7"/>
      <c r="T22" s="7"/>
    </row>
    <row r="23" spans="1:20" x14ac:dyDescent="0.2">
      <c r="C23" s="14"/>
      <c r="D23" s="14"/>
      <c r="E23" s="14"/>
      <c r="F23" s="14"/>
      <c r="G23" s="14"/>
      <c r="H23" s="14"/>
      <c r="I23" s="14"/>
      <c r="J23" s="15"/>
      <c r="K23" s="14"/>
      <c r="L23" s="14"/>
      <c r="M23" s="14"/>
      <c r="N23" s="14"/>
      <c r="O23" s="14"/>
      <c r="P23" s="14"/>
      <c r="Q23" s="14"/>
      <c r="S23" s="7"/>
      <c r="T23" s="7"/>
    </row>
    <row r="24" spans="1:20" x14ac:dyDescent="0.2">
      <c r="C24" s="14"/>
      <c r="D24" s="14"/>
      <c r="E24" s="14"/>
      <c r="F24" s="14"/>
      <c r="G24" s="14"/>
      <c r="H24" s="14"/>
      <c r="I24" s="14"/>
      <c r="J24" s="15"/>
      <c r="K24" s="14"/>
      <c r="L24" s="14"/>
      <c r="M24" s="14"/>
      <c r="N24" s="14"/>
      <c r="O24" s="14"/>
      <c r="P24" s="14"/>
      <c r="Q24" s="14"/>
      <c r="S24" s="7"/>
      <c r="T24" s="7"/>
    </row>
    <row r="25" spans="1:20" x14ac:dyDescent="0.2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0" x14ac:dyDescent="0.2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</sheetData>
  <mergeCells count="3">
    <mergeCell ref="A1:O1"/>
    <mergeCell ref="A2:O2"/>
    <mergeCell ref="A3:O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Normal="100" workbookViewId="0">
      <selection activeCell="E16" sqref="E16"/>
    </sheetView>
  </sheetViews>
  <sheetFormatPr defaultColWidth="8.85546875" defaultRowHeight="12.75" x14ac:dyDescent="0.2"/>
  <cols>
    <col min="1" max="1" width="20.28515625" style="73" bestFit="1" customWidth="1"/>
    <col min="2" max="2" width="1.7109375" style="73" customWidth="1"/>
    <col min="3" max="3" width="17.85546875" style="73" bestFit="1" customWidth="1"/>
    <col min="4" max="4" width="1.7109375" style="73" customWidth="1"/>
    <col min="5" max="5" width="10.42578125" style="73" customWidth="1"/>
    <col min="6" max="6" width="1.7109375" style="73" customWidth="1"/>
    <col min="7" max="7" width="10.42578125" style="73" customWidth="1"/>
    <col min="8" max="8" width="1.7109375" style="73" customWidth="1"/>
    <col min="9" max="9" width="10.28515625" style="73" bestFit="1" customWidth="1"/>
    <col min="10" max="10" width="1.7109375" style="73" customWidth="1"/>
    <col min="11" max="11" width="10.28515625" style="73" bestFit="1" customWidth="1"/>
    <col min="12" max="12" width="1.5703125" style="73" customWidth="1"/>
    <col min="13" max="13" width="10.7109375" style="73" bestFit="1" customWidth="1"/>
    <col min="14" max="14" width="1.85546875" style="73" customWidth="1"/>
    <col min="15" max="15" width="11.28515625" style="73" customWidth="1"/>
    <col min="16" max="18" width="8.85546875" style="73"/>
    <col min="19" max="16384" width="8.85546875" style="72"/>
  </cols>
  <sheetData>
    <row r="1" spans="1:20" ht="15.75" x14ac:dyDescent="0.25">
      <c r="A1" s="132" t="s">
        <v>13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S1" s="73"/>
      <c r="T1" s="73"/>
    </row>
    <row r="2" spans="1:20" s="73" customFormat="1" ht="15.75" x14ac:dyDescent="0.25">
      <c r="A2" s="132" t="s">
        <v>91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20" ht="15.75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S3" s="73"/>
      <c r="T3" s="73"/>
    </row>
    <row r="4" spans="1:20" x14ac:dyDescent="0.2">
      <c r="S4" s="73"/>
      <c r="T4" s="73"/>
    </row>
    <row r="5" spans="1:20" x14ac:dyDescent="0.2">
      <c r="A5" s="94"/>
      <c r="B5" s="94"/>
      <c r="C5" s="94" t="s">
        <v>14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 t="s">
        <v>15</v>
      </c>
      <c r="S5" s="73"/>
      <c r="T5" s="73"/>
    </row>
    <row r="6" spans="1:20" ht="15.75" thickBot="1" x14ac:dyDescent="0.3">
      <c r="A6" s="94"/>
      <c r="B6" s="94"/>
      <c r="C6" s="93" t="s">
        <v>16</v>
      </c>
      <c r="D6" s="96"/>
      <c r="E6" s="95" t="s">
        <v>90</v>
      </c>
      <c r="F6" s="96"/>
      <c r="G6" s="95" t="s">
        <v>89</v>
      </c>
      <c r="H6" s="94"/>
      <c r="I6" s="95" t="s">
        <v>78</v>
      </c>
      <c r="J6" s="92"/>
      <c r="K6" s="95" t="s">
        <v>75</v>
      </c>
      <c r="L6" s="95"/>
      <c r="M6" s="93" t="s">
        <v>17</v>
      </c>
      <c r="N6" s="94"/>
      <c r="O6" s="93" t="s">
        <v>18</v>
      </c>
      <c r="S6" s="73"/>
      <c r="T6" s="73"/>
    </row>
    <row r="7" spans="1:20" ht="15" x14ac:dyDescent="0.25">
      <c r="I7" s="92"/>
      <c r="J7" s="92"/>
      <c r="K7" s="92"/>
      <c r="L7" s="92"/>
      <c r="S7" s="73"/>
      <c r="T7" s="73"/>
    </row>
    <row r="8" spans="1:20" ht="15" x14ac:dyDescent="0.25">
      <c r="A8" s="73" t="s">
        <v>22</v>
      </c>
      <c r="C8" s="91" t="s">
        <v>24</v>
      </c>
      <c r="D8" s="91"/>
      <c r="E8" s="86">
        <v>94643</v>
      </c>
      <c r="F8" s="91"/>
      <c r="G8" s="86">
        <v>107094</v>
      </c>
      <c r="I8" s="89">
        <v>94336.666666666672</v>
      </c>
      <c r="J8" s="87"/>
      <c r="K8" s="89">
        <v>121346.6692</v>
      </c>
      <c r="L8" s="89"/>
      <c r="M8" s="86">
        <f>SUM(E8:L8)</f>
        <v>417420.33586666669</v>
      </c>
      <c r="O8" s="85">
        <f>M8/$M$20</f>
        <v>0.73875346599756087</v>
      </c>
      <c r="S8" s="73"/>
      <c r="T8" s="73"/>
    </row>
    <row r="9" spans="1:20" ht="15" x14ac:dyDescent="0.25">
      <c r="C9" s="82"/>
      <c r="D9" s="82"/>
      <c r="E9" s="82"/>
      <c r="F9" s="82"/>
      <c r="G9" s="82"/>
      <c r="I9" s="90"/>
      <c r="J9" s="87"/>
      <c r="K9" s="90"/>
      <c r="L9" s="90"/>
      <c r="M9" s="81"/>
      <c r="O9" s="83"/>
      <c r="S9" s="73"/>
      <c r="T9" s="73"/>
    </row>
    <row r="10" spans="1:20" ht="15" x14ac:dyDescent="0.25">
      <c r="A10" s="73" t="s">
        <v>23</v>
      </c>
      <c r="C10" s="91">
        <v>41710250</v>
      </c>
      <c r="D10" s="91"/>
      <c r="E10" s="86">
        <v>0</v>
      </c>
      <c r="F10" s="91"/>
      <c r="G10" s="86">
        <v>0</v>
      </c>
      <c r="I10" s="67">
        <v>0</v>
      </c>
      <c r="J10" s="87"/>
      <c r="K10" s="68">
        <v>0</v>
      </c>
      <c r="L10" s="68"/>
      <c r="M10" s="86">
        <f>SUM(E10:L10)</f>
        <v>0</v>
      </c>
      <c r="O10" s="85">
        <f>M10/$M$20</f>
        <v>0</v>
      </c>
      <c r="S10" s="73"/>
      <c r="T10" s="73"/>
    </row>
    <row r="11" spans="1:20" ht="15" x14ac:dyDescent="0.25">
      <c r="C11" s="82"/>
      <c r="D11" s="82"/>
      <c r="E11" s="82"/>
      <c r="F11" s="82"/>
      <c r="G11" s="82"/>
      <c r="I11" s="90"/>
      <c r="J11" s="87"/>
      <c r="K11" s="90"/>
      <c r="L11" s="90"/>
      <c r="M11" s="68"/>
      <c r="O11" s="83"/>
      <c r="S11" s="73"/>
      <c r="T11" s="73"/>
    </row>
    <row r="12" spans="1:20" ht="15" x14ac:dyDescent="0.25">
      <c r="A12" s="73" t="s">
        <v>19</v>
      </c>
      <c r="C12" s="82" t="s">
        <v>88</v>
      </c>
      <c r="D12" s="82"/>
      <c r="E12" s="86"/>
      <c r="F12" s="82"/>
      <c r="G12" s="86"/>
      <c r="I12" s="89"/>
      <c r="J12" s="87"/>
      <c r="K12" s="89">
        <v>25546.6672</v>
      </c>
      <c r="L12" s="89"/>
      <c r="M12" s="86">
        <f>SUM(E12:L13)</f>
        <v>64702.33386666666</v>
      </c>
      <c r="O12" s="85">
        <f>M12/$M$20</f>
        <v>0.11451064860768892</v>
      </c>
      <c r="S12" s="73"/>
      <c r="T12" s="73"/>
    </row>
    <row r="13" spans="1:20" ht="15" x14ac:dyDescent="0.25">
      <c r="A13" s="73" t="s">
        <v>19</v>
      </c>
      <c r="C13" s="82" t="s">
        <v>87</v>
      </c>
      <c r="D13" s="82"/>
      <c r="E13" s="86">
        <v>18662</v>
      </c>
      <c r="F13" s="82"/>
      <c r="G13" s="86">
        <v>15103</v>
      </c>
      <c r="I13" s="89">
        <v>5390.666666666667</v>
      </c>
      <c r="J13" s="87"/>
      <c r="K13" s="90"/>
      <c r="L13" s="90"/>
      <c r="M13" s="68"/>
      <c r="O13" s="83"/>
      <c r="S13" s="73"/>
      <c r="T13" s="73"/>
    </row>
    <row r="14" spans="1:20" ht="15" x14ac:dyDescent="0.25">
      <c r="C14" s="82"/>
      <c r="D14" s="82"/>
      <c r="E14" s="82"/>
      <c r="F14" s="82"/>
      <c r="G14" s="82"/>
      <c r="I14" s="90"/>
      <c r="J14" s="87"/>
      <c r="K14" s="90"/>
      <c r="L14" s="90"/>
      <c r="M14" s="68"/>
      <c r="O14" s="83"/>
      <c r="S14" s="73"/>
      <c r="T14" s="73"/>
    </row>
    <row r="15" spans="1:20" ht="15" x14ac:dyDescent="0.25">
      <c r="A15" s="73" t="s">
        <v>20</v>
      </c>
      <c r="C15" s="82" t="s">
        <v>86</v>
      </c>
      <c r="D15" s="82"/>
      <c r="E15" s="89"/>
      <c r="F15" s="82"/>
      <c r="G15" s="89"/>
      <c r="I15" s="89"/>
      <c r="J15" s="87"/>
      <c r="K15" s="89">
        <v>12773.3336</v>
      </c>
      <c r="L15" s="89"/>
      <c r="M15" s="86">
        <f>SUM(E15:L16)</f>
        <v>82910.666933333327</v>
      </c>
      <c r="O15" s="85">
        <f>M15/$M$20</f>
        <v>0.14673588539475024</v>
      </c>
      <c r="S15" s="73"/>
      <c r="T15" s="73"/>
    </row>
    <row r="16" spans="1:20" ht="15" x14ac:dyDescent="0.25">
      <c r="A16" s="73" t="s">
        <v>20</v>
      </c>
      <c r="C16" s="82" t="s">
        <v>85</v>
      </c>
      <c r="D16" s="82"/>
      <c r="E16" s="86">
        <v>19995</v>
      </c>
      <c r="F16" s="82"/>
      <c r="G16" s="86">
        <v>15103</v>
      </c>
      <c r="I16" s="89">
        <v>35039.333333333336</v>
      </c>
      <c r="J16" s="87"/>
      <c r="K16" s="88"/>
      <c r="L16" s="88"/>
      <c r="M16" s="68"/>
      <c r="O16" s="83"/>
      <c r="S16" s="73"/>
      <c r="T16" s="73"/>
    </row>
    <row r="17" spans="1:20" ht="15" x14ac:dyDescent="0.25">
      <c r="C17" s="82"/>
      <c r="D17" s="82"/>
      <c r="E17" s="82"/>
      <c r="F17" s="82"/>
      <c r="G17" s="82"/>
      <c r="I17" s="88"/>
      <c r="J17" s="87"/>
      <c r="K17" s="88"/>
      <c r="L17" s="88"/>
      <c r="M17" s="68"/>
      <c r="O17" s="83"/>
      <c r="S17" s="73"/>
      <c r="T17" s="73"/>
    </row>
    <row r="18" spans="1:20" ht="15" x14ac:dyDescent="0.25">
      <c r="A18" s="73" t="s">
        <v>25</v>
      </c>
      <c r="C18" s="82">
        <v>18600883</v>
      </c>
      <c r="D18" s="82"/>
      <c r="E18" s="68">
        <v>0</v>
      </c>
      <c r="F18" s="82"/>
      <c r="G18" s="68">
        <v>0</v>
      </c>
      <c r="I18" s="68">
        <v>0</v>
      </c>
      <c r="J18" s="87"/>
      <c r="K18" s="68">
        <v>0</v>
      </c>
      <c r="L18" s="68"/>
      <c r="M18" s="86">
        <f>SUM(E18:L18)</f>
        <v>0</v>
      </c>
      <c r="O18" s="85">
        <f>M18/$M$20</f>
        <v>0</v>
      </c>
      <c r="S18" s="73"/>
      <c r="T18" s="73"/>
    </row>
    <row r="19" spans="1:20" x14ac:dyDescent="0.2">
      <c r="C19" s="82"/>
      <c r="D19" s="82"/>
      <c r="E19" s="82"/>
      <c r="F19" s="82"/>
      <c r="G19" s="82"/>
      <c r="I19" s="84"/>
      <c r="J19" s="81"/>
      <c r="K19" s="84"/>
      <c r="L19" s="84"/>
      <c r="M19" s="68"/>
      <c r="O19" s="83"/>
      <c r="S19" s="73"/>
      <c r="T19" s="73"/>
    </row>
    <row r="20" spans="1:20" ht="13.5" thickBot="1" x14ac:dyDescent="0.25">
      <c r="A20" s="73" t="s">
        <v>21</v>
      </c>
      <c r="C20" s="82"/>
      <c r="D20" s="82"/>
      <c r="E20" s="80">
        <f>SUM(E8:E18)</f>
        <v>133300</v>
      </c>
      <c r="F20" s="82"/>
      <c r="G20" s="80">
        <f>SUM(G8:G18)</f>
        <v>137300</v>
      </c>
      <c r="I20" s="80">
        <f>SUM(I8:I18)</f>
        <v>134766.66666666669</v>
      </c>
      <c r="J20" s="81"/>
      <c r="K20" s="80">
        <f>SUM(K8:K18)</f>
        <v>159666.67000000001</v>
      </c>
      <c r="L20" s="80"/>
      <c r="M20" s="80">
        <f>SUM(M8:M18)</f>
        <v>565033.33666666667</v>
      </c>
      <c r="O20" s="79">
        <f>SUM(O8:O18)</f>
        <v>1</v>
      </c>
      <c r="S20" s="73"/>
      <c r="T20" s="73"/>
    </row>
    <row r="21" spans="1:20" ht="15.75" thickTop="1" x14ac:dyDescent="0.35">
      <c r="C21" s="78"/>
      <c r="D21" s="78"/>
      <c r="E21" s="78"/>
      <c r="F21" s="78"/>
      <c r="G21" s="78"/>
      <c r="H21" s="74"/>
      <c r="I21" s="77"/>
      <c r="J21" s="76"/>
      <c r="K21" s="77"/>
      <c r="L21" s="77"/>
      <c r="M21" s="77"/>
      <c r="N21" s="74"/>
      <c r="O21" s="74"/>
      <c r="P21" s="74"/>
      <c r="Q21" s="74"/>
      <c r="S21" s="73"/>
      <c r="T21" s="73"/>
    </row>
    <row r="22" spans="1:20" x14ac:dyDescent="0.2">
      <c r="C22" s="74"/>
      <c r="D22" s="74"/>
      <c r="E22" s="74"/>
      <c r="F22" s="74"/>
      <c r="G22" s="74"/>
      <c r="H22" s="74"/>
      <c r="I22" s="75"/>
      <c r="J22" s="76"/>
      <c r="K22" s="76"/>
      <c r="L22" s="76"/>
      <c r="M22" s="75"/>
      <c r="N22" s="74"/>
      <c r="O22" s="74"/>
      <c r="P22" s="74"/>
      <c r="Q22" s="74"/>
      <c r="S22" s="73"/>
      <c r="T22" s="73"/>
    </row>
    <row r="23" spans="1:20" x14ac:dyDescent="0.2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S23" s="73"/>
      <c r="T23" s="73"/>
    </row>
    <row r="24" spans="1:20" x14ac:dyDescent="0.2"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S24" s="73"/>
      <c r="T24" s="73"/>
    </row>
    <row r="25" spans="1:20" x14ac:dyDescent="0.2"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S25" s="73"/>
      <c r="T25" s="73"/>
    </row>
    <row r="26" spans="1:20" x14ac:dyDescent="0.2"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S26" s="73"/>
      <c r="T26" s="73"/>
    </row>
    <row r="27" spans="1:20" x14ac:dyDescent="0.2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20" x14ac:dyDescent="0.2"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</sheetData>
  <mergeCells count="3">
    <mergeCell ref="A1:O1"/>
    <mergeCell ref="A2:O2"/>
    <mergeCell ref="A3:O3"/>
  </mergeCell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9DDCE89-06EB-4F66-92B1-6AC12DE659EE}"/>
</file>

<file path=customXml/itemProps2.xml><?xml version="1.0" encoding="utf-8"?>
<ds:datastoreItem xmlns:ds="http://schemas.openxmlformats.org/officeDocument/2006/customXml" ds:itemID="{69C2975C-D46A-4CFD-96BC-8C016E0D7FAB}"/>
</file>

<file path=customXml/itemProps3.xml><?xml version="1.0" encoding="utf-8"?>
<ds:datastoreItem xmlns:ds="http://schemas.openxmlformats.org/officeDocument/2006/customXml" ds:itemID="{E45B15FC-0C3E-486F-89E5-13C0A8CED0BD}"/>
</file>

<file path=customXml/itemProps4.xml><?xml version="1.0" encoding="utf-8"?>
<ds:datastoreItem xmlns:ds="http://schemas.openxmlformats.org/officeDocument/2006/customXml" ds:itemID="{38133F6A-6758-4147-86B5-6C96D4570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Lead E</vt:lpstr>
      <vt:lpstr>Lead G</vt:lpstr>
      <vt:lpstr>Main wp</vt:lpstr>
      <vt:lpstr>CE Allocation</vt:lpstr>
      <vt:lpstr>Director's Fees</vt:lpstr>
      <vt:lpstr>Utility-Non-Utility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2018-02-13T18:43:54Z</cp:lastPrinted>
  <dcterms:created xsi:type="dcterms:W3CDTF">2003-08-20T17:00:45Z</dcterms:created>
  <dcterms:modified xsi:type="dcterms:W3CDTF">2019-07-31T15:21:17Z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