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4520" windowHeight="12810" tabRatio="877"/>
  </bookViews>
  <sheets>
    <sheet name="Lead G" sheetId="12" r:id="rId1"/>
    <sheet name="Summary" sheetId="1" r:id="rId2"/>
    <sheet name="3-YR AVERAGE-GAS" sheetId="2" r:id="rId3"/>
    <sheet name="NetWriteoffs-Gas" sheetId="13" r:id="rId4"/>
    <sheet name="BS Acct-Gas" sheetId="14" r:id="rId5"/>
    <sheet name="ZO12" sheetId="15" r:id="rId6"/>
    <sheet name="SOG 12ME 8-2018" sheetId="16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E20" i="1" l="1"/>
  <c r="D20" i="1"/>
  <c r="D27" i="2" l="1"/>
  <c r="D26" i="2"/>
  <c r="D25" i="2"/>
  <c r="D24" i="2"/>
  <c r="D23" i="2"/>
  <c r="B14" i="13"/>
  <c r="B11" i="13"/>
  <c r="B9" i="13"/>
  <c r="B8" i="13"/>
  <c r="B7" i="13"/>
  <c r="B6" i="13"/>
  <c r="B5" i="13"/>
  <c r="F27" i="16"/>
  <c r="E27" i="16"/>
  <c r="D27" i="16"/>
  <c r="C27" i="16"/>
  <c r="B27" i="16"/>
  <c r="F19" i="16"/>
  <c r="F21" i="16" s="1"/>
  <c r="E19" i="16"/>
  <c r="D19" i="16"/>
  <c r="C19" i="16"/>
  <c r="B19" i="16"/>
  <c r="B21" i="16" s="1"/>
  <c r="F13" i="16"/>
  <c r="E13" i="16"/>
  <c r="D13" i="16"/>
  <c r="C13" i="16"/>
  <c r="B13" i="16"/>
  <c r="I37" i="15"/>
  <c r="H37" i="15"/>
  <c r="G37" i="15"/>
  <c r="F37" i="15"/>
  <c r="E37" i="15"/>
  <c r="D37" i="15"/>
  <c r="C37" i="15"/>
  <c r="B37" i="15"/>
  <c r="N29" i="15"/>
  <c r="J29" i="15"/>
  <c r="F29" i="15"/>
  <c r="B29" i="15"/>
  <c r="K28" i="15"/>
  <c r="G28" i="15"/>
  <c r="C28" i="15"/>
  <c r="L27" i="15"/>
  <c r="H27" i="15"/>
  <c r="D27" i="15"/>
  <c r="N14" i="15"/>
  <c r="M14" i="15"/>
  <c r="M29" i="15" s="1"/>
  <c r="L14" i="15"/>
  <c r="L29" i="15" s="1"/>
  <c r="K14" i="15"/>
  <c r="K29" i="15" s="1"/>
  <c r="J14" i="15"/>
  <c r="I14" i="15"/>
  <c r="I29" i="15" s="1"/>
  <c r="H14" i="15"/>
  <c r="H29" i="15" s="1"/>
  <c r="G14" i="15"/>
  <c r="G29" i="15" s="1"/>
  <c r="F14" i="15"/>
  <c r="E14" i="15"/>
  <c r="E29" i="15" s="1"/>
  <c r="D14" i="15"/>
  <c r="D29" i="15" s="1"/>
  <c r="C14" i="15"/>
  <c r="C29" i="15" s="1"/>
  <c r="B14" i="15"/>
  <c r="N12" i="15"/>
  <c r="N28" i="15" s="1"/>
  <c r="M12" i="15"/>
  <c r="M28" i="15" s="1"/>
  <c r="L12" i="15"/>
  <c r="L28" i="15" s="1"/>
  <c r="K12" i="15"/>
  <c r="J12" i="15"/>
  <c r="J28" i="15" s="1"/>
  <c r="I12" i="15"/>
  <c r="I28" i="15" s="1"/>
  <c r="H12" i="15"/>
  <c r="H28" i="15" s="1"/>
  <c r="G12" i="15"/>
  <c r="F12" i="15"/>
  <c r="F28" i="15" s="1"/>
  <c r="E12" i="15"/>
  <c r="E28" i="15" s="1"/>
  <c r="D12" i="15"/>
  <c r="D28" i="15" s="1"/>
  <c r="C12" i="15"/>
  <c r="B12" i="15"/>
  <c r="B28" i="15" s="1"/>
  <c r="N9" i="15"/>
  <c r="N15" i="15" s="1"/>
  <c r="N17" i="15" s="1"/>
  <c r="M9" i="15"/>
  <c r="M15" i="15" s="1"/>
  <c r="M17" i="15" s="1"/>
  <c r="L9" i="15"/>
  <c r="K9" i="15"/>
  <c r="K27" i="15" s="1"/>
  <c r="J9" i="15"/>
  <c r="J15" i="15" s="1"/>
  <c r="J17" i="15" s="1"/>
  <c r="I9" i="15"/>
  <c r="H9" i="15"/>
  <c r="G9" i="15"/>
  <c r="G27" i="15" s="1"/>
  <c r="F9" i="15"/>
  <c r="F15" i="15" s="1"/>
  <c r="F17" i="15" s="1"/>
  <c r="E9" i="15"/>
  <c r="E15" i="15" s="1"/>
  <c r="E17" i="15" s="1"/>
  <c r="D9" i="15"/>
  <c r="C9" i="15"/>
  <c r="C27" i="15" s="1"/>
  <c r="B9" i="15"/>
  <c r="B15" i="15" s="1"/>
  <c r="B17" i="15" s="1"/>
  <c r="E102" i="14"/>
  <c r="D100" i="14"/>
  <c r="A88" i="14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E84" i="14"/>
  <c r="D82" i="14"/>
  <c r="B61" i="13" s="1"/>
  <c r="A70" i="14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E65" i="14"/>
  <c r="D63" i="14"/>
  <c r="B48" i="13" s="1"/>
  <c r="A51" i="14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E45" i="14"/>
  <c r="D43" i="14"/>
  <c r="A31" i="14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E26" i="14"/>
  <c r="D24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B74" i="13"/>
  <c r="B69" i="13"/>
  <c r="B73" i="13" s="1"/>
  <c r="B75" i="13" s="1"/>
  <c r="B23" i="2" s="1"/>
  <c r="B67" i="13"/>
  <c r="B70" i="13" s="1"/>
  <c r="B71" i="13" s="1"/>
  <c r="B56" i="13"/>
  <c r="B60" i="13" s="1"/>
  <c r="B62" i="13" s="1"/>
  <c r="B24" i="2" s="1"/>
  <c r="B54" i="13"/>
  <c r="B57" i="13" s="1"/>
  <c r="B58" i="13" s="1"/>
  <c r="B44" i="13"/>
  <c r="B45" i="13" s="1"/>
  <c r="B43" i="13"/>
  <c r="B47" i="13" s="1"/>
  <c r="B41" i="13"/>
  <c r="B35" i="13"/>
  <c r="B30" i="13"/>
  <c r="B34" i="13" s="1"/>
  <c r="B36" i="13" s="1"/>
  <c r="B26" i="2" s="1"/>
  <c r="B27" i="13"/>
  <c r="B20" i="13"/>
  <c r="I15" i="15" l="1"/>
  <c r="I17" i="15" s="1"/>
  <c r="D21" i="16"/>
  <c r="D29" i="16" s="1"/>
  <c r="D33" i="16" s="1"/>
  <c r="C25" i="2" s="1"/>
  <c r="E27" i="15"/>
  <c r="C21" i="16"/>
  <c r="I27" i="15"/>
  <c r="E21" i="16"/>
  <c r="E29" i="16" s="1"/>
  <c r="E33" i="16" s="1"/>
  <c r="C24" i="2" s="1"/>
  <c r="F29" i="16"/>
  <c r="F33" i="16" s="1"/>
  <c r="C23" i="2" s="1"/>
  <c r="D41" i="15"/>
  <c r="M27" i="15"/>
  <c r="B49" i="13"/>
  <c r="B25" i="2" s="1"/>
  <c r="B29" i="16"/>
  <c r="B33" i="16" s="1"/>
  <c r="C27" i="2" s="1"/>
  <c r="E30" i="15"/>
  <c r="C45" i="15"/>
  <c r="I30" i="15"/>
  <c r="M30" i="15"/>
  <c r="C30" i="15"/>
  <c r="G30" i="15"/>
  <c r="K30" i="15"/>
  <c r="C36" i="15"/>
  <c r="D45" i="15"/>
  <c r="D30" i="15"/>
  <c r="L30" i="15"/>
  <c r="C29" i="16"/>
  <c r="C33" i="16" s="1"/>
  <c r="C26" i="2" s="1"/>
  <c r="H30" i="15"/>
  <c r="C41" i="15"/>
  <c r="C15" i="15"/>
  <c r="C17" i="15" s="1"/>
  <c r="G15" i="15"/>
  <c r="G17" i="15" s="1"/>
  <c r="K15" i="15"/>
  <c r="K17" i="15" s="1"/>
  <c r="D36" i="15"/>
  <c r="D15" i="15"/>
  <c r="D17" i="15" s="1"/>
  <c r="H15" i="15"/>
  <c r="H17" i="15" s="1"/>
  <c r="L15" i="15"/>
  <c r="L17" i="15" s="1"/>
  <c r="B27" i="15"/>
  <c r="F27" i="15"/>
  <c r="J27" i="15"/>
  <c r="N27" i="15"/>
  <c r="B15" i="13"/>
  <c r="B31" i="13"/>
  <c r="B32" i="13" s="1"/>
  <c r="B45" i="15" l="1"/>
  <c r="F30" i="15"/>
  <c r="B41" i="15"/>
  <c r="J30" i="15"/>
  <c r="B36" i="15"/>
  <c r="B30" i="15"/>
  <c r="N30" i="15"/>
  <c r="A13" i="12" l="1"/>
  <c r="A14" i="12" s="1"/>
  <c r="A15" i="12" s="1"/>
  <c r="A16" i="12" s="1"/>
  <c r="F20" i="1" l="1"/>
  <c r="A13" i="2" l="1"/>
  <c r="A14" i="2"/>
  <c r="A15" i="2"/>
  <c r="A16" i="2"/>
  <c r="A12" i="2"/>
  <c r="F22" i="1" l="1"/>
  <c r="E27" i="2" l="1"/>
  <c r="E26" i="2"/>
  <c r="E25" i="2"/>
  <c r="E24" i="2"/>
  <c r="E23" i="2" l="1"/>
  <c r="F24" i="2"/>
  <c r="F26" i="2"/>
  <c r="F25" i="2" l="1"/>
  <c r="F23" i="2"/>
  <c r="B20" i="15" l="1"/>
  <c r="E36" i="15"/>
  <c r="B23" i="15"/>
  <c r="E23" i="15"/>
  <c r="C23" i="15"/>
  <c r="I23" i="15"/>
  <c r="E45" i="15"/>
  <c r="B10" i="13"/>
  <c r="F23" i="15"/>
  <c r="N23" i="15"/>
  <c r="J23" i="15"/>
  <c r="M23" i="15"/>
  <c r="H23" i="15"/>
  <c r="D23" i="15"/>
  <c r="K23" i="15"/>
  <c r="L23" i="15"/>
  <c r="E41" i="15"/>
  <c r="G23" i="15"/>
  <c r="B21" i="15" l="1"/>
  <c r="G45" i="15"/>
  <c r="G41" i="15"/>
  <c r="N24" i="15"/>
  <c r="N25" i="15" s="1"/>
  <c r="C24" i="15"/>
  <c r="B24" i="15"/>
  <c r="H36" i="15" s="1"/>
  <c r="B13" i="13"/>
  <c r="B19" i="13" s="1"/>
  <c r="F36" i="15"/>
  <c r="H24" i="15"/>
  <c r="H25" i="15" s="1"/>
  <c r="D24" i="15"/>
  <c r="D25" i="15" s="1"/>
  <c r="J24" i="15"/>
  <c r="K24" i="15"/>
  <c r="K25" i="15" s="1"/>
  <c r="E24" i="15"/>
  <c r="E25" i="15" s="1"/>
  <c r="I24" i="15"/>
  <c r="G24" i="15"/>
  <c r="G25" i="15" s="1"/>
  <c r="F45" i="15"/>
  <c r="F41" i="15"/>
  <c r="F24" i="15"/>
  <c r="F25" i="15" s="1"/>
  <c r="L24" i="15"/>
  <c r="L25" i="15" s="1"/>
  <c r="M24" i="15"/>
  <c r="M25" i="15" s="1"/>
  <c r="J25" i="15"/>
  <c r="B25" i="15"/>
  <c r="I36" i="15" s="1"/>
  <c r="G36" i="15"/>
  <c r="H45" i="15" l="1"/>
  <c r="H41" i="15"/>
  <c r="I25" i="15"/>
  <c r="I45" i="15" s="1"/>
  <c r="B21" i="13"/>
  <c r="B27" i="2" s="1"/>
  <c r="F27" i="2" s="1"/>
  <c r="F27" i="1"/>
  <c r="D12" i="12" s="1"/>
  <c r="C25" i="15"/>
  <c r="I41" i="15" s="1"/>
  <c r="B16" i="13"/>
  <c r="B17" i="13" s="1"/>
  <c r="D14" i="12" l="1"/>
  <c r="D15" i="12" s="1"/>
  <c r="D16" i="12" s="1"/>
  <c r="H23" i="2"/>
  <c r="H24" i="2"/>
  <c r="H25" i="2"/>
  <c r="H27" i="2"/>
  <c r="H26" i="2"/>
  <c r="E16" i="2" l="1"/>
  <c r="F16" i="1" s="1"/>
  <c r="C16" i="2"/>
  <c r="D16" i="1" s="1"/>
  <c r="F16" i="2"/>
  <c r="D16" i="2"/>
  <c r="E16" i="1" s="1"/>
  <c r="B16" i="2"/>
  <c r="C16" i="1" s="1"/>
  <c r="G16" i="1" s="1"/>
  <c r="E14" i="2"/>
  <c r="F14" i="1" s="1"/>
  <c r="F14" i="2"/>
  <c r="C14" i="2"/>
  <c r="D14" i="1" s="1"/>
  <c r="B14" i="2"/>
  <c r="C14" i="1" s="1"/>
  <c r="D14" i="2"/>
  <c r="E14" i="1" s="1"/>
  <c r="E15" i="2"/>
  <c r="F15" i="1" s="1"/>
  <c r="C15" i="2"/>
  <c r="D15" i="1" s="1"/>
  <c r="B15" i="2"/>
  <c r="C15" i="1" s="1"/>
  <c r="D15" i="2"/>
  <c r="E15" i="1" s="1"/>
  <c r="F15" i="2"/>
  <c r="B13" i="2"/>
  <c r="E13" i="2"/>
  <c r="D13" i="2"/>
  <c r="F13" i="2"/>
  <c r="C13" i="2"/>
  <c r="E12" i="2"/>
  <c r="C12" i="2"/>
  <c r="D12" i="2"/>
  <c r="F12" i="2"/>
  <c r="B12" i="2"/>
  <c r="G15" i="1" l="1"/>
  <c r="C18" i="2"/>
  <c r="E18" i="2"/>
  <c r="B18" i="2"/>
  <c r="F18" i="2"/>
  <c r="G14" i="1"/>
  <c r="G18" i="1" s="1"/>
  <c r="D18" i="2"/>
  <c r="F24" i="1" l="1"/>
  <c r="F25" i="1" s="1"/>
  <c r="G28" i="1" l="1"/>
  <c r="E12" i="12"/>
  <c r="G12" i="12" l="1"/>
  <c r="F12" i="12"/>
  <c r="F14" i="12" s="1"/>
  <c r="E14" i="12"/>
  <c r="G31" i="1"/>
  <c r="G30" i="1"/>
  <c r="E15" i="12" l="1"/>
  <c r="E16" i="12" s="1"/>
  <c r="H12" i="12"/>
  <c r="H14" i="12" s="1"/>
  <c r="G14" i="12"/>
  <c r="G32" i="1"/>
  <c r="F15" i="12" l="1"/>
  <c r="F16" i="12" s="1"/>
  <c r="G15" i="12"/>
  <c r="H15" i="12" s="1"/>
  <c r="H16" i="12" s="1"/>
  <c r="G16" i="12" l="1"/>
</calcChain>
</file>

<file path=xl/sharedStrings.xml><?xml version="1.0" encoding="utf-8"?>
<sst xmlns="http://schemas.openxmlformats.org/spreadsheetml/2006/main" count="324" uniqueCount="194">
  <si>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</si>
  <si>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</si>
  <si>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</si>
  <si>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</si>
  <si>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</si>
  <si>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</si>
  <si>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</si>
  <si>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</si>
  <si>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</si>
  <si>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</si>
  <si>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</si>
  <si>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</si>
  <si>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</si>
  <si>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</si>
  <si>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</si>
  <si>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</si>
  <si>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</si>
  <si>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</si>
  <si>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</si>
  <si>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</si>
  <si>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</si>
  <si>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</si>
  <si>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</si>
  <si>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</si>
  <si>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</si>
  <si>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</si>
  <si>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</si>
  <si>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</si>
  <si>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</si>
  <si>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</si>
  <si>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</si>
  <si>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</si>
  <si>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</si>
  <si>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</si>
  <si>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</si>
  <si>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</si>
  <si>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</si>
  <si>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</si>
  <si>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</si>
  <si>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</si>
  <si>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</si>
  <si>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</si>
  <si>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</si>
  <si>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</si>
  <si>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</si>
  <si>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</si>
  <si>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</si>
  <si>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</si>
  <si>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</si>
  <si>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</si>
  <si>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</si>
  <si>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</si>
  <si>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</si>
  <si>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</si>
  <si>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</si>
  <si>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</si>
  <si>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</si>
  <si>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</si>
  <si>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</si>
  <si>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</si>
  <si>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</si>
  <si>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</si>
  <si>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</si>
  <si>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</si>
  <si>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</si>
  <si>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</si>
  <si>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</si>
  <si>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</si>
  <si>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</si>
  <si>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</si>
  <si>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</si>
  <si>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</si>
  <si>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</si>
  <si>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</si>
  <si>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</si>
  <si>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</si>
  <si>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</si>
  <si>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</si>
  <si>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</si>
  <si>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</si>
  <si>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</si>
  <si>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</si>
  <si>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</si>
  <si>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</si>
  <si>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</si>
  <si>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</si>
  <si>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</si>
  <si>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</si>
  <si>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</si>
  <si>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</si>
  <si>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</si>
  <si>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</si>
  <si>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</si>
  <si>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</si>
  <si>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</si>
  <si>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</si>
  <si>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</si>
  <si>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</si>
  <si>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</si>
  <si>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</si>
  <si>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</si>
  <si>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</si>
  <si>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</si>
  <si>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12/01/2014 AND 8/31/2014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</si>
  <si>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</si>
  <si>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</si>
  <si>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</si>
  <si>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</si>
  <si>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</si>
  <si>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</si>
  <si>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</si>
  <si>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</si>
  <si>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</si>
  <si>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</si>
  <si>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</si>
  <si>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</si>
  <si>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</si>
  <si>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</si>
  <si>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</si>
  <si>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</si>
  <si>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</si>
  <si>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</si>
  <si>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</si>
  <si>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</si>
  <si>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</si>
  <si>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</si>
  <si>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</si>
  <si>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</si>
  <si>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</si>
  <si>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</si>
  <si>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</si>
  <si>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</si>
  <si>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</si>
  <si>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</si>
  <si>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2019 GENERAL RATE CASE</t>
  </si>
  <si>
    <t>RESTATED</t>
  </si>
  <si>
    <t>PROFORMA</t>
  </si>
  <si>
    <t>ADJUSTMENT</t>
  </si>
  <si>
    <t>BAD DEBTS</t>
  </si>
  <si>
    <t>TY</t>
  </si>
  <si>
    <t>DESCRIPTION</t>
  </si>
  <si>
    <t>%'s</t>
  </si>
  <si>
    <t>(c)=(b)-(a)</t>
  </si>
  <si>
    <t>(d)</t>
  </si>
  <si>
    <t>(e)=(d)-(b)</t>
  </si>
  <si>
    <t>CE 68066430 charged to order 3000004037 with 587 Reg Ind</t>
  </si>
  <si>
    <t xml:space="preserve"> 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</si>
  <si>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</si>
  <si>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</si>
  <si>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</si>
  <si>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</si>
  <si>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</si>
  <si>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</si>
  <si>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</si>
  <si>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</si>
  <si>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</si>
  <si>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</si>
  <si>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</si>
  <si>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</si>
  <si>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</si>
  <si>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</si>
  <si>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</si>
  <si>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</si>
  <si>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</si>
  <si>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</si>
  <si>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</si>
  <si>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</si>
  <si>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</si>
  <si>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</si>
  <si>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</si>
  <si>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</si>
  <si>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</si>
  <si>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</si>
  <si>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</si>
  <si>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</si>
  <si>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</si>
  <si>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</si>
  <si>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</si>
  <si>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</si>
  <si>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</si>
  <si>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</si>
  <si>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</si>
  <si>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</si>
  <si>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</si>
  <si>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</si>
  <si>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</si>
  <si>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</si>
  <si>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</si>
  <si>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</si>
  <si>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</si>
  <si>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</si>
  <si>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</si>
  <si>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</si>
  <si>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 2018, 2017, 2016, 2015,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</si>
</sst>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4872FA"/>
      <name val="Times New Roman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41" fontId="5" fillId="0" borderId="11" xfId="0" applyNumberFormat="1" applyFont="1" applyFill="1" applyBorder="1"/>
    <xf numFmtId="41" fontId="5" fillId="0" borderId="10" xfId="0" applyNumberFormat="1" applyFont="1" applyFill="1" applyBorder="1"/>
    <xf numFmtId="41" fontId="5" fillId="0" borderId="8" xfId="0" applyNumberFormat="1" applyFont="1" applyFill="1" applyBorder="1"/>
    <xf numFmtId="41" fontId="5" fillId="0" borderId="1" xfId="0" applyNumberFormat="1" applyFont="1" applyFill="1" applyBorder="1"/>
    <xf numFmtId="41" fontId="5" fillId="0" borderId="7" xfId="0" applyNumberFormat="1" applyFont="1" applyFill="1" applyBorder="1"/>
    <xf numFmtId="41" fontId="6" fillId="0" borderId="7" xfId="0" applyNumberFormat="1" applyFont="1" applyFill="1" applyBorder="1"/>
    <xf numFmtId="170" fontId="12" fillId="0" borderId="7" xfId="0" applyNumberFormat="1" applyFont="1" applyFill="1" applyBorder="1"/>
    <xf numFmtId="41" fontId="5" fillId="0" borderId="1" xfId="0" applyNumberFormat="1" applyFont="1" applyFill="1" applyBorder="1"/>
    <xf numFmtId="41" fontId="5" fillId="0" borderId="10" xfId="0" applyNumberFormat="1" applyFont="1" applyFill="1" applyBorder="1"/>
    <xf numFmtId="165" fontId="5" fillId="0" borderId="8" xfId="0" applyNumberFormat="1" applyFont="1" applyFill="1" applyBorder="1"/>
    <xf numFmtId="41" fontId="5" fillId="0" borderId="0" xfId="0" applyNumberFormat="1" applyFont="1" applyFill="1"/>
    <xf numFmtId="37" fontId="6" fillId="0" borderId="0" xfId="0" applyNumberFormat="1" applyFont="1" applyFill="1"/>
    <xf numFmtId="37" fontId="5" fillId="0" borderId="10" xfId="0" applyNumberFormat="1" applyFont="1" applyFill="1" applyBorder="1"/>
    <xf numFmtId="0" fontId="3" fillId="0" borderId="0" xfId="0" applyFont="1" applyAlignment="1">
      <alignment horizontal="center" vertical="center"/>
    </xf>
    <xf numFmtId="0" fontId="0" fillId="0" borderId="0" xfId="0"/>
    <xf numFmtId="167" fontId="8" fillId="0" borderId="13" xfId="0" applyNumberFormat="1" applyFont="1" applyBorder="1"/>
    <xf numFmtId="167" fontId="9" fillId="0" borderId="0" xfId="0" applyNumberFormat="1" applyFont="1" applyFill="1" applyBorder="1"/>
    <xf numFmtId="0" fontId="0" fillId="0" borderId="0" xfId="0"/>
    <xf numFmtId="42" fontId="2" fillId="0" borderId="0" xfId="0" applyNumberFormat="1" applyFont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10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0" quotePrefix="1" applyNumberFormat="1" applyFont="1" applyFill="1" applyAlignment="1">
      <alignment horizontal="left"/>
    </xf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/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11" fillId="0" borderId="3" xfId="0" applyNumberFormat="1" applyFont="1" applyFill="1" applyBorder="1" applyAlignment="1"/>
    <xf numFmtId="0" fontId="11" fillId="0" borderId="0" xfId="0" applyFont="1" applyFill="1" applyAlignment="1">
      <alignment horizontal="left"/>
    </xf>
    <xf numFmtId="41" fontId="11" fillId="0" borderId="0" xfId="0" applyNumberFormat="1" applyFont="1" applyFill="1" applyAlignment="1">
      <alignment horizontal="fill"/>
    </xf>
    <xf numFmtId="1" fontId="11" fillId="0" borderId="0" xfId="0" quotePrefix="1" applyNumberFormat="1" applyFont="1" applyFill="1" applyAlignment="1">
      <alignment horizontal="left"/>
    </xf>
    <xf numFmtId="41" fontId="11" fillId="0" borderId="4" xfId="0" applyNumberFormat="1" applyFont="1" applyFill="1" applyBorder="1" applyAlignment="1"/>
    <xf numFmtId="1" fontId="11" fillId="0" borderId="0" xfId="0" applyNumberFormat="1" applyFont="1" applyFill="1" applyAlignment="1"/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/>
    <xf numFmtId="42" fontId="11" fillId="0" borderId="0" xfId="0" applyNumberFormat="1" applyFont="1" applyFill="1" applyAlignment="1"/>
    <xf numFmtId="9" fontId="11" fillId="0" borderId="0" xfId="0" applyNumberFormat="1" applyFont="1" applyFill="1" applyAlignment="1"/>
    <xf numFmtId="37" fontId="11" fillId="0" borderId="3" xfId="0" applyNumberFormat="1" applyFont="1" applyFill="1" applyBorder="1" applyAlignment="1"/>
    <xf numFmtId="42" fontId="10" fillId="0" borderId="13" xfId="0" applyNumberFormat="1" applyFont="1" applyFill="1" applyBorder="1" applyAlignment="1"/>
    <xf numFmtId="164" fontId="8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42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6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9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1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4" xfId="0" applyNumberFormat="1" applyFont="1" applyFill="1" applyBorder="1"/>
    <xf numFmtId="43" fontId="0" fillId="0" borderId="15" xfId="0" applyNumberFormat="1" applyFont="1" applyFill="1" applyBorder="1"/>
    <xf numFmtId="0" fontId="0" fillId="0" borderId="14" xfId="0" applyFill="1" applyBorder="1"/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6" fontId="9" fillId="0" borderId="12" xfId="0" quotePrefix="1" applyNumberFormat="1" applyFont="1" applyFill="1" applyBorder="1" applyAlignment="1">
      <alignment horizontal="left"/>
    </xf>
    <xf numFmtId="0" fontId="5" fillId="0" borderId="0" xfId="0" applyFont="1" applyFill="1" applyProtection="1"/>
    <xf numFmtId="43" fontId="5" fillId="0" borderId="0" xfId="0" applyNumberFormat="1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/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8" fillId="0" borderId="0" xfId="0" applyNumberFormat="1" applyFont="1" applyFill="1" applyBorder="1" applyAlignment="1">
      <alignment horizontal="right"/>
    </xf>
    <xf numFmtId="167" fontId="11" fillId="0" borderId="3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left"/>
    </xf>
    <xf numFmtId="172" fontId="5" fillId="0" borderId="0" xfId="0" applyNumberFormat="1" applyFont="1" applyFill="1" applyAlignment="1" applyProtection="1"/>
    <xf numFmtId="169" fontId="5" fillId="0" borderId="0" xfId="0" applyNumberFormat="1" applyFont="1" applyFill="1" applyAlignment="1" applyProtection="1"/>
    <xf numFmtId="166" fontId="9" fillId="0" borderId="0" xfId="0" quotePrefix="1" applyNumberFormat="1" applyFont="1" applyFill="1" applyBorder="1" applyAlignment="1">
      <alignment horizontal="left"/>
    </xf>
    <xf numFmtId="166" fontId="9" fillId="0" borderId="12" xfId="0" quotePrefix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/>
    <xf numFmtId="37" fontId="5" fillId="0" borderId="7" xfId="0" applyNumberFormat="1" applyFont="1" applyFill="1" applyBorder="1" applyAlignment="1">
      <alignment horizontal="left"/>
    </xf>
    <xf numFmtId="37" fontId="7" fillId="0" borderId="9" xfId="0" applyNumberFormat="1" applyFont="1" applyFill="1" applyBorder="1"/>
    <xf numFmtId="37" fontId="5" fillId="0" borderId="1" xfId="0" applyNumberFormat="1" applyFont="1" applyFill="1" applyBorder="1" applyAlignment="1">
      <alignment horizontal="left"/>
    </xf>
    <xf numFmtId="41" fontId="5" fillId="0" borderId="7" xfId="0" applyNumberFormat="1" applyFont="1" applyFill="1" applyBorder="1"/>
    <xf numFmtId="37" fontId="6" fillId="0" borderId="8" xfId="0" applyNumberFormat="1" applyFont="1" applyFill="1" applyBorder="1"/>
    <xf numFmtId="41" fontId="6" fillId="0" borderId="7" xfId="0" applyNumberFormat="1" applyFon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1" fontId="5" fillId="0" borderId="0" xfId="0" applyNumberFormat="1" applyFont="1" applyFill="1" applyAlignment="1" applyProtection="1">
      <alignment horizontal="right"/>
    </xf>
    <xf numFmtId="0" fontId="3" fillId="0" borderId="0" xfId="0" applyFont="1" applyFill="1" applyProtection="1"/>
    <xf numFmtId="169" fontId="5" fillId="0" borderId="0" xfId="0" applyNumberFormat="1" applyFont="1" applyFill="1" applyBorder="1" applyAlignment="1" applyProtection="1"/>
    <xf numFmtId="169" fontId="5" fillId="0" borderId="3" xfId="0" applyNumberFormat="1" applyFont="1" applyFill="1" applyBorder="1" applyAlignment="1" applyProtection="1"/>
    <xf numFmtId="44" fontId="5" fillId="0" borderId="0" xfId="0" applyNumberFormat="1" applyFont="1" applyFill="1" applyAlignment="1" applyProtection="1"/>
    <xf numFmtId="0" fontId="6" fillId="0" borderId="0" xfId="0" applyFont="1" applyFill="1" applyProtection="1"/>
    <xf numFmtId="44" fontId="5" fillId="0" borderId="13" xfId="0" applyNumberFormat="1" applyFont="1" applyFill="1" applyBorder="1" applyAlignment="1" applyProtection="1"/>
    <xf numFmtId="43" fontId="5" fillId="0" borderId="0" xfId="0" applyNumberFormat="1" applyFont="1" applyFill="1" applyAlignment="1" applyProtection="1">
      <alignment horizontal="right"/>
    </xf>
    <xf numFmtId="0" fontId="2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9" fillId="0" borderId="0" xfId="0" quotePrefix="1" applyNumberFormat="1" applyFont="1" applyFill="1" applyBorder="1" applyAlignment="1">
      <alignment horizontal="left"/>
    </xf>
    <xf numFmtId="42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9" fontId="11" fillId="0" borderId="0" xfId="0" applyNumberFormat="1" applyFont="1" applyFill="1" applyAlignment="1">
      <alignment horizontal="left"/>
    </xf>
    <xf numFmtId="165" fontId="11" fillId="0" borderId="0" xfId="0" quotePrefix="1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/>
    </xf>
    <xf numFmtId="165" fontId="4" fillId="0" borderId="2" xfId="0" applyNumberFormat="1" applyFont="1" applyBorder="1"/>
    <xf numFmtId="166" fontId="9" fillId="0" borderId="3" xfId="0" quotePrefix="1" applyNumberFormat="1" applyFont="1" applyFill="1" applyBorder="1" applyAlignment="1">
      <alignment horizontal="left"/>
    </xf>
    <xf numFmtId="42" fontId="11" fillId="0" borderId="3" xfId="0" applyNumberFormat="1" applyFont="1" applyFill="1" applyBorder="1"/>
    <xf numFmtId="165" fontId="11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13" fillId="0" borderId="0" xfId="0" applyFont="1" applyFill="1" applyAlignment="1">
      <alignment horizontal="centerContinuous"/>
    </xf>
    <xf numFmtId="0" fontId="14" fillId="0" borderId="0" xfId="0" applyFont="1" applyFill="1"/>
    <xf numFmtId="0" fontId="12" fillId="0" borderId="0" xfId="0" applyFont="1" applyFill="1"/>
    <xf numFmtId="37" fontId="5" fillId="0" borderId="5" xfId="0" applyNumberFormat="1" applyFont="1" applyFill="1" applyBorder="1"/>
    <xf numFmtId="41" fontId="5" fillId="0" borderId="6" xfId="0" applyNumberFormat="1" applyFont="1" applyFill="1" applyBorder="1"/>
    <xf numFmtId="170" fontId="15" fillId="0" borderId="7" xfId="0" applyNumberFormat="1" applyFont="1" applyFill="1" applyBorder="1"/>
    <xf numFmtId="41" fontId="6" fillId="0" borderId="8" xfId="0" applyNumberFormat="1" applyFont="1" applyFill="1" applyBorder="1"/>
    <xf numFmtId="39" fontId="12" fillId="0" borderId="0" xfId="0" applyNumberFormat="1" applyFont="1" applyFill="1"/>
    <xf numFmtId="37" fontId="12" fillId="0" borderId="0" xfId="0" applyNumberFormat="1" applyFont="1" applyFill="1"/>
    <xf numFmtId="43" fontId="0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left"/>
    </xf>
    <xf numFmtId="44" fontId="12" fillId="0" borderId="7" xfId="0" applyNumberFormat="1" applyFont="1" applyFill="1" applyBorder="1"/>
    <xf numFmtId="43" fontId="12" fillId="0" borderId="7" xfId="0" applyNumberFormat="1" applyFont="1" applyFill="1" applyBorder="1"/>
    <xf numFmtId="49" fontId="12" fillId="0" borderId="7" xfId="0" applyNumberFormat="1" applyFont="1" applyFill="1" applyBorder="1" applyAlignment="1">
      <alignment horizontal="left" indent="1"/>
    </xf>
    <xf numFmtId="174" fontId="12" fillId="0" borderId="7" xfId="0" applyNumberFormat="1" applyFont="1" applyFill="1" applyBorder="1"/>
    <xf numFmtId="49" fontId="12" fillId="0" borderId="1" xfId="0" applyNumberFormat="1" applyFont="1" applyFill="1" applyBorder="1" applyAlignment="1">
      <alignment horizontal="left"/>
    </xf>
    <xf numFmtId="43" fontId="12" fillId="0" borderId="1" xfId="0" applyNumberFormat="1" applyFont="1" applyFill="1" applyBorder="1"/>
    <xf numFmtId="49" fontId="12" fillId="0" borderId="10" xfId="0" applyNumberFormat="1" applyFont="1" applyFill="1" applyBorder="1" applyAlignment="1">
      <alignment horizontal="left"/>
    </xf>
    <xf numFmtId="44" fontId="12" fillId="0" borderId="10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44" fontId="3" fillId="0" borderId="1" xfId="0" applyNumberFormat="1" applyFont="1" applyFill="1" applyBorder="1"/>
    <xf numFmtId="43" fontId="12" fillId="0" borderId="0" xfId="0" applyNumberFormat="1" applyFont="1" applyFill="1"/>
    <xf numFmtId="49" fontId="12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/>
    <xf numFmtId="44" fontId="12" fillId="0" borderId="0" xfId="0" applyNumberFormat="1" applyFont="1" applyFill="1"/>
    <xf numFmtId="43" fontId="12" fillId="0" borderId="0" xfId="0" applyNumberFormat="1" applyFont="1" applyFill="1"/>
    <xf numFmtId="44" fontId="12" fillId="0" borderId="2" xfId="0" applyNumberFormat="1" applyFont="1" applyFill="1" applyBorder="1"/>
    <xf numFmtId="165" fontId="6" fillId="0" borderId="3" xfId="0" applyNumberFormat="1" applyFont="1" applyFill="1" applyBorder="1" applyAlignment="1">
      <alignment horizontal="center"/>
    </xf>
    <xf numFmtId="39" fontId="16" fillId="0" borderId="0" xfId="0" applyNumberFormat="1" applyFont="1" applyFill="1"/>
    <xf numFmtId="4" fontId="12" fillId="0" borderId="0" xfId="0" applyNumberFormat="1" applyFont="1" applyFill="1"/>
    <xf numFmtId="0" fontId="4" fillId="0" borderId="0" xfId="0" applyFont="1" applyFill="1" applyAlignment="1" applyProtection="1">
      <alignment horizontal="centerContinuous" vertical="center"/>
    </xf>
    <xf numFmtId="172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44" fontId="5" fillId="0" borderId="0" xfId="0" applyNumberFormat="1" applyFont="1" applyFill="1" applyAlignment="1" applyProtection="1">
      <alignment horizontal="right"/>
    </xf>
    <xf numFmtId="43" fontId="5" fillId="0" borderId="3" xfId="0" applyNumberFormat="1" applyFont="1" applyFill="1" applyBorder="1" applyAlignment="1" applyProtection="1">
      <alignment horizontal="right"/>
    </xf>
    <xf numFmtId="44" fontId="5" fillId="0" borderId="16" xfId="0" applyNumberFormat="1" applyFont="1" applyFill="1" applyBorder="1" applyAlignment="1" applyProtection="1"/>
    <xf numFmtId="173" fontId="5" fillId="0" borderId="16" xfId="0" applyNumberFormat="1" applyFont="1" applyFill="1" applyBorder="1" applyAlignment="1" applyProtection="1"/>
    <xf numFmtId="44" fontId="0" fillId="0" borderId="0" xfId="0" applyNumberFormat="1" applyFill="1"/>
    <xf numFmtId="37" fontId="6" fillId="0" borderId="14" xfId="0" applyNumberFormat="1" applyFont="1" applyFill="1" applyBorder="1"/>
    <xf numFmtId="41" fontId="5" fillId="0" borderId="15" xfId="0" applyNumberFormat="1" applyFont="1" applyFill="1" applyBorder="1"/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972312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2">
          <cell r="C12">
            <v>-25909998.579999998</v>
          </cell>
        </row>
        <row r="13">
          <cell r="C13">
            <v>850747677.08999979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90" zoomScaleNormal="90" workbookViewId="0">
      <selection activeCell="B25" sqref="B25"/>
    </sheetView>
  </sheetViews>
  <sheetFormatPr defaultRowHeight="15" x14ac:dyDescent="0.25"/>
  <cols>
    <col min="1" max="1" width="7" customWidth="1"/>
    <col min="2" max="2" width="56.7109375" bestFit="1" customWidth="1"/>
    <col min="3" max="3" width="5.140625" style="120" customWidth="1"/>
    <col min="4" max="4" width="12.5703125" customWidth="1"/>
    <col min="5" max="5" width="13.28515625" customWidth="1"/>
    <col min="6" max="6" width="15" customWidth="1"/>
    <col min="7" max="7" width="16.7109375" customWidth="1"/>
    <col min="8" max="8" width="16.28515625" customWidth="1"/>
  </cols>
  <sheetData>
    <row r="1" spans="1:8" x14ac:dyDescent="0.25">
      <c r="A1" s="147"/>
      <c r="B1" s="147"/>
      <c r="C1" s="147"/>
      <c r="D1" s="147"/>
      <c r="E1" s="147"/>
      <c r="F1" s="147"/>
      <c r="G1" s="147"/>
      <c r="H1" s="147"/>
    </row>
    <row r="2" spans="1:8" x14ac:dyDescent="0.25">
      <c r="A2" s="148" t="s">
        <v>0</v>
      </c>
      <c r="B2" s="148"/>
      <c r="C2" s="148"/>
      <c r="D2" s="149"/>
      <c r="E2" s="149"/>
      <c r="F2" s="149"/>
      <c r="G2" s="149"/>
      <c r="H2" s="149"/>
    </row>
    <row r="3" spans="1:8" x14ac:dyDescent="0.25">
      <c r="A3" s="170" t="s">
        <v>138</v>
      </c>
      <c r="B3" s="149"/>
      <c r="C3" s="149"/>
      <c r="D3" s="149"/>
      <c r="E3" s="149"/>
      <c r="F3" s="149"/>
      <c r="G3" s="149"/>
      <c r="H3" s="149"/>
    </row>
    <row r="4" spans="1:8" x14ac:dyDescent="0.25">
      <c r="A4" s="149" t="s">
        <v>133</v>
      </c>
      <c r="B4" s="149"/>
      <c r="C4" s="149"/>
      <c r="D4" s="149"/>
      <c r="E4" s="149"/>
      <c r="F4" s="149"/>
      <c r="G4" s="149"/>
      <c r="H4" s="149"/>
    </row>
    <row r="5" spans="1:8" x14ac:dyDescent="0.25">
      <c r="A5" s="149" t="s">
        <v>134</v>
      </c>
      <c r="B5" s="149"/>
      <c r="C5" s="149"/>
      <c r="D5" s="149"/>
      <c r="E5" s="149"/>
      <c r="F5" s="149"/>
      <c r="G5" s="149"/>
      <c r="H5" s="149"/>
    </row>
    <row r="6" spans="1:8" x14ac:dyDescent="0.25">
      <c r="A6" s="149"/>
      <c r="B6" s="149"/>
      <c r="C6" s="149"/>
      <c r="D6" s="149"/>
      <c r="E6" s="149"/>
      <c r="F6" s="149"/>
      <c r="G6" s="149"/>
      <c r="H6" s="149"/>
    </row>
    <row r="7" spans="1:8" x14ac:dyDescent="0.25">
      <c r="A7" s="150"/>
      <c r="B7" s="150"/>
      <c r="C7" s="150"/>
      <c r="D7" s="151" t="s">
        <v>139</v>
      </c>
      <c r="E7" s="151"/>
      <c r="F7" s="151" t="s">
        <v>135</v>
      </c>
      <c r="G7" s="151"/>
      <c r="H7" s="151" t="s">
        <v>136</v>
      </c>
    </row>
    <row r="8" spans="1:8" x14ac:dyDescent="0.25">
      <c r="A8" s="151" t="s">
        <v>22</v>
      </c>
      <c r="B8" s="151"/>
      <c r="C8" s="151"/>
      <c r="D8" s="153" t="s">
        <v>70</v>
      </c>
      <c r="E8" s="153" t="s">
        <v>135</v>
      </c>
      <c r="F8" s="153" t="s">
        <v>137</v>
      </c>
      <c r="G8" s="153" t="s">
        <v>136</v>
      </c>
      <c r="H8" s="153" t="s">
        <v>137</v>
      </c>
    </row>
    <row r="9" spans="1:8" x14ac:dyDescent="0.25">
      <c r="A9" s="152" t="s">
        <v>23</v>
      </c>
      <c r="B9" s="152" t="s">
        <v>140</v>
      </c>
      <c r="C9" s="152" t="s">
        <v>141</v>
      </c>
      <c r="D9" s="168" t="s">
        <v>13</v>
      </c>
      <c r="E9" s="168" t="s">
        <v>14</v>
      </c>
      <c r="F9" s="168" t="s">
        <v>142</v>
      </c>
      <c r="G9" s="168" t="s">
        <v>143</v>
      </c>
      <c r="H9" s="168" t="s">
        <v>144</v>
      </c>
    </row>
    <row r="10" spans="1:8" x14ac:dyDescent="0.25">
      <c r="A10" s="153"/>
      <c r="B10" s="153"/>
      <c r="C10" s="153"/>
      <c r="D10" s="153"/>
      <c r="E10" s="153"/>
      <c r="F10" s="153"/>
      <c r="G10" s="153"/>
      <c r="H10" s="153"/>
    </row>
    <row r="11" spans="1:8" x14ac:dyDescent="0.25">
      <c r="B11" s="154"/>
      <c r="C11" s="154"/>
      <c r="D11" s="155"/>
      <c r="E11" s="156"/>
      <c r="F11" s="156"/>
      <c r="G11" s="156"/>
      <c r="H11" s="156"/>
    </row>
    <row r="12" spans="1:8" x14ac:dyDescent="0.25">
      <c r="A12" s="154">
        <v>1</v>
      </c>
      <c r="B12" s="157" t="s">
        <v>29</v>
      </c>
      <c r="C12" s="157"/>
      <c r="D12" s="55">
        <f>Summary!F27</f>
        <v>4333223.3545110002</v>
      </c>
      <c r="E12" s="55">
        <f>Summary!F25</f>
        <v>4491993.9301330792</v>
      </c>
      <c r="F12" s="55">
        <f>E12-D12</f>
        <v>158770.57562207896</v>
      </c>
      <c r="G12" s="156">
        <f>E12</f>
        <v>4491993.9301330792</v>
      </c>
      <c r="H12" s="156">
        <f>G12-E12</f>
        <v>0</v>
      </c>
    </row>
    <row r="13" spans="1:8" x14ac:dyDescent="0.25">
      <c r="A13" s="154">
        <f>A12+1</f>
        <v>2</v>
      </c>
      <c r="B13" s="154"/>
      <c r="C13" s="154"/>
      <c r="D13" s="164"/>
      <c r="E13" s="165"/>
      <c r="F13" s="165"/>
      <c r="G13" s="165"/>
      <c r="H13" s="165"/>
    </row>
    <row r="14" spans="1:8" x14ac:dyDescent="0.25">
      <c r="A14" s="154">
        <f>A13+1</f>
        <v>3</v>
      </c>
      <c r="B14" s="158" t="s">
        <v>31</v>
      </c>
      <c r="C14" s="158"/>
      <c r="D14" s="161">
        <f>-D12</f>
        <v>-4333223.3545110002</v>
      </c>
      <c r="E14" s="161">
        <f t="shared" ref="E14:F14" si="0">-E12</f>
        <v>-4491993.9301330792</v>
      </c>
      <c r="F14" s="161">
        <f t="shared" si="0"/>
        <v>-158770.57562207896</v>
      </c>
      <c r="G14" s="161">
        <f>-G12</f>
        <v>-4491993.9301330792</v>
      </c>
      <c r="H14" s="166">
        <f>-H12</f>
        <v>0</v>
      </c>
    </row>
    <row r="15" spans="1:8" x14ac:dyDescent="0.25">
      <c r="A15" s="154">
        <f>A14+1</f>
        <v>4</v>
      </c>
      <c r="B15" s="159" t="s">
        <v>32</v>
      </c>
      <c r="C15" s="160">
        <v>0.21</v>
      </c>
      <c r="D15" s="162">
        <f>D14*$C$15</f>
        <v>-909976.90444731002</v>
      </c>
      <c r="E15" s="162">
        <f t="shared" ref="E15" si="1">E14*$C$15</f>
        <v>-943318.72532794659</v>
      </c>
      <c r="F15" s="162">
        <f>E15-D15</f>
        <v>-33341.820880636573</v>
      </c>
      <c r="G15" s="162">
        <f>E15</f>
        <v>-943318.72532794659</v>
      </c>
      <c r="H15" s="162">
        <f>G15-E15</f>
        <v>0</v>
      </c>
    </row>
    <row r="16" spans="1:8" ht="15.75" thickBot="1" x14ac:dyDescent="0.3">
      <c r="A16" s="154">
        <f>A15+1</f>
        <v>5</v>
      </c>
      <c r="B16" s="159" t="s">
        <v>33</v>
      </c>
      <c r="C16" s="159"/>
      <c r="D16" s="163">
        <f t="shared" ref="D16" si="2">D14-D15</f>
        <v>-3423246.4500636901</v>
      </c>
      <c r="E16" s="163">
        <f t="shared" ref="E16" si="3">E14-E15</f>
        <v>-3548675.2048051325</v>
      </c>
      <c r="F16" s="163">
        <f t="shared" ref="F16" si="4">F14-F15</f>
        <v>-125428.75474144239</v>
      </c>
      <c r="G16" s="163">
        <f t="shared" ref="G16" si="5">G14-G15</f>
        <v>-3548675.2048051325</v>
      </c>
      <c r="H16" s="163">
        <f t="shared" ref="H16" si="6">H14-H15</f>
        <v>0</v>
      </c>
    </row>
    <row r="17" spans="2:2" ht="15.75" thickTop="1" x14ac:dyDescent="0.25">
      <c r="B17" s="1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90" zoomScaleNormal="90" workbookViewId="0">
      <selection activeCell="B21" sqref="B21"/>
    </sheetView>
  </sheetViews>
  <sheetFormatPr defaultRowHeight="15" x14ac:dyDescent="0.25"/>
  <cols>
    <col min="2" max="2" width="36.28515625" customWidth="1"/>
    <col min="3" max="3" width="14.7109375" bestFit="1" customWidth="1"/>
    <col min="4" max="4" width="15.140625" bestFit="1" customWidth="1"/>
    <col min="5" max="5" width="14.7109375" bestFit="1" customWidth="1"/>
    <col min="6" max="6" width="15.140625" bestFit="1" customWidth="1"/>
    <col min="7" max="7" width="13.85546875" bestFit="1" customWidth="1"/>
    <col min="8" max="8" width="6.140625" bestFit="1" customWidth="1"/>
  </cols>
  <sheetData>
    <row r="1" spans="1:9" x14ac:dyDescent="0.25">
      <c r="A1" s="14"/>
      <c r="B1" s="14"/>
      <c r="C1" s="14"/>
      <c r="D1" s="14"/>
      <c r="E1" s="14"/>
      <c r="F1" s="14"/>
      <c r="G1" s="15"/>
      <c r="H1" s="15"/>
      <c r="I1" s="15"/>
    </row>
    <row r="2" spans="1:9" x14ac:dyDescent="0.25">
      <c r="A2" s="18"/>
      <c r="B2" s="18"/>
      <c r="C2" s="18"/>
      <c r="D2" s="18"/>
      <c r="E2" s="18"/>
      <c r="F2" s="18"/>
      <c r="G2" s="53"/>
      <c r="H2" s="15"/>
      <c r="I2" s="15"/>
    </row>
    <row r="3" spans="1:9" x14ac:dyDescent="0.25">
      <c r="A3" s="18"/>
      <c r="B3" s="18"/>
      <c r="C3" s="18"/>
      <c r="D3" s="18"/>
      <c r="E3" s="18"/>
      <c r="F3" s="18"/>
      <c r="G3" s="53"/>
      <c r="H3" s="15"/>
      <c r="I3" s="15"/>
    </row>
    <row r="4" spans="1:9" x14ac:dyDescent="0.25">
      <c r="A4" s="20"/>
      <c r="B4" s="20"/>
      <c r="C4" s="20"/>
      <c r="D4" s="20"/>
      <c r="E4" s="20"/>
      <c r="F4" s="20"/>
      <c r="G4" s="120"/>
      <c r="H4" s="15"/>
      <c r="I4" s="15"/>
    </row>
    <row r="5" spans="1:9" x14ac:dyDescent="0.25">
      <c r="A5" s="21" t="s">
        <v>20</v>
      </c>
      <c r="B5" s="22"/>
      <c r="C5" s="22"/>
      <c r="D5" s="22"/>
      <c r="E5" s="22"/>
      <c r="F5" s="22"/>
      <c r="G5" s="22"/>
      <c r="H5" s="15"/>
      <c r="I5" s="15"/>
    </row>
    <row r="6" spans="1:9" x14ac:dyDescent="0.25">
      <c r="A6" s="22" t="s">
        <v>21</v>
      </c>
      <c r="B6" s="22"/>
      <c r="C6" s="22"/>
      <c r="D6" s="22"/>
      <c r="E6" s="22"/>
      <c r="F6" s="23"/>
      <c r="G6" s="23"/>
      <c r="H6" s="15"/>
      <c r="I6" s="15"/>
    </row>
    <row r="7" spans="1:9" x14ac:dyDescent="0.25">
      <c r="A7" s="22" t="s">
        <v>133</v>
      </c>
      <c r="B7" s="22"/>
      <c r="C7" s="22"/>
      <c r="D7" s="22"/>
      <c r="E7" s="22"/>
      <c r="F7" s="24"/>
      <c r="G7" s="22"/>
      <c r="H7" s="15"/>
      <c r="I7" s="15"/>
    </row>
    <row r="8" spans="1:9" x14ac:dyDescent="0.25">
      <c r="A8" s="22"/>
      <c r="B8" s="22"/>
      <c r="C8" s="22"/>
      <c r="D8" s="22"/>
      <c r="E8" s="22"/>
      <c r="F8" s="24"/>
      <c r="G8" s="22"/>
      <c r="H8" s="15"/>
      <c r="I8" s="15"/>
    </row>
    <row r="9" spans="1:9" x14ac:dyDescent="0.25">
      <c r="A9" s="22"/>
      <c r="B9" s="22"/>
      <c r="C9" s="22"/>
      <c r="D9" s="22"/>
      <c r="E9" s="22"/>
      <c r="F9" s="24"/>
      <c r="G9" s="22"/>
      <c r="H9" s="15"/>
      <c r="I9" s="15"/>
    </row>
    <row r="10" spans="1:9" x14ac:dyDescent="0.25">
      <c r="A10" s="25"/>
      <c r="B10" s="20"/>
      <c r="C10" s="26"/>
      <c r="D10" s="26"/>
      <c r="E10" s="26" t="s">
        <v>3</v>
      </c>
      <c r="F10" s="26"/>
      <c r="G10" s="26" t="s">
        <v>4</v>
      </c>
      <c r="H10" s="15"/>
      <c r="I10" s="15"/>
    </row>
    <row r="11" spans="1:9" x14ac:dyDescent="0.25">
      <c r="A11" s="26" t="s">
        <v>22</v>
      </c>
      <c r="B11" s="20"/>
      <c r="C11" s="26" t="s">
        <v>5</v>
      </c>
      <c r="D11" s="26" t="s">
        <v>6</v>
      </c>
      <c r="E11" s="26" t="s">
        <v>7</v>
      </c>
      <c r="F11" s="26" t="s">
        <v>5</v>
      </c>
      <c r="G11" s="26" t="s">
        <v>8</v>
      </c>
      <c r="H11" s="15"/>
      <c r="I11" s="15"/>
    </row>
    <row r="12" spans="1:9" x14ac:dyDescent="0.25">
      <c r="A12" s="27" t="s">
        <v>23</v>
      </c>
      <c r="B12" s="27" t="s">
        <v>9</v>
      </c>
      <c r="C12" s="27" t="s">
        <v>24</v>
      </c>
      <c r="D12" s="27" t="s">
        <v>10</v>
      </c>
      <c r="E12" s="27" t="s">
        <v>11</v>
      </c>
      <c r="F12" s="27" t="s">
        <v>10</v>
      </c>
      <c r="G12" s="27" t="s">
        <v>12</v>
      </c>
      <c r="H12" s="15"/>
      <c r="I12" s="15"/>
    </row>
    <row r="13" spans="1:9" x14ac:dyDescent="0.25">
      <c r="A13" s="28"/>
      <c r="B13" s="28" t="s">
        <v>25</v>
      </c>
      <c r="C13" s="121" t="s">
        <v>98</v>
      </c>
      <c r="D13" s="121" t="s">
        <v>99</v>
      </c>
      <c r="E13" s="121" t="s">
        <v>99</v>
      </c>
      <c r="F13" s="121" t="s">
        <v>99</v>
      </c>
      <c r="G13" s="28"/>
      <c r="H13" s="15"/>
      <c r="I13" s="15"/>
    </row>
    <row r="14" spans="1:9" x14ac:dyDescent="0.25">
      <c r="A14" s="29">
        <v>1</v>
      </c>
      <c r="B14" s="117" t="s">
        <v>105</v>
      </c>
      <c r="C14" s="31">
        <f>'3-YR AVERAGE-GAS'!B14</f>
        <v>4457528.6000000006</v>
      </c>
      <c r="D14" s="31">
        <f>'3-YR AVERAGE-GAS'!C14</f>
        <v>896161552.14999998</v>
      </c>
      <c r="E14" s="31">
        <f>'3-YR AVERAGE-GAS'!D14</f>
        <v>14277246.51</v>
      </c>
      <c r="F14" s="32">
        <f>'3-YR AVERAGE-GAS'!E14</f>
        <v>881884305.63999999</v>
      </c>
      <c r="G14" s="33">
        <f>ROUND(C14/F14,6)</f>
        <v>5.0549999999999996E-3</v>
      </c>
      <c r="H14" s="15"/>
      <c r="I14" s="15"/>
    </row>
    <row r="15" spans="1:9" x14ac:dyDescent="0.25">
      <c r="A15" s="29">
        <v>2</v>
      </c>
      <c r="B15" s="117" t="s">
        <v>106</v>
      </c>
      <c r="C15" s="99">
        <f>'3-YR AVERAGE-GAS'!B15</f>
        <v>4875798.22</v>
      </c>
      <c r="D15" s="99">
        <f>'3-YR AVERAGE-GAS'!C15</f>
        <v>985378965.08999991</v>
      </c>
      <c r="E15" s="99">
        <f>'3-YR AVERAGE-GAS'!D15</f>
        <v>12751981.48</v>
      </c>
      <c r="F15" s="100">
        <f>'3-YR AVERAGE-GAS'!E15</f>
        <v>972626983.6099999</v>
      </c>
      <c r="G15" s="101">
        <f t="shared" ref="G15:G16" si="0">ROUND(C15/F15,6)</f>
        <v>5.0130000000000001E-3</v>
      </c>
      <c r="H15" s="15"/>
      <c r="I15" s="15"/>
    </row>
    <row r="16" spans="1:9" x14ac:dyDescent="0.25">
      <c r="A16" s="29">
        <v>3</v>
      </c>
      <c r="B16" s="117" t="s">
        <v>132</v>
      </c>
      <c r="C16" s="99">
        <f>'3-YR AVERAGE-GAS'!B16</f>
        <v>4773702.1645110007</v>
      </c>
      <c r="D16" s="61">
        <f>'3-YR AVERAGE-GAS'!C16</f>
        <v>901985804.01999986</v>
      </c>
      <c r="E16" s="61">
        <f>'3-YR AVERAGE-GAS'!D16</f>
        <v>1903626.66</v>
      </c>
      <c r="F16" s="62">
        <f>'3-YR AVERAGE-GAS'!E16</f>
        <v>900082177.3599999</v>
      </c>
      <c r="G16" s="101">
        <f t="shared" si="0"/>
        <v>5.3039999999999997E-3</v>
      </c>
      <c r="H16" s="15"/>
      <c r="I16" s="15"/>
    </row>
    <row r="17" spans="1:9" x14ac:dyDescent="0.25">
      <c r="A17" s="29">
        <v>4</v>
      </c>
      <c r="B17" s="30"/>
      <c r="C17" s="31"/>
      <c r="D17" s="32"/>
      <c r="E17" s="32"/>
      <c r="F17" s="32"/>
      <c r="G17" s="34"/>
      <c r="H17" s="18"/>
      <c r="I17" s="18"/>
    </row>
    <row r="18" spans="1:9" x14ac:dyDescent="0.25">
      <c r="A18" s="29">
        <v>5</v>
      </c>
      <c r="B18" s="30" t="s">
        <v>102</v>
      </c>
      <c r="C18" s="31"/>
      <c r="D18" s="31"/>
      <c r="E18" s="31"/>
      <c r="F18" s="31"/>
      <c r="G18" s="112">
        <f>ROUND(SUM(G14:G16)/3,6)</f>
        <v>5.1240000000000001E-3</v>
      </c>
      <c r="H18" s="18"/>
      <c r="I18" s="18"/>
    </row>
    <row r="19" spans="1:9" x14ac:dyDescent="0.25">
      <c r="A19" s="29">
        <v>6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9">
        <v>7</v>
      </c>
      <c r="B20" s="35" t="s">
        <v>26</v>
      </c>
      <c r="C20" s="36"/>
      <c r="D20" s="100">
        <f>'[1]Allocated (CBR)'!$C$13</f>
        <v>850747677.08999979</v>
      </c>
      <c r="E20" s="100">
        <f>'[1]Allocated (CBR)'!$C$12</f>
        <v>-25909998.579999998</v>
      </c>
      <c r="F20" s="100">
        <f>D20-E20</f>
        <v>876657675.66999984</v>
      </c>
      <c r="G20" s="37"/>
      <c r="H20" s="18"/>
      <c r="I20" s="18"/>
    </row>
    <row r="21" spans="1:9" x14ac:dyDescent="0.25">
      <c r="A21" s="29">
        <v>8</v>
      </c>
      <c r="B21" s="109"/>
      <c r="C21" s="36"/>
      <c r="D21" s="32"/>
      <c r="E21" s="59"/>
      <c r="F21" s="113"/>
      <c r="G21" s="37"/>
      <c r="H21" s="18"/>
      <c r="I21" s="37"/>
    </row>
    <row r="22" spans="1:9" x14ac:dyDescent="0.25">
      <c r="A22" s="29">
        <v>9</v>
      </c>
      <c r="B22" s="60"/>
      <c r="C22" s="39"/>
      <c r="D22" s="40"/>
      <c r="E22" s="39"/>
      <c r="F22" s="39">
        <f>F20</f>
        <v>876657675.66999984</v>
      </c>
      <c r="G22" s="40"/>
      <c r="H22" s="18"/>
      <c r="I22" s="18"/>
    </row>
    <row r="23" spans="1:9" s="107" customFormat="1" x14ac:dyDescent="0.25">
      <c r="A23" s="108"/>
      <c r="B23" s="60"/>
      <c r="C23" s="110"/>
      <c r="D23" s="111"/>
      <c r="E23" s="110"/>
      <c r="F23" s="110"/>
      <c r="G23" s="111"/>
    </row>
    <row r="24" spans="1:9" x14ac:dyDescent="0.25">
      <c r="A24" s="29">
        <v>10</v>
      </c>
      <c r="B24" s="38" t="s">
        <v>27</v>
      </c>
      <c r="C24" s="39"/>
      <c r="D24" s="39"/>
      <c r="E24" s="39"/>
      <c r="F24" s="41">
        <f>G18</f>
        <v>5.1240000000000001E-3</v>
      </c>
      <c r="G24" s="39"/>
      <c r="H24" s="18"/>
      <c r="I24" s="18"/>
    </row>
    <row r="25" spans="1:9" x14ac:dyDescent="0.25">
      <c r="A25" s="29">
        <v>11</v>
      </c>
      <c r="B25" s="38" t="s">
        <v>28</v>
      </c>
      <c r="C25" s="39"/>
      <c r="D25" s="39"/>
      <c r="E25" s="39"/>
      <c r="F25" s="36">
        <f>F22*F24</f>
        <v>4491993.9301330792</v>
      </c>
      <c r="G25" s="39"/>
      <c r="H25" s="18"/>
      <c r="I25" s="18"/>
    </row>
    <row r="26" spans="1:9" x14ac:dyDescent="0.25">
      <c r="A26" s="29">
        <v>12</v>
      </c>
      <c r="B26" s="38"/>
      <c r="C26" s="39"/>
      <c r="D26" s="39"/>
      <c r="E26" s="39"/>
      <c r="F26" s="39"/>
      <c r="G26" s="39"/>
      <c r="H26" s="18"/>
      <c r="I26" s="18"/>
    </row>
    <row r="27" spans="1:9" x14ac:dyDescent="0.25">
      <c r="A27" s="29">
        <v>13</v>
      </c>
      <c r="B27" s="42" t="s">
        <v>29</v>
      </c>
      <c r="C27" s="39"/>
      <c r="D27" s="39"/>
      <c r="E27" s="43"/>
      <c r="F27" s="39">
        <f>'NetWriteoffs-Gas'!B19</f>
        <v>4333223.3545110002</v>
      </c>
      <c r="G27" s="39"/>
      <c r="H27" s="18"/>
      <c r="I27" s="18"/>
    </row>
    <row r="28" spans="1:9" x14ac:dyDescent="0.25">
      <c r="A28" s="29">
        <v>14</v>
      </c>
      <c r="B28" s="44" t="s">
        <v>30</v>
      </c>
      <c r="C28" s="39"/>
      <c r="D28" s="39"/>
      <c r="E28" s="39"/>
      <c r="F28" s="45"/>
      <c r="G28" s="36">
        <f>ROUND(F25-F27,0)</f>
        <v>158771</v>
      </c>
      <c r="H28" s="55"/>
      <c r="I28" s="19"/>
    </row>
    <row r="29" spans="1:9" x14ac:dyDescent="0.25">
      <c r="A29" s="29">
        <v>15</v>
      </c>
      <c r="B29" s="46"/>
      <c r="C29" s="39"/>
      <c r="D29" s="39"/>
      <c r="E29" s="39"/>
      <c r="F29" s="39"/>
      <c r="G29" s="39"/>
      <c r="H29" s="56"/>
      <c r="I29" s="19"/>
    </row>
    <row r="30" spans="1:9" x14ac:dyDescent="0.25">
      <c r="A30" s="29">
        <v>16</v>
      </c>
      <c r="B30" s="47" t="s">
        <v>31</v>
      </c>
      <c r="C30" s="48"/>
      <c r="D30" s="48"/>
      <c r="E30" s="48"/>
      <c r="F30" s="48"/>
      <c r="G30" s="49">
        <f>-G28</f>
        <v>-158771</v>
      </c>
      <c r="H30" s="49"/>
      <c r="I30" s="19"/>
    </row>
    <row r="31" spans="1:9" x14ac:dyDescent="0.25">
      <c r="A31" s="29">
        <v>17</v>
      </c>
      <c r="B31" s="48" t="s">
        <v>32</v>
      </c>
      <c r="C31" s="48"/>
      <c r="D31" s="48"/>
      <c r="E31" s="48"/>
      <c r="F31" s="50">
        <v>0.21</v>
      </c>
      <c r="G31" s="51">
        <f>ROUND(-G28*F31,0)</f>
        <v>-33342</v>
      </c>
      <c r="H31" s="57"/>
      <c r="I31" s="19"/>
    </row>
    <row r="32" spans="1:9" ht="15.75" thickBot="1" x14ac:dyDescent="0.3">
      <c r="A32" s="29">
        <v>18</v>
      </c>
      <c r="B32" s="54" t="s">
        <v>33</v>
      </c>
      <c r="C32" s="48"/>
      <c r="D32" s="48"/>
      <c r="E32" s="48"/>
      <c r="F32" s="48"/>
      <c r="G32" s="52">
        <f>G30-G31</f>
        <v>-125429</v>
      </c>
      <c r="H32" s="58"/>
      <c r="I32" s="19"/>
    </row>
    <row r="33" spans="1:9" ht="15.75" thickTop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G34" s="1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H28" sqref="H28"/>
    </sheetView>
  </sheetViews>
  <sheetFormatPr defaultRowHeight="15" x14ac:dyDescent="0.25"/>
  <cols>
    <col min="1" max="1" width="30.42578125" customWidth="1"/>
    <col min="2" max="2" width="12.7109375" customWidth="1"/>
    <col min="3" max="3" width="14.7109375" bestFit="1" customWidth="1"/>
    <col min="4" max="4" width="12.7109375" customWidth="1"/>
    <col min="5" max="5" width="14.7109375" bestFit="1" customWidth="1"/>
    <col min="6" max="8" width="12.7109375" customWidth="1"/>
  </cols>
  <sheetData>
    <row r="1" spans="1:6" x14ac:dyDescent="0.25">
      <c r="A1" s="66" t="s">
        <v>0</v>
      </c>
      <c r="B1" s="66"/>
      <c r="C1" s="66"/>
      <c r="D1" s="66"/>
      <c r="E1" s="66"/>
      <c r="F1" s="66"/>
    </row>
    <row r="2" spans="1:6" x14ac:dyDescent="0.25">
      <c r="A2" s="66" t="s">
        <v>1</v>
      </c>
      <c r="B2" s="66"/>
      <c r="C2" s="66"/>
      <c r="D2" s="66"/>
      <c r="E2" s="66"/>
      <c r="F2" s="66"/>
    </row>
    <row r="3" spans="1:6" x14ac:dyDescent="0.25">
      <c r="A3" s="66" t="s">
        <v>2</v>
      </c>
      <c r="B3" s="66"/>
      <c r="C3" s="66"/>
      <c r="D3" s="66"/>
      <c r="E3" s="66"/>
      <c r="F3" s="66"/>
    </row>
    <row r="4" spans="1:6" x14ac:dyDescent="0.25">
      <c r="A4" s="67" t="s">
        <v>133</v>
      </c>
      <c r="B4" s="66"/>
      <c r="C4" s="66"/>
      <c r="D4" s="66"/>
      <c r="E4" s="66"/>
      <c r="F4" s="66"/>
    </row>
    <row r="5" spans="1:6" x14ac:dyDescent="0.25">
      <c r="A5" s="214"/>
      <c r="B5" s="214"/>
      <c r="C5" s="214"/>
      <c r="D5" s="214"/>
      <c r="E5" s="214"/>
      <c r="F5" s="214"/>
    </row>
    <row r="6" spans="1:6" x14ac:dyDescent="0.25">
      <c r="A6" s="67"/>
      <c r="B6" s="68"/>
      <c r="C6" s="68"/>
      <c r="D6" s="68"/>
      <c r="E6" s="68"/>
      <c r="F6" s="68"/>
    </row>
    <row r="7" spans="1:6" x14ac:dyDescent="0.25">
      <c r="A7" s="67"/>
      <c r="B7" s="68"/>
      <c r="C7" s="68"/>
      <c r="D7" s="68" t="s">
        <v>3</v>
      </c>
      <c r="E7" s="68"/>
      <c r="F7" s="68" t="s">
        <v>4</v>
      </c>
    </row>
    <row r="8" spans="1:6" x14ac:dyDescent="0.25">
      <c r="A8" s="69"/>
      <c r="B8" s="68" t="s">
        <v>5</v>
      </c>
      <c r="C8" s="68" t="s">
        <v>6</v>
      </c>
      <c r="D8" s="68" t="s">
        <v>7</v>
      </c>
      <c r="E8" s="68" t="s">
        <v>5</v>
      </c>
      <c r="F8" s="68" t="s">
        <v>8</v>
      </c>
    </row>
    <row r="9" spans="1:6" x14ac:dyDescent="0.25">
      <c r="A9" s="70" t="s">
        <v>9</v>
      </c>
      <c r="B9" s="70" t="s">
        <v>8</v>
      </c>
      <c r="C9" s="70" t="s">
        <v>10</v>
      </c>
      <c r="D9" s="68" t="s">
        <v>11</v>
      </c>
      <c r="E9" s="70" t="s">
        <v>10</v>
      </c>
      <c r="F9" s="70" t="s">
        <v>12</v>
      </c>
    </row>
    <row r="10" spans="1:6" x14ac:dyDescent="0.25">
      <c r="A10" s="71"/>
      <c r="B10" s="71" t="s">
        <v>13</v>
      </c>
      <c r="C10" s="71" t="s">
        <v>14</v>
      </c>
      <c r="D10" s="71" t="s">
        <v>15</v>
      </c>
      <c r="E10" s="71" t="s">
        <v>16</v>
      </c>
      <c r="F10" s="71" t="s">
        <v>17</v>
      </c>
    </row>
    <row r="11" spans="1:6" x14ac:dyDescent="0.25">
      <c r="A11" s="63"/>
      <c r="B11" s="119" t="s">
        <v>98</v>
      </c>
      <c r="C11" s="119" t="s">
        <v>99</v>
      </c>
      <c r="D11" s="119" t="s">
        <v>99</v>
      </c>
      <c r="E11" s="119" t="s">
        <v>99</v>
      </c>
      <c r="F11" s="63"/>
    </row>
    <row r="12" spans="1:6" x14ac:dyDescent="0.25">
      <c r="A12" s="102" t="str">
        <f>A23</f>
        <v>12 ME 12/01/2014 AND 8/31/2014</v>
      </c>
      <c r="B12" s="74" t="str">
        <f>IF(OR($H23="min",$H23="max"),$H23,B23)</f>
        <v>max</v>
      </c>
      <c r="C12" s="97" t="str">
        <f>IF(OR($H23="min",$H23="max"),$H23,C23)</f>
        <v>max</v>
      </c>
      <c r="D12" s="97" t="str">
        <f>IF(OR($H23="min",$H23="max"),$H23,D23)</f>
        <v>max</v>
      </c>
      <c r="E12" s="97" t="str">
        <f>IF(OR($H23="min",$H23="max"),$H23,E23)</f>
        <v>max</v>
      </c>
      <c r="F12" s="17" t="str">
        <f>IF(OR($H23="min",$H23="max"),$H23,F23)</f>
        <v>max</v>
      </c>
    </row>
    <row r="13" spans="1:6" x14ac:dyDescent="0.25">
      <c r="A13" s="102" t="str">
        <f t="shared" ref="A13:A16" si="0">A24</f>
        <v>12 ME 12/01/2015 AND 8/31/2015</v>
      </c>
      <c r="B13" s="97" t="str">
        <f t="shared" ref="B13:B16" si="1">IF(OR($H24="min",$H24="max"),$H24,B24)</f>
        <v>min</v>
      </c>
      <c r="C13" s="97" t="str">
        <f t="shared" ref="C13:F16" si="2">IF(OR($H24="min",$H24="max"),$H24,C24)</f>
        <v>min</v>
      </c>
      <c r="D13" s="97" t="str">
        <f t="shared" si="2"/>
        <v>min</v>
      </c>
      <c r="E13" s="97" t="str">
        <f t="shared" si="2"/>
        <v>min</v>
      </c>
      <c r="F13" s="17" t="str">
        <f t="shared" si="2"/>
        <v>min</v>
      </c>
    </row>
    <row r="14" spans="1:6" x14ac:dyDescent="0.25">
      <c r="A14" s="102" t="str">
        <f t="shared" si="0"/>
        <v>12 ME 12/01/2016 AND 8/31/2016</v>
      </c>
      <c r="B14" s="97">
        <f t="shared" si="1"/>
        <v>4457528.6000000006</v>
      </c>
      <c r="C14" s="97">
        <f t="shared" si="2"/>
        <v>896161552.14999998</v>
      </c>
      <c r="D14" s="97">
        <f t="shared" si="2"/>
        <v>14277246.51</v>
      </c>
      <c r="E14" s="97">
        <f t="shared" si="2"/>
        <v>881884305.63999999</v>
      </c>
      <c r="F14" s="17">
        <f t="shared" si="2"/>
        <v>5.0545499999999997E-3</v>
      </c>
    </row>
    <row r="15" spans="1:6" x14ac:dyDescent="0.25">
      <c r="A15" s="102" t="str">
        <f t="shared" si="0"/>
        <v>12 ME 12/01/2017 AND 8/31/2017</v>
      </c>
      <c r="B15" s="97">
        <f t="shared" si="1"/>
        <v>4875798.22</v>
      </c>
      <c r="C15" s="97">
        <f t="shared" si="2"/>
        <v>985378965.08999991</v>
      </c>
      <c r="D15" s="97">
        <f t="shared" si="2"/>
        <v>12751981.48</v>
      </c>
      <c r="E15" s="97">
        <f t="shared" si="2"/>
        <v>972626983.6099999</v>
      </c>
      <c r="F15" s="17">
        <f t="shared" si="2"/>
        <v>5.01302E-3</v>
      </c>
    </row>
    <row r="16" spans="1:6" x14ac:dyDescent="0.25">
      <c r="A16" s="102" t="str">
        <f t="shared" si="0"/>
        <v>12 ME 12/01/2018 AND 8/31/2018</v>
      </c>
      <c r="B16" s="97">
        <f t="shared" si="1"/>
        <v>4773702.1645110007</v>
      </c>
      <c r="C16" s="97">
        <f t="shared" si="2"/>
        <v>901985804.01999986</v>
      </c>
      <c r="D16" s="97">
        <f t="shared" si="2"/>
        <v>1903626.66</v>
      </c>
      <c r="E16" s="97">
        <f t="shared" si="2"/>
        <v>900082177.3599999</v>
      </c>
      <c r="F16" s="17">
        <f t="shared" si="2"/>
        <v>5.3036289999999998E-3</v>
      </c>
    </row>
    <row r="18" spans="1:8" ht="15.75" thickBot="1" x14ac:dyDescent="0.3">
      <c r="A18" s="65" t="s">
        <v>18</v>
      </c>
      <c r="B18" s="75">
        <f>SUM(B12:B16)/3</f>
        <v>4702342.994837</v>
      </c>
      <c r="C18" s="98">
        <f t="shared" ref="C18:F18" si="3">SUM(C12:C16)/3</f>
        <v>927842107.08666658</v>
      </c>
      <c r="D18" s="98">
        <f t="shared" si="3"/>
        <v>9644284.8833333347</v>
      </c>
      <c r="E18" s="98">
        <f t="shared" si="3"/>
        <v>918197822.20333326</v>
      </c>
      <c r="F18" s="16">
        <f t="shared" si="3"/>
        <v>5.1237329999999992E-3</v>
      </c>
      <c r="G18" s="63"/>
      <c r="H18" s="63"/>
    </row>
    <row r="19" spans="1:8" ht="15.75" thickTop="1" x14ac:dyDescent="0.25">
      <c r="A19" s="63"/>
      <c r="B19" s="63"/>
      <c r="C19" s="63"/>
      <c r="D19" s="63"/>
      <c r="E19" s="63"/>
      <c r="F19" s="63"/>
      <c r="G19" s="63"/>
      <c r="H19" s="63"/>
    </row>
    <row r="23" spans="1:8" x14ac:dyDescent="0.25">
      <c r="A23" s="118" t="s">
        <v>103</v>
      </c>
      <c r="B23" s="76">
        <f>'NetWriteoffs-Gas'!B75</f>
        <v>6726949.29</v>
      </c>
      <c r="C23" s="72">
        <f>'SOG 12ME 8-2018'!F33</f>
        <v>1036527216.26</v>
      </c>
      <c r="D23" s="72">
        <f>'SOG 12ME 8-2018'!F32</f>
        <v>13445176.27</v>
      </c>
      <c r="E23" s="72">
        <f>C23-D23</f>
        <v>1023082039.99</v>
      </c>
      <c r="F23" s="73">
        <f>ROUND(B23/E23,9)</f>
        <v>6.5751810000000003E-3</v>
      </c>
      <c r="G23" s="63"/>
      <c r="H23" s="64" t="str">
        <f>IF(F23=MIN($F$23:$F$27),"min",IF(F23=MAX($F$23:$F$27),"max","include"))</f>
        <v>max</v>
      </c>
    </row>
    <row r="24" spans="1:8" x14ac:dyDescent="0.25">
      <c r="A24" s="118" t="s">
        <v>104</v>
      </c>
      <c r="B24" s="76">
        <f>'NetWriteoffs-Gas'!B62</f>
        <v>4066020.6499999994</v>
      </c>
      <c r="C24" s="72">
        <f>'SOG 12ME 8-2018'!E33</f>
        <v>975271378.21000004</v>
      </c>
      <c r="D24" s="122">
        <f>'SOG 12ME 8-2018'!E32</f>
        <v>13046355.58</v>
      </c>
      <c r="E24" s="95">
        <f t="shared" ref="E24:E27" si="4">C24-D24</f>
        <v>962225022.63</v>
      </c>
      <c r="F24" s="96">
        <f t="shared" ref="F24:F27" si="5">ROUND(B24/E24,9)</f>
        <v>4.2256439999999998E-3</v>
      </c>
      <c r="G24" s="63"/>
      <c r="H24" s="94" t="str">
        <f t="shared" ref="H24:H27" si="6">IF(F24=MIN($F$23:$F$27),"min",IF(F24=MAX($F$23:$F$27),"max","include"))</f>
        <v>min</v>
      </c>
    </row>
    <row r="25" spans="1:8" x14ac:dyDescent="0.25">
      <c r="A25" s="118" t="s">
        <v>105</v>
      </c>
      <c r="B25" s="76">
        <f>'NetWriteoffs-Gas'!B49</f>
        <v>4457528.6000000006</v>
      </c>
      <c r="C25" s="72">
        <f>'SOG 12ME 8-2018'!D33</f>
        <v>896161552.14999998</v>
      </c>
      <c r="D25" s="122">
        <f>'SOG 12ME 8-2018'!D32</f>
        <v>14277246.51</v>
      </c>
      <c r="E25" s="95">
        <f t="shared" si="4"/>
        <v>881884305.63999999</v>
      </c>
      <c r="F25" s="96">
        <f t="shared" si="5"/>
        <v>5.0545499999999997E-3</v>
      </c>
      <c r="G25" s="63"/>
      <c r="H25" s="94" t="str">
        <f t="shared" si="6"/>
        <v>include</v>
      </c>
    </row>
    <row r="26" spans="1:8" x14ac:dyDescent="0.25">
      <c r="A26" s="118" t="s">
        <v>106</v>
      </c>
      <c r="B26" s="76">
        <f>'NetWriteoffs-Gas'!B36</f>
        <v>4875798.22</v>
      </c>
      <c r="C26" s="72">
        <f>'SOG 12ME 8-2018'!C33</f>
        <v>985378965.08999991</v>
      </c>
      <c r="D26" s="122">
        <f>'SOG 12ME 8-2018'!C32</f>
        <v>12751981.48</v>
      </c>
      <c r="E26" s="95">
        <f t="shared" si="4"/>
        <v>972626983.6099999</v>
      </c>
      <c r="F26" s="96">
        <f t="shared" si="5"/>
        <v>5.01302E-3</v>
      </c>
      <c r="G26" s="63"/>
      <c r="H26" s="94" t="str">
        <f t="shared" si="6"/>
        <v>include</v>
      </c>
    </row>
    <row r="27" spans="1:8" x14ac:dyDescent="0.25">
      <c r="A27" s="118" t="s">
        <v>132</v>
      </c>
      <c r="B27" s="76">
        <f>'NetWriteoffs-Gas'!B21</f>
        <v>4773702.1645110007</v>
      </c>
      <c r="C27" s="122">
        <f>'SOG 12ME 8-2018'!B33</f>
        <v>901985804.01999986</v>
      </c>
      <c r="D27" s="122">
        <f>'SOG 12ME 8-2018'!B32</f>
        <v>1903626.66</v>
      </c>
      <c r="E27" s="122">
        <f t="shared" si="4"/>
        <v>900082177.3599999</v>
      </c>
      <c r="F27" s="96">
        <f t="shared" si="5"/>
        <v>5.3036289999999998E-3</v>
      </c>
      <c r="G27" s="63"/>
      <c r="H27" s="94" t="str">
        <f t="shared" si="6"/>
        <v>include</v>
      </c>
    </row>
    <row r="29" spans="1:8" x14ac:dyDescent="0.25">
      <c r="A29" s="65" t="s">
        <v>19</v>
      </c>
      <c r="B29" s="63"/>
      <c r="C29" s="63"/>
      <c r="D29" s="63"/>
      <c r="E29" s="63"/>
      <c r="F29" s="63"/>
      <c r="G29" s="63"/>
      <c r="H29" s="63"/>
    </row>
    <row r="30" spans="1:8" x14ac:dyDescent="0.25">
      <c r="G30" s="79"/>
      <c r="H30" s="79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70" workbookViewId="0">
      <selection activeCell="B21" sqref="B21"/>
    </sheetView>
  </sheetViews>
  <sheetFormatPr defaultColWidth="8.85546875" defaultRowHeight="15" x14ac:dyDescent="0.25"/>
  <cols>
    <col min="1" max="1" width="59.28515625" style="172" bestFit="1" customWidth="1"/>
    <col min="2" max="2" width="12.28515625" style="172" bestFit="1" customWidth="1"/>
    <col min="3" max="16384" width="8.85546875" style="172"/>
  </cols>
  <sheetData>
    <row r="1" spans="1:14" x14ac:dyDescent="0.25">
      <c r="A1" s="171" t="s">
        <v>34</v>
      </c>
    </row>
    <row r="3" spans="1:14" x14ac:dyDescent="0.25">
      <c r="A3" s="173" t="s">
        <v>121</v>
      </c>
      <c r="B3" s="174"/>
    </row>
    <row r="4" spans="1:14" x14ac:dyDescent="0.25">
      <c r="A4" s="77" t="s">
        <v>35</v>
      </c>
      <c r="B4" s="78" t="s">
        <v>36</v>
      </c>
    </row>
    <row r="5" spans="1:14" x14ac:dyDescent="0.25">
      <c r="A5" s="114" t="s">
        <v>92</v>
      </c>
      <c r="B5" s="7">
        <f>'ZO12'!B4</f>
        <v>17972410.350000001</v>
      </c>
    </row>
    <row r="6" spans="1:14" x14ac:dyDescent="0.25">
      <c r="A6" s="114" t="s">
        <v>124</v>
      </c>
      <c r="B6" s="7">
        <f>'ZO12'!B5</f>
        <v>415484.87</v>
      </c>
    </row>
    <row r="7" spans="1:14" x14ac:dyDescent="0.25">
      <c r="A7" s="114" t="s">
        <v>125</v>
      </c>
      <c r="B7" s="127">
        <f>'ZO12'!B6</f>
        <v>138055.31</v>
      </c>
      <c r="K7" s="215"/>
      <c r="L7" s="215"/>
      <c r="M7" s="215"/>
      <c r="N7" s="215"/>
    </row>
    <row r="8" spans="1:14" x14ac:dyDescent="0.25">
      <c r="A8" s="114" t="s">
        <v>126</v>
      </c>
      <c r="B8" s="7">
        <f>'ZO12'!B7</f>
        <v>118854.72</v>
      </c>
    </row>
    <row r="9" spans="1:14" x14ac:dyDescent="0.25">
      <c r="A9" s="114" t="s">
        <v>145</v>
      </c>
      <c r="B9" s="7">
        <f>'ZO12'!B8</f>
        <v>93557.45</v>
      </c>
    </row>
    <row r="10" spans="1:14" x14ac:dyDescent="0.25">
      <c r="A10" s="124" t="s">
        <v>38</v>
      </c>
      <c r="B10" s="175">
        <f>SUM(B5:B9)+(B14*'ZO12'!B20)</f>
        <v>18742755.935488999</v>
      </c>
    </row>
    <row r="11" spans="1:14" x14ac:dyDescent="0.25">
      <c r="A11" s="114" t="s">
        <v>93</v>
      </c>
      <c r="B11" s="127">
        <f>'ZO12'!B10</f>
        <v>4330979.28</v>
      </c>
    </row>
    <row r="12" spans="1:14" x14ac:dyDescent="0.25">
      <c r="A12" s="114" t="s">
        <v>127</v>
      </c>
      <c r="B12" s="127">
        <v>0</v>
      </c>
    </row>
    <row r="13" spans="1:14" x14ac:dyDescent="0.25">
      <c r="A13" s="114" t="s">
        <v>40</v>
      </c>
      <c r="B13" s="129">
        <f>SUM(B11:B12)+(B14*'ZO12'!B21)</f>
        <v>4333223.3545110002</v>
      </c>
    </row>
    <row r="14" spans="1:14" x14ac:dyDescent="0.25">
      <c r="A14" s="114" t="s">
        <v>146</v>
      </c>
      <c r="B14" s="123">
        <f>'ZO12'!B13</f>
        <v>6637.31</v>
      </c>
    </row>
    <row r="15" spans="1:14" x14ac:dyDescent="0.25">
      <c r="A15" s="124" t="s">
        <v>147</v>
      </c>
      <c r="B15" s="176">
        <f>SUM(B14)</f>
        <v>6637.31</v>
      </c>
    </row>
    <row r="16" spans="1:14" x14ac:dyDescent="0.25">
      <c r="A16" s="124" t="s">
        <v>41</v>
      </c>
      <c r="B16" s="10">
        <f>B10+B13</f>
        <v>23075979.289999999</v>
      </c>
    </row>
    <row r="17" spans="1:3" x14ac:dyDescent="0.25">
      <c r="A17" s="126" t="s">
        <v>42</v>
      </c>
      <c r="B17" s="8">
        <f>B16</f>
        <v>23075979.289999999</v>
      </c>
    </row>
    <row r="18" spans="1:3" x14ac:dyDescent="0.25">
      <c r="A18" s="125" t="s">
        <v>122</v>
      </c>
      <c r="B18" s="123"/>
      <c r="C18" s="172" t="s">
        <v>100</v>
      </c>
    </row>
    <row r="19" spans="1:3" x14ac:dyDescent="0.25">
      <c r="A19" s="124" t="s">
        <v>44</v>
      </c>
      <c r="B19" s="123">
        <f>B13</f>
        <v>4333223.3545110002</v>
      </c>
    </row>
    <row r="20" spans="1:3" x14ac:dyDescent="0.25">
      <c r="A20" s="13" t="s">
        <v>101</v>
      </c>
      <c r="B20" s="9">
        <f>'BS Acct-Gas'!D24</f>
        <v>440478.81000000006</v>
      </c>
    </row>
    <row r="21" spans="1:3" x14ac:dyDescent="0.25">
      <c r="A21" s="212"/>
      <c r="B21" s="213">
        <f>SUM(B19:B20)</f>
        <v>4773702.1645110007</v>
      </c>
    </row>
    <row r="22" spans="1:3" x14ac:dyDescent="0.25">
      <c r="A22" s="12"/>
      <c r="B22" s="11"/>
    </row>
    <row r="23" spans="1:3" x14ac:dyDescent="0.25">
      <c r="A23" s="173" t="s">
        <v>94</v>
      </c>
      <c r="B23" s="174"/>
    </row>
    <row r="24" spans="1:3" x14ac:dyDescent="0.25">
      <c r="A24" s="77" t="s">
        <v>35</v>
      </c>
      <c r="B24" s="78" t="s">
        <v>36</v>
      </c>
    </row>
    <row r="25" spans="1:3" x14ac:dyDescent="0.25">
      <c r="A25" s="124" t="s">
        <v>128</v>
      </c>
      <c r="B25" s="7">
        <v>0</v>
      </c>
    </row>
    <row r="26" spans="1:3" x14ac:dyDescent="0.25">
      <c r="A26" s="124" t="s">
        <v>129</v>
      </c>
      <c r="B26" s="7">
        <v>16024853.77</v>
      </c>
    </row>
    <row r="27" spans="1:3" x14ac:dyDescent="0.25">
      <c r="A27" s="124" t="s">
        <v>38</v>
      </c>
      <c r="B27" s="6">
        <f>SUM(B25:B26)</f>
        <v>16024853.77</v>
      </c>
    </row>
    <row r="28" spans="1:3" x14ac:dyDescent="0.25">
      <c r="A28" s="124" t="s">
        <v>130</v>
      </c>
      <c r="B28" s="5">
        <v>0</v>
      </c>
    </row>
    <row r="29" spans="1:3" x14ac:dyDescent="0.25">
      <c r="A29" s="124" t="s">
        <v>131</v>
      </c>
      <c r="B29" s="7">
        <v>4285876.5599999996</v>
      </c>
    </row>
    <row r="30" spans="1:3" x14ac:dyDescent="0.25">
      <c r="A30" s="124" t="s">
        <v>40</v>
      </c>
      <c r="B30" s="128">
        <f>SUM(B28:B29)</f>
        <v>4285876.5599999996</v>
      </c>
    </row>
    <row r="31" spans="1:3" x14ac:dyDescent="0.25">
      <c r="A31" s="124" t="s">
        <v>41</v>
      </c>
      <c r="B31" s="5">
        <f>B27+B30</f>
        <v>20310730.329999998</v>
      </c>
    </row>
    <row r="32" spans="1:3" x14ac:dyDescent="0.25">
      <c r="A32" s="126" t="s">
        <v>42</v>
      </c>
      <c r="B32" s="4">
        <f>B31</f>
        <v>20310730.329999998</v>
      </c>
    </row>
    <row r="33" spans="1:2" x14ac:dyDescent="0.25">
      <c r="A33" s="125" t="s">
        <v>123</v>
      </c>
      <c r="B33" s="3"/>
    </row>
    <row r="34" spans="1:2" x14ac:dyDescent="0.25">
      <c r="A34" s="124" t="s">
        <v>44</v>
      </c>
      <c r="B34" s="3">
        <f>B30</f>
        <v>4285876.5599999996</v>
      </c>
    </row>
    <row r="35" spans="1:2" x14ac:dyDescent="0.25">
      <c r="A35" s="13" t="s">
        <v>101</v>
      </c>
      <c r="B35" s="2">
        <f>'BS Acct-Gas'!D43</f>
        <v>589921.65999999992</v>
      </c>
    </row>
    <row r="36" spans="1:2" x14ac:dyDescent="0.25">
      <c r="A36" s="13"/>
      <c r="B36" s="1">
        <f>SUM(B34:B35)</f>
        <v>4875798.22</v>
      </c>
    </row>
    <row r="37" spans="1:2" x14ac:dyDescent="0.25">
      <c r="A37" s="12"/>
      <c r="B37" s="11"/>
    </row>
    <row r="38" spans="1:2" x14ac:dyDescent="0.25">
      <c r="A38" s="173" t="s">
        <v>95</v>
      </c>
      <c r="B38" s="174"/>
    </row>
    <row r="39" spans="1:2" x14ac:dyDescent="0.25">
      <c r="A39" s="77" t="s">
        <v>35</v>
      </c>
      <c r="B39" s="78" t="s">
        <v>36</v>
      </c>
    </row>
    <row r="40" spans="1:2" x14ac:dyDescent="0.25">
      <c r="A40" s="124" t="s">
        <v>37</v>
      </c>
      <c r="B40" s="7">
        <v>17480805.469999999</v>
      </c>
    </row>
    <row r="41" spans="1:2" x14ac:dyDescent="0.25">
      <c r="A41" s="124" t="s">
        <v>38</v>
      </c>
      <c r="B41" s="6">
        <f>SUM(B40:B40)</f>
        <v>17480805.469999999</v>
      </c>
    </row>
    <row r="42" spans="1:2" x14ac:dyDescent="0.25">
      <c r="A42" s="124" t="s">
        <v>39</v>
      </c>
      <c r="B42" s="7">
        <v>4478843.62</v>
      </c>
    </row>
    <row r="43" spans="1:2" x14ac:dyDescent="0.25">
      <c r="A43" s="124" t="s">
        <v>40</v>
      </c>
      <c r="B43" s="128">
        <f>SUM(B42:B42)</f>
        <v>4478843.62</v>
      </c>
    </row>
    <row r="44" spans="1:2" x14ac:dyDescent="0.25">
      <c r="A44" s="124" t="s">
        <v>41</v>
      </c>
      <c r="B44" s="5">
        <f>B41+B43</f>
        <v>21959649.09</v>
      </c>
    </row>
    <row r="45" spans="1:2" x14ac:dyDescent="0.25">
      <c r="A45" s="126" t="s">
        <v>42</v>
      </c>
      <c r="B45" s="4">
        <f>B44</f>
        <v>21959649.09</v>
      </c>
    </row>
    <row r="46" spans="1:2" x14ac:dyDescent="0.25">
      <c r="A46" s="125" t="s">
        <v>43</v>
      </c>
      <c r="B46" s="3"/>
    </row>
    <row r="47" spans="1:2" x14ac:dyDescent="0.25">
      <c r="A47" s="124" t="s">
        <v>44</v>
      </c>
      <c r="B47" s="3">
        <f>B43</f>
        <v>4478843.62</v>
      </c>
    </row>
    <row r="48" spans="1:2" x14ac:dyDescent="0.25">
      <c r="A48" s="13" t="s">
        <v>101</v>
      </c>
      <c r="B48" s="2">
        <f>'BS Acct-Gas'!D63</f>
        <v>-21315.01999999999</v>
      </c>
    </row>
    <row r="49" spans="1:2" x14ac:dyDescent="0.25">
      <c r="A49" s="13"/>
      <c r="B49" s="1">
        <f>SUM(B47:B48)</f>
        <v>4457528.6000000006</v>
      </c>
    </row>
    <row r="50" spans="1:2" x14ac:dyDescent="0.25">
      <c r="A50" s="12"/>
      <c r="B50" s="11"/>
    </row>
    <row r="51" spans="1:2" x14ac:dyDescent="0.25">
      <c r="A51" s="173" t="s">
        <v>96</v>
      </c>
      <c r="B51" s="174"/>
    </row>
    <row r="52" spans="1:2" x14ac:dyDescent="0.25">
      <c r="A52" s="77" t="s">
        <v>35</v>
      </c>
      <c r="B52" s="78" t="s">
        <v>36</v>
      </c>
    </row>
    <row r="53" spans="1:2" x14ac:dyDescent="0.25">
      <c r="A53" s="124" t="s">
        <v>90</v>
      </c>
      <c r="B53" s="7">
        <v>14034500.779999999</v>
      </c>
    </row>
    <row r="54" spans="1:2" x14ac:dyDescent="0.25">
      <c r="A54" s="124" t="s">
        <v>38</v>
      </c>
      <c r="B54" s="6">
        <f>SUM(B53:B53)</f>
        <v>14034500.779999999</v>
      </c>
    </row>
    <row r="55" spans="1:2" x14ac:dyDescent="0.25">
      <c r="A55" s="124" t="s">
        <v>91</v>
      </c>
      <c r="B55" s="7">
        <v>4367438.3899999997</v>
      </c>
    </row>
    <row r="56" spans="1:2" x14ac:dyDescent="0.25">
      <c r="A56" s="124" t="s">
        <v>40</v>
      </c>
      <c r="B56" s="128">
        <f>SUM(B55:B55)</f>
        <v>4367438.3899999997</v>
      </c>
    </row>
    <row r="57" spans="1:2" x14ac:dyDescent="0.25">
      <c r="A57" s="124" t="s">
        <v>41</v>
      </c>
      <c r="B57" s="5">
        <f>B54+B56</f>
        <v>18401939.169999998</v>
      </c>
    </row>
    <row r="58" spans="1:2" x14ac:dyDescent="0.25">
      <c r="A58" s="126" t="s">
        <v>42</v>
      </c>
      <c r="B58" s="4">
        <f>B57</f>
        <v>18401939.169999998</v>
      </c>
    </row>
    <row r="59" spans="1:2" x14ac:dyDescent="0.25">
      <c r="A59" s="125" t="s">
        <v>45</v>
      </c>
      <c r="B59" s="3"/>
    </row>
    <row r="60" spans="1:2" x14ac:dyDescent="0.25">
      <c r="A60" s="124" t="s">
        <v>44</v>
      </c>
      <c r="B60" s="3">
        <f>B56</f>
        <v>4367438.3899999997</v>
      </c>
    </row>
    <row r="61" spans="1:2" x14ac:dyDescent="0.25">
      <c r="A61" s="13" t="s">
        <v>101</v>
      </c>
      <c r="B61" s="2">
        <f>'BS Acct-Gas'!D82</f>
        <v>-301417.74000000011</v>
      </c>
    </row>
    <row r="62" spans="1:2" x14ac:dyDescent="0.25">
      <c r="A62" s="13"/>
      <c r="B62" s="1">
        <f>SUM(B60:B61)</f>
        <v>4066020.6499999994</v>
      </c>
    </row>
    <row r="63" spans="1:2" x14ac:dyDescent="0.25">
      <c r="A63" s="12"/>
      <c r="B63" s="11"/>
    </row>
    <row r="64" spans="1:2" x14ac:dyDescent="0.25">
      <c r="A64" s="173" t="s">
        <v>97</v>
      </c>
      <c r="B64" s="174"/>
    </row>
    <row r="65" spans="1:5" x14ac:dyDescent="0.25">
      <c r="A65" s="77" t="s">
        <v>35</v>
      </c>
      <c r="B65" s="78" t="s">
        <v>36</v>
      </c>
    </row>
    <row r="66" spans="1:5" x14ac:dyDescent="0.25">
      <c r="A66" s="124" t="s">
        <v>90</v>
      </c>
      <c r="B66" s="7">
        <v>20289820.600000001</v>
      </c>
    </row>
    <row r="67" spans="1:5" x14ac:dyDescent="0.25">
      <c r="A67" s="124" t="s">
        <v>38</v>
      </c>
      <c r="B67" s="6">
        <f>SUM(B66:B66)</f>
        <v>20289820.600000001</v>
      </c>
    </row>
    <row r="68" spans="1:5" x14ac:dyDescent="0.25">
      <c r="A68" s="124" t="s">
        <v>91</v>
      </c>
      <c r="B68" s="7">
        <v>6426737.5099999998</v>
      </c>
    </row>
    <row r="69" spans="1:5" x14ac:dyDescent="0.25">
      <c r="A69" s="124" t="s">
        <v>40</v>
      </c>
      <c r="B69" s="128">
        <f>SUM(B68:B68)</f>
        <v>6426737.5099999998</v>
      </c>
    </row>
    <row r="70" spans="1:5" x14ac:dyDescent="0.25">
      <c r="A70" s="124" t="s">
        <v>41</v>
      </c>
      <c r="B70" s="5">
        <f>B67+B69</f>
        <v>26716558.109999999</v>
      </c>
    </row>
    <row r="71" spans="1:5" x14ac:dyDescent="0.25">
      <c r="A71" s="126" t="s">
        <v>42</v>
      </c>
      <c r="B71" s="4">
        <f>B70</f>
        <v>26716558.109999999</v>
      </c>
    </row>
    <row r="72" spans="1:5" x14ac:dyDescent="0.25">
      <c r="A72" s="125" t="s">
        <v>46</v>
      </c>
      <c r="B72" s="3"/>
    </row>
    <row r="73" spans="1:5" x14ac:dyDescent="0.25">
      <c r="A73" s="124" t="s">
        <v>44</v>
      </c>
      <c r="B73" s="3">
        <f>B69</f>
        <v>6426737.5099999998</v>
      </c>
    </row>
    <row r="74" spans="1:5" x14ac:dyDescent="0.25">
      <c r="A74" s="13" t="s">
        <v>101</v>
      </c>
      <c r="B74" s="2">
        <f>'BS Acct-Gas'!D100</f>
        <v>300211.78000000014</v>
      </c>
    </row>
    <row r="75" spans="1:5" x14ac:dyDescent="0.25">
      <c r="A75" s="13"/>
      <c r="B75" s="1">
        <f>SUM(B73:B74)</f>
        <v>6726949.29</v>
      </c>
      <c r="E75" s="177"/>
    </row>
    <row r="76" spans="1:5" x14ac:dyDescent="0.25">
      <c r="A76" s="12"/>
      <c r="B76" s="11"/>
    </row>
    <row r="77" spans="1:5" x14ac:dyDescent="0.25">
      <c r="A77" s="172" t="s">
        <v>47</v>
      </c>
      <c r="B77" s="178"/>
    </row>
    <row r="78" spans="1:5" x14ac:dyDescent="0.25">
      <c r="B78" s="178"/>
    </row>
    <row r="79" spans="1:5" x14ac:dyDescent="0.25">
      <c r="A79" s="172" t="s">
        <v>107</v>
      </c>
      <c r="B79" s="177"/>
    </row>
    <row r="80" spans="1:5" x14ac:dyDescent="0.25">
      <c r="A80" s="172" t="s">
        <v>108</v>
      </c>
      <c r="B80" s="178"/>
    </row>
    <row r="81" spans="1:2" x14ac:dyDescent="0.25">
      <c r="A81" s="172" t="s">
        <v>109</v>
      </c>
      <c r="B81" s="178"/>
    </row>
    <row r="82" spans="1:2" x14ac:dyDescent="0.25">
      <c r="A82" s="172" t="s">
        <v>110</v>
      </c>
      <c r="B82" s="178"/>
    </row>
    <row r="83" spans="1:2" x14ac:dyDescent="0.25">
      <c r="A83" s="172" t="s">
        <v>111</v>
      </c>
      <c r="B83" s="178"/>
    </row>
    <row r="84" spans="1:2" x14ac:dyDescent="0.25">
      <c r="A84" s="172" t="s">
        <v>112</v>
      </c>
      <c r="B84" s="178"/>
    </row>
    <row r="85" spans="1:2" x14ac:dyDescent="0.25">
      <c r="A85" s="172" t="s">
        <v>113</v>
      </c>
      <c r="B85" s="178"/>
    </row>
    <row r="86" spans="1:2" x14ac:dyDescent="0.25">
      <c r="A86" s="172" t="s">
        <v>114</v>
      </c>
      <c r="B86" s="178"/>
    </row>
    <row r="87" spans="1:2" x14ac:dyDescent="0.25">
      <c r="A87" s="172" t="s">
        <v>115</v>
      </c>
      <c r="B87" s="178"/>
    </row>
    <row r="88" spans="1:2" x14ac:dyDescent="0.25">
      <c r="A88" s="172" t="s">
        <v>116</v>
      </c>
      <c r="B88" s="178"/>
    </row>
    <row r="89" spans="1:2" x14ac:dyDescent="0.25">
      <c r="A89" s="172" t="s">
        <v>117</v>
      </c>
      <c r="B89" s="178"/>
    </row>
    <row r="90" spans="1:2" x14ac:dyDescent="0.25">
      <c r="A90" s="172" t="s">
        <v>118</v>
      </c>
      <c r="B90" s="178"/>
    </row>
    <row r="91" spans="1:2" x14ac:dyDescent="0.25">
      <c r="A91" s="172" t="s">
        <v>119</v>
      </c>
      <c r="B91" s="178"/>
    </row>
    <row r="92" spans="1:2" x14ac:dyDescent="0.25">
      <c r="A92" s="172" t="s">
        <v>120</v>
      </c>
      <c r="B92" s="178"/>
    </row>
    <row r="93" spans="1:2" x14ac:dyDescent="0.25">
      <c r="B93" s="178"/>
    </row>
    <row r="94" spans="1:2" x14ac:dyDescent="0.25">
      <c r="B94" s="178"/>
    </row>
    <row r="95" spans="1:2" x14ac:dyDescent="0.25">
      <c r="B95" s="178"/>
    </row>
    <row r="96" spans="1:2" x14ac:dyDescent="0.25">
      <c r="B96" s="178"/>
    </row>
    <row r="97" spans="2:2" x14ac:dyDescent="0.25">
      <c r="B97" s="178"/>
    </row>
    <row r="98" spans="2:2" x14ac:dyDescent="0.25">
      <c r="B98" s="178"/>
    </row>
    <row r="99" spans="2:2" x14ac:dyDescent="0.25">
      <c r="B99" s="178"/>
    </row>
    <row r="100" spans="2:2" x14ac:dyDescent="0.25">
      <c r="B100" s="178"/>
    </row>
    <row r="101" spans="2:2" x14ac:dyDescent="0.25">
      <c r="B101" s="178"/>
    </row>
    <row r="102" spans="2:2" x14ac:dyDescent="0.25">
      <c r="B102" s="178"/>
    </row>
    <row r="103" spans="2:2" x14ac:dyDescent="0.25">
      <c r="B103" s="178"/>
    </row>
    <row r="104" spans="2:2" x14ac:dyDescent="0.25">
      <c r="B104" s="178"/>
    </row>
    <row r="105" spans="2:2" x14ac:dyDescent="0.25">
      <c r="B105" s="178"/>
    </row>
    <row r="106" spans="2:2" x14ac:dyDescent="0.25">
      <c r="B106" s="178"/>
    </row>
    <row r="107" spans="2:2" x14ac:dyDescent="0.25">
      <c r="B107" s="178"/>
    </row>
    <row r="108" spans="2:2" x14ac:dyDescent="0.25">
      <c r="B108" s="178"/>
    </row>
    <row r="109" spans="2:2" x14ac:dyDescent="0.25">
      <c r="B109" s="178"/>
    </row>
    <row r="110" spans="2:2" x14ac:dyDescent="0.25">
      <c r="B110" s="178"/>
    </row>
    <row r="111" spans="2:2" x14ac:dyDescent="0.25">
      <c r="B111" s="178"/>
    </row>
    <row r="112" spans="2:2" x14ac:dyDescent="0.25">
      <c r="B112" s="178"/>
    </row>
    <row r="113" spans="2:2" x14ac:dyDescent="0.25">
      <c r="B113" s="178"/>
    </row>
    <row r="114" spans="2:2" x14ac:dyDescent="0.25">
      <c r="B114" s="178"/>
    </row>
    <row r="115" spans="2:2" x14ac:dyDescent="0.25">
      <c r="B115" s="178"/>
    </row>
    <row r="116" spans="2:2" x14ac:dyDescent="0.25">
      <c r="B116" s="178"/>
    </row>
    <row r="117" spans="2:2" x14ac:dyDescent="0.25">
      <c r="B117" s="178"/>
    </row>
    <row r="118" spans="2:2" x14ac:dyDescent="0.25">
      <c r="B118" s="178"/>
    </row>
    <row r="119" spans="2:2" x14ac:dyDescent="0.25">
      <c r="B119" s="178"/>
    </row>
    <row r="120" spans="2:2" x14ac:dyDescent="0.25">
      <c r="B120" s="178"/>
    </row>
    <row r="121" spans="2:2" x14ac:dyDescent="0.25">
      <c r="B121" s="178"/>
    </row>
    <row r="122" spans="2:2" x14ac:dyDescent="0.25">
      <c r="B122" s="178"/>
    </row>
    <row r="123" spans="2:2" x14ac:dyDescent="0.25">
      <c r="B123" s="178"/>
    </row>
    <row r="124" spans="2:2" x14ac:dyDescent="0.25">
      <c r="B124" s="178"/>
    </row>
    <row r="125" spans="2:2" x14ac:dyDescent="0.25">
      <c r="B125" s="178"/>
    </row>
    <row r="126" spans="2:2" x14ac:dyDescent="0.25">
      <c r="B126" s="178"/>
    </row>
  </sheetData>
  <mergeCells count="1">
    <mergeCell ref="K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activeCell="B21" sqref="B21"/>
    </sheetView>
  </sheetViews>
  <sheetFormatPr defaultColWidth="8.85546875" defaultRowHeight="15" outlineLevelRow="1" x14ac:dyDescent="0.25"/>
  <cols>
    <col min="1" max="1" width="14" style="79" customWidth="1"/>
    <col min="2" max="5" width="14.85546875" style="79" customWidth="1"/>
    <col min="6" max="6" width="8.85546875" style="79"/>
    <col min="7" max="9" width="13.7109375" style="79" bestFit="1" customWidth="1"/>
    <col min="10" max="10" width="10.140625" style="79" bestFit="1" customWidth="1"/>
    <col min="11" max="12" width="13.7109375" style="79" bestFit="1" customWidth="1"/>
    <col min="13" max="16384" width="8.85546875" style="79"/>
  </cols>
  <sheetData>
    <row r="1" spans="1:5" x14ac:dyDescent="0.25">
      <c r="A1" s="79" t="s">
        <v>48</v>
      </c>
    </row>
    <row r="2" spans="1:5" x14ac:dyDescent="0.25">
      <c r="A2" s="79" t="s">
        <v>49</v>
      </c>
    </row>
    <row r="4" spans="1:5" x14ac:dyDescent="0.25">
      <c r="A4" s="141" t="s">
        <v>50</v>
      </c>
    </row>
    <row r="5" spans="1:5" x14ac:dyDescent="0.25">
      <c r="A5" s="141" t="s">
        <v>51</v>
      </c>
    </row>
    <row r="6" spans="1:5" x14ac:dyDescent="0.25">
      <c r="A6" s="141" t="s">
        <v>52</v>
      </c>
    </row>
    <row r="7" spans="1:5" x14ac:dyDescent="0.25">
      <c r="A7" s="80"/>
      <c r="B7" s="81"/>
      <c r="C7" s="81"/>
      <c r="D7" s="81"/>
      <c r="E7" s="82" t="s">
        <v>53</v>
      </c>
    </row>
    <row r="8" spans="1:5" x14ac:dyDescent="0.25">
      <c r="A8" s="82" t="s">
        <v>54</v>
      </c>
      <c r="B8" s="82" t="s">
        <v>55</v>
      </c>
      <c r="C8" s="82" t="s">
        <v>56</v>
      </c>
      <c r="D8" s="82" t="s">
        <v>57</v>
      </c>
      <c r="E8" s="82" t="s">
        <v>58</v>
      </c>
    </row>
    <row r="9" spans="1:5" x14ac:dyDescent="0.25">
      <c r="A9" s="83" t="s">
        <v>59</v>
      </c>
      <c r="B9" s="84" t="s">
        <v>60</v>
      </c>
      <c r="C9" s="84" t="s">
        <v>61</v>
      </c>
      <c r="D9" s="84" t="s">
        <v>62</v>
      </c>
      <c r="E9" s="84" t="s">
        <v>63</v>
      </c>
    </row>
    <row r="10" spans="1:5" x14ac:dyDescent="0.25">
      <c r="A10" s="87" t="s">
        <v>64</v>
      </c>
      <c r="B10" s="142"/>
      <c r="C10" s="142"/>
      <c r="D10" s="142"/>
      <c r="E10" s="142">
        <v>-1039730.28</v>
      </c>
    </row>
    <row r="11" spans="1:5" x14ac:dyDescent="0.25">
      <c r="A11" s="143">
        <v>43131</v>
      </c>
      <c r="B11" s="142">
        <v>1137197.29</v>
      </c>
      <c r="C11" s="142">
        <v>1243110.99</v>
      </c>
      <c r="D11" s="142">
        <v>-105913.7</v>
      </c>
      <c r="E11" s="142">
        <v>-1145643.98</v>
      </c>
    </row>
    <row r="12" spans="1:5" x14ac:dyDescent="0.25">
      <c r="A12" s="143">
        <f>A11+28</f>
        <v>43159</v>
      </c>
      <c r="B12" s="142">
        <v>716073.58</v>
      </c>
      <c r="C12" s="142">
        <v>751877.51</v>
      </c>
      <c r="D12" s="142">
        <v>-35803.93</v>
      </c>
      <c r="E12" s="142">
        <v>-1181447.9099999999</v>
      </c>
    </row>
    <row r="13" spans="1:5" x14ac:dyDescent="0.25">
      <c r="A13" s="143">
        <f>A12+31</f>
        <v>43190</v>
      </c>
      <c r="B13" s="142">
        <v>410711.22</v>
      </c>
      <c r="C13" s="142">
        <v>462480.4</v>
      </c>
      <c r="D13" s="142">
        <v>-51769.18</v>
      </c>
      <c r="E13" s="142">
        <v>-1233217.0900000001</v>
      </c>
    </row>
    <row r="14" spans="1:5" x14ac:dyDescent="0.25">
      <c r="A14" s="143">
        <f>A13+30</f>
        <v>43220</v>
      </c>
      <c r="B14" s="142">
        <v>379937.64</v>
      </c>
      <c r="C14" s="142">
        <v>411557.66</v>
      </c>
      <c r="D14" s="142">
        <v>-31620.02</v>
      </c>
      <c r="E14" s="142">
        <v>-1264837.1100000001</v>
      </c>
    </row>
    <row r="15" spans="1:5" x14ac:dyDescent="0.25">
      <c r="A15" s="143">
        <f t="shared" ref="A15" si="0">A14+31</f>
        <v>43251</v>
      </c>
      <c r="B15" s="142">
        <v>380090.57</v>
      </c>
      <c r="C15" s="142">
        <v>345638.05</v>
      </c>
      <c r="D15" s="142">
        <v>34452.519999999997</v>
      </c>
      <c r="E15" s="142">
        <v>-1230384.5900000001</v>
      </c>
    </row>
    <row r="16" spans="1:5" x14ac:dyDescent="0.25">
      <c r="A16" s="143">
        <f>A15+30</f>
        <v>43281</v>
      </c>
      <c r="B16" s="142">
        <v>432055.63</v>
      </c>
      <c r="C16" s="142">
        <v>394024.44</v>
      </c>
      <c r="D16" s="142">
        <v>38031.19</v>
      </c>
      <c r="E16" s="142">
        <v>-1192353.3999999999</v>
      </c>
    </row>
    <row r="17" spans="1:7" x14ac:dyDescent="0.25">
      <c r="A17" s="143">
        <f>A16+31</f>
        <v>43312</v>
      </c>
      <c r="B17" s="142">
        <v>587762.09</v>
      </c>
      <c r="C17" s="142">
        <v>405426.33</v>
      </c>
      <c r="D17" s="142">
        <v>182335.76</v>
      </c>
      <c r="E17" s="142">
        <v>-1010017.64</v>
      </c>
    </row>
    <row r="18" spans="1:7" x14ac:dyDescent="0.25">
      <c r="A18" s="143">
        <f>A17+31</f>
        <v>43343</v>
      </c>
      <c r="B18" s="142">
        <v>594955.23</v>
      </c>
      <c r="C18" s="142">
        <v>455068.58</v>
      </c>
      <c r="D18" s="142">
        <v>139886.65</v>
      </c>
      <c r="E18" s="142">
        <v>-870130.99</v>
      </c>
    </row>
    <row r="19" spans="1:7" x14ac:dyDescent="0.25">
      <c r="A19" s="143">
        <f t="shared" ref="A19:A21" si="1">A18+30</f>
        <v>43373</v>
      </c>
      <c r="B19" s="142">
        <v>1240486.3500000001</v>
      </c>
      <c r="C19" s="142">
        <v>869573.32</v>
      </c>
      <c r="D19" s="142">
        <v>370913.03</v>
      </c>
      <c r="E19" s="142">
        <v>-499217.96</v>
      </c>
    </row>
    <row r="20" spans="1:7" x14ac:dyDescent="0.25">
      <c r="A20" s="143">
        <f>A19+31</f>
        <v>43404</v>
      </c>
      <c r="B20" s="142">
        <v>295535.78999999998</v>
      </c>
      <c r="C20" s="142">
        <v>404625.08</v>
      </c>
      <c r="D20" s="142">
        <v>-109089.29</v>
      </c>
      <c r="E20" s="142">
        <v>-608307.25</v>
      </c>
      <c r="G20" s="144"/>
    </row>
    <row r="21" spans="1:7" x14ac:dyDescent="0.25">
      <c r="A21" s="143">
        <f t="shared" si="1"/>
        <v>43434</v>
      </c>
      <c r="B21" s="142">
        <v>388810.69</v>
      </c>
      <c r="C21" s="142">
        <v>375640.63</v>
      </c>
      <c r="D21" s="142">
        <v>13170.06</v>
      </c>
      <c r="E21" s="142">
        <v>-595137.18999999994</v>
      </c>
    </row>
    <row r="22" spans="1:7" x14ac:dyDescent="0.25">
      <c r="A22" s="143">
        <f>A21+31</f>
        <v>43465</v>
      </c>
      <c r="B22" s="142">
        <v>264359.45</v>
      </c>
      <c r="C22" s="142">
        <v>268473.73</v>
      </c>
      <c r="D22" s="142">
        <v>-4114.28</v>
      </c>
      <c r="E22" s="142">
        <v>-599251.47</v>
      </c>
    </row>
    <row r="23" spans="1:7" x14ac:dyDescent="0.25">
      <c r="A23" s="92"/>
      <c r="B23" s="93"/>
      <c r="C23" s="93"/>
      <c r="D23" s="93"/>
      <c r="E23" s="93"/>
    </row>
    <row r="24" spans="1:7" x14ac:dyDescent="0.25">
      <c r="A24" s="92"/>
      <c r="B24" s="88"/>
      <c r="C24" s="179" t="s">
        <v>65</v>
      </c>
      <c r="D24" s="89">
        <f>SUM(D11:D23)</f>
        <v>440478.81000000006</v>
      </c>
      <c r="E24" s="93"/>
    </row>
    <row r="25" spans="1:7" x14ac:dyDescent="0.25">
      <c r="A25" s="92"/>
      <c r="B25" s="93"/>
      <c r="C25" s="93"/>
      <c r="D25" s="93"/>
      <c r="E25" s="93"/>
    </row>
    <row r="26" spans="1:7" x14ac:dyDescent="0.25">
      <c r="A26" s="92"/>
      <c r="B26" s="90" t="s">
        <v>66</v>
      </c>
      <c r="C26" s="180"/>
      <c r="D26" s="181"/>
      <c r="E26" s="89">
        <f>E22-E10</f>
        <v>440478.81000000006</v>
      </c>
    </row>
    <row r="27" spans="1:7" x14ac:dyDescent="0.25">
      <c r="A27" s="92"/>
      <c r="B27" s="93"/>
      <c r="C27" s="93"/>
      <c r="D27" s="93"/>
      <c r="E27" s="131"/>
    </row>
    <row r="28" spans="1:7" x14ac:dyDescent="0.25">
      <c r="A28" s="92"/>
      <c r="B28" s="93"/>
      <c r="C28" s="93"/>
      <c r="D28" s="93"/>
      <c r="E28" s="93"/>
    </row>
    <row r="29" spans="1:7" x14ac:dyDescent="0.25">
      <c r="A29" s="87" t="s">
        <v>64</v>
      </c>
      <c r="B29" s="142"/>
      <c r="C29" s="142"/>
      <c r="D29" s="142"/>
      <c r="E29" s="142">
        <v>-1629651.94</v>
      </c>
    </row>
    <row r="30" spans="1:7" x14ac:dyDescent="0.25">
      <c r="A30" s="143">
        <v>42766</v>
      </c>
      <c r="B30" s="142">
        <v>730006.85</v>
      </c>
      <c r="C30" s="142">
        <v>790058.41</v>
      </c>
      <c r="D30" s="142">
        <v>-60051.56</v>
      </c>
      <c r="E30" s="142">
        <v>-1689703.5</v>
      </c>
    </row>
    <row r="31" spans="1:7" x14ac:dyDescent="0.25">
      <c r="A31" s="143">
        <f>A30+28</f>
        <v>42794</v>
      </c>
      <c r="B31" s="142">
        <v>608686.03</v>
      </c>
      <c r="C31" s="142">
        <v>1129301.5900000001</v>
      </c>
      <c r="D31" s="142">
        <v>-520615.56</v>
      </c>
      <c r="E31" s="142">
        <v>-2210319.06</v>
      </c>
    </row>
    <row r="32" spans="1:7" x14ac:dyDescent="0.25">
      <c r="A32" s="143">
        <f>A31+31</f>
        <v>42825</v>
      </c>
      <c r="B32" s="142">
        <v>740269.19</v>
      </c>
      <c r="C32" s="142">
        <v>907912.68</v>
      </c>
      <c r="D32" s="142">
        <v>-167643.49</v>
      </c>
      <c r="E32" s="142">
        <v>-2377962.5499999998</v>
      </c>
    </row>
    <row r="33" spans="1:5" x14ac:dyDescent="0.25">
      <c r="A33" s="143">
        <f>A32+30</f>
        <v>42855</v>
      </c>
      <c r="B33" s="142">
        <v>559630.43000000005</v>
      </c>
      <c r="C33" s="142">
        <v>533073.31000000006</v>
      </c>
      <c r="D33" s="142">
        <v>26557.119999999999</v>
      </c>
      <c r="E33" s="142">
        <v>-2351405.4300000002</v>
      </c>
    </row>
    <row r="34" spans="1:5" x14ac:dyDescent="0.25">
      <c r="A34" s="143">
        <f t="shared" ref="A34" si="2">A33+31</f>
        <v>42886</v>
      </c>
      <c r="B34" s="142">
        <v>498443.68</v>
      </c>
      <c r="C34" s="142">
        <v>526195.55000000005</v>
      </c>
      <c r="D34" s="142">
        <v>-27751.87</v>
      </c>
      <c r="E34" s="142">
        <v>-2379157.2999999998</v>
      </c>
    </row>
    <row r="35" spans="1:5" x14ac:dyDescent="0.25">
      <c r="A35" s="143">
        <f>A34+30</f>
        <v>42916</v>
      </c>
      <c r="B35" s="142">
        <v>640017.76</v>
      </c>
      <c r="C35" s="142">
        <v>364503.5</v>
      </c>
      <c r="D35" s="142">
        <v>275514.26</v>
      </c>
      <c r="E35" s="142">
        <v>-2103643.04</v>
      </c>
    </row>
    <row r="36" spans="1:5" x14ac:dyDescent="0.25">
      <c r="A36" s="143">
        <f>A35+31</f>
        <v>42947</v>
      </c>
      <c r="B36" s="142">
        <v>880985.69</v>
      </c>
      <c r="C36" s="142">
        <v>136966.17000000001</v>
      </c>
      <c r="D36" s="142">
        <v>744019.52</v>
      </c>
      <c r="E36" s="142">
        <v>-1359623.52</v>
      </c>
    </row>
    <row r="37" spans="1:5" x14ac:dyDescent="0.25">
      <c r="A37" s="143">
        <f>A36+31</f>
        <v>42978</v>
      </c>
      <c r="B37" s="142">
        <v>818630.79</v>
      </c>
      <c r="C37" s="142">
        <v>541070.43999999994</v>
      </c>
      <c r="D37" s="142">
        <v>277560.34999999998</v>
      </c>
      <c r="E37" s="142">
        <v>-1082063.17</v>
      </c>
    </row>
    <row r="38" spans="1:5" x14ac:dyDescent="0.25">
      <c r="A38" s="143">
        <f t="shared" ref="A38:A40" si="3">A37+30</f>
        <v>43008</v>
      </c>
      <c r="B38" s="142">
        <v>670658.93999999994</v>
      </c>
      <c r="C38" s="142">
        <v>434309.08</v>
      </c>
      <c r="D38" s="142">
        <v>236349.86</v>
      </c>
      <c r="E38" s="142">
        <v>-845713.31</v>
      </c>
    </row>
    <row r="39" spans="1:5" x14ac:dyDescent="0.25">
      <c r="A39" s="143">
        <f>A38+31</f>
        <v>43039</v>
      </c>
      <c r="B39" s="142">
        <v>620162.51</v>
      </c>
      <c r="C39" s="142">
        <v>418299.33</v>
      </c>
      <c r="D39" s="142">
        <v>201863.18</v>
      </c>
      <c r="E39" s="142">
        <v>-643850.13</v>
      </c>
    </row>
    <row r="40" spans="1:5" x14ac:dyDescent="0.25">
      <c r="A40" s="143">
        <f t="shared" si="3"/>
        <v>43069</v>
      </c>
      <c r="B40" s="142">
        <v>563065.34</v>
      </c>
      <c r="C40" s="142">
        <v>498869.2</v>
      </c>
      <c r="D40" s="142">
        <v>64196.14</v>
      </c>
      <c r="E40" s="142">
        <v>-579653.99</v>
      </c>
    </row>
    <row r="41" spans="1:5" x14ac:dyDescent="0.25">
      <c r="A41" s="143">
        <f>A40+31</f>
        <v>43100</v>
      </c>
      <c r="B41" s="142">
        <v>526604.43999999994</v>
      </c>
      <c r="C41" s="142">
        <v>986680.73</v>
      </c>
      <c r="D41" s="142">
        <v>-460076.29</v>
      </c>
      <c r="E41" s="142">
        <v>-1039730.28</v>
      </c>
    </row>
    <row r="42" spans="1:5" x14ac:dyDescent="0.25">
      <c r="A42" s="92"/>
      <c r="B42" s="93"/>
      <c r="C42" s="93"/>
      <c r="D42" s="93"/>
      <c r="E42" s="93"/>
    </row>
    <row r="43" spans="1:5" x14ac:dyDescent="0.25">
      <c r="A43" s="92"/>
      <c r="B43" s="88"/>
      <c r="C43" s="179" t="s">
        <v>65</v>
      </c>
      <c r="D43" s="89">
        <f>SUM(D30:D42)</f>
        <v>589921.65999999992</v>
      </c>
      <c r="E43" s="93"/>
    </row>
    <row r="44" spans="1:5" x14ac:dyDescent="0.25">
      <c r="A44" s="92"/>
      <c r="B44" s="93"/>
      <c r="C44" s="93"/>
      <c r="D44" s="93"/>
      <c r="E44" s="93"/>
    </row>
    <row r="45" spans="1:5" x14ac:dyDescent="0.25">
      <c r="A45" s="92"/>
      <c r="B45" s="90" t="s">
        <v>66</v>
      </c>
      <c r="C45" s="180"/>
      <c r="D45" s="181"/>
      <c r="E45" s="89">
        <f>E41-E29</f>
        <v>589921.65999999992</v>
      </c>
    </row>
    <row r="46" spans="1:5" x14ac:dyDescent="0.25">
      <c r="A46" s="82"/>
      <c r="B46" s="82"/>
      <c r="C46" s="82"/>
      <c r="D46" s="82"/>
      <c r="E46" s="82"/>
    </row>
    <row r="47" spans="1:5" x14ac:dyDescent="0.25">
      <c r="A47" s="82"/>
      <c r="B47" s="82"/>
      <c r="C47" s="82"/>
      <c r="D47" s="82"/>
      <c r="E47" s="82"/>
    </row>
    <row r="48" spans="1:5" x14ac:dyDescent="0.25">
      <c r="A48" s="83" t="s">
        <v>59</v>
      </c>
      <c r="B48" s="84" t="s">
        <v>60</v>
      </c>
      <c r="C48" s="84" t="s">
        <v>61</v>
      </c>
      <c r="D48" s="84" t="s">
        <v>62</v>
      </c>
      <c r="E48" s="84" t="s">
        <v>63</v>
      </c>
    </row>
    <row r="49" spans="1:5" x14ac:dyDescent="0.25">
      <c r="A49" s="87" t="s">
        <v>64</v>
      </c>
      <c r="B49" s="142"/>
      <c r="C49" s="142"/>
      <c r="D49" s="142"/>
      <c r="E49" s="142">
        <v>-1608336.92</v>
      </c>
    </row>
    <row r="50" spans="1:5" x14ac:dyDescent="0.25">
      <c r="A50" s="143">
        <v>42400</v>
      </c>
      <c r="B50" s="142">
        <v>787325.6</v>
      </c>
      <c r="C50" s="142">
        <v>1003174.92</v>
      </c>
      <c r="D50" s="142">
        <v>-215849.32</v>
      </c>
      <c r="E50" s="142">
        <v>-1824186.24</v>
      </c>
    </row>
    <row r="51" spans="1:5" x14ac:dyDescent="0.25">
      <c r="A51" s="143">
        <f>A50+29</f>
        <v>42429</v>
      </c>
      <c r="B51" s="142">
        <v>882901.6</v>
      </c>
      <c r="C51" s="142">
        <v>662282.9</v>
      </c>
      <c r="D51" s="142">
        <v>220618.7</v>
      </c>
      <c r="E51" s="142">
        <v>-1603567.54</v>
      </c>
    </row>
    <row r="52" spans="1:5" x14ac:dyDescent="0.25">
      <c r="A52" s="143">
        <f>A51+31</f>
        <v>42460</v>
      </c>
      <c r="B52" s="142">
        <v>738583.35</v>
      </c>
      <c r="C52" s="142">
        <v>385052.97</v>
      </c>
      <c r="D52" s="142">
        <v>353530.38</v>
      </c>
      <c r="E52" s="142">
        <v>-1250037.1599999999</v>
      </c>
    </row>
    <row r="53" spans="1:5" x14ac:dyDescent="0.25">
      <c r="A53" s="143">
        <f>A52+30</f>
        <v>42490</v>
      </c>
      <c r="B53" s="142">
        <v>315339.48</v>
      </c>
      <c r="C53" s="142">
        <v>444178.1</v>
      </c>
      <c r="D53" s="142">
        <v>-128838.62</v>
      </c>
      <c r="E53" s="142">
        <v>-1378875.78</v>
      </c>
    </row>
    <row r="54" spans="1:5" x14ac:dyDescent="0.25">
      <c r="A54" s="143">
        <f t="shared" ref="A54:A61" si="4">A53+31</f>
        <v>42521</v>
      </c>
      <c r="B54" s="142">
        <v>285826.65000000002</v>
      </c>
      <c r="C54" s="142">
        <v>491621.95</v>
      </c>
      <c r="D54" s="142">
        <v>-205795.3</v>
      </c>
      <c r="E54" s="142">
        <v>-1584671.08</v>
      </c>
    </row>
    <row r="55" spans="1:5" x14ac:dyDescent="0.25">
      <c r="A55" s="143">
        <f>A54+30</f>
        <v>42551</v>
      </c>
      <c r="B55" s="142">
        <v>659568.13</v>
      </c>
      <c r="C55" s="142">
        <v>581226.93999999994</v>
      </c>
      <c r="D55" s="142">
        <v>78341.19</v>
      </c>
      <c r="E55" s="142">
        <v>-1506329.89</v>
      </c>
    </row>
    <row r="56" spans="1:5" x14ac:dyDescent="0.25">
      <c r="A56" s="143">
        <f t="shared" si="4"/>
        <v>42582</v>
      </c>
      <c r="B56" s="142">
        <v>585666.36</v>
      </c>
      <c r="C56" s="142">
        <v>480162.61</v>
      </c>
      <c r="D56" s="142">
        <v>105503.75</v>
      </c>
      <c r="E56" s="142">
        <v>-1400826.14</v>
      </c>
    </row>
    <row r="57" spans="1:5" x14ac:dyDescent="0.25">
      <c r="A57" s="143">
        <f t="shared" si="4"/>
        <v>42613</v>
      </c>
      <c r="B57" s="142">
        <v>443614.79</v>
      </c>
      <c r="C57" s="142">
        <v>635794.48</v>
      </c>
      <c r="D57" s="142">
        <v>-192179.69</v>
      </c>
      <c r="E57" s="142">
        <v>-1593005.83</v>
      </c>
    </row>
    <row r="58" spans="1:5" x14ac:dyDescent="0.25">
      <c r="A58" s="143">
        <f>A57+30</f>
        <v>42643</v>
      </c>
      <c r="B58" s="142">
        <v>678320.72</v>
      </c>
      <c r="C58" s="142">
        <v>625683.75</v>
      </c>
      <c r="D58" s="142">
        <v>52636.97</v>
      </c>
      <c r="E58" s="142">
        <v>-1540368.86</v>
      </c>
    </row>
    <row r="59" spans="1:5" x14ac:dyDescent="0.25">
      <c r="A59" s="143">
        <f t="shared" si="4"/>
        <v>42674</v>
      </c>
      <c r="B59" s="142">
        <v>410153.5</v>
      </c>
      <c r="C59" s="142">
        <v>290894.55</v>
      </c>
      <c r="D59" s="142">
        <v>119258.95</v>
      </c>
      <c r="E59" s="142">
        <v>-1421109.91</v>
      </c>
    </row>
    <row r="60" spans="1:5" x14ac:dyDescent="0.25">
      <c r="A60" s="143">
        <f>A59+30</f>
        <v>42704</v>
      </c>
      <c r="B60" s="142">
        <v>494260.95</v>
      </c>
      <c r="C60" s="142">
        <v>427286.36</v>
      </c>
      <c r="D60" s="142">
        <v>66974.59</v>
      </c>
      <c r="E60" s="142">
        <v>-1354135.32</v>
      </c>
    </row>
    <row r="61" spans="1:5" x14ac:dyDescent="0.25">
      <c r="A61" s="143">
        <f t="shared" si="4"/>
        <v>42735</v>
      </c>
      <c r="B61" s="142">
        <v>543080.81999999995</v>
      </c>
      <c r="C61" s="142">
        <v>818597.44</v>
      </c>
      <c r="D61" s="142">
        <v>-275516.62</v>
      </c>
      <c r="E61" s="142">
        <v>-1629651.94</v>
      </c>
    </row>
    <row r="62" spans="1:5" x14ac:dyDescent="0.25">
      <c r="A62" s="92"/>
      <c r="B62" s="93"/>
      <c r="C62" s="93"/>
      <c r="D62" s="93"/>
      <c r="E62" s="93"/>
    </row>
    <row r="63" spans="1:5" x14ac:dyDescent="0.25">
      <c r="A63" s="92"/>
      <c r="B63" s="88"/>
      <c r="C63" s="179" t="s">
        <v>65</v>
      </c>
      <c r="D63" s="89">
        <f>SUM(D50:D62)</f>
        <v>-21315.01999999999</v>
      </c>
      <c r="E63" s="93"/>
    </row>
    <row r="64" spans="1:5" x14ac:dyDescent="0.25">
      <c r="A64" s="92"/>
      <c r="B64" s="93"/>
      <c r="C64" s="93"/>
      <c r="D64" s="93"/>
      <c r="E64" s="93"/>
    </row>
    <row r="65" spans="1:8" x14ac:dyDescent="0.25">
      <c r="A65" s="92"/>
      <c r="B65" s="90" t="s">
        <v>66</v>
      </c>
      <c r="C65" s="180"/>
      <c r="D65" s="181"/>
      <c r="E65" s="89">
        <f>E61-E49</f>
        <v>-21315.020000000019</v>
      </c>
    </row>
    <row r="66" spans="1:8" x14ac:dyDescent="0.25">
      <c r="A66" s="92"/>
      <c r="B66" s="93"/>
      <c r="C66" s="93"/>
      <c r="D66" s="93"/>
      <c r="E66" s="93"/>
    </row>
    <row r="67" spans="1:8" x14ac:dyDescent="0.25">
      <c r="A67" s="85"/>
      <c r="B67" s="86"/>
      <c r="C67" s="86"/>
      <c r="D67" s="86"/>
      <c r="E67" s="86"/>
    </row>
    <row r="68" spans="1:8" x14ac:dyDescent="0.25">
      <c r="A68" s="87" t="s">
        <v>64</v>
      </c>
      <c r="B68" s="142"/>
      <c r="C68" s="142"/>
      <c r="D68" s="142"/>
      <c r="E68" s="142">
        <v>-1306919.18</v>
      </c>
    </row>
    <row r="69" spans="1:8" x14ac:dyDescent="0.25">
      <c r="A69" s="143">
        <v>42035</v>
      </c>
      <c r="B69" s="142">
        <v>508806.85</v>
      </c>
      <c r="C69" s="142">
        <v>511200.79</v>
      </c>
      <c r="D69" s="142">
        <v>-2393.94</v>
      </c>
      <c r="E69" s="142">
        <v>-1309313.1200000001</v>
      </c>
    </row>
    <row r="70" spans="1:8" x14ac:dyDescent="0.25">
      <c r="A70" s="143">
        <f>A69+28</f>
        <v>42063</v>
      </c>
      <c r="B70" s="142">
        <v>466862.49</v>
      </c>
      <c r="C70" s="142">
        <v>525093.24</v>
      </c>
      <c r="D70" s="142">
        <v>-58230.75</v>
      </c>
      <c r="E70" s="142">
        <v>-1367543.87</v>
      </c>
      <c r="H70" s="91"/>
    </row>
    <row r="71" spans="1:8" x14ac:dyDescent="0.25">
      <c r="A71" s="143">
        <f>A70+31</f>
        <v>42094</v>
      </c>
      <c r="B71" s="142">
        <v>506647.66</v>
      </c>
      <c r="C71" s="142">
        <v>716502.61</v>
      </c>
      <c r="D71" s="142">
        <v>-209854.95</v>
      </c>
      <c r="E71" s="142">
        <v>-1577398.82</v>
      </c>
    </row>
    <row r="72" spans="1:8" x14ac:dyDescent="0.25">
      <c r="A72" s="143">
        <f>A71+30</f>
        <v>42124</v>
      </c>
      <c r="B72" s="142">
        <v>384777.15</v>
      </c>
      <c r="C72" s="142">
        <v>668338.66</v>
      </c>
      <c r="D72" s="142">
        <v>-283561.51</v>
      </c>
      <c r="E72" s="142">
        <v>-1860960.33</v>
      </c>
    </row>
    <row r="73" spans="1:8" x14ac:dyDescent="0.25">
      <c r="A73" s="143">
        <f t="shared" ref="A73:A80" si="5">A72+31</f>
        <v>42155</v>
      </c>
      <c r="B73" s="142">
        <v>435786.96</v>
      </c>
      <c r="C73" s="142">
        <v>530847.14</v>
      </c>
      <c r="D73" s="142">
        <v>-95060.18</v>
      </c>
      <c r="E73" s="142">
        <v>-1956020.51</v>
      </c>
    </row>
    <row r="74" spans="1:8" x14ac:dyDescent="0.25">
      <c r="A74" s="143">
        <f>A73+30</f>
        <v>42185</v>
      </c>
      <c r="B74" s="142">
        <v>682632.01</v>
      </c>
      <c r="C74" s="142">
        <v>593987.31000000006</v>
      </c>
      <c r="D74" s="142">
        <v>88644.7</v>
      </c>
      <c r="E74" s="142">
        <v>-1867375.81</v>
      </c>
    </row>
    <row r="75" spans="1:8" x14ac:dyDescent="0.25">
      <c r="A75" s="143">
        <f t="shared" si="5"/>
        <v>42216</v>
      </c>
      <c r="B75" s="142">
        <v>601156.36</v>
      </c>
      <c r="C75" s="142">
        <v>476045.48</v>
      </c>
      <c r="D75" s="142">
        <v>125110.88</v>
      </c>
      <c r="E75" s="142">
        <v>-1742264.93</v>
      </c>
    </row>
    <row r="76" spans="1:8" x14ac:dyDescent="0.25">
      <c r="A76" s="143">
        <f t="shared" si="5"/>
        <v>42247</v>
      </c>
      <c r="B76" s="142">
        <v>216438.58</v>
      </c>
      <c r="C76" s="142">
        <v>300450.15000000002</v>
      </c>
      <c r="D76" s="142">
        <v>-84011.57</v>
      </c>
      <c r="E76" s="142">
        <v>-1826276.5</v>
      </c>
    </row>
    <row r="77" spans="1:8" x14ac:dyDescent="0.25">
      <c r="A77" s="143">
        <f>A76+30</f>
        <v>42277</v>
      </c>
      <c r="B77" s="142">
        <v>141361.28</v>
      </c>
      <c r="C77" s="142">
        <v>501199.75</v>
      </c>
      <c r="D77" s="142">
        <v>-359838.47</v>
      </c>
      <c r="E77" s="142">
        <v>-2186114.9700000002</v>
      </c>
    </row>
    <row r="78" spans="1:8" x14ac:dyDescent="0.25">
      <c r="A78" s="143">
        <f t="shared" si="5"/>
        <v>42308</v>
      </c>
      <c r="B78" s="142">
        <v>773851.44</v>
      </c>
      <c r="C78" s="142">
        <v>462884.78</v>
      </c>
      <c r="D78" s="142">
        <v>310966.65999999997</v>
      </c>
      <c r="E78" s="142">
        <v>-1875148.31</v>
      </c>
    </row>
    <row r="79" spans="1:8" x14ac:dyDescent="0.25">
      <c r="A79" s="143">
        <f>A78+30</f>
        <v>42338</v>
      </c>
      <c r="B79" s="142">
        <v>202827.54</v>
      </c>
      <c r="C79" s="142">
        <v>262241.28999999998</v>
      </c>
      <c r="D79" s="142">
        <v>-59413.75</v>
      </c>
      <c r="E79" s="142">
        <v>-1934562.06</v>
      </c>
    </row>
    <row r="80" spans="1:8" x14ac:dyDescent="0.25">
      <c r="A80" s="143">
        <f t="shared" si="5"/>
        <v>42369</v>
      </c>
      <c r="B80" s="142">
        <v>786631.25</v>
      </c>
      <c r="C80" s="142">
        <v>460406.11</v>
      </c>
      <c r="D80" s="142">
        <v>326225.14</v>
      </c>
      <c r="E80" s="142">
        <v>-1608336.92</v>
      </c>
    </row>
    <row r="81" spans="1:12" x14ac:dyDescent="0.25">
      <c r="B81" s="130"/>
      <c r="C81" s="130"/>
      <c r="D81" s="130"/>
      <c r="E81" s="130"/>
    </row>
    <row r="82" spans="1:12" x14ac:dyDescent="0.25">
      <c r="B82" s="88"/>
      <c r="C82" s="179" t="s">
        <v>65</v>
      </c>
      <c r="D82" s="89">
        <f>SUM(D68:D81)</f>
        <v>-301417.74000000011</v>
      </c>
    </row>
    <row r="84" spans="1:12" x14ac:dyDescent="0.25">
      <c r="B84" s="90" t="s">
        <v>66</v>
      </c>
      <c r="C84" s="180"/>
      <c r="D84" s="181"/>
      <c r="E84" s="89">
        <f>E80-E68</f>
        <v>-301417.74</v>
      </c>
    </row>
    <row r="86" spans="1:12" x14ac:dyDescent="0.25">
      <c r="A86" s="87" t="s">
        <v>64</v>
      </c>
      <c r="B86" s="130"/>
      <c r="C86" s="130"/>
      <c r="D86" s="130"/>
      <c r="E86" s="142">
        <v>-1607130.96</v>
      </c>
      <c r="G86" s="145"/>
    </row>
    <row r="87" spans="1:12" x14ac:dyDescent="0.25">
      <c r="A87" s="143">
        <v>41670</v>
      </c>
      <c r="B87" s="142">
        <v>604159.06000000006</v>
      </c>
      <c r="C87" s="142">
        <v>859023.16</v>
      </c>
      <c r="D87" s="142">
        <v>-254864.1</v>
      </c>
      <c r="E87" s="142">
        <v>-1861995.06</v>
      </c>
    </row>
    <row r="88" spans="1:12" x14ac:dyDescent="0.25">
      <c r="A88" s="143">
        <f>A87+28</f>
        <v>41698</v>
      </c>
      <c r="B88" s="142">
        <v>610753.27</v>
      </c>
      <c r="C88" s="142">
        <v>582433.81999999995</v>
      </c>
      <c r="D88" s="142">
        <v>28319.45</v>
      </c>
      <c r="E88" s="142">
        <v>-1833675.61</v>
      </c>
    </row>
    <row r="89" spans="1:12" x14ac:dyDescent="0.25">
      <c r="A89" s="143">
        <f>A88+31</f>
        <v>41729</v>
      </c>
      <c r="B89" s="142">
        <v>648449.48</v>
      </c>
      <c r="C89" s="142">
        <v>608211.38</v>
      </c>
      <c r="D89" s="142">
        <v>40238.1</v>
      </c>
      <c r="E89" s="142">
        <v>-1793437.51</v>
      </c>
    </row>
    <row r="90" spans="1:12" x14ac:dyDescent="0.25">
      <c r="A90" s="143">
        <f>A89+30</f>
        <v>41759</v>
      </c>
      <c r="B90" s="142">
        <v>381098.35</v>
      </c>
      <c r="C90" s="142">
        <v>656592.65</v>
      </c>
      <c r="D90" s="142">
        <v>-275494.3</v>
      </c>
      <c r="E90" s="142">
        <v>-2068931.81</v>
      </c>
    </row>
    <row r="91" spans="1:12" x14ac:dyDescent="0.25">
      <c r="A91" s="143">
        <f t="shared" ref="A91:A98" si="6">A90+31</f>
        <v>41790</v>
      </c>
      <c r="B91" s="142">
        <v>518685.16</v>
      </c>
      <c r="C91" s="142">
        <v>606542.29</v>
      </c>
      <c r="D91" s="142">
        <v>-87857.13</v>
      </c>
      <c r="E91" s="142">
        <v>-2156788.94</v>
      </c>
    </row>
    <row r="92" spans="1:12" x14ac:dyDescent="0.25">
      <c r="A92" s="143">
        <f>A91+30</f>
        <v>41820</v>
      </c>
      <c r="B92" s="142">
        <v>823996.31</v>
      </c>
      <c r="C92" s="142">
        <v>904536.24</v>
      </c>
      <c r="D92" s="142">
        <v>-80539.929999999993</v>
      </c>
      <c r="E92" s="142">
        <v>-2237328.87</v>
      </c>
    </row>
    <row r="93" spans="1:12" x14ac:dyDescent="0.25">
      <c r="A93" s="143">
        <f t="shared" si="6"/>
        <v>41851</v>
      </c>
      <c r="B93" s="142">
        <v>884134.32</v>
      </c>
      <c r="C93" s="142">
        <v>810019</v>
      </c>
      <c r="D93" s="142">
        <v>74115.320000000007</v>
      </c>
      <c r="E93" s="142">
        <v>-2163213.5499999998</v>
      </c>
    </row>
    <row r="94" spans="1:12" x14ac:dyDescent="0.25">
      <c r="A94" s="143">
        <f t="shared" si="6"/>
        <v>41882</v>
      </c>
      <c r="B94" s="142">
        <v>865154.84</v>
      </c>
      <c r="C94" s="142">
        <v>660608.98</v>
      </c>
      <c r="D94" s="142">
        <v>204545.86</v>
      </c>
      <c r="E94" s="142">
        <v>-1958667.69</v>
      </c>
    </row>
    <row r="95" spans="1:12" x14ac:dyDescent="0.25">
      <c r="A95" s="143">
        <f>A94+30</f>
        <v>41912</v>
      </c>
      <c r="B95" s="142">
        <v>802408.73</v>
      </c>
      <c r="C95" s="142">
        <v>632000.85</v>
      </c>
      <c r="D95" s="142">
        <v>170407.88</v>
      </c>
      <c r="E95" s="142">
        <v>-1788259.81</v>
      </c>
      <c r="G95" s="130"/>
      <c r="H95" s="130"/>
      <c r="I95" s="146"/>
      <c r="J95" s="130"/>
      <c r="K95" s="146"/>
      <c r="L95" s="146"/>
    </row>
    <row r="96" spans="1:12" x14ac:dyDescent="0.25">
      <c r="A96" s="143">
        <f t="shared" si="6"/>
        <v>41943</v>
      </c>
      <c r="B96" s="142">
        <v>868764.58</v>
      </c>
      <c r="C96" s="142">
        <v>603444.38</v>
      </c>
      <c r="D96" s="142">
        <v>265320.2</v>
      </c>
      <c r="E96" s="142">
        <v>-1522939.61</v>
      </c>
      <c r="G96" s="130"/>
    </row>
    <row r="97" spans="1:9" x14ac:dyDescent="0.25">
      <c r="A97" s="143">
        <f>A96+30</f>
        <v>41973</v>
      </c>
      <c r="B97" s="142">
        <v>649912.31999999995</v>
      </c>
      <c r="C97" s="142">
        <v>609563.06000000006</v>
      </c>
      <c r="D97" s="142">
        <v>40349.26</v>
      </c>
      <c r="E97" s="142">
        <v>-1482590.35</v>
      </c>
      <c r="G97" s="146"/>
      <c r="I97" s="146"/>
    </row>
    <row r="98" spans="1:9" x14ac:dyDescent="0.25">
      <c r="A98" s="143">
        <f t="shared" si="6"/>
        <v>42004</v>
      </c>
      <c r="B98" s="142">
        <v>775400.82</v>
      </c>
      <c r="C98" s="142">
        <v>599729.65</v>
      </c>
      <c r="D98" s="142">
        <v>175671.17</v>
      </c>
      <c r="E98" s="142">
        <v>-1306919.18</v>
      </c>
    </row>
    <row r="99" spans="1:9" x14ac:dyDescent="0.25">
      <c r="B99" s="130"/>
      <c r="C99" s="130"/>
      <c r="D99" s="130"/>
      <c r="E99" s="130"/>
      <c r="H99" s="146"/>
    </row>
    <row r="100" spans="1:9" x14ac:dyDescent="0.25">
      <c r="B100" s="88"/>
      <c r="C100" s="179" t="s">
        <v>65</v>
      </c>
      <c r="D100" s="89">
        <f>SUM(D86:D99)</f>
        <v>300211.78000000014</v>
      </c>
    </row>
    <row r="102" spans="1:9" x14ac:dyDescent="0.25">
      <c r="B102" s="90" t="s">
        <v>66</v>
      </c>
      <c r="C102" s="180"/>
      <c r="D102" s="181"/>
      <c r="E102" s="89">
        <f>E98-E86</f>
        <v>300211.78000000003</v>
      </c>
    </row>
    <row r="104" spans="1:9" hidden="1" outlineLevel="1" x14ac:dyDescent="0.25">
      <c r="A104" s="87" t="s">
        <v>64</v>
      </c>
      <c r="B104" s="145">
        <v>0</v>
      </c>
      <c r="C104" s="145">
        <v>0</v>
      </c>
      <c r="D104" s="145">
        <v>0</v>
      </c>
      <c r="E104" s="145">
        <v>-2479144.15</v>
      </c>
    </row>
    <row r="105" spans="1:9" hidden="1" outlineLevel="1" x14ac:dyDescent="0.25">
      <c r="A105" s="91">
        <v>40574</v>
      </c>
      <c r="B105" s="145">
        <v>13490431.609999999</v>
      </c>
      <c r="C105" s="145">
        <v>13617945.76</v>
      </c>
      <c r="D105" s="145">
        <v>-127514.15</v>
      </c>
      <c r="E105" s="145">
        <v>-2606658.2999999998</v>
      </c>
    </row>
    <row r="106" spans="1:9" hidden="1" outlineLevel="1" x14ac:dyDescent="0.25">
      <c r="A106" s="91">
        <v>40602</v>
      </c>
      <c r="B106" s="145">
        <v>13702936.84</v>
      </c>
      <c r="C106" s="145">
        <v>13757812.380000001</v>
      </c>
      <c r="D106" s="145">
        <v>-54875.54</v>
      </c>
      <c r="E106" s="145">
        <v>-2661533.84</v>
      </c>
    </row>
    <row r="107" spans="1:9" hidden="1" outlineLevel="1" x14ac:dyDescent="0.25">
      <c r="A107" s="91">
        <v>40633</v>
      </c>
      <c r="B107" s="145">
        <v>13892569.189999999</v>
      </c>
      <c r="C107" s="145">
        <v>13724799.58</v>
      </c>
      <c r="D107" s="145">
        <v>167769.60999999999</v>
      </c>
      <c r="E107" s="145">
        <v>-2493764.23</v>
      </c>
    </row>
    <row r="108" spans="1:9" hidden="1" outlineLevel="1" x14ac:dyDescent="0.25">
      <c r="A108" s="91">
        <v>40663</v>
      </c>
      <c r="B108" s="145">
        <v>13881203.630000001</v>
      </c>
      <c r="C108" s="145">
        <v>13740520.77</v>
      </c>
      <c r="D108" s="145">
        <v>140682.85999999999</v>
      </c>
      <c r="E108" s="145">
        <v>-2353081.37</v>
      </c>
    </row>
    <row r="109" spans="1:9" hidden="1" outlineLevel="1" x14ac:dyDescent="0.25">
      <c r="A109" s="91">
        <v>40694</v>
      </c>
      <c r="B109" s="145">
        <v>14053527.93</v>
      </c>
      <c r="C109" s="145">
        <v>13767250.630000001</v>
      </c>
      <c r="D109" s="145">
        <v>286277.3</v>
      </c>
      <c r="E109" s="145">
        <v>-2066804.07</v>
      </c>
    </row>
    <row r="110" spans="1:9" hidden="1" outlineLevel="1" x14ac:dyDescent="0.25">
      <c r="A110" s="91">
        <v>40724</v>
      </c>
      <c r="B110" s="145">
        <v>14234900.619999999</v>
      </c>
      <c r="C110" s="145">
        <v>13982085.07</v>
      </c>
      <c r="D110" s="145">
        <v>252815.55</v>
      </c>
      <c r="E110" s="145">
        <v>-1813988.52</v>
      </c>
    </row>
    <row r="111" spans="1:9" hidden="1" outlineLevel="1" x14ac:dyDescent="0.25">
      <c r="A111" s="91">
        <v>40755</v>
      </c>
      <c r="B111" s="145">
        <v>14411851.91</v>
      </c>
      <c r="C111" s="145">
        <v>14285374.85</v>
      </c>
      <c r="D111" s="145">
        <v>126477.06</v>
      </c>
      <c r="E111" s="145">
        <v>-1687511.46</v>
      </c>
    </row>
    <row r="112" spans="1:9" hidden="1" outlineLevel="1" x14ac:dyDescent="0.25">
      <c r="A112" s="91">
        <v>40786</v>
      </c>
      <c r="B112" s="145">
        <v>14791413.380000001</v>
      </c>
      <c r="C112" s="145">
        <v>14783490.9</v>
      </c>
      <c r="D112" s="145">
        <v>7922.48</v>
      </c>
      <c r="E112" s="145">
        <v>-1679588.98</v>
      </c>
    </row>
    <row r="113" spans="1:5" hidden="1" outlineLevel="1" x14ac:dyDescent="0.25">
      <c r="A113" s="91">
        <v>40816</v>
      </c>
      <c r="B113" s="145">
        <v>15546853.210000001</v>
      </c>
      <c r="C113" s="145">
        <v>15515881.220000001</v>
      </c>
      <c r="D113" s="145">
        <v>30971.99</v>
      </c>
      <c r="E113" s="145">
        <v>-1648616.99</v>
      </c>
    </row>
    <row r="114" spans="1:5" hidden="1" outlineLevel="1" x14ac:dyDescent="0.25">
      <c r="A114" s="91">
        <v>40847</v>
      </c>
      <c r="B114" s="145">
        <v>16104517.029999999</v>
      </c>
      <c r="C114" s="145">
        <v>16289400.949999999</v>
      </c>
      <c r="D114" s="145">
        <v>-184883.92</v>
      </c>
      <c r="E114" s="145">
        <v>-1833500.91</v>
      </c>
    </row>
    <row r="115" spans="1:5" hidden="1" outlineLevel="1" x14ac:dyDescent="0.25">
      <c r="A115" s="91">
        <v>40877</v>
      </c>
      <c r="B115" s="145">
        <v>16643636.369999999</v>
      </c>
      <c r="C115" s="145">
        <v>16812041.739999998</v>
      </c>
      <c r="D115" s="145">
        <v>-168405.37</v>
      </c>
      <c r="E115" s="145">
        <v>-2001906.28</v>
      </c>
    </row>
    <row r="116" spans="1:5" hidden="1" outlineLevel="1" x14ac:dyDescent="0.25">
      <c r="A116" s="91">
        <v>40908</v>
      </c>
      <c r="B116" s="145">
        <v>17360222.850000001</v>
      </c>
      <c r="C116" s="145">
        <v>17496068.02</v>
      </c>
      <c r="D116" s="145">
        <v>-135845.17000000001</v>
      </c>
      <c r="E116" s="145">
        <v>-2137751.4500000002</v>
      </c>
    </row>
    <row r="117" spans="1:5" hidden="1" outlineLevel="1" x14ac:dyDescent="0.25">
      <c r="B117" s="130"/>
      <c r="C117" s="130"/>
      <c r="D117" s="130"/>
      <c r="E117" s="130"/>
    </row>
    <row r="118" spans="1:5" hidden="1" outlineLevel="1" x14ac:dyDescent="0.25">
      <c r="B118" s="88"/>
      <c r="C118" s="179" t="s">
        <v>65</v>
      </c>
      <c r="D118" s="89">
        <v>341392.69999999984</v>
      </c>
    </row>
    <row r="119" spans="1:5" hidden="1" outlineLevel="1" x14ac:dyDescent="0.25"/>
    <row r="120" spans="1:5" hidden="1" outlineLevel="1" x14ac:dyDescent="0.25">
      <c r="B120" s="90" t="s">
        <v>66</v>
      </c>
      <c r="C120" s="180"/>
      <c r="D120" s="181"/>
      <c r="E120" s="89">
        <v>341392.69999999972</v>
      </c>
    </row>
    <row r="121" spans="1:5" hidden="1" outlineLevel="1" x14ac:dyDescent="0.25"/>
    <row r="122" spans="1:5" hidden="1" outlineLevel="1" x14ac:dyDescent="0.25">
      <c r="A122" s="87" t="s">
        <v>64</v>
      </c>
      <c r="B122" s="130">
        <v>0</v>
      </c>
      <c r="C122" s="130">
        <v>0</v>
      </c>
      <c r="D122" s="130">
        <v>0</v>
      </c>
      <c r="E122" s="130">
        <v>-2197858.0499999998</v>
      </c>
    </row>
    <row r="123" spans="1:5" hidden="1" outlineLevel="1" x14ac:dyDescent="0.25">
      <c r="A123" s="91">
        <v>40209</v>
      </c>
      <c r="B123" s="130">
        <v>7866501.6500000004</v>
      </c>
      <c r="C123" s="130">
        <v>7795548.1600000001</v>
      </c>
      <c r="D123" s="130">
        <v>70953.490000000005</v>
      </c>
      <c r="E123" s="130">
        <v>-2126904.56</v>
      </c>
    </row>
    <row r="124" spans="1:5" hidden="1" outlineLevel="1" x14ac:dyDescent="0.25">
      <c r="A124" s="91">
        <v>40237</v>
      </c>
      <c r="B124" s="130">
        <v>8140658.5</v>
      </c>
      <c r="C124" s="130">
        <v>8044960.0199999996</v>
      </c>
      <c r="D124" s="130">
        <v>95698.48</v>
      </c>
      <c r="E124" s="130">
        <v>-2031206.08</v>
      </c>
    </row>
    <row r="125" spans="1:5" hidden="1" outlineLevel="1" x14ac:dyDescent="0.25">
      <c r="A125" s="91">
        <v>40268</v>
      </c>
      <c r="B125" s="130">
        <v>8463937.9199999999</v>
      </c>
      <c r="C125" s="130">
        <v>8418834.1300000008</v>
      </c>
      <c r="D125" s="130">
        <v>45103.79</v>
      </c>
      <c r="E125" s="130">
        <v>-1986102.29</v>
      </c>
    </row>
    <row r="126" spans="1:5" hidden="1" outlineLevel="1" x14ac:dyDescent="0.25">
      <c r="A126" s="91">
        <v>40298</v>
      </c>
      <c r="B126" s="130">
        <v>8924828.4600000009</v>
      </c>
      <c r="C126" s="130">
        <v>8810000.6500000004</v>
      </c>
      <c r="D126" s="130">
        <v>114827.81</v>
      </c>
      <c r="E126" s="130">
        <v>-1871274.48</v>
      </c>
    </row>
    <row r="127" spans="1:5" hidden="1" outlineLevel="1" x14ac:dyDescent="0.25">
      <c r="A127" s="91">
        <v>40329</v>
      </c>
      <c r="B127" s="130">
        <v>9346478.4700000007</v>
      </c>
      <c r="C127" s="130">
        <v>9282922.6199999992</v>
      </c>
      <c r="D127" s="130">
        <v>63555.85</v>
      </c>
      <c r="E127" s="130">
        <v>-1807718.63</v>
      </c>
    </row>
    <row r="128" spans="1:5" hidden="1" outlineLevel="1" x14ac:dyDescent="0.25">
      <c r="A128" s="91">
        <v>40359</v>
      </c>
      <c r="B128" s="130">
        <v>19610758.800000001</v>
      </c>
      <c r="C128" s="130">
        <v>19520283.960000001</v>
      </c>
      <c r="D128" s="130">
        <v>90474.84</v>
      </c>
      <c r="E128" s="130">
        <v>-1717243.79</v>
      </c>
    </row>
    <row r="129" spans="1:5" hidden="1" outlineLevel="1" x14ac:dyDescent="0.25">
      <c r="A129" s="91">
        <v>40390</v>
      </c>
      <c r="B129" s="130">
        <v>10248909.199999999</v>
      </c>
      <c r="C129" s="130">
        <v>10151130.199999999</v>
      </c>
      <c r="D129" s="130">
        <v>97779</v>
      </c>
      <c r="E129" s="130">
        <v>-1619464.79</v>
      </c>
    </row>
    <row r="130" spans="1:5" hidden="1" outlineLevel="1" x14ac:dyDescent="0.25">
      <c r="A130" s="91">
        <v>40421</v>
      </c>
      <c r="B130" s="130">
        <v>10652049.15</v>
      </c>
      <c r="C130" s="130">
        <v>10626637.369999999</v>
      </c>
      <c r="D130" s="130">
        <v>25411.78</v>
      </c>
      <c r="E130" s="130">
        <v>-1594053.01</v>
      </c>
    </row>
    <row r="131" spans="1:5" hidden="1" outlineLevel="1" x14ac:dyDescent="0.25">
      <c r="A131" s="91">
        <v>40451</v>
      </c>
      <c r="B131" s="130">
        <v>11217627.75</v>
      </c>
      <c r="C131" s="130">
        <v>11237851.140000001</v>
      </c>
      <c r="D131" s="130">
        <v>-20223.39</v>
      </c>
      <c r="E131" s="130">
        <v>-1614276.4</v>
      </c>
    </row>
    <row r="132" spans="1:5" hidden="1" outlineLevel="1" x14ac:dyDescent="0.25">
      <c r="A132" s="91">
        <v>40482</v>
      </c>
      <c r="B132" s="130">
        <v>11796714.73</v>
      </c>
      <c r="C132" s="130">
        <v>11970434.539999999</v>
      </c>
      <c r="D132" s="130">
        <v>-173719.81</v>
      </c>
      <c r="E132" s="130">
        <v>-1787996.21</v>
      </c>
    </row>
    <row r="133" spans="1:5" hidden="1" outlineLevel="1" x14ac:dyDescent="0.25">
      <c r="A133" s="91">
        <v>40512</v>
      </c>
      <c r="B133" s="130">
        <v>12282313.300000001</v>
      </c>
      <c r="C133" s="130">
        <v>12729803.49</v>
      </c>
      <c r="D133" s="130">
        <v>-447490.19</v>
      </c>
      <c r="E133" s="130">
        <v>-2235486.4</v>
      </c>
    </row>
    <row r="134" spans="1:5" hidden="1" outlineLevel="1" x14ac:dyDescent="0.25">
      <c r="A134" s="91">
        <v>40543</v>
      </c>
      <c r="B134" s="130">
        <v>13047028.880000001</v>
      </c>
      <c r="C134" s="130">
        <v>13290686.630000001</v>
      </c>
      <c r="D134" s="130">
        <v>-243657.75</v>
      </c>
      <c r="E134" s="130">
        <v>-2479144.15</v>
      </c>
    </row>
    <row r="135" spans="1:5" hidden="1" outlineLevel="1" x14ac:dyDescent="0.25">
      <c r="B135" s="130"/>
      <c r="C135" s="130"/>
      <c r="D135" s="130"/>
      <c r="E135" s="130"/>
    </row>
    <row r="136" spans="1:5" hidden="1" outlineLevel="1" x14ac:dyDescent="0.25">
      <c r="B136" s="88"/>
      <c r="C136" s="179" t="s">
        <v>65</v>
      </c>
      <c r="D136" s="89">
        <v>-281286.09999999998</v>
      </c>
    </row>
    <row r="137" spans="1:5" hidden="1" outlineLevel="1" x14ac:dyDescent="0.25"/>
    <row r="138" spans="1:5" hidden="1" outlineLevel="1" x14ac:dyDescent="0.25">
      <c r="B138" s="90" t="s">
        <v>66</v>
      </c>
      <c r="C138" s="180"/>
      <c r="D138" s="181"/>
      <c r="E138" s="89">
        <v>-281286.10000000009</v>
      </c>
    </row>
    <row r="139" spans="1:5" hidden="1" outlineLevel="1" x14ac:dyDescent="0.25"/>
    <row r="140" spans="1:5" hidden="1" outlineLevel="1" x14ac:dyDescent="0.25">
      <c r="A140" s="87" t="s">
        <v>64</v>
      </c>
      <c r="B140" s="130">
        <v>0</v>
      </c>
      <c r="C140" s="130">
        <v>0</v>
      </c>
      <c r="D140" s="130">
        <v>0</v>
      </c>
      <c r="E140" s="130">
        <v>-1719418.91</v>
      </c>
    </row>
    <row r="141" spans="1:5" hidden="1" outlineLevel="1" x14ac:dyDescent="0.25">
      <c r="A141" s="91">
        <v>39844</v>
      </c>
      <c r="B141" s="130">
        <v>2477023.31</v>
      </c>
      <c r="C141" s="130">
        <v>2581548.86</v>
      </c>
      <c r="D141" s="130">
        <v>-104525.55</v>
      </c>
      <c r="E141" s="130">
        <v>-1823944.46</v>
      </c>
    </row>
    <row r="142" spans="1:5" hidden="1" outlineLevel="1" x14ac:dyDescent="0.25">
      <c r="A142" s="91">
        <v>39872</v>
      </c>
      <c r="B142" s="130">
        <v>1846886.53</v>
      </c>
      <c r="C142" s="130">
        <v>1838052.5</v>
      </c>
      <c r="D142" s="130">
        <v>8834.0300000000007</v>
      </c>
      <c r="E142" s="130">
        <v>-1815110.43</v>
      </c>
    </row>
    <row r="143" spans="1:5" hidden="1" outlineLevel="1" x14ac:dyDescent="0.25">
      <c r="A143" s="91">
        <v>39903</v>
      </c>
      <c r="B143" s="130">
        <v>2054898.62</v>
      </c>
      <c r="C143" s="130">
        <v>2061287.52</v>
      </c>
      <c r="D143" s="130">
        <v>-6388.9</v>
      </c>
      <c r="E143" s="130">
        <v>-1821499.33</v>
      </c>
    </row>
    <row r="144" spans="1:5" hidden="1" outlineLevel="1" x14ac:dyDescent="0.25">
      <c r="A144" s="91">
        <v>39933</v>
      </c>
      <c r="B144" s="130">
        <v>2385910.56</v>
      </c>
      <c r="C144" s="130">
        <v>2261142</v>
      </c>
      <c r="D144" s="130">
        <v>124768.56</v>
      </c>
      <c r="E144" s="130">
        <v>-1696730.77</v>
      </c>
    </row>
    <row r="145" spans="1:5" hidden="1" outlineLevel="1" x14ac:dyDescent="0.25">
      <c r="A145" s="91">
        <v>39964</v>
      </c>
      <c r="B145" s="130">
        <v>2612422.2599999998</v>
      </c>
      <c r="C145" s="130">
        <v>2542962.38</v>
      </c>
      <c r="D145" s="130">
        <v>69459.88</v>
      </c>
      <c r="E145" s="130">
        <v>-1627270.89</v>
      </c>
    </row>
    <row r="146" spans="1:5" hidden="1" outlineLevel="1" x14ac:dyDescent="0.25">
      <c r="A146" s="91">
        <v>39994</v>
      </c>
      <c r="B146" s="130">
        <v>3044490.01</v>
      </c>
      <c r="C146" s="130">
        <v>2929737.72</v>
      </c>
      <c r="D146" s="130">
        <v>114752.29</v>
      </c>
      <c r="E146" s="130">
        <v>-1512518.6</v>
      </c>
    </row>
    <row r="147" spans="1:5" hidden="1" outlineLevel="1" x14ac:dyDescent="0.25">
      <c r="A147" s="91">
        <v>40025</v>
      </c>
      <c r="B147" s="130">
        <v>3566969.87</v>
      </c>
      <c r="C147" s="130">
        <v>3517580.73</v>
      </c>
      <c r="D147" s="130">
        <v>49389.14</v>
      </c>
      <c r="E147" s="130">
        <v>-1463129.46</v>
      </c>
    </row>
    <row r="148" spans="1:5" hidden="1" outlineLevel="1" x14ac:dyDescent="0.25">
      <c r="A148" s="91">
        <v>40056</v>
      </c>
      <c r="B148" s="130">
        <v>4084032.35</v>
      </c>
      <c r="C148" s="130">
        <v>4089895.97</v>
      </c>
      <c r="D148" s="130">
        <v>-5863.62</v>
      </c>
      <c r="E148" s="130">
        <v>-1468993.08</v>
      </c>
    </row>
    <row r="149" spans="1:5" hidden="1" outlineLevel="1" x14ac:dyDescent="0.25">
      <c r="A149" s="91">
        <v>40086</v>
      </c>
      <c r="B149" s="130">
        <v>4892496.59</v>
      </c>
      <c r="C149" s="130">
        <v>4880642.6500000004</v>
      </c>
      <c r="D149" s="130">
        <v>11853.94</v>
      </c>
      <c r="E149" s="130">
        <v>-1457139.14</v>
      </c>
    </row>
    <row r="150" spans="1:5" hidden="1" outlineLevel="1" x14ac:dyDescent="0.25">
      <c r="A150" s="91">
        <v>40117</v>
      </c>
      <c r="B150" s="130">
        <v>5557986.8300000001</v>
      </c>
      <c r="C150" s="130">
        <v>5657550.54</v>
      </c>
      <c r="D150" s="130">
        <v>-99563.71</v>
      </c>
      <c r="E150" s="130">
        <v>-1556702.85</v>
      </c>
    </row>
    <row r="151" spans="1:5" hidden="1" outlineLevel="1" x14ac:dyDescent="0.25">
      <c r="A151" s="91">
        <v>40147</v>
      </c>
      <c r="B151" s="130">
        <v>6251094.0599999996</v>
      </c>
      <c r="C151" s="130">
        <v>6414807.2999999998</v>
      </c>
      <c r="D151" s="130">
        <v>-163713.24</v>
      </c>
      <c r="E151" s="130">
        <v>-1720416.09</v>
      </c>
    </row>
    <row r="152" spans="1:5" hidden="1" outlineLevel="1" x14ac:dyDescent="0.25">
      <c r="A152" s="91">
        <v>40178</v>
      </c>
      <c r="B152" s="130">
        <v>6939858.1600000001</v>
      </c>
      <c r="C152" s="130">
        <v>7417300.1200000001</v>
      </c>
      <c r="D152" s="130">
        <v>-477441.96</v>
      </c>
      <c r="E152" s="130">
        <v>-2197858.0499999998</v>
      </c>
    </row>
    <row r="153" spans="1:5" hidden="1" outlineLevel="1" x14ac:dyDescent="0.25">
      <c r="B153" s="130"/>
      <c r="C153" s="130"/>
      <c r="D153" s="130"/>
      <c r="E153" s="130"/>
    </row>
    <row r="154" spans="1:5" hidden="1" outlineLevel="1" x14ac:dyDescent="0.25">
      <c r="B154" s="88"/>
      <c r="C154" s="179" t="s">
        <v>65</v>
      </c>
      <c r="D154" s="89">
        <v>-478439.14</v>
      </c>
    </row>
    <row r="155" spans="1:5" hidden="1" outlineLevel="1" x14ac:dyDescent="0.25"/>
    <row r="156" spans="1:5" hidden="1" outlineLevel="1" x14ac:dyDescent="0.25">
      <c r="B156" s="90" t="s">
        <v>66</v>
      </c>
      <c r="C156" s="180"/>
      <c r="D156" s="181"/>
      <c r="E156" s="89">
        <v>-478439.1399999999</v>
      </c>
    </row>
    <row r="157" spans="1:5" hidden="1" outlineLevel="1" x14ac:dyDescent="0.25"/>
    <row r="158" spans="1:5" collapsed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B22" sqref="B22"/>
    </sheetView>
  </sheetViews>
  <sheetFormatPr defaultColWidth="8.85546875" defaultRowHeight="15" x14ac:dyDescent="0.25"/>
  <cols>
    <col min="1" max="1" width="56.28515625" style="172" customWidth="1"/>
    <col min="2" max="14" width="18.85546875" style="172" customWidth="1"/>
    <col min="15" max="16384" width="8.85546875" style="172"/>
  </cols>
  <sheetData>
    <row r="1" spans="1:14" x14ac:dyDescent="0.25">
      <c r="A1" s="172" t="s">
        <v>148</v>
      </c>
    </row>
    <row r="3" spans="1:14" x14ac:dyDescent="0.25">
      <c r="A3" s="77" t="s">
        <v>149</v>
      </c>
      <c r="B3" s="182" t="s">
        <v>150</v>
      </c>
      <c r="C3" s="182" t="s">
        <v>151</v>
      </c>
      <c r="D3" s="182" t="s">
        <v>152</v>
      </c>
      <c r="E3" s="182" t="s">
        <v>153</v>
      </c>
      <c r="F3" s="182" t="s">
        <v>154</v>
      </c>
      <c r="G3" s="182" t="s">
        <v>155</v>
      </c>
      <c r="H3" s="182" t="s">
        <v>156</v>
      </c>
      <c r="I3" s="182" t="s">
        <v>157</v>
      </c>
      <c r="J3" s="182" t="s">
        <v>158</v>
      </c>
      <c r="K3" s="182" t="s">
        <v>159</v>
      </c>
      <c r="L3" s="182" t="s">
        <v>160</v>
      </c>
      <c r="M3" s="182" t="s">
        <v>161</v>
      </c>
      <c r="N3" s="182" t="s">
        <v>162</v>
      </c>
    </row>
    <row r="4" spans="1:14" x14ac:dyDescent="0.25">
      <c r="A4" s="183" t="s">
        <v>163</v>
      </c>
      <c r="B4" s="184">
        <v>17972410.350000001</v>
      </c>
      <c r="C4" s="184">
        <v>1131075.73</v>
      </c>
      <c r="D4" s="184">
        <v>1322580.8999999999</v>
      </c>
      <c r="E4" s="184">
        <v>970299.98</v>
      </c>
      <c r="F4" s="184">
        <v>2492117</v>
      </c>
      <c r="G4" s="184">
        <v>1432790.93</v>
      </c>
      <c r="H4" s="184">
        <v>1326648.81</v>
      </c>
      <c r="I4" s="184">
        <v>1545742.83</v>
      </c>
      <c r="J4" s="184">
        <v>1661071.31</v>
      </c>
      <c r="K4" s="184">
        <v>1397378.28</v>
      </c>
      <c r="L4" s="184">
        <v>1596741.61</v>
      </c>
      <c r="M4" s="184">
        <v>1396812.44</v>
      </c>
      <c r="N4" s="184">
        <v>1699150.53</v>
      </c>
    </row>
    <row r="5" spans="1:14" x14ac:dyDescent="0.25">
      <c r="A5" s="183" t="s">
        <v>164</v>
      </c>
      <c r="B5" s="185">
        <v>415484.87</v>
      </c>
      <c r="C5" s="185">
        <v>415482.49</v>
      </c>
      <c r="D5" s="185">
        <v>0.83</v>
      </c>
      <c r="E5" s="185">
        <v>-324698.45</v>
      </c>
      <c r="F5" s="185">
        <v>324700</v>
      </c>
      <c r="G5" s="185">
        <v>0</v>
      </c>
      <c r="H5" s="185">
        <v>0</v>
      </c>
      <c r="I5" s="185">
        <v>0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</row>
    <row r="6" spans="1:14" x14ac:dyDescent="0.25">
      <c r="A6" s="183" t="s">
        <v>165</v>
      </c>
      <c r="B6" s="185">
        <v>138055.31</v>
      </c>
      <c r="C6" s="185">
        <v>138055.31</v>
      </c>
      <c r="D6" s="185">
        <v>0</v>
      </c>
      <c r="E6" s="185">
        <v>0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</row>
    <row r="7" spans="1:14" x14ac:dyDescent="0.25">
      <c r="A7" s="183" t="s">
        <v>166</v>
      </c>
      <c r="B7" s="185">
        <v>118854.72</v>
      </c>
      <c r="C7" s="185">
        <v>118854.72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</row>
    <row r="8" spans="1:14" x14ac:dyDescent="0.25">
      <c r="A8" s="186" t="s">
        <v>145</v>
      </c>
      <c r="B8" s="187">
        <v>93557.45</v>
      </c>
      <c r="C8" s="187">
        <v>93557.45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</row>
    <row r="9" spans="1:14" x14ac:dyDescent="0.25">
      <c r="A9" s="188" t="s">
        <v>167</v>
      </c>
      <c r="B9" s="189">
        <f>SUM(B4:B8)</f>
        <v>18738362.699999999</v>
      </c>
      <c r="C9" s="189">
        <f t="shared" ref="C9:N9" si="0">SUM(C4:C8)</f>
        <v>1897025.7</v>
      </c>
      <c r="D9" s="189">
        <f t="shared" si="0"/>
        <v>1322581.73</v>
      </c>
      <c r="E9" s="189">
        <f t="shared" si="0"/>
        <v>645601.53</v>
      </c>
      <c r="F9" s="189">
        <f t="shared" si="0"/>
        <v>2816817</v>
      </c>
      <c r="G9" s="189">
        <f t="shared" si="0"/>
        <v>1432790.93</v>
      </c>
      <c r="H9" s="189">
        <f t="shared" si="0"/>
        <v>1326648.81</v>
      </c>
      <c r="I9" s="189">
        <f t="shared" si="0"/>
        <v>1545742.83</v>
      </c>
      <c r="J9" s="189">
        <f t="shared" si="0"/>
        <v>1661071.31</v>
      </c>
      <c r="K9" s="189">
        <f t="shared" si="0"/>
        <v>1397378.28</v>
      </c>
      <c r="L9" s="189">
        <f t="shared" si="0"/>
        <v>1596741.61</v>
      </c>
      <c r="M9" s="189">
        <f t="shared" si="0"/>
        <v>1396812.44</v>
      </c>
      <c r="N9" s="189">
        <f t="shared" si="0"/>
        <v>1699150.53</v>
      </c>
    </row>
    <row r="10" spans="1:14" x14ac:dyDescent="0.25">
      <c r="A10" s="183" t="s">
        <v>168</v>
      </c>
      <c r="B10" s="185">
        <v>4330979.28</v>
      </c>
      <c r="C10" s="185">
        <v>238387.28</v>
      </c>
      <c r="D10" s="185">
        <v>369349.17</v>
      </c>
      <c r="E10" s="185">
        <v>267112.78999999998</v>
      </c>
      <c r="F10" s="185">
        <v>788329.15</v>
      </c>
      <c r="G10" s="185">
        <v>361005.39</v>
      </c>
      <c r="H10" s="185">
        <v>295681.52</v>
      </c>
      <c r="I10" s="185">
        <v>354261.68</v>
      </c>
      <c r="J10" s="185">
        <v>311003.87</v>
      </c>
      <c r="K10" s="185">
        <v>313030.38</v>
      </c>
      <c r="L10" s="185">
        <v>329167.71000000002</v>
      </c>
      <c r="M10" s="185">
        <v>321039.19</v>
      </c>
      <c r="N10" s="185">
        <v>382611.15</v>
      </c>
    </row>
    <row r="11" spans="1:14" x14ac:dyDescent="0.25">
      <c r="A11" s="183" t="s">
        <v>169</v>
      </c>
      <c r="B11" s="185">
        <v>0</v>
      </c>
      <c r="C11" s="185">
        <v>0</v>
      </c>
      <c r="D11" s="185">
        <v>0</v>
      </c>
      <c r="E11" s="185">
        <v>-205490</v>
      </c>
      <c r="F11" s="185">
        <v>205490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</row>
    <row r="12" spans="1:14" x14ac:dyDescent="0.25">
      <c r="A12" s="188" t="s">
        <v>40</v>
      </c>
      <c r="B12" s="189">
        <f>SUM(B10:B11)</f>
        <v>4330979.28</v>
      </c>
      <c r="C12" s="189">
        <f t="shared" ref="C12:N12" si="1">SUM(C10:C11)</f>
        <v>238387.28</v>
      </c>
      <c r="D12" s="189">
        <f t="shared" si="1"/>
        <v>369349.17</v>
      </c>
      <c r="E12" s="189">
        <f t="shared" si="1"/>
        <v>61622.789999999979</v>
      </c>
      <c r="F12" s="189">
        <f t="shared" si="1"/>
        <v>993819.15</v>
      </c>
      <c r="G12" s="189">
        <f t="shared" si="1"/>
        <v>361005.39</v>
      </c>
      <c r="H12" s="189">
        <f t="shared" si="1"/>
        <v>295681.52</v>
      </c>
      <c r="I12" s="189">
        <f t="shared" si="1"/>
        <v>354261.68</v>
      </c>
      <c r="J12" s="189">
        <f t="shared" si="1"/>
        <v>311003.87</v>
      </c>
      <c r="K12" s="189">
        <f t="shared" si="1"/>
        <v>313030.38</v>
      </c>
      <c r="L12" s="189">
        <f t="shared" si="1"/>
        <v>329167.71000000002</v>
      </c>
      <c r="M12" s="189">
        <f t="shared" si="1"/>
        <v>321039.19</v>
      </c>
      <c r="N12" s="189">
        <f t="shared" si="1"/>
        <v>382611.15</v>
      </c>
    </row>
    <row r="13" spans="1:14" x14ac:dyDescent="0.25">
      <c r="A13" s="183" t="s">
        <v>170</v>
      </c>
      <c r="B13" s="185">
        <v>6637.31</v>
      </c>
      <c r="C13" s="185">
        <v>0</v>
      </c>
      <c r="D13" s="185">
        <v>0</v>
      </c>
      <c r="E13" s="185">
        <v>6637.31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</row>
    <row r="14" spans="1:14" x14ac:dyDescent="0.25">
      <c r="A14" s="188" t="s">
        <v>147</v>
      </c>
      <c r="B14" s="189">
        <f>SUM(B13)</f>
        <v>6637.31</v>
      </c>
      <c r="C14" s="189">
        <f t="shared" ref="C14:N14" si="2">SUM(C13)</f>
        <v>0</v>
      </c>
      <c r="D14" s="189">
        <f t="shared" si="2"/>
        <v>0</v>
      </c>
      <c r="E14" s="189">
        <f t="shared" si="2"/>
        <v>6637.31</v>
      </c>
      <c r="F14" s="189">
        <f t="shared" si="2"/>
        <v>0</v>
      </c>
      <c r="G14" s="189">
        <f t="shared" si="2"/>
        <v>0</v>
      </c>
      <c r="H14" s="189">
        <f t="shared" si="2"/>
        <v>0</v>
      </c>
      <c r="I14" s="189">
        <f t="shared" si="2"/>
        <v>0</v>
      </c>
      <c r="J14" s="189">
        <f t="shared" si="2"/>
        <v>0</v>
      </c>
      <c r="K14" s="189">
        <f t="shared" si="2"/>
        <v>0</v>
      </c>
      <c r="L14" s="189">
        <f t="shared" si="2"/>
        <v>0</v>
      </c>
      <c r="M14" s="189">
        <f t="shared" si="2"/>
        <v>0</v>
      </c>
      <c r="N14" s="189">
        <f t="shared" si="2"/>
        <v>0</v>
      </c>
    </row>
    <row r="15" spans="1:14" x14ac:dyDescent="0.25">
      <c r="A15" s="190" t="s">
        <v>41</v>
      </c>
      <c r="B15" s="191">
        <f>B9+B12+B14</f>
        <v>23075979.289999999</v>
      </c>
      <c r="C15" s="191">
        <f t="shared" ref="C15:N15" si="3">C9+C12+C14</f>
        <v>2135412.98</v>
      </c>
      <c r="D15" s="191">
        <f t="shared" si="3"/>
        <v>1691930.9</v>
      </c>
      <c r="E15" s="191">
        <f t="shared" si="3"/>
        <v>713861.63000000012</v>
      </c>
      <c r="F15" s="191">
        <f t="shared" si="3"/>
        <v>3810636.15</v>
      </c>
      <c r="G15" s="191">
        <f t="shared" si="3"/>
        <v>1793796.3199999998</v>
      </c>
      <c r="H15" s="191">
        <f t="shared" si="3"/>
        <v>1622330.33</v>
      </c>
      <c r="I15" s="191">
        <f t="shared" si="3"/>
        <v>1900004.51</v>
      </c>
      <c r="J15" s="191">
        <f t="shared" si="3"/>
        <v>1972075.1800000002</v>
      </c>
      <c r="K15" s="191">
        <f t="shared" si="3"/>
        <v>1710408.6600000001</v>
      </c>
      <c r="L15" s="191">
        <f t="shared" si="3"/>
        <v>1925909.32</v>
      </c>
      <c r="M15" s="191">
        <f t="shared" si="3"/>
        <v>1717851.63</v>
      </c>
      <c r="N15" s="191">
        <f t="shared" si="3"/>
        <v>2081761.6800000002</v>
      </c>
    </row>
    <row r="16" spans="1:14" x14ac:dyDescent="0.25">
      <c r="A16" s="192" t="s">
        <v>171</v>
      </c>
      <c r="B16" s="193">
        <v>22982421.84</v>
      </c>
      <c r="C16" s="193">
        <v>2041855.53</v>
      </c>
      <c r="D16" s="193">
        <v>1691930.9</v>
      </c>
      <c r="E16" s="193">
        <v>713861.63</v>
      </c>
      <c r="F16" s="193">
        <v>3810636.15</v>
      </c>
      <c r="G16" s="193">
        <v>1793796.32</v>
      </c>
      <c r="H16" s="193">
        <v>1622330.33</v>
      </c>
      <c r="I16" s="193">
        <v>1900004.51</v>
      </c>
      <c r="J16" s="193">
        <v>1972075.18</v>
      </c>
      <c r="K16" s="193">
        <v>1710408.66</v>
      </c>
      <c r="L16" s="193">
        <v>1925909.32</v>
      </c>
      <c r="M16" s="193">
        <v>1717851.63</v>
      </c>
      <c r="N16" s="193">
        <v>2081761.68</v>
      </c>
    </row>
    <row r="17" spans="1:14" x14ac:dyDescent="0.25">
      <c r="A17" s="183" t="s">
        <v>172</v>
      </c>
      <c r="B17" s="194">
        <f>B15-B16</f>
        <v>93557.449999999255</v>
      </c>
      <c r="C17" s="194">
        <f t="shared" ref="C17:N17" si="4">C15-C16</f>
        <v>93557.449999999953</v>
      </c>
      <c r="D17" s="194">
        <f t="shared" si="4"/>
        <v>0</v>
      </c>
      <c r="E17" s="194">
        <f t="shared" si="4"/>
        <v>0</v>
      </c>
      <c r="F17" s="194">
        <f t="shared" si="4"/>
        <v>0</v>
      </c>
      <c r="G17" s="194">
        <f t="shared" si="4"/>
        <v>0</v>
      </c>
      <c r="H17" s="194">
        <f t="shared" si="4"/>
        <v>0</v>
      </c>
      <c r="I17" s="194">
        <f t="shared" si="4"/>
        <v>0</v>
      </c>
      <c r="J17" s="194">
        <f t="shared" si="4"/>
        <v>0</v>
      </c>
      <c r="K17" s="194">
        <f t="shared" si="4"/>
        <v>0</v>
      </c>
      <c r="L17" s="194">
        <f t="shared" si="4"/>
        <v>0</v>
      </c>
      <c r="M17" s="194">
        <f t="shared" si="4"/>
        <v>0</v>
      </c>
      <c r="N17" s="194">
        <f t="shared" si="4"/>
        <v>0</v>
      </c>
    </row>
    <row r="18" spans="1:14" x14ac:dyDescent="0.25">
      <c r="A18" s="195" t="s">
        <v>173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4" x14ac:dyDescent="0.25">
      <c r="A19" s="195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4" x14ac:dyDescent="0.25">
      <c r="A20" s="195" t="s">
        <v>174</v>
      </c>
      <c r="B20" s="196">
        <f>[2]Lead!$E$35</f>
        <v>0.66190000000000004</v>
      </c>
    </row>
    <row r="21" spans="1:14" x14ac:dyDescent="0.25">
      <c r="A21" s="195" t="s">
        <v>175</v>
      </c>
      <c r="B21" s="196">
        <f>[2]Lead!$F$35</f>
        <v>0.33810000000000001</v>
      </c>
    </row>
    <row r="22" spans="1:14" x14ac:dyDescent="0.25">
      <c r="A22" s="195"/>
      <c r="B22" s="196"/>
    </row>
    <row r="23" spans="1:14" x14ac:dyDescent="0.25">
      <c r="A23" s="172" t="s">
        <v>176</v>
      </c>
      <c r="B23" s="197">
        <f>B27+(B$29*$B$20)</f>
        <v>18742755.935488999</v>
      </c>
      <c r="C23" s="197">
        <f t="shared" ref="C23:N23" si="5">C27+(C$29*$B$20)</f>
        <v>1897025.7</v>
      </c>
      <c r="D23" s="197">
        <f t="shared" si="5"/>
        <v>1322581.73</v>
      </c>
      <c r="E23" s="197">
        <f t="shared" si="5"/>
        <v>649994.76548900001</v>
      </c>
      <c r="F23" s="197">
        <f t="shared" si="5"/>
        <v>2816817</v>
      </c>
      <c r="G23" s="197">
        <f t="shared" si="5"/>
        <v>1432790.93</v>
      </c>
      <c r="H23" s="197">
        <f t="shared" si="5"/>
        <v>1326648.81</v>
      </c>
      <c r="I23" s="197">
        <f t="shared" si="5"/>
        <v>1545742.83</v>
      </c>
      <c r="J23" s="197">
        <f t="shared" si="5"/>
        <v>1661071.31</v>
      </c>
      <c r="K23" s="197">
        <f t="shared" si="5"/>
        <v>1397378.28</v>
      </c>
      <c r="L23" s="197">
        <f t="shared" si="5"/>
        <v>1596741.61</v>
      </c>
      <c r="M23" s="197">
        <f t="shared" si="5"/>
        <v>1396812.44</v>
      </c>
      <c r="N23" s="197">
        <f t="shared" si="5"/>
        <v>1699150.53</v>
      </c>
    </row>
    <row r="24" spans="1:14" x14ac:dyDescent="0.25">
      <c r="A24" s="172" t="s">
        <v>177</v>
      </c>
      <c r="B24" s="198">
        <f>B28+(B$29*$B$21)</f>
        <v>4333223.3545110002</v>
      </c>
      <c r="C24" s="198">
        <f t="shared" ref="C24:N24" si="6">C28+(C$29*$B$21)</f>
        <v>238387.28</v>
      </c>
      <c r="D24" s="198">
        <f t="shared" si="6"/>
        <v>369349.17</v>
      </c>
      <c r="E24" s="198">
        <f t="shared" si="6"/>
        <v>63866.864510999978</v>
      </c>
      <c r="F24" s="198">
        <f t="shared" si="6"/>
        <v>993819.15</v>
      </c>
      <c r="G24" s="198">
        <f t="shared" si="6"/>
        <v>361005.39</v>
      </c>
      <c r="H24" s="198">
        <f t="shared" si="6"/>
        <v>295681.52</v>
      </c>
      <c r="I24" s="198">
        <f t="shared" si="6"/>
        <v>354261.68</v>
      </c>
      <c r="J24" s="198">
        <f t="shared" si="6"/>
        <v>311003.87</v>
      </c>
      <c r="K24" s="198">
        <f t="shared" si="6"/>
        <v>313030.38</v>
      </c>
      <c r="L24" s="198">
        <f t="shared" si="6"/>
        <v>329167.71000000002</v>
      </c>
      <c r="M24" s="198">
        <f t="shared" si="6"/>
        <v>321039.19</v>
      </c>
      <c r="N24" s="198">
        <f t="shared" si="6"/>
        <v>382611.15</v>
      </c>
    </row>
    <row r="25" spans="1:14" ht="15.75" thickBot="1" x14ac:dyDescent="0.3">
      <c r="B25" s="199">
        <f>SUM(B23:B24)</f>
        <v>23075979.289999999</v>
      </c>
      <c r="C25" s="199">
        <f t="shared" ref="C25:N25" si="7">SUM(C23:C24)</f>
        <v>2135412.98</v>
      </c>
      <c r="D25" s="199">
        <f t="shared" si="7"/>
        <v>1691930.9</v>
      </c>
      <c r="E25" s="199">
        <f t="shared" si="7"/>
        <v>713861.63</v>
      </c>
      <c r="F25" s="199">
        <f t="shared" si="7"/>
        <v>3810636.15</v>
      </c>
      <c r="G25" s="199">
        <f t="shared" si="7"/>
        <v>1793796.3199999998</v>
      </c>
      <c r="H25" s="199">
        <f t="shared" si="7"/>
        <v>1622330.33</v>
      </c>
      <c r="I25" s="199">
        <f t="shared" si="7"/>
        <v>1900004.51</v>
      </c>
      <c r="J25" s="199">
        <f t="shared" si="7"/>
        <v>1972075.1800000002</v>
      </c>
      <c r="K25" s="199">
        <f t="shared" si="7"/>
        <v>1710408.6600000001</v>
      </c>
      <c r="L25" s="199">
        <f t="shared" si="7"/>
        <v>1925909.32</v>
      </c>
      <c r="M25" s="199">
        <f t="shared" si="7"/>
        <v>1717851.63</v>
      </c>
      <c r="N25" s="199">
        <f t="shared" si="7"/>
        <v>2081761.6800000002</v>
      </c>
    </row>
    <row r="26" spans="1:14" ht="15.75" thickTop="1" x14ac:dyDescent="0.25"/>
    <row r="27" spans="1:14" x14ac:dyDescent="0.25">
      <c r="A27" s="172" t="s">
        <v>176</v>
      </c>
      <c r="B27" s="197">
        <f>B9</f>
        <v>18738362.699999999</v>
      </c>
      <c r="C27" s="197">
        <f t="shared" ref="C27:N27" si="8">C9</f>
        <v>1897025.7</v>
      </c>
      <c r="D27" s="197">
        <f t="shared" si="8"/>
        <v>1322581.73</v>
      </c>
      <c r="E27" s="197">
        <f t="shared" si="8"/>
        <v>645601.53</v>
      </c>
      <c r="F27" s="197">
        <f t="shared" si="8"/>
        <v>2816817</v>
      </c>
      <c r="G27" s="197">
        <f t="shared" si="8"/>
        <v>1432790.93</v>
      </c>
      <c r="H27" s="197">
        <f t="shared" si="8"/>
        <v>1326648.81</v>
      </c>
      <c r="I27" s="197">
        <f t="shared" si="8"/>
        <v>1545742.83</v>
      </c>
      <c r="J27" s="197">
        <f t="shared" si="8"/>
        <v>1661071.31</v>
      </c>
      <c r="K27" s="197">
        <f t="shared" si="8"/>
        <v>1397378.28</v>
      </c>
      <c r="L27" s="197">
        <f t="shared" si="8"/>
        <v>1596741.61</v>
      </c>
      <c r="M27" s="197">
        <f t="shared" si="8"/>
        <v>1396812.44</v>
      </c>
      <c r="N27" s="197">
        <f t="shared" si="8"/>
        <v>1699150.53</v>
      </c>
    </row>
    <row r="28" spans="1:14" x14ac:dyDescent="0.25">
      <c r="A28" s="172" t="s">
        <v>177</v>
      </c>
      <c r="B28" s="198">
        <f>B12</f>
        <v>4330979.28</v>
      </c>
      <c r="C28" s="198">
        <f t="shared" ref="C28:N28" si="9">C12</f>
        <v>238387.28</v>
      </c>
      <c r="D28" s="198">
        <f t="shared" si="9"/>
        <v>369349.17</v>
      </c>
      <c r="E28" s="198">
        <f t="shared" si="9"/>
        <v>61622.789999999979</v>
      </c>
      <c r="F28" s="198">
        <f t="shared" si="9"/>
        <v>993819.15</v>
      </c>
      <c r="G28" s="198">
        <f t="shared" si="9"/>
        <v>361005.39</v>
      </c>
      <c r="H28" s="198">
        <f t="shared" si="9"/>
        <v>295681.52</v>
      </c>
      <c r="I28" s="198">
        <f t="shared" si="9"/>
        <v>354261.68</v>
      </c>
      <c r="J28" s="198">
        <f t="shared" si="9"/>
        <v>311003.87</v>
      </c>
      <c r="K28" s="198">
        <f t="shared" si="9"/>
        <v>313030.38</v>
      </c>
      <c r="L28" s="198">
        <f t="shared" si="9"/>
        <v>329167.71000000002</v>
      </c>
      <c r="M28" s="198">
        <f t="shared" si="9"/>
        <v>321039.19</v>
      </c>
      <c r="N28" s="198">
        <f t="shared" si="9"/>
        <v>382611.15</v>
      </c>
    </row>
    <row r="29" spans="1:14" x14ac:dyDescent="0.25">
      <c r="A29" s="172" t="s">
        <v>178</v>
      </c>
      <c r="B29" s="198">
        <f>B14</f>
        <v>6637.31</v>
      </c>
      <c r="C29" s="198">
        <f t="shared" ref="C29:N29" si="10">C14</f>
        <v>0</v>
      </c>
      <c r="D29" s="198">
        <f t="shared" si="10"/>
        <v>0</v>
      </c>
      <c r="E29" s="198">
        <f t="shared" si="10"/>
        <v>6637.31</v>
      </c>
      <c r="F29" s="198">
        <f t="shared" si="10"/>
        <v>0</v>
      </c>
      <c r="G29" s="198">
        <f t="shared" si="10"/>
        <v>0</v>
      </c>
      <c r="H29" s="198">
        <f t="shared" si="10"/>
        <v>0</v>
      </c>
      <c r="I29" s="198">
        <f t="shared" si="10"/>
        <v>0</v>
      </c>
      <c r="J29" s="198">
        <f t="shared" si="10"/>
        <v>0</v>
      </c>
      <c r="K29" s="198">
        <f t="shared" si="10"/>
        <v>0</v>
      </c>
      <c r="L29" s="198">
        <f t="shared" si="10"/>
        <v>0</v>
      </c>
      <c r="M29" s="198">
        <f t="shared" si="10"/>
        <v>0</v>
      </c>
      <c r="N29" s="198">
        <f t="shared" si="10"/>
        <v>0</v>
      </c>
    </row>
    <row r="30" spans="1:14" ht="15.75" thickBot="1" x14ac:dyDescent="0.3">
      <c r="B30" s="199">
        <f>SUM(B27:B29)</f>
        <v>23075979.289999999</v>
      </c>
      <c r="C30" s="199">
        <f t="shared" ref="C30:N30" si="11">SUM(C27:C29)</f>
        <v>2135412.98</v>
      </c>
      <c r="D30" s="199">
        <f t="shared" si="11"/>
        <v>1691930.9</v>
      </c>
      <c r="E30" s="199">
        <f t="shared" si="11"/>
        <v>713861.63000000012</v>
      </c>
      <c r="F30" s="199">
        <f t="shared" si="11"/>
        <v>3810636.15</v>
      </c>
      <c r="G30" s="199">
        <f t="shared" si="11"/>
        <v>1793796.3199999998</v>
      </c>
      <c r="H30" s="199">
        <f t="shared" si="11"/>
        <v>1622330.33</v>
      </c>
      <c r="I30" s="199">
        <f t="shared" si="11"/>
        <v>1900004.51</v>
      </c>
      <c r="J30" s="199">
        <f t="shared" si="11"/>
        <v>1972075.1800000002</v>
      </c>
      <c r="K30" s="199">
        <f t="shared" si="11"/>
        <v>1710408.6600000001</v>
      </c>
      <c r="L30" s="199">
        <f t="shared" si="11"/>
        <v>1925909.32</v>
      </c>
      <c r="M30" s="199">
        <f t="shared" si="11"/>
        <v>1717851.63</v>
      </c>
      <c r="N30" s="199">
        <f t="shared" si="11"/>
        <v>2081761.6800000002</v>
      </c>
    </row>
    <row r="31" spans="1:14" ht="15.75" thickTop="1" x14ac:dyDescent="0.25"/>
    <row r="34" spans="1:10" x14ac:dyDescent="0.25">
      <c r="A34" s="200" t="s">
        <v>179</v>
      </c>
      <c r="B34" s="200" t="s">
        <v>176</v>
      </c>
      <c r="C34" s="200" t="s">
        <v>180</v>
      </c>
      <c r="D34" s="200" t="s">
        <v>178</v>
      </c>
      <c r="E34" s="200" t="s">
        <v>181</v>
      </c>
      <c r="F34" s="200" t="s">
        <v>182</v>
      </c>
      <c r="G34" s="200" t="s">
        <v>183</v>
      </c>
      <c r="H34" s="200" t="s">
        <v>184</v>
      </c>
      <c r="I34" s="200" t="s">
        <v>185</v>
      </c>
    </row>
    <row r="35" spans="1:10" x14ac:dyDescent="0.25">
      <c r="A35" s="172" t="s">
        <v>186</v>
      </c>
      <c r="B35" s="197">
        <v>18738362.699999999</v>
      </c>
      <c r="C35" s="197">
        <v>4330979.2799999993</v>
      </c>
      <c r="D35" s="197">
        <v>6637.31</v>
      </c>
      <c r="E35" s="197">
        <v>4393.24</v>
      </c>
      <c r="F35" s="197">
        <v>2244.0700000000002</v>
      </c>
      <c r="G35" s="197">
        <v>18742755.939999998</v>
      </c>
      <c r="H35" s="197">
        <v>4333223.3499999996</v>
      </c>
      <c r="I35" s="197">
        <v>23075979.289999999</v>
      </c>
    </row>
    <row r="36" spans="1:10" x14ac:dyDescent="0.25">
      <c r="B36" s="201">
        <f>B27-B35</f>
        <v>0</v>
      </c>
      <c r="C36" s="201">
        <f>B28-C35</f>
        <v>0</v>
      </c>
      <c r="D36" s="201">
        <f>B29-D35</f>
        <v>0</v>
      </c>
      <c r="E36" s="201">
        <f>B29*B20-E35</f>
        <v>-4.5109999991836958E-3</v>
      </c>
      <c r="F36" s="201">
        <f>B29*B21-F35</f>
        <v>4.5110000000931905E-3</v>
      </c>
      <c r="G36" s="201">
        <f>B23-G35</f>
        <v>-4.5109987258911133E-3</v>
      </c>
      <c r="H36" s="201">
        <f>B24-H35</f>
        <v>4.5110005885362625E-3</v>
      </c>
      <c r="I36" s="201">
        <f>B25-I35</f>
        <v>0</v>
      </c>
      <c r="J36" s="177"/>
    </row>
    <row r="37" spans="1:10" x14ac:dyDescent="0.25">
      <c r="B37" s="201">
        <f>B40+B44-B35</f>
        <v>0</v>
      </c>
      <c r="C37" s="201">
        <f t="shared" ref="C37:I37" si="12">C40+C44-C35</f>
        <v>0</v>
      </c>
      <c r="D37" s="201">
        <f t="shared" si="12"/>
        <v>0</v>
      </c>
      <c r="E37" s="201">
        <f t="shared" si="12"/>
        <v>-39.829999999999927</v>
      </c>
      <c r="F37" s="201">
        <f t="shared" si="12"/>
        <v>39.829999999999927</v>
      </c>
      <c r="G37" s="201">
        <f t="shared" si="12"/>
        <v>-39.829999998211861</v>
      </c>
      <c r="H37" s="201">
        <f t="shared" si="12"/>
        <v>39.830000000074506</v>
      </c>
      <c r="I37" s="201">
        <f t="shared" si="12"/>
        <v>0</v>
      </c>
    </row>
    <row r="38" spans="1:10" x14ac:dyDescent="0.25">
      <c r="B38" s="197"/>
      <c r="C38" s="197"/>
      <c r="D38" s="197"/>
      <c r="E38" s="197"/>
      <c r="F38" s="197"/>
      <c r="G38" s="197"/>
      <c r="H38" s="197"/>
      <c r="I38" s="197"/>
    </row>
    <row r="39" spans="1:10" x14ac:dyDescent="0.25">
      <c r="A39" s="200" t="s">
        <v>187</v>
      </c>
      <c r="B39" s="200" t="s">
        <v>176</v>
      </c>
      <c r="C39" s="200" t="s">
        <v>180</v>
      </c>
      <c r="D39" s="200" t="s">
        <v>178</v>
      </c>
      <c r="E39" s="200" t="s">
        <v>181</v>
      </c>
      <c r="F39" s="200" t="s">
        <v>182</v>
      </c>
      <c r="G39" s="200" t="s">
        <v>183</v>
      </c>
      <c r="H39" s="200" t="s">
        <v>184</v>
      </c>
      <c r="I39" s="200" t="s">
        <v>185</v>
      </c>
    </row>
    <row r="40" spans="1:10" x14ac:dyDescent="0.25">
      <c r="A40" s="172" t="s">
        <v>186</v>
      </c>
      <c r="B40" s="197">
        <v>9441465.6999999993</v>
      </c>
      <c r="C40" s="197">
        <v>2319865.2999999998</v>
      </c>
      <c r="D40" s="197">
        <v>6637.31</v>
      </c>
      <c r="E40" s="197">
        <v>4353.41</v>
      </c>
      <c r="F40" s="197">
        <v>2283.9</v>
      </c>
      <c r="G40" s="197">
        <v>9445819.1099999994</v>
      </c>
      <c r="H40" s="197">
        <v>2322149.1999999997</v>
      </c>
      <c r="I40" s="197">
        <v>11767968.309999999</v>
      </c>
    </row>
    <row r="41" spans="1:10" x14ac:dyDescent="0.25">
      <c r="B41" s="201">
        <f>SUM(C27:H27)-B40</f>
        <v>0</v>
      </c>
      <c r="C41" s="201">
        <f>SUM(C28:H28)-C40</f>
        <v>0</v>
      </c>
      <c r="D41" s="201">
        <f>SUM(C29:H29)-D40</f>
        <v>0</v>
      </c>
      <c r="E41" s="201">
        <f>SUM(C29:H29)*B20-E40</f>
        <v>39.825489000000744</v>
      </c>
      <c r="F41" s="201">
        <f>SUM(C29:H29)*B21-F40</f>
        <v>-39.825488999999834</v>
      </c>
      <c r="G41" s="201">
        <f>SUM(C23:H23)-G40</f>
        <v>39.82548899948597</v>
      </c>
      <c r="H41" s="201">
        <f>SUM(C24:H24)-H40</f>
        <v>-39.82548899948597</v>
      </c>
      <c r="I41" s="201">
        <f>SUM(C25:H25)-I40</f>
        <v>0</v>
      </c>
    </row>
    <row r="43" spans="1:10" x14ac:dyDescent="0.25">
      <c r="A43" s="200" t="s">
        <v>188</v>
      </c>
      <c r="B43" s="200" t="s">
        <v>176</v>
      </c>
      <c r="C43" s="200" t="s">
        <v>180</v>
      </c>
      <c r="D43" s="200" t="s">
        <v>178</v>
      </c>
      <c r="E43" s="200" t="s">
        <v>181</v>
      </c>
      <c r="F43" s="200" t="s">
        <v>182</v>
      </c>
      <c r="G43" s="200" t="s">
        <v>183</v>
      </c>
      <c r="H43" s="200" t="s">
        <v>184</v>
      </c>
      <c r="I43" s="200" t="s">
        <v>185</v>
      </c>
    </row>
    <row r="44" spans="1:10" x14ac:dyDescent="0.25">
      <c r="A44" s="172" t="s">
        <v>186</v>
      </c>
      <c r="B44" s="197">
        <v>9296897</v>
      </c>
      <c r="C44" s="197">
        <v>2011113.98</v>
      </c>
      <c r="D44" s="197">
        <v>0</v>
      </c>
      <c r="E44" s="197">
        <v>0</v>
      </c>
      <c r="F44" s="197">
        <v>0</v>
      </c>
      <c r="G44" s="197">
        <v>9296897</v>
      </c>
      <c r="H44" s="197">
        <v>2011113.98</v>
      </c>
      <c r="I44" s="197">
        <v>11308010.98</v>
      </c>
    </row>
    <row r="45" spans="1:10" x14ac:dyDescent="0.25">
      <c r="B45" s="201">
        <f>SUM(I27:N27)-B44</f>
        <v>0</v>
      </c>
      <c r="C45" s="201">
        <f>SUM(I28:N28)-C44</f>
        <v>0</v>
      </c>
      <c r="D45" s="201">
        <f>SUM(I29:N29)-D44</f>
        <v>0</v>
      </c>
      <c r="E45" s="201">
        <f>SUM(I29:N29)*B20-E44</f>
        <v>0</v>
      </c>
      <c r="F45" s="201">
        <f>SUM(I29:N29)*B21-F44</f>
        <v>0</v>
      </c>
      <c r="G45" s="201">
        <f>SUM(I23:N23)-G44</f>
        <v>0</v>
      </c>
      <c r="H45" s="201">
        <f>SUM(I24:N24)-H44</f>
        <v>0</v>
      </c>
      <c r="I45" s="201">
        <f>SUM(I25:N25)-I44</f>
        <v>0</v>
      </c>
    </row>
    <row r="47" spans="1:10" x14ac:dyDescent="0.25">
      <c r="E47" s="172" t="s">
        <v>189</v>
      </c>
    </row>
    <row r="48" spans="1:10" x14ac:dyDescent="0.25">
      <c r="E48" s="172" t="s">
        <v>190</v>
      </c>
    </row>
    <row r="49" spans="2:12" x14ac:dyDescent="0.25">
      <c r="E49" s="172" t="s">
        <v>191</v>
      </c>
    </row>
    <row r="52" spans="2:12" x14ac:dyDescent="0.25">
      <c r="B52" s="172" t="s">
        <v>192</v>
      </c>
      <c r="L52" s="202"/>
    </row>
    <row r="53" spans="2:12" x14ac:dyDescent="0.25">
      <c r="L53" s="20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B21" sqref="B21"/>
    </sheetView>
  </sheetViews>
  <sheetFormatPr defaultColWidth="8.85546875" defaultRowHeight="15" x14ac:dyDescent="0.25"/>
  <cols>
    <col min="1" max="1" width="32.28515625" style="79" customWidth="1"/>
    <col min="2" max="2" width="15.28515625" style="79" bestFit="1" customWidth="1"/>
    <col min="3" max="3" width="14" style="79" bestFit="1" customWidth="1"/>
    <col min="4" max="5" width="15.7109375" style="79" bestFit="1" customWidth="1"/>
    <col min="6" max="6" width="17.28515625" style="79" bestFit="1" customWidth="1"/>
    <col min="7" max="16384" width="8.85546875" style="79"/>
  </cols>
  <sheetData>
    <row r="1" spans="1:6" x14ac:dyDescent="0.25">
      <c r="A1" s="203" t="s">
        <v>20</v>
      </c>
      <c r="B1" s="203"/>
      <c r="C1" s="204"/>
      <c r="D1" s="205"/>
      <c r="E1" s="205"/>
      <c r="F1" s="205"/>
    </row>
    <row r="2" spans="1:6" x14ac:dyDescent="0.25">
      <c r="A2" s="203" t="s">
        <v>67</v>
      </c>
      <c r="B2" s="203"/>
      <c r="C2" s="204"/>
      <c r="D2" s="205"/>
      <c r="E2" s="205"/>
      <c r="F2" s="205"/>
    </row>
    <row r="3" spans="1:6" x14ac:dyDescent="0.25">
      <c r="A3" s="203" t="s">
        <v>193</v>
      </c>
      <c r="B3" s="203"/>
      <c r="C3" s="204"/>
      <c r="D3" s="205"/>
      <c r="E3" s="205"/>
      <c r="F3" s="205"/>
    </row>
    <row r="4" spans="1:6" x14ac:dyDescent="0.25">
      <c r="A4" s="206" t="s">
        <v>68</v>
      </c>
      <c r="B4" s="206"/>
      <c r="C4" s="204"/>
      <c r="D4" s="205"/>
      <c r="E4" s="205"/>
      <c r="F4" s="205"/>
    </row>
    <row r="5" spans="1:6" x14ac:dyDescent="0.25">
      <c r="A5" s="103"/>
      <c r="B5" s="103"/>
      <c r="C5" s="115"/>
    </row>
    <row r="6" spans="1:6" x14ac:dyDescent="0.25">
      <c r="A6" s="105"/>
      <c r="B6" s="105"/>
      <c r="C6" s="115"/>
    </row>
    <row r="7" spans="1:6" x14ac:dyDescent="0.25">
      <c r="A7" s="105" t="s">
        <v>69</v>
      </c>
      <c r="B7" s="106" t="s">
        <v>70</v>
      </c>
      <c r="C7" s="106" t="s">
        <v>70</v>
      </c>
      <c r="D7" s="106" t="s">
        <v>70</v>
      </c>
      <c r="E7" s="106" t="s">
        <v>70</v>
      </c>
      <c r="F7" s="106" t="s">
        <v>70</v>
      </c>
    </row>
    <row r="8" spans="1:6" x14ac:dyDescent="0.25">
      <c r="A8" s="134" t="s">
        <v>71</v>
      </c>
      <c r="B8" s="167">
        <v>2018</v>
      </c>
      <c r="C8" s="167">
        <v>2017</v>
      </c>
      <c r="D8" s="167">
        <v>2016</v>
      </c>
      <c r="E8" s="167">
        <v>2015</v>
      </c>
      <c r="F8" s="167">
        <v>2014</v>
      </c>
    </row>
    <row r="9" spans="1:6" x14ac:dyDescent="0.25">
      <c r="A9" s="103" t="s">
        <v>72</v>
      </c>
      <c r="B9" s="116">
        <v>635679851.5</v>
      </c>
      <c r="C9" s="116">
        <v>671163222.50999999</v>
      </c>
      <c r="D9" s="207">
        <v>578629171.12</v>
      </c>
      <c r="E9" s="207">
        <v>597893801.55999994</v>
      </c>
      <c r="F9" s="207">
        <v>683281753.87</v>
      </c>
    </row>
    <row r="10" spans="1:6" x14ac:dyDescent="0.25">
      <c r="A10" s="103" t="s">
        <v>73</v>
      </c>
      <c r="B10" s="116">
        <v>234180837.47999999</v>
      </c>
      <c r="C10" s="116">
        <v>245116377.53</v>
      </c>
      <c r="D10" s="140">
        <v>220538491.97</v>
      </c>
      <c r="E10" s="140">
        <v>241026138.03</v>
      </c>
      <c r="F10" s="140">
        <v>261478151.71000001</v>
      </c>
    </row>
    <row r="11" spans="1:6" x14ac:dyDescent="0.25">
      <c r="A11" s="103" t="s">
        <v>74</v>
      </c>
      <c r="B11" s="136">
        <v>18061853.899999999</v>
      </c>
      <c r="C11" s="136">
        <v>19683871.68</v>
      </c>
      <c r="D11" s="208">
        <v>18815938.100000001</v>
      </c>
      <c r="E11" s="208">
        <v>22224059.449999999</v>
      </c>
      <c r="F11" s="208">
        <v>25310886.399999999</v>
      </c>
    </row>
    <row r="12" spans="1:6" x14ac:dyDescent="0.25">
      <c r="A12" s="103"/>
      <c r="B12" s="116"/>
      <c r="C12" s="115"/>
    </row>
    <row r="13" spans="1:6" x14ac:dyDescent="0.25">
      <c r="A13" s="103" t="s">
        <v>75</v>
      </c>
      <c r="B13" s="209">
        <f>SUM(B9:B11)</f>
        <v>887922542.88</v>
      </c>
      <c r="C13" s="209">
        <f t="shared" ref="C13:F13" si="0">SUM(C9:C11)</f>
        <v>935963471.71999991</v>
      </c>
      <c r="D13" s="209">
        <f t="shared" si="0"/>
        <v>817983601.19000006</v>
      </c>
      <c r="E13" s="209">
        <f t="shared" si="0"/>
        <v>861143999.03999996</v>
      </c>
      <c r="F13" s="209">
        <f t="shared" si="0"/>
        <v>970070791.98000002</v>
      </c>
    </row>
    <row r="14" spans="1:6" x14ac:dyDescent="0.25">
      <c r="A14" s="103"/>
      <c r="B14" s="116"/>
      <c r="C14" s="115"/>
    </row>
    <row r="15" spans="1:6" x14ac:dyDescent="0.25">
      <c r="A15" s="138" t="s">
        <v>76</v>
      </c>
      <c r="B15" s="116"/>
      <c r="C15" s="133"/>
    </row>
    <row r="16" spans="1:6" x14ac:dyDescent="0.25">
      <c r="A16" s="103" t="s">
        <v>77</v>
      </c>
      <c r="B16" s="116">
        <v>21774042.120000001</v>
      </c>
      <c r="C16" s="116">
        <v>23419384.539999999</v>
      </c>
      <c r="D16" s="140">
        <v>23382339.960000001</v>
      </c>
      <c r="E16" s="140">
        <v>29515733.550000001</v>
      </c>
      <c r="F16" s="140">
        <v>31154492.649999999</v>
      </c>
    </row>
    <row r="17" spans="1:6" x14ac:dyDescent="0.25">
      <c r="A17" s="103" t="s">
        <v>78</v>
      </c>
      <c r="B17" s="136">
        <v>999894.31</v>
      </c>
      <c r="C17" s="136">
        <v>1305436.5</v>
      </c>
      <c r="D17" s="208">
        <v>1552332.44</v>
      </c>
      <c r="E17" s="208">
        <v>1217535.6100000001</v>
      </c>
      <c r="F17" s="208">
        <v>1332476.8999999999</v>
      </c>
    </row>
    <row r="18" spans="1:6" x14ac:dyDescent="0.25">
      <c r="A18" s="103"/>
      <c r="B18" s="116"/>
      <c r="C18" s="115"/>
    </row>
    <row r="19" spans="1:6" x14ac:dyDescent="0.25">
      <c r="A19" s="103" t="s">
        <v>79</v>
      </c>
      <c r="B19" s="210">
        <f>SUM(B16:B18)</f>
        <v>22773936.43</v>
      </c>
      <c r="C19" s="210">
        <f t="shared" ref="C19:F19" si="1">SUM(C16:C18)</f>
        <v>24724821.039999999</v>
      </c>
      <c r="D19" s="210">
        <f t="shared" si="1"/>
        <v>24934672.400000002</v>
      </c>
      <c r="E19" s="210">
        <f t="shared" si="1"/>
        <v>30733269.16</v>
      </c>
      <c r="F19" s="210">
        <f t="shared" si="1"/>
        <v>32486969.549999997</v>
      </c>
    </row>
    <row r="20" spans="1:6" x14ac:dyDescent="0.25">
      <c r="A20" s="103"/>
      <c r="B20" s="116"/>
      <c r="C20" s="115"/>
    </row>
    <row r="21" spans="1:6" x14ac:dyDescent="0.25">
      <c r="A21" s="103" t="s">
        <v>80</v>
      </c>
      <c r="B21" s="137">
        <f>B19+B13</f>
        <v>910696479.30999994</v>
      </c>
      <c r="C21" s="137">
        <f t="shared" ref="C21:F21" si="2">C19+C13</f>
        <v>960688292.75999987</v>
      </c>
      <c r="D21" s="137">
        <f t="shared" si="2"/>
        <v>842918273.59000003</v>
      </c>
      <c r="E21" s="137">
        <f t="shared" si="2"/>
        <v>891877268.19999993</v>
      </c>
      <c r="F21" s="137">
        <f t="shared" si="2"/>
        <v>1002557761.53</v>
      </c>
    </row>
    <row r="22" spans="1:6" x14ac:dyDescent="0.25">
      <c r="A22" s="103"/>
      <c r="B22" s="116"/>
      <c r="C22" s="115"/>
    </row>
    <row r="23" spans="1:6" x14ac:dyDescent="0.25">
      <c r="A23" s="138" t="s">
        <v>81</v>
      </c>
      <c r="B23" s="116"/>
      <c r="C23" s="133"/>
    </row>
    <row r="24" spans="1:6" x14ac:dyDescent="0.25">
      <c r="A24" s="103" t="s">
        <v>82</v>
      </c>
      <c r="B24" s="116">
        <v>7203476.4199999999</v>
      </c>
      <c r="C24" s="116">
        <v>7052877.2400000002</v>
      </c>
      <c r="D24" s="140">
        <v>6381674.9299999997</v>
      </c>
      <c r="E24" s="140">
        <v>5814876.8499999996</v>
      </c>
      <c r="F24" s="140">
        <v>5607268.8899999997</v>
      </c>
    </row>
    <row r="25" spans="1:6" x14ac:dyDescent="0.25">
      <c r="A25" s="103" t="s">
        <v>83</v>
      </c>
      <c r="B25" s="136">
        <v>13540197</v>
      </c>
      <c r="C25" s="136">
        <v>14394215.75</v>
      </c>
      <c r="D25" s="208">
        <v>13418185.720000001</v>
      </c>
      <c r="E25" s="208">
        <v>12255464</v>
      </c>
      <c r="F25" s="208">
        <v>11300821.33</v>
      </c>
    </row>
    <row r="26" spans="1:6" x14ac:dyDescent="0.25">
      <c r="A26" s="103"/>
      <c r="B26" s="116"/>
      <c r="C26" s="115"/>
    </row>
    <row r="27" spans="1:6" x14ac:dyDescent="0.25">
      <c r="A27" s="103" t="s">
        <v>84</v>
      </c>
      <c r="B27" s="136">
        <f>SUM(B24:B26)</f>
        <v>20743673.420000002</v>
      </c>
      <c r="C27" s="136">
        <f t="shared" ref="C27:F27" si="3">SUM(C24:C26)</f>
        <v>21447092.990000002</v>
      </c>
      <c r="D27" s="136">
        <f t="shared" si="3"/>
        <v>19799860.649999999</v>
      </c>
      <c r="E27" s="136">
        <f t="shared" si="3"/>
        <v>18070340.850000001</v>
      </c>
      <c r="F27" s="136">
        <f t="shared" si="3"/>
        <v>16908090.219999999</v>
      </c>
    </row>
    <row r="28" spans="1:6" x14ac:dyDescent="0.25">
      <c r="A28" s="103"/>
      <c r="B28" s="116"/>
      <c r="C28" s="115"/>
    </row>
    <row r="29" spans="1:6" ht="15.75" thickBot="1" x14ac:dyDescent="0.3">
      <c r="A29" s="103" t="s">
        <v>85</v>
      </c>
      <c r="B29" s="139">
        <f>B27+B21</f>
        <v>931440152.7299999</v>
      </c>
      <c r="C29" s="139">
        <f t="shared" ref="C29:F29" si="4">C27+C21</f>
        <v>982135385.74999988</v>
      </c>
      <c r="D29" s="139">
        <f t="shared" si="4"/>
        <v>862718134.24000001</v>
      </c>
      <c r="E29" s="139">
        <f t="shared" si="4"/>
        <v>909947609.04999995</v>
      </c>
      <c r="F29" s="139">
        <f t="shared" si="4"/>
        <v>1019465851.75</v>
      </c>
    </row>
    <row r="30" spans="1:6" ht="15.75" thickTop="1" x14ac:dyDescent="0.25">
      <c r="A30" s="103"/>
      <c r="B30" s="135"/>
      <c r="C30" s="115"/>
    </row>
    <row r="31" spans="1:6" x14ac:dyDescent="0.25">
      <c r="A31" s="103" t="s">
        <v>86</v>
      </c>
      <c r="B31" s="116">
        <v>-31357975.370000001</v>
      </c>
      <c r="C31" s="116">
        <v>-9508402.1400000006</v>
      </c>
      <c r="D31" s="140">
        <v>19166171.399999999</v>
      </c>
      <c r="E31" s="140">
        <v>52277413.579999998</v>
      </c>
      <c r="F31" s="140">
        <v>3616188.24</v>
      </c>
    </row>
    <row r="32" spans="1:6" x14ac:dyDescent="0.25">
      <c r="A32" s="103" t="s">
        <v>87</v>
      </c>
      <c r="B32" s="136">
        <v>1903626.66</v>
      </c>
      <c r="C32" s="136">
        <v>12751981.48</v>
      </c>
      <c r="D32" s="208">
        <v>14277246.51</v>
      </c>
      <c r="E32" s="208">
        <v>13046355.58</v>
      </c>
      <c r="F32" s="208">
        <v>13445176.27</v>
      </c>
    </row>
    <row r="33" spans="1:6" x14ac:dyDescent="0.25">
      <c r="A33" s="103" t="s">
        <v>88</v>
      </c>
      <c r="B33" s="137">
        <f>SUM(B29:B32)</f>
        <v>901985804.01999986</v>
      </c>
      <c r="C33" s="137">
        <f t="shared" ref="C33:F33" si="5">SUM(C29:C32)</f>
        <v>985378965.08999991</v>
      </c>
      <c r="D33" s="137">
        <f t="shared" si="5"/>
        <v>896161552.14999998</v>
      </c>
      <c r="E33" s="137">
        <f t="shared" si="5"/>
        <v>975271378.21000004</v>
      </c>
      <c r="F33" s="137">
        <f t="shared" si="5"/>
        <v>1036527216.26</v>
      </c>
    </row>
    <row r="34" spans="1:6" x14ac:dyDescent="0.25">
      <c r="A34" s="103" t="s">
        <v>89</v>
      </c>
      <c r="B34" s="133"/>
      <c r="C34" s="115"/>
      <c r="D34" s="211"/>
      <c r="E34" s="211"/>
      <c r="F34" s="211"/>
    </row>
    <row r="35" spans="1:6" x14ac:dyDescent="0.25">
      <c r="A35" s="140"/>
      <c r="B35" s="104"/>
      <c r="C35" s="133"/>
    </row>
    <row r="36" spans="1:6" x14ac:dyDescent="0.25">
      <c r="A36" s="140"/>
      <c r="B36" s="104"/>
      <c r="C36" s="115"/>
    </row>
    <row r="37" spans="1:6" x14ac:dyDescent="0.25">
      <c r="A37" s="140"/>
      <c r="B37" s="104"/>
      <c r="C37" s="133"/>
    </row>
    <row r="38" spans="1:6" x14ac:dyDescent="0.25">
      <c r="A38" s="140"/>
      <c r="B38" s="104"/>
      <c r="C38" s="115"/>
    </row>
    <row r="39" spans="1:6" x14ac:dyDescent="0.25">
      <c r="A39" s="140"/>
      <c r="B39" s="104"/>
      <c r="C39" s="133"/>
    </row>
    <row r="40" spans="1:6" x14ac:dyDescent="0.25">
      <c r="A40" s="140"/>
      <c r="B40" s="104"/>
      <c r="C40" s="115"/>
    </row>
    <row r="41" spans="1:6" x14ac:dyDescent="0.25">
      <c r="A41" s="140"/>
      <c r="B41" s="104"/>
      <c r="C41" s="133"/>
    </row>
    <row r="42" spans="1:6" x14ac:dyDescent="0.25">
      <c r="A42" s="140"/>
      <c r="B42" s="104"/>
      <c r="C42" s="115"/>
    </row>
    <row r="43" spans="1:6" x14ac:dyDescent="0.25">
      <c r="A43" s="140"/>
      <c r="B43" s="104"/>
      <c r="C43" s="1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780922-74CD-4C8E-93E8-E6932164C337}"/>
</file>

<file path=customXml/itemProps2.xml><?xml version="1.0" encoding="utf-8"?>
<ds:datastoreItem xmlns:ds="http://schemas.openxmlformats.org/officeDocument/2006/customXml" ds:itemID="{3B3F392D-6EF7-46E4-AF4D-CB3FBB57E3B5}"/>
</file>

<file path=customXml/itemProps3.xml><?xml version="1.0" encoding="utf-8"?>
<ds:datastoreItem xmlns:ds="http://schemas.openxmlformats.org/officeDocument/2006/customXml" ds:itemID="{E266DFF0-89AA-4B1F-BD5E-2ADF8E8A83B1}"/>
</file>

<file path=customXml/itemProps4.xml><?xml version="1.0" encoding="utf-8"?>
<ds:datastoreItem xmlns:ds="http://schemas.openxmlformats.org/officeDocument/2006/customXml" ds:itemID="{55B7843B-FE04-480B-A35F-8A3A66E3D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Summary</vt:lpstr>
      <vt:lpstr>3-YR AVERAGE-GAS</vt:lpstr>
      <vt:lpstr>NetWriteoffs-Gas</vt:lpstr>
      <vt:lpstr>BS Acct-Gas</vt:lpstr>
      <vt:lpstr>ZO12</vt:lpstr>
      <vt:lpstr>SOG 12ME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2018-03-01T15:52:38Z</cp:lastPrinted>
  <dcterms:created xsi:type="dcterms:W3CDTF">2017-08-14T17:09:01Z</dcterms:created>
  <dcterms:modified xsi:type="dcterms:W3CDTF">2019-07-31T15:21:31Z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