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INPUT" sheetId="1" r:id="rId1"/>
    <sheet name="USF CALC" sheetId="2" r:id="rId2"/>
    <sheet name="CORPORATE" sheetId="3" r:id="rId3"/>
  </sheets>
  <definedNames>
    <definedName name="\0">'INPUT'!$AD$511</definedName>
    <definedName name="\P">'INPUT'!$AD$494</definedName>
    <definedName name="A">'INPUT'!$A$8:$H$84</definedName>
    <definedName name="B">'USF CALC'!$A$9:$G$78</definedName>
    <definedName name="C">'CORPORATE'!$B$9:$F$35</definedName>
    <definedName name="MACRO">'INPUT'!$AC$492</definedName>
    <definedName name="PAPER">'INPUT'!$AD$496</definedName>
    <definedName name="_xlnm.Print_Area" localSheetId="2">'CORPORATE'!$A$1:$F$34</definedName>
    <definedName name="_xlnm.Print_Area" localSheetId="0">'INPUT'!$A$1:$H$85</definedName>
    <definedName name="_xlnm.Print_Area" localSheetId="1">'USF CALC'!$A$9:$G$77</definedName>
    <definedName name="_xlnm.Print_Area">'USF CALC'!$A$9:$G$78</definedName>
    <definedName name="_xlnm.Print_Titles" localSheetId="0">'INPUT'!$1:$7</definedName>
    <definedName name="_xlnm.Print_Titles" localSheetId="1">'USF CALC'!$1:$8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<sst xmlns="http://schemas.openxmlformats.org/spreadsheetml/2006/main" count="352" uniqueCount="310">
  <si>
    <t>UNIVERSAL SERVICE FUND REVISED</t>
  </si>
  <si>
    <t>DATA</t>
  </si>
  <si>
    <t>RECEIVED IN</t>
  </si>
  <si>
    <t>INCREASE</t>
  </si>
  <si>
    <t>LINE</t>
  </si>
  <si>
    <t>DATA ITEM</t>
  </si>
  <si>
    <t>&lt;DECREASE&gt;</t>
  </si>
  <si>
    <t>PERCENT</t>
  </si>
  <si>
    <t>060</t>
  </si>
  <si>
    <t>Total Working Loops</t>
  </si>
  <si>
    <t>070</t>
  </si>
  <si>
    <t>Category 1.3 Loops only</t>
  </si>
  <si>
    <t>160</t>
  </si>
  <si>
    <t>A/C 2001 Telephone Plant in Service</t>
  </si>
  <si>
    <t>170</t>
  </si>
  <si>
    <t>A/C 1220 Materials and Supplies</t>
  </si>
  <si>
    <t>190</t>
  </si>
  <si>
    <t>A/C 3100 Total Depreciation Reserve</t>
  </si>
  <si>
    <t>195</t>
  </si>
  <si>
    <t>A/C 3400 Amortization Reserve</t>
  </si>
  <si>
    <t>210</t>
  </si>
  <si>
    <t>A/C 4340 Deferred Operating Income Tax</t>
  </si>
  <si>
    <t>220</t>
  </si>
  <si>
    <t>Net Plant Investment(Sum Ln160-Ln200)</t>
  </si>
  <si>
    <t>230</t>
  </si>
  <si>
    <t>A/C 2210 Central Ofc Eq - Switching</t>
  </si>
  <si>
    <t>235</t>
  </si>
  <si>
    <t>A/C 2220 Operator Systems</t>
  </si>
  <si>
    <t>240</t>
  </si>
  <si>
    <t>A/C 2230 Central Ofc Eq - Transmission</t>
  </si>
  <si>
    <t>245</t>
  </si>
  <si>
    <t>Total Central Office Equipment</t>
  </si>
  <si>
    <t>250</t>
  </si>
  <si>
    <t>Circuit Equipment Cat. 4.13</t>
  </si>
  <si>
    <t>255</t>
  </si>
  <si>
    <t>A/C 2410 Cable &amp; Wire Facilities</t>
  </si>
  <si>
    <t>260</t>
  </si>
  <si>
    <t>A/C 3100(2210) Accum Dep-COE Switching</t>
  </si>
  <si>
    <t>265</t>
  </si>
  <si>
    <t>A/C 3100(2220) Accum Dep-COE Operator</t>
  </si>
  <si>
    <t>270</t>
  </si>
  <si>
    <t>A/C 3100(2230) Accum Dep-COE Transmission</t>
  </si>
  <si>
    <t>275</t>
  </si>
  <si>
    <t>A/C 3100(2210-2230) Accum Dep-COE</t>
  </si>
  <si>
    <t>280</t>
  </si>
  <si>
    <t>A/C 3100(2410) Accum Dep-C&amp;WF</t>
  </si>
  <si>
    <t>310</t>
  </si>
  <si>
    <t xml:space="preserve">A/C 4340(2210) Def Op Income Taxes-COE </t>
  </si>
  <si>
    <t>315</t>
  </si>
  <si>
    <t>A/C 4340(2220) Def Op Income Taxes-COE</t>
  </si>
  <si>
    <t>320</t>
  </si>
  <si>
    <t xml:space="preserve">A/C 4340(2230) Def Op Income Taxes-COE </t>
  </si>
  <si>
    <t>325</t>
  </si>
  <si>
    <t>A/C 4340(2210-2230) Def Op Income Taxes</t>
  </si>
  <si>
    <t>330</t>
  </si>
  <si>
    <t>A/C 4340(2410) Def Op Income Taxes-C&amp;WF</t>
  </si>
  <si>
    <t>335</t>
  </si>
  <si>
    <t>A/C 6110 Network Support Expense</t>
  </si>
  <si>
    <t>340</t>
  </si>
  <si>
    <t>A/C 6110 Benefits-Network Support Expense</t>
  </si>
  <si>
    <t>345</t>
  </si>
  <si>
    <t>A/C 6110 Rents-Network Support Expense</t>
  </si>
  <si>
    <t>350</t>
  </si>
  <si>
    <t>A/C 6120 General Support Expense</t>
  </si>
  <si>
    <t>355</t>
  </si>
  <si>
    <t>A/C 6120 Benefits-General Support Expense</t>
  </si>
  <si>
    <t>360</t>
  </si>
  <si>
    <t>A/C 6120 Rents-General Support Expense</t>
  </si>
  <si>
    <t>365</t>
  </si>
  <si>
    <t>A/C 6210 COE Switching Expense</t>
  </si>
  <si>
    <t>370</t>
  </si>
  <si>
    <t>A/C 6210 Benefits-COE Switching Expense</t>
  </si>
  <si>
    <t>375</t>
  </si>
  <si>
    <t>A/C 6210 Rents-COE Switching Expense</t>
  </si>
  <si>
    <t>380</t>
  </si>
  <si>
    <t>A/C 6220 COE Operator Sys Expense</t>
  </si>
  <si>
    <t>385</t>
  </si>
  <si>
    <t>A/C 6220 Benefits-Operator Sys Expense</t>
  </si>
  <si>
    <t>395</t>
  </si>
  <si>
    <t>A/C 6230 COE Transmission Expense</t>
  </si>
  <si>
    <t>400</t>
  </si>
  <si>
    <t>A/C 6230 Benefits-COE Transmission Exp</t>
  </si>
  <si>
    <t>405</t>
  </si>
  <si>
    <t>A/C 6230 Rents-COE Transmission Expense</t>
  </si>
  <si>
    <t>410</t>
  </si>
  <si>
    <t>A/C 6210-6230 Total COE Expense</t>
  </si>
  <si>
    <t>415</t>
  </si>
  <si>
    <t>A/C 6310 IOT Expense</t>
  </si>
  <si>
    <t>N/A</t>
  </si>
  <si>
    <t>420</t>
  </si>
  <si>
    <t>A/C 6310 Benefits-IOT Expense</t>
  </si>
  <si>
    <t>430</t>
  </si>
  <si>
    <t>A/C 6410 Cable &amp; Wire Facilities Expense</t>
  </si>
  <si>
    <t>435</t>
  </si>
  <si>
    <t>A/C 6410 Benefits-C&amp;WF Expense</t>
  </si>
  <si>
    <t>440</t>
  </si>
  <si>
    <t>A/C 6410 Rents-C&amp;WF Expense</t>
  </si>
  <si>
    <t>445</t>
  </si>
  <si>
    <t>Total Plant Specific Expense</t>
  </si>
  <si>
    <t>450</t>
  </si>
  <si>
    <t>A/C 6530 Network Operations Expense</t>
  </si>
  <si>
    <t>455</t>
  </si>
  <si>
    <t>A/C 6530 Benefits-Network Operations Ex</t>
  </si>
  <si>
    <t>465</t>
  </si>
  <si>
    <t>A/C 6610 Marketing Expense</t>
  </si>
  <si>
    <t>470</t>
  </si>
  <si>
    <t>A/C 6610 Benefits-Marketing Expenses</t>
  </si>
  <si>
    <t>480</t>
  </si>
  <si>
    <t>A/C 6620 Service Expense</t>
  </si>
  <si>
    <t>485</t>
  </si>
  <si>
    <t>A/C 6620 Benefits-Service Expense</t>
  </si>
  <si>
    <t>500</t>
  </si>
  <si>
    <t>Total Customer Operations Expense</t>
  </si>
  <si>
    <t>505</t>
  </si>
  <si>
    <t>A/C 6620 Service Expense (Revenue Acctg)</t>
  </si>
  <si>
    <t>510</t>
  </si>
  <si>
    <t>A/C 6560(2210) Dep Expense-COE Switching</t>
  </si>
  <si>
    <t>515</t>
  </si>
  <si>
    <t>A/C 6560(2220) Dep Expense-COE Operator</t>
  </si>
  <si>
    <t>520</t>
  </si>
  <si>
    <t>A/C 6560(2230) Dep Expense-COE Trans.</t>
  </si>
  <si>
    <t>525</t>
  </si>
  <si>
    <t>A/C 6560(2210-2230) Dep Expense-COE</t>
  </si>
  <si>
    <t>530</t>
  </si>
  <si>
    <t>A/C 6560(2410) Dep Expense-C&amp;WF</t>
  </si>
  <si>
    <t>535</t>
  </si>
  <si>
    <t>A/C 6710 Executive &amp; Planning Expense</t>
  </si>
  <si>
    <t>540</t>
  </si>
  <si>
    <t>A/C 6710 Benefits-Executive &amp; Planning</t>
  </si>
  <si>
    <t>550</t>
  </si>
  <si>
    <t>A/C 6720 General &amp; Administrative Expense</t>
  </si>
  <si>
    <t>555</t>
  </si>
  <si>
    <t>A/C 6720 Benefits-General Admin Expenses</t>
  </si>
  <si>
    <t>565</t>
  </si>
  <si>
    <t>Total Corporate Operations</t>
  </si>
  <si>
    <t>600</t>
  </si>
  <si>
    <t>Benefits of all Operating Expenses</t>
  </si>
  <si>
    <t>610</t>
  </si>
  <si>
    <t>Rents of all Operating Expenses</t>
  </si>
  <si>
    <t>620</t>
  </si>
  <si>
    <t>A/C 5240 Rent Revenue (Pole Attchmt)</t>
  </si>
  <si>
    <t>650</t>
  </si>
  <si>
    <t>A/C 7200 Operating Taxes</t>
  </si>
  <si>
    <t>655</t>
  </si>
  <si>
    <t>A/C 7240 Operating Other Taxes</t>
  </si>
  <si>
    <t>700</t>
  </si>
  <si>
    <t>A/C 2410 C&amp;WF-Cost Study Average</t>
  </si>
  <si>
    <t>710</t>
  </si>
  <si>
    <t>A/C 2410 C&amp;WF-Cost Study Avg (CAT 1)</t>
  </si>
  <si>
    <t>800</t>
  </si>
  <si>
    <t>A/C 2680 Amortizable Tangible Assets</t>
  </si>
  <si>
    <t>805</t>
  </si>
  <si>
    <t>A/C 2680 Amortizable Tangible Assets-COE</t>
  </si>
  <si>
    <t>810</t>
  </si>
  <si>
    <t>A/C 2680 Amort.Tang. Assets-COE Cat. 4.13</t>
  </si>
  <si>
    <t>815</t>
  </si>
  <si>
    <t>A/C 2680 Amortizable Tangible Assets-C&amp;WF</t>
  </si>
  <si>
    <t>820</t>
  </si>
  <si>
    <t>A/C 2680 Amort. Tang. Assets-C&amp;WF Cat. 1</t>
  </si>
  <si>
    <t>830</t>
  </si>
  <si>
    <t>A/C 6560(2680) Dep Expense-Data Line 800</t>
  </si>
  <si>
    <t>MACRO LIBRARY</t>
  </si>
  <si>
    <t>COMMENTS</t>
  </si>
  <si>
    <t>\P</t>
  </si>
  <si>
    <t>{menubranch paper}</t>
  </si>
  <si>
    <t>print</t>
  </si>
  <si>
    <t>PAPER</t>
  </si>
  <si>
    <t>ALL</t>
  </si>
  <si>
    <t>COMPARISON</t>
  </si>
  <si>
    <t>LOOP COST</t>
  </si>
  <si>
    <t>CORPORATE</t>
  </si>
  <si>
    <t>Print Input Comparison and Cost Per Loop</t>
  </si>
  <si>
    <t>Print Input Comparison</t>
  </si>
  <si>
    <t>Print Cost Per Loop</t>
  </si>
  <si>
    <t>Print Corporate Limitation Test</t>
  </si>
  <si>
    <t>:PRCRS{CE}A~COPQLBTA:A1..A:A8~LA:A1..A:D1~QQG</t>
  </si>
  <si>
    <t>:PRCRS{CE}B~COLQLBTB:A1..B:A8~LB:A1..B:D1~QQG</t>
  </si>
  <si>
    <t>:PRCRS{CE}C~COPQLBTC:A1..C:A11~LA:A1..A:D1~QQG</t>
  </si>
  <si>
    <t>{MENUBRANCH PAPER}</t>
  </si>
  <si>
    <t>mr94~mt0~ml0~mb8~</t>
  </si>
  <si>
    <t>bra1.a5~bcA77.F77~</t>
  </si>
  <si>
    <t>H||@ Page # of 3~</t>
  </si>
  <si>
    <t>qrNEXT~</t>
  </si>
  <si>
    <t>AGPQ</t>
  </si>
  <si>
    <t>\0</t>
  </si>
  <si>
    <t>{home}</t>
  </si>
  <si>
    <t>start at macro</t>
  </si>
  <si>
    <t>COST PER LOOP DETERMINATION:</t>
  </si>
  <si>
    <t>ALGOR.</t>
  </si>
  <si>
    <t>DECISION/FORMULA</t>
  </si>
  <si>
    <t>DIFFERENCE</t>
  </si>
  <si>
    <t>1</t>
  </si>
  <si>
    <t>C&amp;WF CAT. 1 ASSIGNED</t>
  </si>
  <si>
    <t>[DL255x(DL710/DL700)]+DL820</t>
  </si>
  <si>
    <t>2</t>
  </si>
  <si>
    <t>C.0.E. CAT. 4.13 ASSIGNED</t>
  </si>
  <si>
    <t>DL250+DL810</t>
  </si>
  <si>
    <t>3</t>
  </si>
  <si>
    <t>"A" FACTOR - C&amp;WF CAT. 1</t>
  </si>
  <si>
    <t>AL1/(DL255+DL815)</t>
  </si>
  <si>
    <t>4</t>
  </si>
  <si>
    <t>"B" FACTOR - C.O.E. CAT. 4.13</t>
  </si>
  <si>
    <t>AL2/(DL230+DL235+DL240+DL805)</t>
  </si>
  <si>
    <t>5</t>
  </si>
  <si>
    <t>"C" FACTOR C&amp;WF - GROSS ALLOCATOR</t>
  </si>
  <si>
    <t>AL1/DL160</t>
  </si>
  <si>
    <t>6</t>
  </si>
  <si>
    <t>"D" FACTOR C.O.E. - GROSS ALLOCATOR</t>
  </si>
  <si>
    <t>AL2/DL160</t>
  </si>
  <si>
    <t>7</t>
  </si>
  <si>
    <t>A/C 1220 ASSIGNED C&amp;WF CAT. 1</t>
  </si>
  <si>
    <t>AL5*DL170</t>
  </si>
  <si>
    <t>8</t>
  </si>
  <si>
    <t>A/C 1220 ASSIGNED C.O.E. CAT. 4.13</t>
  </si>
  <si>
    <t>AL6*DL170</t>
  </si>
  <si>
    <t>9</t>
  </si>
  <si>
    <t>C&amp;WF CAT. 1 ALLOCATOR OF A/C 3100 A/C 4300</t>
  </si>
  <si>
    <t>AL3*((DL280+DL330)+(DL815/800)*DL195)</t>
  </si>
  <si>
    <t>10</t>
  </si>
  <si>
    <t>C.O.E. CAT. 4.13 ALLOCATOR OF C.O.E. A/C'S 3100 + 4300</t>
  </si>
  <si>
    <t>AL4*((DL260+DL265+DL270+DL310+DL315+DL320)+(805/DL800)*DL195)</t>
  </si>
  <si>
    <t>11</t>
  </si>
  <si>
    <t>"E" FACTOR C&amp;WF - NET ALLOCATOR</t>
  </si>
  <si>
    <t xml:space="preserve">(AL1+AL7-AL9)/(DL160+DL170-DL190-DL210)  </t>
  </si>
  <si>
    <t>12</t>
  </si>
  <si>
    <t>"F" FACTOR C.O.E. - NET ALLOCATOR</t>
  </si>
  <si>
    <t>(AL2+AL8-AL10/(DL160+DL170-DL190-DL210)</t>
  </si>
  <si>
    <t>13</t>
  </si>
  <si>
    <t>C&amp;WF CAT. 1 - MAINTENANCE EXPENSE</t>
  </si>
  <si>
    <t>AL3*(DL430-DL435-DL440)</t>
  </si>
  <si>
    <t>14</t>
  </si>
  <si>
    <t>C.O.E. CAT. 4.13 - MAINTENANCE EXPENSE</t>
  </si>
  <si>
    <t>AL4*(DL365+DL380+DL395-DL370-DL375-DL385-DL390-DL400-DL405)</t>
  </si>
  <si>
    <t>15</t>
  </si>
  <si>
    <t>C&amp;WF CAT. 1 &amp; COE CAT. 4.13-NETWORK &amp; GEN. SUPPORT</t>
  </si>
  <si>
    <t>(AL5+AL6)*(DL335+DL350-DL340-DL345-DL355-DL360)</t>
  </si>
  <si>
    <t>16</t>
  </si>
  <si>
    <t>C&amp;WF CAT. 1 &amp; C.O.E. CAT. 4.13 - NETWORK OP EXPENSE</t>
  </si>
  <si>
    <t>(AL5+AL6)*(DL450-DL455)</t>
  </si>
  <si>
    <t>17</t>
  </si>
  <si>
    <t>C&amp;WF CAT. 1 DEPRECIATION &amp; AMORTIZATION EXPENSE</t>
  </si>
  <si>
    <t>AL3*(DL530+((DL815/DL800)*DL830))</t>
  </si>
  <si>
    <t>18</t>
  </si>
  <si>
    <t>C.O.E. CAT. 4.13 DEPRECIATION &amp; AMORTIZATION EXPENSE</t>
  </si>
  <si>
    <t>AL4*((DL510+DL515+DL520)+((DL805/DL800)*DL830))</t>
  </si>
  <si>
    <t>19</t>
  </si>
  <si>
    <t>C&amp;WF CAT. 1 &amp; C.O.E. CAT. 4.13 CORP OPERATIONS EXPENSE</t>
  </si>
  <si>
    <t>(AL5+AL6)*(DL535+DL550-DL540-DL555)</t>
  </si>
  <si>
    <t>20</t>
  </si>
  <si>
    <t>C&amp;WF CAT. 1 &amp; C.O.E. CAT. 4.13 OPERATING TAXES</t>
  </si>
  <si>
    <t>(AL5+AL6)*DL650</t>
  </si>
  <si>
    <t>21</t>
  </si>
  <si>
    <t>C&amp;WF CAT. 1 &amp; C.O.E. CAT. 4.13 - BENEFITS</t>
  </si>
  <si>
    <t>(AL5+AL6)*DL600</t>
  </si>
  <si>
    <t>22</t>
  </si>
  <si>
    <t>C&amp;WF CAT. 1 &amp; C.O.E. CAT. 4.13 - RENTS</t>
  </si>
  <si>
    <t>(AL5+AL6)*DL610</t>
  </si>
  <si>
    <t>23</t>
  </si>
  <si>
    <t>RETURN ON C&amp;WF CAT. 1</t>
  </si>
  <si>
    <t>(AL1+AL7-AL9)*0.1125</t>
  </si>
  <si>
    <t>24</t>
  </si>
  <si>
    <t>RETURN ON C.O.E. CAT. 4.13</t>
  </si>
  <si>
    <t>(AL2+AL8-AL10)*0.1125</t>
  </si>
  <si>
    <t>25</t>
  </si>
  <si>
    <t>UNSEPARATED USF COSTS</t>
  </si>
  <si>
    <t>@SUM(AL13..AL24)</t>
  </si>
  <si>
    <t>26</t>
  </si>
  <si>
    <t>STUDY AREA USF COST PER LOOP</t>
  </si>
  <si>
    <t>AL25/DL060</t>
  </si>
  <si>
    <t>USF SUPPORT DETERMINATION:</t>
  </si>
  <si>
    <t>27</t>
  </si>
  <si>
    <t>USF National Average Cost Per Loop</t>
  </si>
  <si>
    <t>28</t>
  </si>
  <si>
    <t>a) (AL27) * (1.15)</t>
  </si>
  <si>
    <t>b) (AL27) * (1.50)</t>
  </si>
  <si>
    <t>29</t>
  </si>
  <si>
    <t>a) If (AL26) - (AL28a) &lt; 0, 0 thru AL34</t>
  </si>
  <si>
    <t>b) If (AL26) - (AL28b) &lt; 0, 0 thru AL34</t>
  </si>
  <si>
    <t>30</t>
  </si>
  <si>
    <t>a) ((AL29a) - (AL29b)) * (.65)</t>
  </si>
  <si>
    <t>b) (AL29b) * (.75)</t>
  </si>
  <si>
    <t>31</t>
  </si>
  <si>
    <t>USF Support 100%</t>
  </si>
  <si>
    <t>(AL30a + AL30b) * DL070</t>
  </si>
  <si>
    <t>32</t>
  </si>
  <si>
    <t>USF Monthly Support 100%</t>
  </si>
  <si>
    <t>(AL31) / 12</t>
  </si>
  <si>
    <t>CORPORATE LIMITATION</t>
  </si>
  <si>
    <t>Total Reported Corporate Operations Expense Per Loop</t>
  </si>
  <si>
    <t>Monthly Reported Corporate Operations Expense Per Loop</t>
  </si>
  <si>
    <t>Total Allowed Corporate Operations Expense Per Loop</t>
  </si>
  <si>
    <t>Working Loops - 6,000 or Less:</t>
  </si>
  <si>
    <t>$25,000 Test</t>
  </si>
  <si>
    <t>Working Loops - 6,001 to 18,005:</t>
  </si>
  <si>
    <t xml:space="preserve">  $3.588+($82827.6/DL070)</t>
  </si>
  <si>
    <t>Working Loops - Greater Than 18,005:</t>
  </si>
  <si>
    <t>$8.188</t>
  </si>
  <si>
    <t>MONTHLY UNDER &lt;OVER&gt; LIMITATION</t>
  </si>
  <si>
    <t>ANNUAL UNDER &lt;OVER&gt; LIMITATION PER LOOP</t>
  </si>
  <si>
    <t>TOTAL UNDER &lt;OVER&gt; LIMITATION</t>
  </si>
  <si>
    <t>Source</t>
  </si>
  <si>
    <t>2310</t>
  </si>
  <si>
    <t>2420</t>
  </si>
  <si>
    <t>2510</t>
  </si>
  <si>
    <t>2105/2605</t>
  </si>
  <si>
    <t>WEAVTEL</t>
  </si>
  <si>
    <t>FOR THE STUDY YEAR ENDED 12/31/08 Revised</t>
  </si>
  <si>
    <t>2008 Revised</t>
  </si>
  <si>
    <t>NECA Calc</t>
  </si>
  <si>
    <t>JSP Revised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</si>
</sst>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00"/>
    <numFmt numFmtId="166" formatCode="&quot;$&quot;#,##0.00"/>
    <numFmt numFmtId="167" formatCode="hh:mm\ AM/PM"/>
    <numFmt numFmtId="168" formatCode="0.000000"/>
    <numFmt numFmtId="169" formatCode="&quot;$&quot;#,##0.000"/>
    <numFmt numFmtId="170" formatCode="&quot;$&quot;#,##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  <font>
      <b/>
      <i/>
      <sz val="12"/>
      <name val="Arial"/>
      <family val="0"/>
    </font>
    <font>
      <sz val="12"/>
      <color indexed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/>
    </xf>
    <xf numFmtId="0" fontId="12" fillId="0" borderId="0" xfId="0" applyNumberFormat="1" applyFont="1" applyAlignment="1" quotePrefix="1">
      <alignment horizontal="right"/>
    </xf>
    <xf numFmtId="0" fontId="12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4" fillId="34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1"/>
  <sheetViews>
    <sheetView tabSelected="1" showOutlineSymbols="0" zoomScale="87" zoomScaleNormal="87" zoomScalePageLayoutView="0" workbookViewId="0" topLeftCell="A29">
      <selection activeCell="F44" sqref="F44"/>
    </sheetView>
  </sheetViews>
  <sheetFormatPr defaultColWidth="11.6640625" defaultRowHeight="15"/>
  <cols>
    <col min="1" max="1" width="3.4453125" style="1" customWidth="1"/>
    <col min="2" max="2" width="8.6640625" style="1" customWidth="1"/>
    <col min="3" max="3" width="37.6640625" style="1" customWidth="1"/>
    <col min="4" max="4" width="4.6640625" style="1" customWidth="1"/>
    <col min="5" max="8" width="11.6640625" style="1" customWidth="1"/>
    <col min="9" max="9" width="12.6640625" style="1" customWidth="1"/>
    <col min="10" max="16384" width="11.6640625" style="1" customWidth="1"/>
  </cols>
  <sheetData>
    <row r="1" spans="2:8" ht="15.75">
      <c r="B1" s="2" t="s">
        <v>305</v>
      </c>
      <c r="C1" s="2"/>
      <c r="D1" s="2"/>
      <c r="E1" s="36" t="s">
        <v>300</v>
      </c>
      <c r="F1" s="39" t="s">
        <v>304</v>
      </c>
      <c r="G1" s="37"/>
      <c r="H1" s="3"/>
    </row>
    <row r="2" spans="1:8" ht="15.75">
      <c r="A2" s="8"/>
      <c r="B2" s="2" t="s">
        <v>0</v>
      </c>
      <c r="C2" s="2"/>
      <c r="D2" s="2"/>
      <c r="E2" s="2"/>
      <c r="F2" s="2"/>
      <c r="G2" s="2"/>
      <c r="H2" s="2"/>
    </row>
    <row r="3" spans="1:8" ht="15.75">
      <c r="A3" s="8"/>
      <c r="B3" s="2" t="s">
        <v>306</v>
      </c>
      <c r="C3" s="2"/>
      <c r="D3" s="2"/>
      <c r="E3" s="2"/>
      <c r="F3" s="2"/>
      <c r="G3" s="2"/>
      <c r="H3" s="2"/>
    </row>
    <row r="4" spans="1:8" ht="15.75">
      <c r="A4" s="8"/>
      <c r="B4" s="2"/>
      <c r="C4" s="2"/>
      <c r="D4" s="2"/>
      <c r="E4" s="8"/>
      <c r="F4" s="8"/>
      <c r="G4" s="2"/>
      <c r="H4" s="2"/>
    </row>
    <row r="5" spans="1:8" ht="15.75">
      <c r="A5" s="8"/>
      <c r="B5" s="4" t="s">
        <v>1</v>
      </c>
      <c r="C5" s="8"/>
      <c r="D5" s="2"/>
      <c r="E5" s="5" t="s">
        <v>2</v>
      </c>
      <c r="F5" s="5"/>
      <c r="G5" s="4" t="s">
        <v>3</v>
      </c>
      <c r="H5" s="8"/>
    </row>
    <row r="6" spans="1:8" ht="15.75">
      <c r="A6" s="8"/>
      <c r="B6" s="6" t="s">
        <v>4</v>
      </c>
      <c r="C6" s="6" t="s">
        <v>5</v>
      </c>
      <c r="D6" s="2"/>
      <c r="E6" s="6">
        <v>2009</v>
      </c>
      <c r="F6" s="6">
        <v>2010</v>
      </c>
      <c r="G6" s="6" t="s">
        <v>6</v>
      </c>
      <c r="H6" s="6" t="s">
        <v>7</v>
      </c>
    </row>
    <row r="7" spans="1:8" ht="15">
      <c r="A7" s="8"/>
      <c r="B7" s="8"/>
      <c r="C7" s="8"/>
      <c r="D7" s="8"/>
      <c r="E7" s="31">
        <v>2008</v>
      </c>
      <c r="F7" s="31" t="s">
        <v>307</v>
      </c>
      <c r="G7" s="8"/>
      <c r="H7" s="8"/>
    </row>
    <row r="8" spans="1:10" ht="15.75">
      <c r="A8" s="8"/>
      <c r="B8" s="4" t="s">
        <v>8</v>
      </c>
      <c r="C8" s="8" t="s">
        <v>9</v>
      </c>
      <c r="D8" s="38" t="s">
        <v>303</v>
      </c>
      <c r="E8" s="32">
        <v>18</v>
      </c>
      <c r="F8" s="32">
        <v>18</v>
      </c>
      <c r="G8" s="23">
        <f aca="true" t="shared" si="0" ref="G8:G46">F8-E8</f>
        <v>0</v>
      </c>
      <c r="H8" s="24">
        <f aca="true" t="shared" si="1" ref="H8:H35">G8/E8</f>
        <v>0</v>
      </c>
      <c r="J8" s="10"/>
    </row>
    <row r="9" spans="1:10" ht="15.75">
      <c r="A9" s="8"/>
      <c r="B9" s="4" t="s">
        <v>10</v>
      </c>
      <c r="C9" s="8" t="s">
        <v>11</v>
      </c>
      <c r="D9" s="38" t="s">
        <v>303</v>
      </c>
      <c r="E9" s="32">
        <v>16</v>
      </c>
      <c r="F9" s="32">
        <v>16</v>
      </c>
      <c r="G9" s="23">
        <f t="shared" si="0"/>
        <v>0</v>
      </c>
      <c r="H9" s="24">
        <f t="shared" si="1"/>
        <v>0</v>
      </c>
      <c r="J9" s="10"/>
    </row>
    <row r="10" spans="1:10" ht="15.75">
      <c r="A10" s="8"/>
      <c r="B10" s="4" t="s">
        <v>12</v>
      </c>
      <c r="C10" s="8" t="s">
        <v>13</v>
      </c>
      <c r="D10" s="8"/>
      <c r="E10" s="33">
        <v>1856717</v>
      </c>
      <c r="F10" s="33">
        <v>1856717</v>
      </c>
      <c r="G10" s="23">
        <f t="shared" si="0"/>
        <v>0</v>
      </c>
      <c r="H10" s="24">
        <f t="shared" si="1"/>
        <v>0</v>
      </c>
      <c r="J10" s="10"/>
    </row>
    <row r="11" spans="1:10" ht="15.75">
      <c r="A11" s="8"/>
      <c r="B11" s="4" t="s">
        <v>14</v>
      </c>
      <c r="C11" s="8" t="s">
        <v>15</v>
      </c>
      <c r="D11" s="8"/>
      <c r="E11" s="33">
        <v>0</v>
      </c>
      <c r="F11" s="33">
        <v>0</v>
      </c>
      <c r="G11" s="23">
        <f t="shared" si="0"/>
        <v>0</v>
      </c>
      <c r="H11" s="24" t="e">
        <f t="shared" si="1"/>
        <v>#DIV/0!</v>
      </c>
      <c r="J11" s="10"/>
    </row>
    <row r="12" spans="1:10" ht="15.75">
      <c r="A12" s="8"/>
      <c r="B12" s="4" t="s">
        <v>16</v>
      </c>
      <c r="C12" s="8" t="s">
        <v>17</v>
      </c>
      <c r="D12" s="8"/>
      <c r="E12" s="33">
        <v>450293</v>
      </c>
      <c r="F12" s="33">
        <v>450293</v>
      </c>
      <c r="G12" s="23">
        <f t="shared" si="0"/>
        <v>0</v>
      </c>
      <c r="H12" s="24">
        <f t="shared" si="1"/>
        <v>0</v>
      </c>
      <c r="J12" s="10"/>
    </row>
    <row r="13" spans="1:10" ht="15.75">
      <c r="A13" s="8"/>
      <c r="B13" s="4" t="s">
        <v>18</v>
      </c>
      <c r="C13" s="8" t="s">
        <v>19</v>
      </c>
      <c r="D13" s="8"/>
      <c r="E13" s="33">
        <v>0.0001</v>
      </c>
      <c r="F13" s="33">
        <v>0.0001</v>
      </c>
      <c r="G13" s="23">
        <f t="shared" si="0"/>
        <v>0</v>
      </c>
      <c r="H13" s="24">
        <f t="shared" si="1"/>
        <v>0</v>
      </c>
      <c r="J13" s="10"/>
    </row>
    <row r="14" spans="1:10" ht="15.75">
      <c r="A14" s="8"/>
      <c r="B14" s="4" t="s">
        <v>20</v>
      </c>
      <c r="C14" s="8" t="s">
        <v>21</v>
      </c>
      <c r="D14" s="8"/>
      <c r="E14" s="33">
        <v>82047</v>
      </c>
      <c r="F14" s="33">
        <v>82047</v>
      </c>
      <c r="G14" s="23">
        <f t="shared" si="0"/>
        <v>0</v>
      </c>
      <c r="H14" s="24">
        <f t="shared" si="1"/>
        <v>0</v>
      </c>
      <c r="J14" s="10"/>
    </row>
    <row r="15" spans="1:10" ht="15.75">
      <c r="A15" s="8"/>
      <c r="B15" s="4" t="s">
        <v>22</v>
      </c>
      <c r="C15" s="8" t="s">
        <v>23</v>
      </c>
      <c r="D15" s="8"/>
      <c r="E15" s="23">
        <f>(E10+E11)-SUM(E12:E14)</f>
        <v>1324376.9999</v>
      </c>
      <c r="F15" s="23">
        <f>(F10+F11)-SUM(F12:F14)</f>
        <v>1324376.9999</v>
      </c>
      <c r="G15" s="23">
        <f t="shared" si="0"/>
        <v>0</v>
      </c>
      <c r="H15" s="24">
        <f t="shared" si="1"/>
        <v>0</v>
      </c>
      <c r="J15" s="10"/>
    </row>
    <row r="16" spans="1:10" ht="15.75">
      <c r="A16" s="8"/>
      <c r="B16" s="4" t="s">
        <v>24</v>
      </c>
      <c r="C16" s="8" t="s">
        <v>25</v>
      </c>
      <c r="D16" s="8"/>
      <c r="E16" s="33">
        <v>422273</v>
      </c>
      <c r="F16" s="33">
        <v>422273</v>
      </c>
      <c r="G16" s="23">
        <f t="shared" si="0"/>
        <v>0</v>
      </c>
      <c r="H16" s="24">
        <f t="shared" si="1"/>
        <v>0</v>
      </c>
      <c r="J16" s="10"/>
    </row>
    <row r="17" spans="1:8" ht="15.75">
      <c r="A17" s="8"/>
      <c r="B17" s="4" t="s">
        <v>26</v>
      </c>
      <c r="C17" s="8" t="s">
        <v>27</v>
      </c>
      <c r="D17" s="8"/>
      <c r="E17" s="33">
        <v>0.0001</v>
      </c>
      <c r="F17" s="33">
        <v>0.0001</v>
      </c>
      <c r="G17" s="23">
        <f t="shared" si="0"/>
        <v>0</v>
      </c>
      <c r="H17" s="24">
        <f t="shared" si="1"/>
        <v>0</v>
      </c>
    </row>
    <row r="18" spans="1:10" ht="15.75">
      <c r="A18" s="8"/>
      <c r="B18" s="4" t="s">
        <v>28</v>
      </c>
      <c r="C18" s="8" t="s">
        <v>29</v>
      </c>
      <c r="D18" s="8"/>
      <c r="E18" s="33">
        <v>723925</v>
      </c>
      <c r="F18" s="33">
        <v>723925</v>
      </c>
      <c r="G18" s="23">
        <f t="shared" si="0"/>
        <v>0</v>
      </c>
      <c r="H18" s="24">
        <f t="shared" si="1"/>
        <v>0</v>
      </c>
      <c r="J18" s="10"/>
    </row>
    <row r="19" spans="1:8" ht="15.75">
      <c r="A19" s="8"/>
      <c r="B19" s="4" t="s">
        <v>30</v>
      </c>
      <c r="C19" s="8" t="s">
        <v>31</v>
      </c>
      <c r="D19" s="8"/>
      <c r="E19" s="23">
        <f>SUM(E16:E18)</f>
        <v>1146198.0001</v>
      </c>
      <c r="F19" s="23">
        <f>SUM(F16:F18)</f>
        <v>1146198.0001</v>
      </c>
      <c r="G19" s="23">
        <f t="shared" si="0"/>
        <v>0</v>
      </c>
      <c r="H19" s="24">
        <f t="shared" si="1"/>
        <v>0</v>
      </c>
    </row>
    <row r="20" spans="1:10" ht="15.75">
      <c r="A20" s="8"/>
      <c r="B20" s="4" t="s">
        <v>32</v>
      </c>
      <c r="C20" s="8" t="s">
        <v>33</v>
      </c>
      <c r="D20" s="38" t="s">
        <v>301</v>
      </c>
      <c r="E20" s="33">
        <v>422273</v>
      </c>
      <c r="F20" s="33">
        <v>327586</v>
      </c>
      <c r="G20" s="23">
        <f t="shared" si="0"/>
        <v>-94687</v>
      </c>
      <c r="H20" s="24">
        <f t="shared" si="1"/>
        <v>-0.2242317173960921</v>
      </c>
      <c r="J20" s="10"/>
    </row>
    <row r="21" spans="1:8" ht="15.75">
      <c r="A21" s="8"/>
      <c r="B21" s="4" t="s">
        <v>34</v>
      </c>
      <c r="C21" s="8" t="s">
        <v>35</v>
      </c>
      <c r="D21" s="8"/>
      <c r="E21" s="33">
        <v>182508</v>
      </c>
      <c r="F21" s="33">
        <v>182508</v>
      </c>
      <c r="G21" s="23">
        <f t="shared" si="0"/>
        <v>0</v>
      </c>
      <c r="H21" s="24">
        <f t="shared" si="1"/>
        <v>0</v>
      </c>
    </row>
    <row r="22" spans="1:10" ht="15.75">
      <c r="A22" s="8"/>
      <c r="B22" s="4" t="s">
        <v>36</v>
      </c>
      <c r="C22" s="8" t="s">
        <v>37</v>
      </c>
      <c r="D22" s="8"/>
      <c r="E22" s="33">
        <v>126710</v>
      </c>
      <c r="F22" s="33">
        <v>126710</v>
      </c>
      <c r="G22" s="23">
        <f t="shared" si="0"/>
        <v>0</v>
      </c>
      <c r="H22" s="24">
        <f t="shared" si="1"/>
        <v>0</v>
      </c>
      <c r="J22" s="10"/>
    </row>
    <row r="23" spans="1:8" ht="15.75">
      <c r="A23" s="8"/>
      <c r="B23" s="4" t="s">
        <v>38</v>
      </c>
      <c r="C23" s="8" t="s">
        <v>39</v>
      </c>
      <c r="D23" s="8"/>
      <c r="E23" s="33">
        <v>0.0001</v>
      </c>
      <c r="F23" s="33">
        <v>0.0001</v>
      </c>
      <c r="G23" s="23">
        <f t="shared" si="0"/>
        <v>0</v>
      </c>
      <c r="H23" s="24">
        <f t="shared" si="1"/>
        <v>0</v>
      </c>
    </row>
    <row r="24" spans="1:10" ht="15.75">
      <c r="A24" s="8"/>
      <c r="B24" s="4" t="s">
        <v>40</v>
      </c>
      <c r="C24" s="8" t="s">
        <v>41</v>
      </c>
      <c r="D24" s="8"/>
      <c r="E24" s="33">
        <v>195161</v>
      </c>
      <c r="F24" s="33">
        <v>195161</v>
      </c>
      <c r="G24" s="23">
        <f t="shared" si="0"/>
        <v>0</v>
      </c>
      <c r="H24" s="24">
        <f t="shared" si="1"/>
        <v>0</v>
      </c>
      <c r="J24" s="10"/>
    </row>
    <row r="25" spans="1:8" ht="15.75">
      <c r="A25" s="8"/>
      <c r="B25" s="4" t="s">
        <v>42</v>
      </c>
      <c r="C25" s="8" t="s">
        <v>43</v>
      </c>
      <c r="D25" s="8"/>
      <c r="E25" s="23">
        <f>SUM(E22:E24)</f>
        <v>321871.0001</v>
      </c>
      <c r="F25" s="23">
        <f>SUM(F22:F24)</f>
        <v>321871.0001</v>
      </c>
      <c r="G25" s="23">
        <f t="shared" si="0"/>
        <v>0</v>
      </c>
      <c r="H25" s="24">
        <f t="shared" si="1"/>
        <v>0</v>
      </c>
    </row>
    <row r="26" spans="1:10" ht="15.75">
      <c r="A26" s="8"/>
      <c r="B26" s="4" t="s">
        <v>44</v>
      </c>
      <c r="C26" s="8" t="s">
        <v>45</v>
      </c>
      <c r="D26" s="8"/>
      <c r="E26" s="33">
        <v>27377</v>
      </c>
      <c r="F26" s="33">
        <v>27377</v>
      </c>
      <c r="G26" s="23">
        <f t="shared" si="0"/>
        <v>0</v>
      </c>
      <c r="H26" s="24">
        <f t="shared" si="1"/>
        <v>0</v>
      </c>
      <c r="J26" s="10"/>
    </row>
    <row r="27" spans="1:10" ht="15.75">
      <c r="A27" s="8"/>
      <c r="B27" s="4" t="s">
        <v>46</v>
      </c>
      <c r="C27" s="8" t="s">
        <v>47</v>
      </c>
      <c r="D27" s="8"/>
      <c r="E27" s="33">
        <v>44290</v>
      </c>
      <c r="F27" s="33">
        <v>44290</v>
      </c>
      <c r="G27" s="23">
        <f t="shared" si="0"/>
        <v>0</v>
      </c>
      <c r="H27" s="24">
        <f t="shared" si="1"/>
        <v>0</v>
      </c>
      <c r="J27" s="10"/>
    </row>
    <row r="28" spans="1:8" ht="15.75">
      <c r="A28" s="8"/>
      <c r="B28" s="4" t="s">
        <v>48</v>
      </c>
      <c r="C28" s="8" t="s">
        <v>49</v>
      </c>
      <c r="D28" s="8"/>
      <c r="E28" s="33">
        <v>0.0001</v>
      </c>
      <c r="F28" s="33">
        <v>0.0001</v>
      </c>
      <c r="G28" s="23">
        <f t="shared" si="0"/>
        <v>0</v>
      </c>
      <c r="H28" s="24">
        <f t="shared" si="1"/>
        <v>0</v>
      </c>
    </row>
    <row r="29" spans="1:10" ht="15.75">
      <c r="A29" s="8"/>
      <c r="B29" s="4" t="s">
        <v>50</v>
      </c>
      <c r="C29" s="8" t="s">
        <v>51</v>
      </c>
      <c r="D29" s="8"/>
      <c r="E29" s="33">
        <v>38988</v>
      </c>
      <c r="F29" s="33">
        <v>38988</v>
      </c>
      <c r="G29" s="23">
        <f t="shared" si="0"/>
        <v>0</v>
      </c>
      <c r="H29" s="24">
        <f t="shared" si="1"/>
        <v>0</v>
      </c>
      <c r="J29" s="10"/>
    </row>
    <row r="30" spans="1:8" ht="15.75">
      <c r="A30" s="8"/>
      <c r="B30" s="4" t="s">
        <v>52</v>
      </c>
      <c r="C30" s="8" t="s">
        <v>53</v>
      </c>
      <c r="D30" s="8"/>
      <c r="E30" s="23">
        <f>SUM(E27:E29)</f>
        <v>83278.0001</v>
      </c>
      <c r="F30" s="23">
        <f>SUM(F27:F29)</f>
        <v>83278.0001</v>
      </c>
      <c r="G30" s="23">
        <f t="shared" si="0"/>
        <v>0</v>
      </c>
      <c r="H30" s="24">
        <f t="shared" si="1"/>
        <v>0</v>
      </c>
    </row>
    <row r="31" spans="1:10" ht="15.75">
      <c r="A31" s="8"/>
      <c r="B31" s="4" t="s">
        <v>54</v>
      </c>
      <c r="C31" s="8" t="s">
        <v>55</v>
      </c>
      <c r="D31" s="8"/>
      <c r="E31" s="33">
        <v>1372</v>
      </c>
      <c r="F31" s="33">
        <v>1372</v>
      </c>
      <c r="G31" s="23">
        <f t="shared" si="0"/>
        <v>0</v>
      </c>
      <c r="H31" s="24">
        <f t="shared" si="1"/>
        <v>0</v>
      </c>
      <c r="J31" s="10"/>
    </row>
    <row r="32" spans="1:8" ht="15.75">
      <c r="A32" s="8"/>
      <c r="B32" s="4" t="s">
        <v>56</v>
      </c>
      <c r="C32" s="8" t="s">
        <v>57</v>
      </c>
      <c r="D32" s="8"/>
      <c r="E32" s="33">
        <v>5624</v>
      </c>
      <c r="F32" s="33">
        <v>5624</v>
      </c>
      <c r="G32" s="23">
        <f t="shared" si="0"/>
        <v>0</v>
      </c>
      <c r="H32" s="24">
        <f t="shared" si="1"/>
        <v>0</v>
      </c>
    </row>
    <row r="33" spans="1:10" ht="15.75">
      <c r="A33" s="8"/>
      <c r="B33" s="4" t="s">
        <v>58</v>
      </c>
      <c r="C33" s="8" t="s">
        <v>59</v>
      </c>
      <c r="D33" s="8"/>
      <c r="E33" s="33">
        <v>0.0001</v>
      </c>
      <c r="F33" s="33">
        <v>0.0001</v>
      </c>
      <c r="G33" s="23">
        <f t="shared" si="0"/>
        <v>0</v>
      </c>
      <c r="H33" s="24">
        <f t="shared" si="1"/>
        <v>0</v>
      </c>
      <c r="J33" s="10"/>
    </row>
    <row r="34" spans="1:10" ht="15.75">
      <c r="A34" s="8"/>
      <c r="B34" s="4" t="s">
        <v>60</v>
      </c>
      <c r="C34" s="8" t="s">
        <v>61</v>
      </c>
      <c r="D34" s="8"/>
      <c r="E34" s="33">
        <v>0.0001</v>
      </c>
      <c r="F34" s="33">
        <v>0.0001</v>
      </c>
      <c r="G34" s="23">
        <f t="shared" si="0"/>
        <v>0</v>
      </c>
      <c r="H34" s="24">
        <f t="shared" si="1"/>
        <v>0</v>
      </c>
      <c r="J34" s="10"/>
    </row>
    <row r="35" spans="1:10" ht="15.75">
      <c r="A35" s="8"/>
      <c r="B35" s="4" t="s">
        <v>62</v>
      </c>
      <c r="C35" s="8" t="s">
        <v>63</v>
      </c>
      <c r="D35" s="8"/>
      <c r="E35" s="33">
        <v>33608</v>
      </c>
      <c r="F35" s="33">
        <v>33608</v>
      </c>
      <c r="G35" s="23">
        <f t="shared" si="0"/>
        <v>0</v>
      </c>
      <c r="H35" s="24">
        <f t="shared" si="1"/>
        <v>0</v>
      </c>
      <c r="J35" s="10"/>
    </row>
    <row r="36" spans="1:10" ht="15.75">
      <c r="A36" s="8"/>
      <c r="B36" s="4" t="s">
        <v>64</v>
      </c>
      <c r="C36" s="8" t="s">
        <v>65</v>
      </c>
      <c r="D36" s="8"/>
      <c r="E36" s="33">
        <v>0</v>
      </c>
      <c r="F36" s="33">
        <v>0</v>
      </c>
      <c r="G36" s="23">
        <f t="shared" si="0"/>
        <v>0</v>
      </c>
      <c r="H36" s="24">
        <v>0</v>
      </c>
      <c r="J36" s="10"/>
    </row>
    <row r="37" spans="1:10" ht="15.75">
      <c r="A37" s="8"/>
      <c r="B37" s="4" t="s">
        <v>66</v>
      </c>
      <c r="C37" s="8" t="s">
        <v>67</v>
      </c>
      <c r="D37" s="8"/>
      <c r="E37" s="33">
        <v>15905</v>
      </c>
      <c r="F37" s="33">
        <f>12000+3985-79.7</f>
        <v>15905.3</v>
      </c>
      <c r="G37" s="23">
        <f t="shared" si="0"/>
        <v>0.2999999999992724</v>
      </c>
      <c r="H37" s="24">
        <v>0</v>
      </c>
      <c r="J37" s="10"/>
    </row>
    <row r="38" spans="1:8" ht="15.75">
      <c r="A38" s="8"/>
      <c r="B38" s="4" t="s">
        <v>68</v>
      </c>
      <c r="C38" s="8" t="s">
        <v>69</v>
      </c>
      <c r="D38" s="8"/>
      <c r="E38" s="33">
        <v>1973</v>
      </c>
      <c r="F38" s="33">
        <v>1973</v>
      </c>
      <c r="G38" s="23">
        <f t="shared" si="0"/>
        <v>0</v>
      </c>
      <c r="H38" s="24">
        <f aca="true" t="shared" si="2" ref="H38:H46">G38/E38</f>
        <v>0</v>
      </c>
    </row>
    <row r="39" spans="1:10" ht="15.75">
      <c r="A39" s="8"/>
      <c r="B39" s="4" t="s">
        <v>70</v>
      </c>
      <c r="C39" s="8" t="s">
        <v>71</v>
      </c>
      <c r="D39" s="8"/>
      <c r="E39" s="33">
        <v>0.0001</v>
      </c>
      <c r="F39" s="33">
        <v>0.0001</v>
      </c>
      <c r="G39" s="23">
        <f t="shared" si="0"/>
        <v>0</v>
      </c>
      <c r="H39" s="24">
        <f t="shared" si="2"/>
        <v>0</v>
      </c>
      <c r="J39" s="10"/>
    </row>
    <row r="40" spans="1:8" ht="15.75">
      <c r="A40" s="8"/>
      <c r="B40" s="4" t="s">
        <v>72</v>
      </c>
      <c r="C40" s="8" t="s">
        <v>73</v>
      </c>
      <c r="D40" s="8"/>
      <c r="E40" s="33">
        <v>0.0001</v>
      </c>
      <c r="F40" s="33">
        <v>0.0001</v>
      </c>
      <c r="G40" s="23">
        <f t="shared" si="0"/>
        <v>0</v>
      </c>
      <c r="H40" s="24">
        <f t="shared" si="2"/>
        <v>0</v>
      </c>
    </row>
    <row r="41" spans="1:8" ht="15.75">
      <c r="A41" s="8"/>
      <c r="B41" s="4" t="s">
        <v>74</v>
      </c>
      <c r="C41" s="8" t="s">
        <v>75</v>
      </c>
      <c r="D41" s="8"/>
      <c r="E41" s="33">
        <v>0.0001</v>
      </c>
      <c r="F41" s="33">
        <v>0.0001</v>
      </c>
      <c r="G41" s="23">
        <f t="shared" si="0"/>
        <v>0</v>
      </c>
      <c r="H41" s="24">
        <f t="shared" si="2"/>
        <v>0</v>
      </c>
    </row>
    <row r="42" spans="1:8" ht="15.75">
      <c r="A42" s="8"/>
      <c r="B42" s="4" t="s">
        <v>76</v>
      </c>
      <c r="C42" s="8" t="s">
        <v>77</v>
      </c>
      <c r="D42" s="8"/>
      <c r="E42" s="33">
        <v>0.0001</v>
      </c>
      <c r="F42" s="33">
        <v>0.0001</v>
      </c>
      <c r="G42" s="23">
        <f t="shared" si="0"/>
        <v>0</v>
      </c>
      <c r="H42" s="24">
        <f t="shared" si="2"/>
        <v>0</v>
      </c>
    </row>
    <row r="43" spans="1:10" ht="15.75">
      <c r="A43" s="8"/>
      <c r="B43" s="4" t="s">
        <v>78</v>
      </c>
      <c r="C43" s="8" t="s">
        <v>79</v>
      </c>
      <c r="D43" s="8"/>
      <c r="E43" s="33">
        <v>145662</v>
      </c>
      <c r="F43" s="33">
        <v>145662</v>
      </c>
      <c r="G43" s="23">
        <f t="shared" si="0"/>
        <v>0</v>
      </c>
      <c r="H43" s="24">
        <f t="shared" si="2"/>
        <v>0</v>
      </c>
      <c r="J43" s="10"/>
    </row>
    <row r="44" spans="1:10" ht="15.75">
      <c r="A44" s="8"/>
      <c r="B44" s="4" t="s">
        <v>80</v>
      </c>
      <c r="C44" s="8" t="s">
        <v>81</v>
      </c>
      <c r="D44" s="8"/>
      <c r="E44" s="33">
        <v>0</v>
      </c>
      <c r="F44" s="33">
        <v>1548</v>
      </c>
      <c r="G44" s="23">
        <f t="shared" si="0"/>
        <v>1548</v>
      </c>
      <c r="H44" s="24" t="e">
        <f t="shared" si="2"/>
        <v>#DIV/0!</v>
      </c>
      <c r="J44" s="10"/>
    </row>
    <row r="45" spans="1:8" ht="15.75">
      <c r="A45" s="8"/>
      <c r="B45" s="4" t="s">
        <v>82</v>
      </c>
      <c r="C45" s="8" t="s">
        <v>83</v>
      </c>
      <c r="D45" s="8"/>
      <c r="E45" s="33">
        <v>71238</v>
      </c>
      <c r="F45" s="33">
        <f>60528+10710.19</f>
        <v>71238.19</v>
      </c>
      <c r="G45" s="23">
        <f t="shared" si="0"/>
        <v>0.1900000000023283</v>
      </c>
      <c r="H45" s="24">
        <f t="shared" si="2"/>
        <v>2.6671158651608453E-06</v>
      </c>
    </row>
    <row r="46" spans="1:10" ht="15.75">
      <c r="A46" s="8"/>
      <c r="B46" s="4" t="s">
        <v>84</v>
      </c>
      <c r="C46" s="8" t="s">
        <v>85</v>
      </c>
      <c r="D46" s="8"/>
      <c r="E46" s="23">
        <f>E38+E41+E43</f>
        <v>147635.0001</v>
      </c>
      <c r="F46" s="23">
        <f>F38+F41+F43</f>
        <v>147635.0001</v>
      </c>
      <c r="G46" s="23">
        <f t="shared" si="0"/>
        <v>0</v>
      </c>
      <c r="H46" s="24">
        <f t="shared" si="2"/>
        <v>0</v>
      </c>
      <c r="J46" s="10"/>
    </row>
    <row r="47" spans="1:8" ht="15.75">
      <c r="A47" s="8"/>
      <c r="B47" s="4" t="s">
        <v>86</v>
      </c>
      <c r="C47" s="8" t="s">
        <v>87</v>
      </c>
      <c r="D47" s="8"/>
      <c r="E47" s="11" t="s">
        <v>88</v>
      </c>
      <c r="F47" s="11" t="s">
        <v>88</v>
      </c>
      <c r="G47" s="26"/>
      <c r="H47" s="27"/>
    </row>
    <row r="48" spans="1:10" ht="15.75">
      <c r="A48" s="27"/>
      <c r="B48" s="4" t="s">
        <v>89</v>
      </c>
      <c r="C48" s="8" t="s">
        <v>90</v>
      </c>
      <c r="D48" s="8"/>
      <c r="E48" s="11" t="s">
        <v>88</v>
      </c>
      <c r="F48" s="11" t="s">
        <v>88</v>
      </c>
      <c r="G48" s="26"/>
      <c r="H48" s="27"/>
      <c r="J48" s="10"/>
    </row>
    <row r="49" spans="1:10" ht="15.75">
      <c r="A49" s="27"/>
      <c r="B49" s="4" t="s">
        <v>91</v>
      </c>
      <c r="C49" s="8" t="s">
        <v>92</v>
      </c>
      <c r="D49" s="8"/>
      <c r="E49" s="33">
        <v>5577</v>
      </c>
      <c r="F49" s="33">
        <v>5577</v>
      </c>
      <c r="G49" s="23">
        <f aca="true" t="shared" si="3" ref="G49:G54">F49-E49</f>
        <v>0</v>
      </c>
      <c r="H49" s="24">
        <f aca="true" t="shared" si="4" ref="H49:H54">G49/E49</f>
        <v>0</v>
      </c>
      <c r="J49" s="10"/>
    </row>
    <row r="50" spans="1:8" ht="15.75">
      <c r="A50" s="8"/>
      <c r="B50" s="4" t="s">
        <v>93</v>
      </c>
      <c r="C50" s="8" t="s">
        <v>94</v>
      </c>
      <c r="D50" s="8"/>
      <c r="E50" s="33">
        <v>386</v>
      </c>
      <c r="F50" s="33">
        <v>386</v>
      </c>
      <c r="G50" s="23">
        <f t="shared" si="3"/>
        <v>0</v>
      </c>
      <c r="H50" s="24">
        <f t="shared" si="4"/>
        <v>0</v>
      </c>
    </row>
    <row r="51" spans="1:10" ht="15.75">
      <c r="A51" s="8"/>
      <c r="B51" s="4" t="s">
        <v>95</v>
      </c>
      <c r="C51" s="8" t="s">
        <v>96</v>
      </c>
      <c r="D51" s="38"/>
      <c r="E51" s="33">
        <v>0</v>
      </c>
      <c r="F51" s="35">
        <v>0</v>
      </c>
      <c r="G51" s="23">
        <f t="shared" si="3"/>
        <v>0</v>
      </c>
      <c r="H51" s="24" t="e">
        <f t="shared" si="4"/>
        <v>#DIV/0!</v>
      </c>
      <c r="J51" s="10"/>
    </row>
    <row r="52" spans="1:8" ht="15.75">
      <c r="A52" s="8"/>
      <c r="B52" s="4" t="s">
        <v>97</v>
      </c>
      <c r="C52" s="8" t="s">
        <v>98</v>
      </c>
      <c r="D52" s="8"/>
      <c r="E52" s="23">
        <f>E49+E46+E35+E32</f>
        <v>192444.0001</v>
      </c>
      <c r="F52" s="23">
        <f>F49+F46+F35+F32</f>
        <v>192444.0001</v>
      </c>
      <c r="G52" s="23">
        <f t="shared" si="3"/>
        <v>0</v>
      </c>
      <c r="H52" s="24">
        <f t="shared" si="4"/>
        <v>0</v>
      </c>
    </row>
    <row r="53" spans="1:10" ht="15.75">
      <c r="A53" s="8"/>
      <c r="B53" s="4" t="s">
        <v>99</v>
      </c>
      <c r="C53" s="8" t="s">
        <v>100</v>
      </c>
      <c r="D53" s="8"/>
      <c r="E53" s="33">
        <v>52804</v>
      </c>
      <c r="F53" s="33">
        <v>52804</v>
      </c>
      <c r="G53" s="23">
        <f t="shared" si="3"/>
        <v>0</v>
      </c>
      <c r="H53" s="24">
        <f t="shared" si="4"/>
        <v>0</v>
      </c>
      <c r="J53" s="10"/>
    </row>
    <row r="54" spans="1:8" ht="15.75">
      <c r="A54" s="8"/>
      <c r="B54" s="4" t="s">
        <v>101</v>
      </c>
      <c r="C54" s="8" t="s">
        <v>102</v>
      </c>
      <c r="D54" s="8"/>
      <c r="E54" s="33">
        <v>4644</v>
      </c>
      <c r="F54" s="33">
        <v>4644</v>
      </c>
      <c r="G54" s="23">
        <f t="shared" si="3"/>
        <v>0</v>
      </c>
      <c r="H54" s="24">
        <f t="shared" si="4"/>
        <v>0</v>
      </c>
    </row>
    <row r="55" spans="1:10" ht="15.75">
      <c r="A55" s="8"/>
      <c r="B55" s="4" t="s">
        <v>103</v>
      </c>
      <c r="C55" s="8" t="s">
        <v>104</v>
      </c>
      <c r="D55" s="8"/>
      <c r="E55" s="11" t="s">
        <v>88</v>
      </c>
      <c r="F55" s="11" t="s">
        <v>88</v>
      </c>
      <c r="G55" s="26"/>
      <c r="H55" s="27"/>
      <c r="J55" s="10"/>
    </row>
    <row r="56" spans="1:10" ht="15.75">
      <c r="A56" s="27"/>
      <c r="B56" s="4" t="s">
        <v>105</v>
      </c>
      <c r="C56" s="8" t="s">
        <v>106</v>
      </c>
      <c r="D56" s="8"/>
      <c r="E56" s="11" t="s">
        <v>88</v>
      </c>
      <c r="F56" s="11" t="s">
        <v>88</v>
      </c>
      <c r="G56" s="26"/>
      <c r="H56" s="27"/>
      <c r="J56" s="10"/>
    </row>
    <row r="57" spans="1:10" ht="15.75">
      <c r="A57" s="27"/>
      <c r="B57" s="4" t="s">
        <v>107</v>
      </c>
      <c r="C57" s="8" t="s">
        <v>108</v>
      </c>
      <c r="D57" s="8"/>
      <c r="E57" s="11" t="s">
        <v>88</v>
      </c>
      <c r="F57" s="11" t="s">
        <v>88</v>
      </c>
      <c r="G57" s="26"/>
      <c r="H57" s="27"/>
      <c r="J57" s="10"/>
    </row>
    <row r="58" spans="1:10" ht="15.75">
      <c r="A58" s="27"/>
      <c r="B58" s="4" t="s">
        <v>109</v>
      </c>
      <c r="C58" s="8" t="s">
        <v>110</v>
      </c>
      <c r="D58" s="8"/>
      <c r="E58" s="11" t="s">
        <v>88</v>
      </c>
      <c r="F58" s="11" t="s">
        <v>88</v>
      </c>
      <c r="G58" s="26"/>
      <c r="H58" s="27"/>
      <c r="J58" s="10"/>
    </row>
    <row r="59" spans="1:10" ht="15.75">
      <c r="A59" s="27"/>
      <c r="B59" s="4" t="s">
        <v>111</v>
      </c>
      <c r="C59" s="8" t="s">
        <v>112</v>
      </c>
      <c r="D59" s="8"/>
      <c r="E59" s="11" t="s">
        <v>88</v>
      </c>
      <c r="F59" s="11" t="s">
        <v>88</v>
      </c>
      <c r="G59" s="26"/>
      <c r="H59" s="27"/>
      <c r="J59" s="10"/>
    </row>
    <row r="60" spans="1:35" ht="15.75">
      <c r="A60" s="28"/>
      <c r="B60" s="4" t="s">
        <v>113</v>
      </c>
      <c r="C60" s="8" t="s">
        <v>114</v>
      </c>
      <c r="D60" s="29"/>
      <c r="E60" s="11" t="s">
        <v>88</v>
      </c>
      <c r="F60" s="11" t="s">
        <v>88</v>
      </c>
      <c r="G60" s="30"/>
      <c r="H60" s="2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10" ht="15.75">
      <c r="A61" s="27"/>
      <c r="B61" s="4" t="s">
        <v>115</v>
      </c>
      <c r="C61" s="8" t="s">
        <v>116</v>
      </c>
      <c r="D61" s="8"/>
      <c r="E61" s="33">
        <v>50499</v>
      </c>
      <c r="F61" s="33">
        <v>50499</v>
      </c>
      <c r="G61" s="23">
        <f aca="true" t="shared" si="5" ref="G61:G72">F61-E61</f>
        <v>0</v>
      </c>
      <c r="H61" s="24">
        <f aca="true" t="shared" si="6" ref="H61:H72">G61/E61</f>
        <v>0</v>
      </c>
      <c r="J61" s="10"/>
    </row>
    <row r="62" spans="1:8" ht="15.75">
      <c r="A62" s="8"/>
      <c r="B62" s="4" t="s">
        <v>117</v>
      </c>
      <c r="C62" s="8" t="s">
        <v>118</v>
      </c>
      <c r="D62" s="8"/>
      <c r="E62" s="33">
        <v>0.0001</v>
      </c>
      <c r="F62" s="33">
        <v>0.0001</v>
      </c>
      <c r="G62" s="23">
        <f t="shared" si="5"/>
        <v>0</v>
      </c>
      <c r="H62" s="24">
        <f t="shared" si="6"/>
        <v>0</v>
      </c>
    </row>
    <row r="63" spans="1:10" ht="15.75">
      <c r="A63" s="8"/>
      <c r="B63" s="4" t="s">
        <v>119</v>
      </c>
      <c r="C63" s="8" t="s">
        <v>120</v>
      </c>
      <c r="D63" s="8"/>
      <c r="E63" s="33">
        <v>80707</v>
      </c>
      <c r="F63" s="33">
        <v>80707</v>
      </c>
      <c r="G63" s="23">
        <f t="shared" si="5"/>
        <v>0</v>
      </c>
      <c r="H63" s="24">
        <f t="shared" si="6"/>
        <v>0</v>
      </c>
      <c r="J63" s="10"/>
    </row>
    <row r="64" spans="1:8" ht="15.75">
      <c r="A64" s="8"/>
      <c r="B64" s="4" t="s">
        <v>121</v>
      </c>
      <c r="C64" s="8" t="s">
        <v>122</v>
      </c>
      <c r="D64" s="8"/>
      <c r="E64" s="23">
        <f>SUM(E61:E63)</f>
        <v>131206.0001</v>
      </c>
      <c r="F64" s="23">
        <f>SUM(F61:F63)</f>
        <v>131206.0001</v>
      </c>
      <c r="G64" s="23">
        <f t="shared" si="5"/>
        <v>0</v>
      </c>
      <c r="H64" s="24">
        <f t="shared" si="6"/>
        <v>0</v>
      </c>
    </row>
    <row r="65" spans="1:10" ht="15.75">
      <c r="A65" s="8"/>
      <c r="B65" s="4" t="s">
        <v>123</v>
      </c>
      <c r="C65" s="8" t="s">
        <v>124</v>
      </c>
      <c r="D65" s="8"/>
      <c r="E65" s="33">
        <v>10951</v>
      </c>
      <c r="F65" s="33">
        <v>10951</v>
      </c>
      <c r="G65" s="23">
        <f t="shared" si="5"/>
        <v>0</v>
      </c>
      <c r="H65" s="24">
        <f t="shared" si="6"/>
        <v>0</v>
      </c>
      <c r="J65" s="10"/>
    </row>
    <row r="66" spans="1:8" ht="15.75">
      <c r="A66" s="8"/>
      <c r="B66" s="4" t="s">
        <v>125</v>
      </c>
      <c r="C66" s="8" t="s">
        <v>126</v>
      </c>
      <c r="D66" s="8"/>
      <c r="E66" s="33">
        <v>3360</v>
      </c>
      <c r="F66" s="33">
        <v>3360</v>
      </c>
      <c r="G66" s="23">
        <f t="shared" si="5"/>
        <v>0</v>
      </c>
      <c r="H66" s="24">
        <f t="shared" si="6"/>
        <v>0</v>
      </c>
    </row>
    <row r="67" spans="1:10" ht="15.75">
      <c r="A67" s="8"/>
      <c r="B67" s="4" t="s">
        <v>127</v>
      </c>
      <c r="C67" s="8" t="s">
        <v>128</v>
      </c>
      <c r="D67" s="8"/>
      <c r="E67" s="33">
        <v>0</v>
      </c>
      <c r="F67" s="33">
        <v>0</v>
      </c>
      <c r="G67" s="23">
        <f t="shared" si="5"/>
        <v>0</v>
      </c>
      <c r="H67" s="24" t="e">
        <f t="shared" si="6"/>
        <v>#DIV/0!</v>
      </c>
      <c r="J67" s="10"/>
    </row>
    <row r="68" spans="1:10" ht="15.75">
      <c r="A68" s="8"/>
      <c r="B68" s="4" t="s">
        <v>129</v>
      </c>
      <c r="C68" s="8" t="s">
        <v>130</v>
      </c>
      <c r="D68" s="8"/>
      <c r="E68" s="33">
        <v>75932</v>
      </c>
      <c r="F68" s="33">
        <v>75932</v>
      </c>
      <c r="G68" s="23">
        <f t="shared" si="5"/>
        <v>0</v>
      </c>
      <c r="H68" s="24">
        <f t="shared" si="6"/>
        <v>0</v>
      </c>
      <c r="J68" s="10"/>
    </row>
    <row r="69" spans="1:10" ht="15.75">
      <c r="A69" s="8"/>
      <c r="B69" s="4" t="s">
        <v>131</v>
      </c>
      <c r="C69" s="8" t="s">
        <v>132</v>
      </c>
      <c r="D69" s="8"/>
      <c r="E69" s="33">
        <v>18297</v>
      </c>
      <c r="F69" s="33">
        <v>18297</v>
      </c>
      <c r="G69" s="23">
        <f t="shared" si="5"/>
        <v>0</v>
      </c>
      <c r="H69" s="24">
        <f t="shared" si="6"/>
        <v>0</v>
      </c>
      <c r="J69" s="10"/>
    </row>
    <row r="70" spans="1:10" ht="15.75">
      <c r="A70" s="8"/>
      <c r="B70" s="4" t="s">
        <v>133</v>
      </c>
      <c r="C70" s="8" t="s">
        <v>134</v>
      </c>
      <c r="D70" s="8"/>
      <c r="E70" s="23">
        <f>E68+E66</f>
        <v>79292</v>
      </c>
      <c r="F70" s="23">
        <f>F68+F66</f>
        <v>79292</v>
      </c>
      <c r="G70" s="23">
        <f t="shared" si="5"/>
        <v>0</v>
      </c>
      <c r="H70" s="24">
        <f t="shared" si="6"/>
        <v>0</v>
      </c>
      <c r="J70" s="10"/>
    </row>
    <row r="71" spans="1:10" ht="15.75">
      <c r="A71" s="8"/>
      <c r="B71" s="4" t="s">
        <v>135</v>
      </c>
      <c r="C71" s="8" t="s">
        <v>136</v>
      </c>
      <c r="D71" s="8"/>
      <c r="E71" s="33">
        <v>29330</v>
      </c>
      <c r="F71" s="33">
        <v>29330</v>
      </c>
      <c r="G71" s="23">
        <f t="shared" si="5"/>
        <v>0</v>
      </c>
      <c r="H71" s="24">
        <f t="shared" si="6"/>
        <v>0</v>
      </c>
      <c r="J71" s="10"/>
    </row>
    <row r="72" spans="1:8" ht="15.75">
      <c r="A72" s="8"/>
      <c r="B72" s="4" t="s">
        <v>137</v>
      </c>
      <c r="C72" s="8" t="s">
        <v>138</v>
      </c>
      <c r="D72" s="8"/>
      <c r="E72" s="34">
        <f>E37+E51+E45</f>
        <v>87143</v>
      </c>
      <c r="F72" s="34">
        <f>F51+F45+F40+F33+F37</f>
        <v>87143.49020000001</v>
      </c>
      <c r="G72" s="23">
        <f t="shared" si="5"/>
        <v>0.4902000000147382</v>
      </c>
      <c r="H72" s="24">
        <f t="shared" si="6"/>
        <v>5.625236680108995E-06</v>
      </c>
    </row>
    <row r="73" spans="1:8" ht="15.75">
      <c r="A73" s="8"/>
      <c r="B73" s="4" t="s">
        <v>139</v>
      </c>
      <c r="C73" s="8" t="s">
        <v>140</v>
      </c>
      <c r="D73" s="8"/>
      <c r="E73" s="11" t="s">
        <v>88</v>
      </c>
      <c r="F73" s="11" t="s">
        <v>88</v>
      </c>
      <c r="G73" s="26"/>
      <c r="H73" s="27"/>
    </row>
    <row r="74" spans="1:8" ht="15.75">
      <c r="A74" s="27"/>
      <c r="B74" s="4" t="s">
        <v>141</v>
      </c>
      <c r="C74" s="8" t="s">
        <v>142</v>
      </c>
      <c r="D74" s="8"/>
      <c r="E74" s="33">
        <v>36933</v>
      </c>
      <c r="F74" s="33">
        <v>36933</v>
      </c>
      <c r="G74" s="23">
        <f>F74-E74</f>
        <v>0</v>
      </c>
      <c r="H74" s="24">
        <f>G74/E74</f>
        <v>0</v>
      </c>
    </row>
    <row r="75" spans="1:8" ht="15.75">
      <c r="A75" s="8"/>
      <c r="B75" s="4" t="s">
        <v>143</v>
      </c>
      <c r="C75" s="8" t="s">
        <v>144</v>
      </c>
      <c r="D75" s="8"/>
      <c r="E75" s="11" t="s">
        <v>88</v>
      </c>
      <c r="F75" s="11" t="s">
        <v>88</v>
      </c>
      <c r="G75" s="26"/>
      <c r="H75" s="27"/>
    </row>
    <row r="76" spans="1:8" ht="15.75">
      <c r="A76" s="27"/>
      <c r="B76" s="4" t="s">
        <v>145</v>
      </c>
      <c r="C76" s="8" t="s">
        <v>146</v>
      </c>
      <c r="D76" s="38" t="s">
        <v>302</v>
      </c>
      <c r="E76" s="33">
        <v>182508</v>
      </c>
      <c r="F76" s="33">
        <v>182508</v>
      </c>
      <c r="G76" s="23">
        <f aca="true" t="shared" si="7" ref="G76:G83">F76-E76</f>
        <v>0</v>
      </c>
      <c r="H76" s="24">
        <f aca="true" t="shared" si="8" ref="H76:H83">G76/E76</f>
        <v>0</v>
      </c>
    </row>
    <row r="77" spans="1:8" ht="15.75">
      <c r="A77" s="8"/>
      <c r="B77" s="4" t="s">
        <v>147</v>
      </c>
      <c r="C77" s="8" t="s">
        <v>148</v>
      </c>
      <c r="D77" s="38" t="s">
        <v>302</v>
      </c>
      <c r="E77" s="33">
        <v>182508</v>
      </c>
      <c r="F77" s="33">
        <v>182508</v>
      </c>
      <c r="G77" s="23">
        <f t="shared" si="7"/>
        <v>0</v>
      </c>
      <c r="H77" s="24">
        <f t="shared" si="8"/>
        <v>0</v>
      </c>
    </row>
    <row r="78" spans="1:8" ht="15.75">
      <c r="A78" s="8"/>
      <c r="B78" s="4" t="s">
        <v>149</v>
      </c>
      <c r="C78" s="8" t="s">
        <v>150</v>
      </c>
      <c r="D78" s="8"/>
      <c r="E78" s="25">
        <v>0.01</v>
      </c>
      <c r="F78" s="25">
        <v>0.01</v>
      </c>
      <c r="G78" s="23">
        <f t="shared" si="7"/>
        <v>0</v>
      </c>
      <c r="H78" s="24">
        <f t="shared" si="8"/>
        <v>0</v>
      </c>
    </row>
    <row r="79" spans="1:8" ht="15.75">
      <c r="A79" s="8"/>
      <c r="B79" s="4" t="s">
        <v>151</v>
      </c>
      <c r="C79" s="8" t="s">
        <v>152</v>
      </c>
      <c r="D79" s="8"/>
      <c r="E79" s="25">
        <v>0.01</v>
      </c>
      <c r="F79" s="25">
        <v>0.01</v>
      </c>
      <c r="G79" s="23">
        <f t="shared" si="7"/>
        <v>0</v>
      </c>
      <c r="H79" s="24">
        <f t="shared" si="8"/>
        <v>0</v>
      </c>
    </row>
    <row r="80" spans="1:8" ht="15.75">
      <c r="A80" s="8"/>
      <c r="B80" s="4" t="s">
        <v>153</v>
      </c>
      <c r="C80" s="8" t="s">
        <v>154</v>
      </c>
      <c r="D80" s="8"/>
      <c r="E80" s="25">
        <v>0.01</v>
      </c>
      <c r="F80" s="25">
        <v>0.01</v>
      </c>
      <c r="G80" s="23">
        <f t="shared" si="7"/>
        <v>0</v>
      </c>
      <c r="H80" s="24">
        <f t="shared" si="8"/>
        <v>0</v>
      </c>
    </row>
    <row r="81" spans="1:8" ht="15.75">
      <c r="A81" s="8"/>
      <c r="B81" s="4" t="s">
        <v>155</v>
      </c>
      <c r="C81" s="8" t="s">
        <v>156</v>
      </c>
      <c r="D81" s="8"/>
      <c r="E81" s="25">
        <v>0.01</v>
      </c>
      <c r="F81" s="25">
        <v>0.01</v>
      </c>
      <c r="G81" s="23">
        <f t="shared" si="7"/>
        <v>0</v>
      </c>
      <c r="H81" s="24">
        <f t="shared" si="8"/>
        <v>0</v>
      </c>
    </row>
    <row r="82" spans="1:8" ht="15.75">
      <c r="A82" s="8"/>
      <c r="B82" s="4" t="s">
        <v>157</v>
      </c>
      <c r="C82" s="8" t="s">
        <v>158</v>
      </c>
      <c r="D82" s="8"/>
      <c r="E82" s="25">
        <v>0.01</v>
      </c>
      <c r="F82" s="25">
        <v>0.01</v>
      </c>
      <c r="G82" s="23">
        <f t="shared" si="7"/>
        <v>0</v>
      </c>
      <c r="H82" s="24">
        <f t="shared" si="8"/>
        <v>0</v>
      </c>
    </row>
    <row r="83" spans="1:8" ht="15.75">
      <c r="A83" s="8"/>
      <c r="B83" s="4" t="s">
        <v>159</v>
      </c>
      <c r="C83" s="8" t="s">
        <v>160</v>
      </c>
      <c r="D83" s="8"/>
      <c r="E83" s="25">
        <v>0.01</v>
      </c>
      <c r="F83" s="25">
        <v>0.01</v>
      </c>
      <c r="G83" s="23">
        <f t="shared" si="7"/>
        <v>0</v>
      </c>
      <c r="H83" s="24">
        <f t="shared" si="8"/>
        <v>0</v>
      </c>
    </row>
    <row r="84" spans="1:8" ht="15">
      <c r="A84" s="8"/>
      <c r="B84" s="8"/>
      <c r="C84" s="8"/>
      <c r="D84" s="8"/>
      <c r="E84" s="8"/>
      <c r="F84" s="8"/>
      <c r="G84" s="8"/>
      <c r="H84" s="8"/>
    </row>
    <row r="85" spans="1:8" ht="15">
      <c r="A85" s="8"/>
      <c r="B85" s="8"/>
      <c r="C85" s="8"/>
      <c r="D85" s="8"/>
      <c r="E85" s="40">
        <f>SUM(E8:E84)</f>
        <v>9095858.061599996</v>
      </c>
      <c r="F85" s="40">
        <f>SUM(F8:F84)</f>
        <v>9002720.041799996</v>
      </c>
      <c r="G85" s="8"/>
      <c r="H85" s="8"/>
    </row>
    <row r="146" ht="15">
      <c r="M146" s="14">
        <v>240.69</v>
      </c>
    </row>
    <row r="168" ht="15">
      <c r="I168" s="9"/>
    </row>
    <row r="169" ht="15">
      <c r="I169" s="9"/>
    </row>
    <row r="170" ht="15">
      <c r="I170" s="9"/>
    </row>
    <row r="171" ht="15">
      <c r="I171" s="9"/>
    </row>
    <row r="172" ht="15">
      <c r="I172" s="9"/>
    </row>
    <row r="173" ht="15">
      <c r="I173" s="9"/>
    </row>
    <row r="174" ht="15">
      <c r="I174" s="9"/>
    </row>
    <row r="175" ht="15">
      <c r="I175" s="9"/>
    </row>
    <row r="176" ht="15">
      <c r="I176" s="9"/>
    </row>
    <row r="177" ht="15">
      <c r="I177" s="9"/>
    </row>
    <row r="178" ht="15">
      <c r="I178" s="9"/>
    </row>
    <row r="181" ht="15">
      <c r="I181" s="9"/>
    </row>
    <row r="182" ht="15">
      <c r="I182" s="9"/>
    </row>
    <row r="183" ht="15">
      <c r="I183" s="9"/>
    </row>
    <row r="184" ht="15">
      <c r="I184" s="9"/>
    </row>
    <row r="187" ht="15">
      <c r="I187" s="9"/>
    </row>
    <row r="188" ht="15">
      <c r="I188" s="9"/>
    </row>
    <row r="189" ht="15">
      <c r="I189" s="9"/>
    </row>
    <row r="190" ht="15">
      <c r="I190" s="9"/>
    </row>
    <row r="492" spans="29:33" ht="15">
      <c r="AC492" s="8" t="s">
        <v>161</v>
      </c>
      <c r="AG492" s="8" t="s">
        <v>162</v>
      </c>
    </row>
    <row r="494" spans="29:33" ht="15">
      <c r="AC494" s="8" t="s">
        <v>163</v>
      </c>
      <c r="AD494" s="8" t="s">
        <v>164</v>
      </c>
      <c r="AG494" s="8" t="s">
        <v>165</v>
      </c>
    </row>
    <row r="496" spans="29:33" ht="15.75">
      <c r="AC496" s="8" t="s">
        <v>166</v>
      </c>
      <c r="AD496" s="2" t="s">
        <v>167</v>
      </c>
      <c r="AE496" s="2" t="s">
        <v>168</v>
      </c>
      <c r="AF496" s="2" t="s">
        <v>169</v>
      </c>
      <c r="AG496" s="2" t="s">
        <v>170</v>
      </c>
    </row>
    <row r="497" spans="30:33" ht="15.75">
      <c r="AD497" s="2" t="s">
        <v>171</v>
      </c>
      <c r="AE497" s="2" t="s">
        <v>172</v>
      </c>
      <c r="AF497" s="2" t="s">
        <v>173</v>
      </c>
      <c r="AG497" s="2" t="s">
        <v>174</v>
      </c>
    </row>
    <row r="498" spans="30:33" ht="15">
      <c r="AD498" s="8" t="s">
        <v>175</v>
      </c>
      <c r="AE498" s="8" t="s">
        <v>175</v>
      </c>
      <c r="AF498" s="8" t="s">
        <v>176</v>
      </c>
      <c r="AG498" s="8" t="s">
        <v>177</v>
      </c>
    </row>
    <row r="499" spans="30:33" ht="15">
      <c r="AD499" s="8" t="s">
        <v>176</v>
      </c>
      <c r="AE499" s="8" t="s">
        <v>178</v>
      </c>
      <c r="AF499" s="8" t="s">
        <v>178</v>
      </c>
      <c r="AG499" s="8" t="s">
        <v>178</v>
      </c>
    </row>
    <row r="500" spans="30:32" ht="15">
      <c r="AD500" s="8" t="s">
        <v>164</v>
      </c>
      <c r="AE500" s="8"/>
      <c r="AF500" s="8"/>
    </row>
    <row r="501" spans="30:32" ht="15">
      <c r="AD501" s="8"/>
      <c r="AE501" s="8"/>
      <c r="AF501" s="8"/>
    </row>
    <row r="502" spans="30:32" ht="15">
      <c r="AD502" s="8"/>
      <c r="AE502" s="8"/>
      <c r="AF502" s="8"/>
    </row>
    <row r="503" ht="15">
      <c r="AD503" s="8"/>
    </row>
    <row r="504" ht="15">
      <c r="AD504" s="8"/>
    </row>
    <row r="505" spans="30:35" ht="15">
      <c r="AD505" s="8"/>
      <c r="AI505" s="8" t="s">
        <v>179</v>
      </c>
    </row>
    <row r="506" spans="30:35" ht="15">
      <c r="AD506" s="8"/>
      <c r="AI506" s="8" t="s">
        <v>180</v>
      </c>
    </row>
    <row r="507" spans="30:35" ht="15">
      <c r="AD507" s="8"/>
      <c r="AI507" s="8" t="s">
        <v>181</v>
      </c>
    </row>
    <row r="508" ht="15">
      <c r="AI508" s="8" t="s">
        <v>182</v>
      </c>
    </row>
    <row r="509" spans="33:35" ht="15">
      <c r="AG509" s="15"/>
      <c r="AI509" s="8" t="s">
        <v>183</v>
      </c>
    </row>
    <row r="511" spans="29:33" ht="15">
      <c r="AC511" s="8" t="s">
        <v>184</v>
      </c>
      <c r="AD511" s="8" t="s">
        <v>185</v>
      </c>
      <c r="AG511" s="8" t="s">
        <v>186</v>
      </c>
    </row>
  </sheetData>
  <sheetProtection/>
  <printOptions/>
  <pageMargins left="0.25" right="0.25" top="0.75" bottom="0.75" header="0" footer="0.25"/>
  <pageSetup fitToHeight="2" fitToWidth="1" horizontalDpi="600" verticalDpi="600" orientation="portrait" scale="84" r:id="rId1"/>
  <headerFooter alignWithMargins="0">
    <oddFooter>&amp;LJW &amp;A
Page &amp;P&amp;R&amp;D, &amp;T</oddFooter>
  </headerFooter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showOutlineSymbols="0" zoomScale="87" zoomScaleNormal="87" zoomScalePageLayoutView="0" workbookViewId="0" topLeftCell="A29">
      <selection activeCell="F44" sqref="F44"/>
    </sheetView>
  </sheetViews>
  <sheetFormatPr defaultColWidth="9.6640625" defaultRowHeight="15"/>
  <cols>
    <col min="1" max="1" width="4.6640625" style="1" customWidth="1"/>
    <col min="2" max="2" width="7.6640625" style="1" customWidth="1"/>
    <col min="3" max="3" width="53.6640625" style="1" customWidth="1"/>
    <col min="4" max="4" width="2.6640625" style="1" customWidth="1"/>
    <col min="5" max="6" width="11.6640625" style="1" customWidth="1"/>
    <col min="7" max="7" width="12.6640625" style="1" customWidth="1"/>
    <col min="8" max="16384" width="9.6640625" style="1" customWidth="1"/>
  </cols>
  <sheetData>
    <row r="1" spans="1:10" ht="15.75">
      <c r="A1" s="12"/>
      <c r="B1" s="2" t="str">
        <f>INPUT!$B$1</f>
        <v>WEAVTEL</v>
      </c>
      <c r="C1" s="2"/>
      <c r="D1" s="2"/>
      <c r="E1" s="2"/>
      <c r="F1" s="2"/>
      <c r="G1" s="3"/>
      <c r="H1" s="12"/>
      <c r="I1" s="12"/>
      <c r="J1" s="12"/>
    </row>
    <row r="2" spans="2:7" ht="15.75">
      <c r="B2" s="2" t="str">
        <f>INPUT!B2</f>
        <v>UNIVERSAL SERVICE FUND REVISED</v>
      </c>
      <c r="C2" s="2"/>
      <c r="D2" s="2"/>
      <c r="E2" s="2"/>
      <c r="F2" s="2"/>
      <c r="G2" s="2"/>
    </row>
    <row r="3" spans="2:7" ht="15.75">
      <c r="B3" s="2" t="str">
        <f>INPUT!B3</f>
        <v>FOR THE STUDY YEAR ENDED 12/31/08 Revised</v>
      </c>
      <c r="C3" s="2"/>
      <c r="D3" s="2"/>
      <c r="E3" s="2"/>
      <c r="F3" s="2"/>
      <c r="G3" s="2"/>
    </row>
    <row r="4" spans="2:7" ht="15.75">
      <c r="B4" s="2"/>
      <c r="C4" s="2"/>
      <c r="D4" s="2"/>
      <c r="E4" s="2"/>
      <c r="F4" s="2"/>
      <c r="G4" s="2"/>
    </row>
    <row r="5" spans="2:7" ht="15.75">
      <c r="B5" s="2" t="s">
        <v>187</v>
      </c>
      <c r="C5" s="2"/>
      <c r="D5" s="2"/>
      <c r="E5" s="2"/>
      <c r="F5" s="2"/>
      <c r="G5" s="2"/>
    </row>
    <row r="6" spans="2:7" ht="15.75">
      <c r="B6" s="4" t="s">
        <v>188</v>
      </c>
      <c r="C6" s="2"/>
      <c r="D6" s="2"/>
      <c r="E6" s="5" t="s">
        <v>2</v>
      </c>
      <c r="F6" s="5"/>
      <c r="G6" s="2"/>
    </row>
    <row r="7" spans="2:7" ht="15.75">
      <c r="B7" s="6" t="s">
        <v>4</v>
      </c>
      <c r="C7" s="6" t="s">
        <v>189</v>
      </c>
      <c r="D7" s="2"/>
      <c r="E7" s="6">
        <f>INPUT!E6</f>
        <v>2009</v>
      </c>
      <c r="F7" s="6">
        <f>INPUT!F6</f>
        <v>2010</v>
      </c>
      <c r="G7" s="6" t="s">
        <v>190</v>
      </c>
    </row>
    <row r="8" spans="2:7" ht="15.75">
      <c r="B8" s="2"/>
      <c r="C8" s="2"/>
      <c r="D8" s="2"/>
      <c r="E8" s="7">
        <f>INPUT!E7</f>
        <v>2008</v>
      </c>
      <c r="F8" s="7" t="str">
        <f>INPUT!F7</f>
        <v>2008 Revised</v>
      </c>
      <c r="G8" s="2"/>
    </row>
    <row r="9" spans="1:8" ht="15.75">
      <c r="A9" s="12"/>
      <c r="B9" s="4" t="s">
        <v>191</v>
      </c>
      <c r="C9" s="8" t="s">
        <v>192</v>
      </c>
      <c r="D9" s="12"/>
      <c r="E9" s="9">
        <f>INPUT!E21*(INPUT!E77/INPUT!E76)+INPUT!E82</f>
        <v>182508.01</v>
      </c>
      <c r="F9" s="9">
        <f>INPUT!F21*(INPUT!F77/INPUT!F76)+INPUT!F82</f>
        <v>182508.01</v>
      </c>
      <c r="G9" s="9">
        <f>F9-E9</f>
        <v>0</v>
      </c>
      <c r="H9" s="9"/>
    </row>
    <row r="10" spans="1:8" ht="15.75">
      <c r="A10" s="12"/>
      <c r="B10" s="2"/>
      <c r="C10" s="8" t="s">
        <v>193</v>
      </c>
      <c r="E10" s="9"/>
      <c r="F10" s="9"/>
      <c r="H10" s="9"/>
    </row>
    <row r="11" spans="1:8" ht="15.75">
      <c r="A11" s="12"/>
      <c r="B11" s="4" t="s">
        <v>194</v>
      </c>
      <c r="C11" s="8" t="s">
        <v>195</v>
      </c>
      <c r="E11" s="9">
        <f>INPUT!E20+INPUT!E80</f>
        <v>422273.01</v>
      </c>
      <c r="F11" s="9">
        <f>INPUT!F20+INPUT!F80</f>
        <v>327586.01</v>
      </c>
      <c r="G11" s="9">
        <f>F11-E11</f>
        <v>-94687</v>
      </c>
      <c r="H11" s="9"/>
    </row>
    <row r="12" spans="1:8" ht="15.75">
      <c r="A12" s="12"/>
      <c r="B12" s="2"/>
      <c r="C12" s="8" t="s">
        <v>196</v>
      </c>
      <c r="H12" s="12"/>
    </row>
    <row r="13" spans="1:8" ht="15.75">
      <c r="A13" s="12"/>
      <c r="B13" s="4" t="s">
        <v>197</v>
      </c>
      <c r="C13" s="8" t="s">
        <v>198</v>
      </c>
      <c r="E13" s="16">
        <f>E9/(INPUT!E21+INPUT!E81)</f>
        <v>1</v>
      </c>
      <c r="F13" s="16">
        <f>F9/(INPUT!F21+INPUT!F81)</f>
        <v>1</v>
      </c>
      <c r="G13" s="13">
        <f>F13-E13</f>
        <v>0</v>
      </c>
      <c r="H13" s="16"/>
    </row>
    <row r="14" spans="1:8" ht="15.75">
      <c r="A14" s="12"/>
      <c r="B14" s="2"/>
      <c r="C14" s="8" t="s">
        <v>199</v>
      </c>
      <c r="H14" s="12"/>
    </row>
    <row r="15" spans="1:8" ht="15.75">
      <c r="A15" s="12"/>
      <c r="B15" s="4" t="s">
        <v>200</v>
      </c>
      <c r="C15" s="8" t="s">
        <v>201</v>
      </c>
      <c r="E15" s="16">
        <f>E11/(INPUT!E16+INPUT!E17+INPUT!E18+INPUT!E79)</f>
        <v>0.36841192034800235</v>
      </c>
      <c r="F15" s="16">
        <f>F11/(INPUT!F16+INPUT!F17+INPUT!F18+INPUT!F79)</f>
        <v>0.28580228469548624</v>
      </c>
      <c r="G15" s="13">
        <f>F15-E15</f>
        <v>-0.08260963565251611</v>
      </c>
      <c r="H15" s="16"/>
    </row>
    <row r="16" spans="1:8" ht="15.75">
      <c r="A16" s="12"/>
      <c r="B16" s="2"/>
      <c r="C16" s="8" t="s">
        <v>202</v>
      </c>
      <c r="H16" s="12"/>
    </row>
    <row r="17" spans="1:8" ht="15.75">
      <c r="A17" s="12"/>
      <c r="B17" s="4" t="s">
        <v>203</v>
      </c>
      <c r="C17" s="8" t="s">
        <v>204</v>
      </c>
      <c r="E17" s="16">
        <f>E9/INPUT!E10</f>
        <v>0.09829608389431455</v>
      </c>
      <c r="F17" s="16">
        <f>F9/INPUT!F10</f>
        <v>0.09829608389431455</v>
      </c>
      <c r="G17" s="13">
        <f>F17-E17</f>
        <v>0</v>
      </c>
      <c r="H17" s="16"/>
    </row>
    <row r="18" spans="1:8" ht="15.75">
      <c r="A18" s="12"/>
      <c r="B18" s="2"/>
      <c r="C18" s="8" t="s">
        <v>205</v>
      </c>
      <c r="H18" s="12"/>
    </row>
    <row r="19" spans="1:8" ht="15.75">
      <c r="A19" s="12"/>
      <c r="B19" s="4" t="s">
        <v>206</v>
      </c>
      <c r="C19" s="8" t="s">
        <v>207</v>
      </c>
      <c r="E19" s="16">
        <f>E11/INPUT!E10</f>
        <v>0.22742992604688814</v>
      </c>
      <c r="F19" s="16">
        <f>F11/INPUT!F10</f>
        <v>0.17643292434980667</v>
      </c>
      <c r="G19" s="13">
        <f>F19-E19</f>
        <v>-0.05099700169708146</v>
      </c>
      <c r="H19" s="16"/>
    </row>
    <row r="20" spans="1:8" ht="15.75">
      <c r="A20" s="12"/>
      <c r="B20" s="2"/>
      <c r="C20" s="8" t="s">
        <v>208</v>
      </c>
      <c r="H20" s="12"/>
    </row>
    <row r="21" spans="1:8" ht="15.75">
      <c r="A21" s="12"/>
      <c r="B21" s="4" t="s">
        <v>209</v>
      </c>
      <c r="C21" s="8" t="s">
        <v>210</v>
      </c>
      <c r="E21" s="9">
        <f>E17*INPUT!E11</f>
        <v>0</v>
      </c>
      <c r="F21" s="9">
        <f>F17*INPUT!F11</f>
        <v>0</v>
      </c>
      <c r="G21" s="9">
        <f>F21-E21</f>
        <v>0</v>
      </c>
      <c r="H21" s="9"/>
    </row>
    <row r="22" spans="1:8" ht="15.75">
      <c r="A22" s="12"/>
      <c r="B22" s="2"/>
      <c r="C22" s="8" t="s">
        <v>211</v>
      </c>
      <c r="E22" s="9"/>
      <c r="F22" s="9"/>
      <c r="H22" s="9"/>
    </row>
    <row r="23" spans="1:8" ht="15.75">
      <c r="A23" s="12"/>
      <c r="B23" s="4" t="s">
        <v>212</v>
      </c>
      <c r="C23" s="8" t="s">
        <v>213</v>
      </c>
      <c r="E23" s="9">
        <f>E19*INPUT!E11</f>
        <v>0</v>
      </c>
      <c r="F23" s="9">
        <f>F19*INPUT!F11</f>
        <v>0</v>
      </c>
      <c r="G23" s="9">
        <f>F23-E23</f>
        <v>0</v>
      </c>
      <c r="H23" s="9"/>
    </row>
    <row r="24" spans="1:8" ht="15.75">
      <c r="A24" s="12"/>
      <c r="B24" s="2"/>
      <c r="C24" s="8" t="s">
        <v>214</v>
      </c>
      <c r="E24" s="9"/>
      <c r="F24" s="9"/>
      <c r="H24" s="9"/>
    </row>
    <row r="25" spans="1:8" ht="15.75">
      <c r="A25" s="12"/>
      <c r="B25" s="4" t="s">
        <v>215</v>
      </c>
      <c r="C25" s="8" t="s">
        <v>216</v>
      </c>
      <c r="E25" s="9">
        <f>E13*((INPUT!E26+INPUT!E31)+(INPUT!E81/INPUT!E78)*INPUT!E13)</f>
        <v>28749.0001</v>
      </c>
      <c r="F25" s="9">
        <f>F13*((INPUT!F26+INPUT!F31)+(INPUT!F81/INPUT!F78)*INPUT!F13)</f>
        <v>28749.0001</v>
      </c>
      <c r="G25" s="9">
        <f>F25-E25</f>
        <v>0</v>
      </c>
      <c r="H25" s="9"/>
    </row>
    <row r="26" spans="1:8" ht="15.75">
      <c r="A26" s="12"/>
      <c r="B26" s="2"/>
      <c r="C26" s="8" t="s">
        <v>217</v>
      </c>
      <c r="E26" s="9"/>
      <c r="F26" s="9"/>
      <c r="H26" s="9"/>
    </row>
    <row r="27" spans="1:8" ht="15.75">
      <c r="A27" s="12"/>
      <c r="B27" s="4" t="s">
        <v>218</v>
      </c>
      <c r="C27" s="8" t="s">
        <v>219</v>
      </c>
      <c r="E27" s="9">
        <f>E15*((INPUT!E22+INPUT!E23+INPUT!E24+INPUT!E27+INPUT!E28+INPUT!E29)+(INPUT!E79/INPUT!E78)*INPUT!E13)</f>
        <v>149261.7212275964</v>
      </c>
      <c r="F27" s="9">
        <f>F15*((INPUT!F22+INPUT!F23+INPUT!F24+INPUT!F27+INPUT!F28+INPUT!F29)+(INPUT!F79/INPUT!F78)*INPUT!F13)</f>
        <v>115792.50992783225</v>
      </c>
      <c r="G27" s="9">
        <f>F27-E27</f>
        <v>-33469.21129976415</v>
      </c>
      <c r="H27" s="9"/>
    </row>
    <row r="28" spans="1:8" ht="15.75">
      <c r="A28" s="12"/>
      <c r="B28" s="2"/>
      <c r="C28" s="8" t="s">
        <v>220</v>
      </c>
      <c r="E28" s="9"/>
      <c r="F28" s="9"/>
      <c r="H28" s="9"/>
    </row>
    <row r="29" spans="1:8" ht="15.75">
      <c r="A29" s="12"/>
      <c r="B29" s="4" t="s">
        <v>221</v>
      </c>
      <c r="C29" s="8" t="s">
        <v>222</v>
      </c>
      <c r="E29" s="13">
        <f>(E9+E21-E25)/(INPUT!E10+INPUT!E11-INPUT!E12-INPUT!E14)</f>
        <v>0.11609912426748577</v>
      </c>
      <c r="F29" s="13">
        <f>(F9+F21-F25)/(INPUT!F10+INPUT!F11-INPUT!F12-INPUT!F14)</f>
        <v>0.11609912426748577</v>
      </c>
      <c r="G29" s="13">
        <f>F29-E29</f>
        <v>0</v>
      </c>
      <c r="H29" s="13"/>
    </row>
    <row r="30" spans="1:8" ht="15.75">
      <c r="A30" s="12"/>
      <c r="B30" s="2"/>
      <c r="C30" s="8" t="s">
        <v>223</v>
      </c>
      <c r="E30" s="13"/>
      <c r="F30" s="13"/>
      <c r="H30" s="13"/>
    </row>
    <row r="31" spans="1:8" ht="15.75">
      <c r="A31" s="12"/>
      <c r="B31" s="4" t="s">
        <v>224</v>
      </c>
      <c r="C31" s="8" t="s">
        <v>225</v>
      </c>
      <c r="E31" s="13">
        <f>(E11+E23-E27)/(INPUT!E10+INPUT!E11-INPUT!E12-INPUT!E14)</f>
        <v>0.20614318186770353</v>
      </c>
      <c r="F31" s="13">
        <f>(F11+F23-F27)/(INPUT!F10+INPUT!F11-INPUT!F12-INPUT!F14)</f>
        <v>0.15991934326265692</v>
      </c>
      <c r="G31" s="13">
        <f>F31-E31</f>
        <v>-0.04622383860504661</v>
      </c>
      <c r="H31" s="13"/>
    </row>
    <row r="32" spans="1:8" ht="15.75">
      <c r="A32" s="12"/>
      <c r="B32" s="2"/>
      <c r="C32" s="8" t="s">
        <v>226</v>
      </c>
      <c r="E32" s="9"/>
      <c r="F32" s="9"/>
      <c r="H32" s="9"/>
    </row>
    <row r="33" spans="1:10" ht="15.75">
      <c r="A33" s="12"/>
      <c r="B33" s="4" t="s">
        <v>227</v>
      </c>
      <c r="C33" s="8" t="s">
        <v>228</v>
      </c>
      <c r="D33" s="12"/>
      <c r="E33" s="9">
        <f>E13*(INPUT!E49-INPUT!E50-INPUT!E51)</f>
        <v>5191</v>
      </c>
      <c r="F33" s="9">
        <f>F13*(INPUT!F49-INPUT!F50-INPUT!F51)</f>
        <v>5191</v>
      </c>
      <c r="G33" s="9">
        <f>F33-E33</f>
        <v>0</v>
      </c>
      <c r="H33" s="9"/>
      <c r="I33" s="12"/>
      <c r="J33" s="12"/>
    </row>
    <row r="34" spans="1:8" ht="15.75">
      <c r="A34" s="12"/>
      <c r="B34" s="2"/>
      <c r="C34" s="8" t="s">
        <v>229</v>
      </c>
      <c r="E34" s="9"/>
      <c r="F34" s="9"/>
      <c r="H34" s="9"/>
    </row>
    <row r="35" spans="1:8" ht="15.75">
      <c r="A35" s="12"/>
      <c r="B35" s="4" t="s">
        <v>230</v>
      </c>
      <c r="C35" s="8" t="s">
        <v>231</v>
      </c>
      <c r="E35" s="9">
        <f>E15*(INPUT!E38+INPUT!E41+INPUT!E43-INPUT!E39-INPUT!E40-INPUT!E42-INPUT!E44-INPUT!E45)</f>
        <v>28145.56540514395</v>
      </c>
      <c r="F35" s="9">
        <f>F15*(INPUT!F38+INPUT!F41+INPUT!F43-INPUT!F39-INPUT!F40-INPUT!F42-INPUT!F44-INPUT!F45)</f>
        <v>21391.9608475779</v>
      </c>
      <c r="G35" s="9">
        <f>F35-E35</f>
        <v>-6753.60455756605</v>
      </c>
      <c r="H35" s="9"/>
    </row>
    <row r="36" spans="1:8" ht="15.75">
      <c r="A36" s="12"/>
      <c r="B36" s="2"/>
      <c r="C36" s="8" t="s">
        <v>232</v>
      </c>
      <c r="E36" s="9"/>
      <c r="F36" s="9"/>
      <c r="H36" s="9"/>
    </row>
    <row r="37" spans="1:8" ht="15.75">
      <c r="A37" s="12"/>
      <c r="B37" s="4" t="s">
        <v>233</v>
      </c>
      <c r="C37" s="8" t="s">
        <v>234</v>
      </c>
      <c r="E37" s="9">
        <f>(E17+E19)*(INPUT!E32+INPUT!E35-INPUT!E34-INPUT!E33-INPUT!E36-INPUT!E37)</f>
        <v>7598.210568753235</v>
      </c>
      <c r="F37" s="9">
        <f>(F17+F19)*(INPUT!F32+INPUT!F35-INPUT!F34-INPUT!F33-INPUT!F36-INPUT!F37)</f>
        <v>6408.5211016623425</v>
      </c>
      <c r="G37" s="9">
        <f>F37-E37</f>
        <v>-1189.6894670908923</v>
      </c>
      <c r="H37" s="9"/>
    </row>
    <row r="38" spans="1:8" ht="15.75">
      <c r="A38" s="12"/>
      <c r="B38" s="2"/>
      <c r="C38" s="8" t="s">
        <v>235</v>
      </c>
      <c r="E38" s="9"/>
      <c r="F38" s="9"/>
      <c r="H38" s="9"/>
    </row>
    <row r="39" spans="1:8" ht="15.75">
      <c r="A39" s="12"/>
      <c r="B39" s="4" t="s">
        <v>236</v>
      </c>
      <c r="C39" s="8" t="s">
        <v>237</v>
      </c>
      <c r="E39" s="9">
        <f>(E17+E19)*(INPUT!E53-INPUT!E54)</f>
        <v>15686.964638768322</v>
      </c>
      <c r="F39" s="9">
        <f>(F17+F19)*(INPUT!F53-INPUT!F54)</f>
        <v>13230.949037036879</v>
      </c>
      <c r="G39" s="9">
        <f>F39-E39</f>
        <v>-2456.015601731444</v>
      </c>
      <c r="H39" s="9"/>
    </row>
    <row r="40" spans="1:8" ht="15.75">
      <c r="A40" s="12"/>
      <c r="B40" s="2"/>
      <c r="C40" s="8" t="s">
        <v>238</v>
      </c>
      <c r="E40" s="9"/>
      <c r="F40" s="9"/>
      <c r="H40" s="9"/>
    </row>
    <row r="41" spans="1:8" ht="15.75">
      <c r="A41" s="12"/>
      <c r="B41" s="4" t="s">
        <v>239</v>
      </c>
      <c r="C41" s="8" t="s">
        <v>240</v>
      </c>
      <c r="E41" s="9">
        <f>E13*(INPUT!E65+((INPUT!E81/INPUT!E78)*INPUT!E83))</f>
        <v>10951.01</v>
      </c>
      <c r="F41" s="9">
        <f>F13*(INPUT!F65+((INPUT!F81/INPUT!F78)*INPUT!F83))</f>
        <v>10951.01</v>
      </c>
      <c r="G41" s="9">
        <f>F41-E41</f>
        <v>0</v>
      </c>
      <c r="H41" s="9"/>
    </row>
    <row r="42" spans="1:8" ht="15.75">
      <c r="A42" s="12"/>
      <c r="B42" s="2"/>
      <c r="C42" s="8" t="s">
        <v>241</v>
      </c>
      <c r="E42" s="9"/>
      <c r="F42" s="9"/>
      <c r="H42" s="9"/>
    </row>
    <row r="43" spans="1:8" ht="15.75">
      <c r="A43" s="12"/>
      <c r="B43" s="4" t="s">
        <v>242</v>
      </c>
      <c r="C43" s="8" t="s">
        <v>243</v>
      </c>
      <c r="E43" s="9">
        <f>E15*((INPUT!E61+INPUT!E62+INPUT!E63)+((INPUT!E79/INPUT!E78)*INPUT!E83))</f>
        <v>48337.858142140394</v>
      </c>
      <c r="F43" s="9">
        <f>F15*((INPUT!F61+INPUT!F62+INPUT!F63)+((INPUT!F79/INPUT!F78)*INPUT!F83))</f>
        <v>37498.977452359046</v>
      </c>
      <c r="G43" s="9">
        <f>F43-E43</f>
        <v>-10838.880689781348</v>
      </c>
      <c r="H43" s="9"/>
    </row>
    <row r="44" spans="1:8" ht="15.75">
      <c r="A44" s="12"/>
      <c r="B44" s="2"/>
      <c r="C44" s="8" t="s">
        <v>244</v>
      </c>
      <c r="E44" s="9"/>
      <c r="F44" s="9"/>
      <c r="H44" s="9"/>
    </row>
    <row r="45" spans="1:8" ht="15.75">
      <c r="A45" s="12"/>
      <c r="B45" s="4" t="s">
        <v>245</v>
      </c>
      <c r="C45" s="8" t="s">
        <v>246</v>
      </c>
      <c r="E45" s="9">
        <f>(E17+E19)*(INPUT!E66+INPUT!E68-INPUT!E67-INPUT!E69)</f>
        <v>19867.65797636366</v>
      </c>
      <c r="F45" s="9">
        <f>(F17+F19)*(INPUT!F66+INPUT!F68-INPUT!F67-INPUT!F69)</f>
        <v>16757.095857850174</v>
      </c>
      <c r="G45" s="9">
        <f>F45-E45</f>
        <v>-3110.562118513484</v>
      </c>
      <c r="H45" s="9"/>
    </row>
    <row r="46" spans="1:8" ht="15.75">
      <c r="A46" s="12"/>
      <c r="B46" s="2"/>
      <c r="C46" s="8" t="s">
        <v>247</v>
      </c>
      <c r="E46" s="9"/>
      <c r="F46" s="9"/>
      <c r="H46" s="9"/>
    </row>
    <row r="47" spans="1:8" ht="15.75">
      <c r="A47" s="12"/>
      <c r="B47" s="4" t="s">
        <v>248</v>
      </c>
      <c r="C47" s="8" t="s">
        <v>249</v>
      </c>
      <c r="E47" s="9">
        <f>(E17+E19)*INPUT!E74</f>
        <v>12030.03872515844</v>
      </c>
      <c r="F47" s="9">
        <f>(F17+F19)*INPUT!F74</f>
        <v>10146.56646148013</v>
      </c>
      <c r="G47" s="9">
        <f>F47-E47</f>
        <v>-1883.47226367831</v>
      </c>
      <c r="H47" s="9"/>
    </row>
    <row r="48" spans="1:8" ht="15.75">
      <c r="A48" s="12"/>
      <c r="B48" s="2"/>
      <c r="C48" s="8" t="s">
        <v>250</v>
      </c>
      <c r="E48" s="9"/>
      <c r="F48" s="9"/>
      <c r="H48" s="9"/>
    </row>
    <row r="49" spans="1:8" ht="15.75">
      <c r="A49" s="12"/>
      <c r="B49" s="4" t="s">
        <v>251</v>
      </c>
      <c r="C49" s="8" t="s">
        <v>252</v>
      </c>
      <c r="E49" s="9">
        <f>(E17+E19)*INPUT!E71</f>
        <v>9553.543871575475</v>
      </c>
      <c r="F49" s="9">
        <f>(F17+F19)*INPUT!F71</f>
        <v>8057.8018118000755</v>
      </c>
      <c r="G49" s="9">
        <f>F49-E49</f>
        <v>-1495.7420597753999</v>
      </c>
      <c r="H49" s="9"/>
    </row>
    <row r="50" spans="1:8" ht="15.75">
      <c r="A50" s="12"/>
      <c r="B50" s="2"/>
      <c r="C50" s="8" t="s">
        <v>253</v>
      </c>
      <c r="E50" s="9"/>
      <c r="F50" s="9"/>
      <c r="H50" s="9"/>
    </row>
    <row r="51" spans="1:8" ht="15.75">
      <c r="A51" s="12"/>
      <c r="B51" s="4" t="s">
        <v>254</v>
      </c>
      <c r="C51" s="8" t="s">
        <v>255</v>
      </c>
      <c r="E51" s="9">
        <f>(E17+E19)*INPUT!E72</f>
        <v>28384.741684306227</v>
      </c>
      <c r="F51" s="9">
        <f>(F17+F19)*INPUT!F72</f>
        <v>23940.844637577302</v>
      </c>
      <c r="G51" s="9">
        <f>F51-E51</f>
        <v>-4443.8970467289255</v>
      </c>
      <c r="H51" s="9"/>
    </row>
    <row r="52" spans="1:8" ht="15.75">
      <c r="A52" s="12"/>
      <c r="B52" s="2"/>
      <c r="C52" s="8" t="s">
        <v>256</v>
      </c>
      <c r="E52" s="9"/>
      <c r="F52" s="9"/>
      <c r="H52" s="9"/>
    </row>
    <row r="53" spans="1:8" ht="15.75">
      <c r="A53" s="12"/>
      <c r="B53" s="4" t="s">
        <v>257</v>
      </c>
      <c r="C53" s="8" t="s">
        <v>258</v>
      </c>
      <c r="E53" s="9">
        <f>(E9+E21-E25)*0.1125</f>
        <v>17297.88861375</v>
      </c>
      <c r="F53" s="9">
        <f>(F9+F21-F25)*0.1125</f>
        <v>17297.88861375</v>
      </c>
      <c r="G53" s="9">
        <f>F53-E53</f>
        <v>0</v>
      </c>
      <c r="H53" s="9"/>
    </row>
    <row r="54" spans="1:8" ht="15.75">
      <c r="A54" s="12"/>
      <c r="B54" s="2"/>
      <c r="C54" s="8" t="s">
        <v>259</v>
      </c>
      <c r="E54" s="9"/>
      <c r="F54" s="9"/>
      <c r="H54" s="9"/>
    </row>
    <row r="55" spans="1:8" ht="15.75">
      <c r="A55" s="12"/>
      <c r="B55" s="4" t="s">
        <v>260</v>
      </c>
      <c r="C55" s="8" t="s">
        <v>261</v>
      </c>
      <c r="E55" s="9">
        <f>(E11+E23-E27)*0.1125</f>
        <v>30713.769986895408</v>
      </c>
      <c r="F55" s="9">
        <f>(F11+F23-F27)*0.1125</f>
        <v>23826.768758118877</v>
      </c>
      <c r="G55" s="9">
        <f>F55-E55</f>
        <v>-6887.001228776531</v>
      </c>
      <c r="H55" s="9"/>
    </row>
    <row r="56" spans="1:8" ht="15.75">
      <c r="A56" s="12"/>
      <c r="B56" s="2"/>
      <c r="C56" s="8" t="s">
        <v>262</v>
      </c>
      <c r="E56" s="9"/>
      <c r="F56" s="9"/>
      <c r="H56" s="9"/>
    </row>
    <row r="57" spans="1:8" ht="15.75">
      <c r="A57" s="12"/>
      <c r="B57" s="4" t="s">
        <v>263</v>
      </c>
      <c r="C57" s="8" t="s">
        <v>264</v>
      </c>
      <c r="E57" s="9">
        <f>SUM(E33:E55)</f>
        <v>233758.2496128551</v>
      </c>
      <c r="F57" s="9">
        <f>SUM(F33:F55)</f>
        <v>194699.38457921272</v>
      </c>
      <c r="G57" s="9">
        <f>F57-E57</f>
        <v>-39058.86503364239</v>
      </c>
      <c r="H57" s="9"/>
    </row>
    <row r="58" spans="1:8" ht="15.75">
      <c r="A58" s="12"/>
      <c r="B58" s="2"/>
      <c r="C58" s="8" t="s">
        <v>265</v>
      </c>
      <c r="E58" s="9"/>
      <c r="F58" s="9"/>
      <c r="H58" s="9"/>
    </row>
    <row r="59" spans="1:10" ht="15.75">
      <c r="A59" s="12"/>
      <c r="B59" s="4" t="s">
        <v>266</v>
      </c>
      <c r="C59" s="2" t="s">
        <v>267</v>
      </c>
      <c r="D59" s="12"/>
      <c r="E59" s="17">
        <f>E57/INPUT!E8</f>
        <v>12986.569422936394</v>
      </c>
      <c r="F59" s="17">
        <f>F57/INPUT!F8</f>
        <v>10816.63247662293</v>
      </c>
      <c r="G59" s="17">
        <f>F59-E59</f>
        <v>-2169.9369463134644</v>
      </c>
      <c r="H59" s="14"/>
      <c r="I59" s="12"/>
      <c r="J59" s="12"/>
    </row>
    <row r="60" spans="1:8" ht="15.75">
      <c r="A60" s="12"/>
      <c r="B60" s="2"/>
      <c r="C60" s="8" t="s">
        <v>268</v>
      </c>
      <c r="H60" s="12"/>
    </row>
    <row r="61" spans="1:8" ht="15.75">
      <c r="A61" s="12"/>
      <c r="B61" s="2" t="s">
        <v>269</v>
      </c>
      <c r="H61" s="12"/>
    </row>
    <row r="62" spans="1:8" ht="15.75">
      <c r="A62" s="12"/>
      <c r="B62" s="4" t="s">
        <v>270</v>
      </c>
      <c r="C62" s="8" t="s">
        <v>271</v>
      </c>
      <c r="E62" s="18">
        <v>412.54</v>
      </c>
      <c r="F62" s="18">
        <f>E62</f>
        <v>412.54</v>
      </c>
      <c r="G62" s="18">
        <f>F62-E62</f>
        <v>0</v>
      </c>
      <c r="H62" s="14"/>
    </row>
    <row r="63" spans="1:8" ht="15.75">
      <c r="A63" s="12"/>
      <c r="B63" s="2"/>
      <c r="E63" s="14"/>
      <c r="F63" s="14"/>
      <c r="H63" s="14"/>
    </row>
    <row r="64" spans="1:8" ht="15.75">
      <c r="A64" s="12"/>
      <c r="B64" s="4" t="s">
        <v>272</v>
      </c>
      <c r="C64" s="8" t="s">
        <v>273</v>
      </c>
      <c r="E64" s="14">
        <f>E62*1.15</f>
        <v>474.421</v>
      </c>
      <c r="F64" s="14">
        <f>F62*1.15</f>
        <v>474.421</v>
      </c>
      <c r="G64" s="14">
        <f>F64-E64</f>
        <v>0</v>
      </c>
      <c r="H64" s="14"/>
    </row>
    <row r="65" spans="1:8" ht="15.75">
      <c r="A65" s="12"/>
      <c r="B65" s="2"/>
      <c r="C65" s="8" t="s">
        <v>274</v>
      </c>
      <c r="E65" s="14">
        <f>E62*1.5</f>
        <v>618.8100000000001</v>
      </c>
      <c r="F65" s="14">
        <f>F62*1.5</f>
        <v>618.8100000000001</v>
      </c>
      <c r="G65" s="14">
        <f>F65-E65</f>
        <v>0</v>
      </c>
      <c r="H65" s="14"/>
    </row>
    <row r="66" spans="1:8" ht="15.75">
      <c r="A66" s="12"/>
      <c r="B66" s="2"/>
      <c r="E66" s="9"/>
      <c r="F66" s="9"/>
      <c r="G66" s="9"/>
      <c r="H66" s="9"/>
    </row>
    <row r="67" spans="1:8" ht="15.75">
      <c r="A67" s="12"/>
      <c r="B67" s="4" t="s">
        <v>275</v>
      </c>
      <c r="C67" s="8" t="s">
        <v>276</v>
      </c>
      <c r="E67" s="19">
        <f>IF(E59-E64&lt;=0,0,E59-E64)</f>
        <v>12512.148422936394</v>
      </c>
      <c r="F67" s="19">
        <f>IF(F59-F64&lt;=0,0,F59-F64)</f>
        <v>10342.21147662293</v>
      </c>
      <c r="G67" s="19">
        <f>F67-E67</f>
        <v>-2169.9369463134644</v>
      </c>
      <c r="H67" s="19"/>
    </row>
    <row r="68" spans="1:8" ht="15.75">
      <c r="A68" s="12"/>
      <c r="B68" s="2"/>
      <c r="C68" s="8" t="s">
        <v>277</v>
      </c>
      <c r="E68" s="19">
        <f>IF(E59-E65&lt;=0,0,E59-E65)</f>
        <v>12367.759422936395</v>
      </c>
      <c r="F68" s="19">
        <f>IF(F59-F65&lt;=0,0,F59-F65)</f>
        <v>10197.82247662293</v>
      </c>
      <c r="G68" s="19">
        <f>F68-E68</f>
        <v>-2169.9369463134644</v>
      </c>
      <c r="H68" s="19"/>
    </row>
    <row r="69" spans="1:8" ht="15.75">
      <c r="A69" s="12"/>
      <c r="B69" s="2"/>
      <c r="E69" s="9"/>
      <c r="F69" s="9"/>
      <c r="G69" s="9"/>
      <c r="H69" s="9"/>
    </row>
    <row r="70" spans="1:8" ht="15.75">
      <c r="A70" s="12"/>
      <c r="B70" s="4" t="s">
        <v>278</v>
      </c>
      <c r="C70" s="8" t="s">
        <v>279</v>
      </c>
      <c r="E70" s="19">
        <f>(E67-E68)*0.65</f>
        <v>93.85284999999949</v>
      </c>
      <c r="F70" s="19">
        <f>(F67-F68)*0.65</f>
        <v>93.85284999999949</v>
      </c>
      <c r="G70" s="19">
        <f>F70-E70</f>
        <v>0</v>
      </c>
      <c r="H70" s="19"/>
    </row>
    <row r="71" spans="1:8" ht="15.75">
      <c r="A71" s="12"/>
      <c r="B71" s="2"/>
      <c r="C71" s="8" t="s">
        <v>280</v>
      </c>
      <c r="E71" s="19">
        <f>E68*0.75</f>
        <v>9275.819567202296</v>
      </c>
      <c r="F71" s="19">
        <f>F68*0.75</f>
        <v>7648.366857467197</v>
      </c>
      <c r="G71" s="19">
        <f>F71-E71</f>
        <v>-1627.4527097350983</v>
      </c>
      <c r="H71" s="19"/>
    </row>
    <row r="72" spans="1:8" ht="15.75">
      <c r="A72" s="12"/>
      <c r="B72" s="2"/>
      <c r="H72" s="12"/>
    </row>
    <row r="73" spans="1:8" ht="15.75">
      <c r="A73" s="12"/>
      <c r="B73" s="4" t="s">
        <v>281</v>
      </c>
      <c r="C73" s="2" t="s">
        <v>282</v>
      </c>
      <c r="E73" s="8"/>
      <c r="F73" s="8"/>
      <c r="G73" s="8"/>
      <c r="H73" s="12"/>
    </row>
    <row r="74" spans="1:8" ht="15.75">
      <c r="A74" s="12"/>
      <c r="B74" s="2"/>
      <c r="C74" s="8" t="s">
        <v>283</v>
      </c>
      <c r="E74" s="20">
        <f>(E70+E71)*INPUT!E9</f>
        <v>149914.75867523672</v>
      </c>
      <c r="F74" s="41">
        <f>(F70+F71)*INPUT!F9</f>
        <v>123875.51531947515</v>
      </c>
      <c r="G74" s="20">
        <f>F74-E74</f>
        <v>-26039.243355761573</v>
      </c>
      <c r="H74" s="9"/>
    </row>
    <row r="75" spans="1:8" ht="15.75">
      <c r="A75" s="12"/>
      <c r="B75" s="2"/>
      <c r="H75" s="12"/>
    </row>
    <row r="76" spans="1:8" ht="15.75">
      <c r="A76" s="12"/>
      <c r="B76" s="4" t="s">
        <v>284</v>
      </c>
      <c r="C76" s="2" t="s">
        <v>285</v>
      </c>
      <c r="E76" s="8"/>
      <c r="F76" s="8"/>
      <c r="G76" s="8"/>
      <c r="H76" s="12"/>
    </row>
    <row r="77" spans="1:8" ht="15.75">
      <c r="A77" s="12"/>
      <c r="C77" s="8" t="s">
        <v>286</v>
      </c>
      <c r="E77" s="20">
        <f>E74/12</f>
        <v>12492.896556269727</v>
      </c>
      <c r="F77" s="20">
        <f>F74/12</f>
        <v>10322.959609956262</v>
      </c>
      <c r="G77" s="20">
        <f>F77-E77</f>
        <v>-2169.9369463134644</v>
      </c>
      <c r="H77" s="9"/>
    </row>
    <row r="78" spans="1:8" ht="15">
      <c r="A78" s="12"/>
      <c r="H78" s="12"/>
    </row>
    <row r="79" spans="1:7" ht="15">
      <c r="A79" s="12"/>
      <c r="B79" s="12"/>
      <c r="C79" s="12"/>
      <c r="D79" s="12"/>
      <c r="E79" s="12" t="s">
        <v>308</v>
      </c>
      <c r="F79" s="9" t="s">
        <v>309</v>
      </c>
      <c r="G79" s="12"/>
    </row>
    <row r="80" spans="5:10" ht="15">
      <c r="E80" s="9"/>
      <c r="F80" s="9"/>
      <c r="H80" s="9"/>
      <c r="J80" s="9"/>
    </row>
    <row r="83" spans="6:10" ht="15">
      <c r="F83" s="9"/>
      <c r="H83" s="9"/>
      <c r="I83" s="9"/>
      <c r="J83" s="9">
        <f>F77</f>
        <v>10322.959609956262</v>
      </c>
    </row>
  </sheetData>
  <sheetProtection/>
  <printOptions/>
  <pageMargins left="0.5" right="0.25" top="0.75" bottom="0.5" header="0" footer="0.25"/>
  <pageSetup fitToHeight="3" fitToWidth="1" horizontalDpi="600" verticalDpi="600" orientation="portrait" scale="79" r:id="rId1"/>
  <headerFooter alignWithMargins="0">
    <oddFooter>&amp;LJW &amp;A
Page &amp;P&amp;R&amp;D, &amp;T</oddFooter>
  </headerFooter>
  <rowBreaks count="56" manualBreakCount="56">
    <brk id="1" max="65535" man="1"/>
    <brk id="2" max="65535" man="1"/>
    <brk id="3" max="65535" man="1"/>
    <brk id="4" max="65535" man="1"/>
    <brk id="5" max="65535" man="1"/>
    <brk id="6" max="65535" man="1"/>
    <brk id="7" max="65535" man="1"/>
    <brk id="8" max="65535" man="1"/>
    <brk id="9" max="65535" man="1"/>
    <brk id="10" max="65535" man="1"/>
    <brk id="11" max="65535" man="1"/>
    <brk id="12" max="65535" man="1"/>
    <brk id="13" max="65535" man="1"/>
    <brk id="14" max="65535" man="1"/>
    <brk id="15" max="65535" man="1"/>
    <brk id="16" max="65535" man="1"/>
    <brk id="17" max="65535" man="1"/>
    <brk id="18" max="65535" man="1"/>
    <brk id="19" max="65535" man="1"/>
    <brk id="20" max="65535" man="1"/>
    <brk id="21" max="65535" man="1"/>
    <brk id="22" max="65535" man="1"/>
    <brk id="23" max="65535" man="1"/>
    <brk id="24" max="65535" man="1"/>
    <brk id="25" max="65535" man="1"/>
    <brk id="26" max="65535" man="1"/>
    <brk id="27" max="65535" man="1"/>
    <brk id="28" max="65535" man="1"/>
    <brk id="29" max="65535" man="1"/>
    <brk id="30" max="65535" man="1"/>
    <brk id="31" max="65535" man="1"/>
    <brk id="33" max="65535" man="1"/>
    <brk id="34" max="65535" man="1"/>
    <brk id="35" max="65535" man="1"/>
    <brk id="36" max="65535" man="1"/>
    <brk id="37" max="65535" man="1"/>
    <brk id="38" max="65535" man="1"/>
    <brk id="39" max="65535" man="1"/>
    <brk id="40" max="65535" man="1"/>
    <brk id="41" max="65535" man="1"/>
    <brk id="42" max="65535" man="1"/>
    <brk id="43" max="65535" man="1"/>
    <brk id="44" max="65535" man="1"/>
    <brk id="45" max="65535" man="1"/>
    <brk id="46" max="65535" man="1"/>
    <brk id="47" max="65535" man="1"/>
    <brk id="48" max="65535" man="1"/>
    <brk id="49" max="65535" man="1"/>
    <brk id="50" max="65535" man="1"/>
    <brk id="51" max="65535" man="1"/>
    <brk id="52" max="65535" man="1"/>
    <brk id="53" max="65535" man="1"/>
    <brk id="54" max="65535" man="1"/>
    <brk id="55" max="65535" man="1"/>
    <brk id="56" max="65535" man="1"/>
    <brk id="5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tabSelected="1" showOutlineSymbols="0" zoomScale="87" zoomScaleNormal="87" zoomScalePageLayoutView="0" workbookViewId="0" topLeftCell="A1">
      <selection activeCell="F44" sqref="F44"/>
    </sheetView>
  </sheetViews>
  <sheetFormatPr defaultColWidth="9.6640625" defaultRowHeight="15"/>
  <cols>
    <col min="1" max="1" width="4.6640625" style="1" customWidth="1"/>
    <col min="2" max="2" width="9.6640625" style="1" customWidth="1"/>
    <col min="3" max="3" width="42.6640625" style="1" customWidth="1"/>
    <col min="4" max="4" width="2.6640625" style="1" customWidth="1"/>
    <col min="5" max="6" width="12.6640625" style="1" customWidth="1"/>
    <col min="7" max="16384" width="9.6640625" style="1" customWidth="1"/>
  </cols>
  <sheetData>
    <row r="1" ht="15.75">
      <c r="B1" s="2" t="str">
        <f>'USF CALC'!B1</f>
        <v>WEAVTEL</v>
      </c>
    </row>
    <row r="2" ht="15.75">
      <c r="B2" s="2" t="str">
        <f>'USF CALC'!B2</f>
        <v>UNIVERSAL SERVICE FUND REVISED</v>
      </c>
    </row>
    <row r="3" ht="15.75">
      <c r="B3" s="2" t="s">
        <v>287</v>
      </c>
    </row>
    <row r="4" ht="15.75">
      <c r="B4" s="2" t="str">
        <f>'USF CALC'!B3</f>
        <v>FOR THE STUDY YEAR ENDED 12/31/08 Revised</v>
      </c>
    </row>
    <row r="6" spans="2:6" ht="15.75">
      <c r="B6" s="4" t="s">
        <v>1</v>
      </c>
      <c r="E6" s="5" t="s">
        <v>2</v>
      </c>
      <c r="F6" s="5"/>
    </row>
    <row r="7" spans="2:6" ht="15.75">
      <c r="B7" s="6" t="s">
        <v>4</v>
      </c>
      <c r="C7" s="6" t="s">
        <v>5</v>
      </c>
      <c r="E7" s="6">
        <f>'USF CALC'!E7</f>
        <v>2009</v>
      </c>
      <c r="F7" s="6">
        <f>'USF CALC'!F7</f>
        <v>2010</v>
      </c>
    </row>
    <row r="8" spans="5:6" ht="15">
      <c r="E8" s="7">
        <f>'USF CALC'!E8</f>
        <v>2008</v>
      </c>
      <c r="F8" s="7" t="str">
        <f>'USF CALC'!F8</f>
        <v>2008 Revised</v>
      </c>
    </row>
    <row r="9" spans="2:6" ht="15.75">
      <c r="B9" s="4" t="s">
        <v>125</v>
      </c>
      <c r="C9" s="8" t="s">
        <v>126</v>
      </c>
      <c r="E9" s="9">
        <f>INPUT!E66</f>
        <v>3360</v>
      </c>
      <c r="F9" s="9">
        <f>INPUT!F66</f>
        <v>3360</v>
      </c>
    </row>
    <row r="10" spans="2:6" ht="15.75">
      <c r="B10" s="4" t="s">
        <v>129</v>
      </c>
      <c r="C10" s="8" t="s">
        <v>130</v>
      </c>
      <c r="E10" s="9">
        <f>INPUT!E68</f>
        <v>75932</v>
      </c>
      <c r="F10" s="9">
        <f>INPUT!F68</f>
        <v>75932</v>
      </c>
    </row>
    <row r="11" spans="2:6" ht="15.75">
      <c r="B11" s="4" t="s">
        <v>133</v>
      </c>
      <c r="C11" s="8" t="s">
        <v>134</v>
      </c>
      <c r="E11" s="9">
        <f>E9+E10</f>
        <v>79292</v>
      </c>
      <c r="F11" s="9">
        <f>F9+F10</f>
        <v>79292</v>
      </c>
    </row>
    <row r="12" spans="2:6" ht="15.75">
      <c r="B12" s="4" t="s">
        <v>8</v>
      </c>
      <c r="C12" s="8" t="s">
        <v>9</v>
      </c>
      <c r="E12" s="9">
        <f>INPUT!E8</f>
        <v>18</v>
      </c>
      <c r="F12" s="9">
        <f>INPUT!F8</f>
        <v>18</v>
      </c>
    </row>
    <row r="14" spans="2:6" ht="15.75">
      <c r="B14" s="2" t="s">
        <v>288</v>
      </c>
      <c r="E14" s="21">
        <f>E11/E12</f>
        <v>4405.111111111111</v>
      </c>
      <c r="F14" s="21">
        <f>F11/F12</f>
        <v>4405.111111111111</v>
      </c>
    </row>
    <row r="16" spans="2:6" ht="15.75">
      <c r="B16" s="2" t="s">
        <v>289</v>
      </c>
      <c r="E16" s="21">
        <f>E14/12</f>
        <v>367.0925925925926</v>
      </c>
      <c r="F16" s="21">
        <f>F14/12</f>
        <v>367.0925925925926</v>
      </c>
    </row>
    <row r="17" ht="15.75">
      <c r="B17" s="2"/>
    </row>
    <row r="19" ht="15.75">
      <c r="B19" s="2" t="s">
        <v>290</v>
      </c>
    </row>
    <row r="20" spans="2:6" ht="15.75">
      <c r="B20" s="4" t="s">
        <v>10</v>
      </c>
      <c r="C20" s="8" t="s">
        <v>11</v>
      </c>
      <c r="E20" s="9">
        <f>INPUT!E9</f>
        <v>16</v>
      </c>
      <c r="F20" s="9">
        <f>INPUT!F9</f>
        <v>16</v>
      </c>
    </row>
    <row r="21" spans="3:6" ht="15.75">
      <c r="C21" s="2" t="s">
        <v>291</v>
      </c>
      <c r="E21" s="1">
        <f>IF($E$12&lt;6001,31.188-(0.0023*E20),0)</f>
        <v>31.1512</v>
      </c>
      <c r="F21" s="1">
        <f>IF($F$12&lt;6001,31.188-(0.0023*F20),0)</f>
        <v>31.1512</v>
      </c>
    </row>
    <row r="22" spans="3:6" ht="15">
      <c r="C22" s="8" t="s">
        <v>292</v>
      </c>
      <c r="E22" s="1">
        <f>IF(25000/$E$20&gt;E21,25000/$E$20,E21)</f>
        <v>1562.5</v>
      </c>
      <c r="F22" s="1">
        <f>IF(25000/$F$20&gt;F21,25000/$F$20,F21)</f>
        <v>1562.5</v>
      </c>
    </row>
    <row r="24" ht="15.75">
      <c r="C24" s="2" t="s">
        <v>293</v>
      </c>
    </row>
    <row r="25" ht="15">
      <c r="C25" s="1" t="s">
        <v>294</v>
      </c>
    </row>
    <row r="27" ht="15.75">
      <c r="C27" s="2" t="s">
        <v>295</v>
      </c>
    </row>
    <row r="28" ht="15">
      <c r="C28" s="8" t="s">
        <v>296</v>
      </c>
    </row>
    <row r="30" spans="3:6" ht="15.75">
      <c r="C30" s="2" t="s">
        <v>297</v>
      </c>
      <c r="E30" s="21">
        <f>E22-E16</f>
        <v>1195.4074074074074</v>
      </c>
      <c r="F30" s="21">
        <f>F22-F16</f>
        <v>1195.4074074074074</v>
      </c>
    </row>
    <row r="32" spans="3:6" ht="15.75">
      <c r="C32" s="2" t="s">
        <v>298</v>
      </c>
      <c r="E32" s="21">
        <f>E30*12</f>
        <v>14344.888888888889</v>
      </c>
      <c r="F32" s="21">
        <f>F30*12</f>
        <v>14344.888888888889</v>
      </c>
    </row>
    <row r="34" spans="3:6" ht="15.75">
      <c r="C34" s="2" t="s">
        <v>299</v>
      </c>
      <c r="E34" s="22">
        <f>E32*E12</f>
        <v>258208</v>
      </c>
      <c r="F34" s="22">
        <f>F32*F12</f>
        <v>258208</v>
      </c>
    </row>
  </sheetData>
  <sheetProtection/>
  <printOptions/>
  <pageMargins left="0.5" right="0.25" top="0.75" bottom="0.5" header="0" footer="0.25"/>
  <pageSetup fitToHeight="1" fitToWidth="1" horizontalDpi="600" verticalDpi="600" orientation="portrait" scale="97" r:id="rId1"/>
  <headerFooter alignWithMargins="0">
    <oddFooter>&amp;LJW &amp;A
Page &amp;P&amp;R&amp;D,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</dc:creator>
  <cp:keywords/>
  <dc:description/>
  <cp:lastModifiedBy>Jenifer</cp:lastModifiedBy>
  <cp:lastPrinted>2009-12-14T22:58:53Z</cp:lastPrinted>
  <dcterms:created xsi:type="dcterms:W3CDTF">2005-06-16T20:56:08Z</dcterms:created>
  <dcterms:modified xsi:type="dcterms:W3CDTF">2009-12-14T23:00:50Z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Universal Service Fund</vt:lpwstr>
  </property>
  <property fmtid="{D5CDD505-2E9C-101B-9397-08002B2CF9AE}" pid="6" name="tabIndex">
    <vt:lpwstr>0800</vt:lpwstr>
  </property>
  <property fmtid="{D5CDD505-2E9C-101B-9397-08002B2CF9AE}" pid="7" name="workpaperIndex">
    <vt:lpwstr>0810-1</vt:lpwstr>
  </property>
  <property fmtid="{D5CDD505-2E9C-101B-9397-08002B2CF9AE}" pid="8" name="DocumentSetType">
    <vt:lpwstr>Compliance</vt:lpwstr>
  </property>
  <property fmtid="{D5CDD505-2E9C-101B-9397-08002B2CF9AE}" pid="9" name="IsHighlyConfidential">
    <vt:lpwstr>0</vt:lpwstr>
  </property>
  <property fmtid="{D5CDD505-2E9C-101B-9397-08002B2CF9AE}" pid="10" name="DocketNumber">
    <vt:lpwstr>060762</vt:lpwstr>
  </property>
  <property fmtid="{D5CDD505-2E9C-101B-9397-08002B2CF9AE}" pid="11" name="IsConfidential">
    <vt:lpwstr>0</vt:lpwstr>
  </property>
  <property fmtid="{D5CDD505-2E9C-101B-9397-08002B2CF9AE}" pid="12" name="Date1">
    <vt:lpwstr>2009-12-15T00:00:00Z</vt:lpwstr>
  </property>
  <property fmtid="{D5CDD505-2E9C-101B-9397-08002B2CF9AE}" pid="13" name="CaseType">
    <vt:lpwstr>Petition</vt:lpwstr>
  </property>
  <property fmtid="{D5CDD505-2E9C-101B-9397-08002B2CF9AE}" pid="14" name="OpenedDate">
    <vt:lpwstr>2006-05-10T00:00:00Z</vt:lpwstr>
  </property>
  <property fmtid="{D5CDD505-2E9C-101B-9397-08002B2CF9AE}" pid="15" name="Prefix">
    <vt:lpwstr>UT</vt:lpwstr>
  </property>
  <property fmtid="{D5CDD505-2E9C-101B-9397-08002B2CF9AE}" pid="16" name="CaseCompanyNames">
    <vt:lpwstr>Westgate Communications LLC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