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-15" yWindow="7290" windowWidth="23250" windowHeight="7350" tabRatio="886"/>
  </bookViews>
  <sheets>
    <sheet name="Lead E" sheetId="1" r:id="rId1"/>
    <sheet name="Lead G" sheetId="2" r:id="rId2"/>
    <sheet name="3 Yr Aver. Accruals-Elec" sheetId="15" r:id="rId3"/>
    <sheet name="3 Yr Aver. Accruals-Gas" sheetId="16" r:id="rId4"/>
    <sheet name=" 3 Yr Aver. Payments-Elec" sheetId="17" r:id="rId5"/>
    <sheet name=" 3 Yr Aver. Payments-Gas" sheetId="18" r:id="rId6"/>
    <sheet name="ZO12 Inj &amp; Dam 12ME 12-2018" sheetId="39" r:id="rId7"/>
    <sheet name="ZO12 Inj &amp; Dam 12ME 12-2017" sheetId="38" r:id="rId8"/>
    <sheet name="ZO12 925 Inj &amp; Dam 12-2016" sheetId="31" r:id="rId9"/>
  </sheets>
  <externalReferences>
    <externalReference r:id="rId10"/>
  </externalReferences>
  <calcPr calcId="162913" calcMode="autoNoTable"/>
</workbook>
</file>

<file path=xl/calcChain.xml><?xml version="1.0" encoding="utf-8"?>
<calcChain xmlns="http://schemas.openxmlformats.org/spreadsheetml/2006/main">
  <c r="C10" i="39" l="1"/>
  <c r="C11" i="39" s="1"/>
  <c r="G72" i="38" l="1"/>
  <c r="G51" i="38"/>
  <c r="G97" i="39"/>
  <c r="G75" i="39"/>
  <c r="G67" i="39"/>
  <c r="G42" i="39"/>
  <c r="D13" i="38" l="1"/>
  <c r="D11" i="39"/>
  <c r="C22" i="39" l="1"/>
  <c r="D10" i="38" l="1"/>
  <c r="B15" i="38"/>
  <c r="C30" i="39" l="1"/>
  <c r="B8" i="15" l="1"/>
  <c r="C7" i="2"/>
  <c r="C23" i="39" l="1"/>
  <c r="C31" i="39" s="1"/>
  <c r="B8" i="16" s="1"/>
  <c r="B16" i="39"/>
  <c r="D15" i="39"/>
  <c r="D14" i="39"/>
  <c r="D13" i="39"/>
  <c r="D12" i="39"/>
  <c r="D10" i="39"/>
  <c r="D9" i="39"/>
  <c r="D8" i="39"/>
  <c r="D7" i="39"/>
  <c r="D6" i="39"/>
  <c r="C21" i="38"/>
  <c r="C29" i="38" s="1"/>
  <c r="B7" i="16" s="1"/>
  <c r="C20" i="38"/>
  <c r="C28" i="38" s="1"/>
  <c r="D14" i="38"/>
  <c r="D12" i="38"/>
  <c r="D11" i="38"/>
  <c r="D9" i="38"/>
  <c r="D8" i="38"/>
  <c r="D7" i="38"/>
  <c r="D6" i="38"/>
  <c r="D21" i="38" l="1"/>
  <c r="C30" i="38"/>
  <c r="B7" i="15"/>
  <c r="D15" i="38"/>
  <c r="D20" i="38"/>
  <c r="D23" i="38"/>
  <c r="D22" i="39"/>
  <c r="D25" i="39"/>
  <c r="D16" i="39"/>
  <c r="C32" i="39"/>
  <c r="D23" i="39"/>
  <c r="D24" i="38" l="1"/>
  <c r="D28" i="38" s="1"/>
  <c r="B7" i="17" s="1"/>
  <c r="D25" i="38"/>
  <c r="D29" i="38" s="1"/>
  <c r="B7" i="18" s="1"/>
  <c r="D27" i="39"/>
  <c r="D31" i="39" s="1"/>
  <c r="D26" i="39"/>
  <c r="D30" i="39" s="1"/>
  <c r="B8" i="17" s="1"/>
  <c r="D32" i="39" l="1"/>
  <c r="B8" i="18"/>
  <c r="D30" i="38"/>
  <c r="F45" i="31" l="1"/>
  <c r="B6" i="16" s="1"/>
  <c r="C45" i="31"/>
  <c r="B6" i="15" s="1"/>
  <c r="B42" i="31"/>
  <c r="B38" i="31"/>
  <c r="B34" i="31"/>
  <c r="B30" i="31"/>
  <c r="B40" i="31"/>
  <c r="G40" i="31" s="1"/>
  <c r="B43" i="31"/>
  <c r="D43" i="31" s="1"/>
  <c r="H13" i="31"/>
  <c r="E11" i="31"/>
  <c r="B39" i="31" l="1"/>
  <c r="D39" i="31" s="1"/>
  <c r="B36" i="31"/>
  <c r="G36" i="31" s="1"/>
  <c r="B32" i="31"/>
  <c r="B35" i="31"/>
  <c r="D35" i="31" s="1"/>
  <c r="D45" i="31" s="1"/>
  <c r="B6" i="17" s="1"/>
  <c r="B44" i="31"/>
  <c r="G44" i="31" s="1"/>
  <c r="B31" i="31"/>
  <c r="G45" i="31" l="1"/>
  <c r="B6" i="18" s="1"/>
  <c r="H45" i="31"/>
  <c r="D13" i="2"/>
  <c r="B9" i="16"/>
  <c r="E9" i="16" s="1"/>
  <c r="B12" i="16" l="1"/>
  <c r="E13" i="2" s="1"/>
  <c r="G13" i="2" s="1"/>
  <c r="H13" i="2" s="1"/>
  <c r="D14" i="2"/>
  <c r="B9" i="18"/>
  <c r="E9" i="18" s="1"/>
  <c r="B12" i="18" l="1"/>
  <c r="E14" i="2" s="1"/>
  <c r="A14" i="2"/>
  <c r="A15" i="2" s="1"/>
  <c r="A16" i="2" s="1"/>
  <c r="A17" i="2" s="1"/>
  <c r="A18" i="2" s="1"/>
  <c r="A19" i="2" s="1"/>
  <c r="A20" i="2" s="1"/>
  <c r="F13" i="2"/>
  <c r="D15" i="2"/>
  <c r="D17" i="2" s="1"/>
  <c r="A14" i="1"/>
  <c r="A15" i="1" s="1"/>
  <c r="A16" i="1" s="1"/>
  <c r="A17" i="1" s="1"/>
  <c r="A18" i="1" s="1"/>
  <c r="A19" i="1" s="1"/>
  <c r="A20" i="1" s="1"/>
  <c r="F14" i="2" l="1"/>
  <c r="F15" i="2" s="1"/>
  <c r="F17" i="2" s="1"/>
  <c r="G14" i="2"/>
  <c r="D18" i="2"/>
  <c r="D20" i="2" s="1"/>
  <c r="B9" i="15"/>
  <c r="D13" i="1"/>
  <c r="E15" i="2"/>
  <c r="E17" i="2" s="1"/>
  <c r="G17" i="2" s="1"/>
  <c r="F18" i="2" l="1"/>
  <c r="H14" i="2"/>
  <c r="H15" i="2" s="1"/>
  <c r="H17" i="2" s="1"/>
  <c r="G15" i="2"/>
  <c r="E18" i="2"/>
  <c r="G18" i="2" s="1"/>
  <c r="G20" i="2" s="1"/>
  <c r="E9" i="15"/>
  <c r="B12" i="15"/>
  <c r="E13" i="1" s="1"/>
  <c r="G13" i="1" s="1"/>
  <c r="H13" i="1" s="1"/>
  <c r="B9" i="17"/>
  <c r="E9" i="17" s="1"/>
  <c r="D14" i="1"/>
  <c r="F20" i="2" l="1"/>
  <c r="E20" i="2"/>
  <c r="H18" i="2"/>
  <c r="H20" i="2" s="1"/>
  <c r="F13" i="1"/>
  <c r="D15" i="1"/>
  <c r="D17" i="1" s="1"/>
  <c r="B12" i="17"/>
  <c r="E14" i="1" s="1"/>
  <c r="G14" i="1" l="1"/>
  <c r="D18" i="1"/>
  <c r="F14" i="1"/>
  <c r="F15" i="1" s="1"/>
  <c r="E15" i="1"/>
  <c r="E17" i="1" s="1"/>
  <c r="H14" i="1" l="1"/>
  <c r="H15" i="1" s="1"/>
  <c r="G15" i="1"/>
  <c r="D20" i="1"/>
  <c r="F17" i="1"/>
  <c r="G17" i="1"/>
  <c r="E18" i="1"/>
  <c r="E20" i="1" l="1"/>
  <c r="H17" i="1"/>
  <c r="F18" i="1"/>
  <c r="F20" i="1" s="1"/>
  <c r="G18" i="1"/>
  <c r="H18" i="1" s="1"/>
  <c r="H20" i="1" l="1"/>
  <c r="G19" i="1"/>
  <c r="G20" i="1"/>
</calcChain>
</file>

<file path=xl/sharedStrings.xml><?xml version="1.0" encoding="utf-8"?>
<sst xmlns="http://schemas.openxmlformats.org/spreadsheetml/2006/main" count="685" uniqueCount="202">
  <si>
    <t>PUGET SOUND ENERGY-ELECTRIC</t>
  </si>
  <si>
    <t>NORMALIZE INJURIES AND DAMAGES - ELECTRIC</t>
  </si>
  <si>
    <t>LINE</t>
  </si>
  <si>
    <t>NO.</t>
  </si>
  <si>
    <t>DESCRIPTION</t>
  </si>
  <si>
    <t>ACTUAL</t>
  </si>
  <si>
    <t>RESTATED</t>
  </si>
  <si>
    <t>ADJUSTMENT</t>
  </si>
  <si>
    <t>INJURIES &amp; DAMAGES ACCRUALS</t>
  </si>
  <si>
    <t>INJURIES &amp; DAMAGES PAYMENTS IN EXCESS OF ACCRUALS</t>
  </si>
  <si>
    <t>INCREASE/(DECREASE) IN EXPENSE</t>
  </si>
  <si>
    <t>INCREASE/(DECREASE) IN OPERATING EXPENSE (LINE 3)</t>
  </si>
  <si>
    <t>INCREASE (DECREASE) FIT @</t>
  </si>
  <si>
    <t>INCREASE (DECREASE) NOI</t>
  </si>
  <si>
    <t>PUGET SOUND ENERGY-GAS</t>
  </si>
  <si>
    <t>NORMALIZE INJURIES AND DAMAGES - GAS</t>
  </si>
  <si>
    <t xml:space="preserve">  Pages:                      0</t>
  </si>
  <si>
    <t>Cost elements</t>
  </si>
  <si>
    <t>Act. Costs</t>
  </si>
  <si>
    <t>92500001  1115 - Liability Claims - Electric</t>
  </si>
  <si>
    <t>Electric Injuries &amp; Damages</t>
  </si>
  <si>
    <t>92500300  1115 - Liability Claims - Gas</t>
  </si>
  <si>
    <t>Gas Injuries &amp; Damages</t>
  </si>
  <si>
    <t>92500601  1115 - Liability Claims - Common</t>
  </si>
  <si>
    <t>92500638  1110 - Marsh Insurance Broker Fee - Comm</t>
  </si>
  <si>
    <t>92500701  1412 - Workers Compensation Admin - Com</t>
  </si>
  <si>
    <t>92500702  1412 - Workers Comp Insurance - Common</t>
  </si>
  <si>
    <t>92500703  1412 - Workers Comp Pmts to Employees-C</t>
  </si>
  <si>
    <t>92500704  1412-Move Part of Workr Comp Exp to B/S</t>
  </si>
  <si>
    <t>92500706  1412 - Workers Comp Pmts - W352338</t>
  </si>
  <si>
    <t>Common Injuries &amp; Damages</t>
  </si>
  <si>
    <t>Debit</t>
  </si>
  <si>
    <t xml:space="preserve">92500601  1115 - Liability Claims - Common Claims Paid </t>
  </si>
  <si>
    <t>Total</t>
  </si>
  <si>
    <t>Gas</t>
  </si>
  <si>
    <t>Electric</t>
  </si>
  <si>
    <t>Three-Year Average</t>
  </si>
  <si>
    <t xml:space="preserve"> Qualified Funding Amount</t>
  </si>
  <si>
    <t>Period</t>
  </si>
  <si>
    <t>Electric Operations</t>
  </si>
  <si>
    <t>Three-Year Average of Injuries &amp; Damages Accruals</t>
  </si>
  <si>
    <t>Puget Sound Energy</t>
  </si>
  <si>
    <t>Accruals</t>
  </si>
  <si>
    <t>Gas Operations</t>
  </si>
  <si>
    <t>Three Year Average</t>
  </si>
  <si>
    <t>Three-Year Average of Injuries &amp; Damages Payments in excess of Accruals</t>
  </si>
  <si>
    <t>Payments in Excess of Accruals</t>
  </si>
  <si>
    <t>COMMISSION BASIS REPORT</t>
  </si>
  <si>
    <t>Over/underabsorption</t>
  </si>
  <si>
    <t>Chk</t>
  </si>
  <si>
    <t>Gas Claims</t>
  </si>
  <si>
    <t>Electric Claims</t>
  </si>
  <si>
    <t>Common Claims</t>
  </si>
  <si>
    <t>Payments in</t>
  </si>
  <si>
    <t xml:space="preserve">Excess of </t>
  </si>
  <si>
    <t>92500703  1412 - Wrkr Comp Employees-Com CE 60250000</t>
  </si>
  <si>
    <t>92500706  1412 - Wrkr Comp Pmts - W352338 Com CE 60250000</t>
  </si>
  <si>
    <t>92500706  1412 - Wrkr Comp Pmts - W352338 Elec CE 60250000</t>
  </si>
  <si>
    <t>92500601  1115 - Liab Claims - Elec  CE 62000000</t>
  </si>
  <si>
    <t>92500601  1115 - Liab Claims - Gas  CE 62000000</t>
  </si>
  <si>
    <t>92500704  1412- Wrkr Comp -Elec CE 67000020</t>
  </si>
  <si>
    <t>92500704  1412- Wrkr Comp  Gas  CE 67000020</t>
  </si>
  <si>
    <t>92500704  1412- Wrkr Comp Exp to B/S- Com CE 67000020</t>
  </si>
  <si>
    <t>92500703  1412 - Wrkr Comp Pmts-Emp-Elec CE 60250000</t>
  </si>
  <si>
    <t>92500703  1412 - Wrkr Comp Pmts-Emp-Gas CE 60250000</t>
  </si>
  <si>
    <t>92500706  1412 - Wrkr Comp Pmts - W352338 Gas CE 60250000</t>
  </si>
  <si>
    <t>Order Group 925 is filtered on CE 60250000, 62000000 &amp; 67000020</t>
  </si>
  <si>
    <t>Elec</t>
  </si>
  <si>
    <t>Twelve months ended 12/31/16</t>
  </si>
  <si>
    <t xml:space="preserve">  ZO12                      Orders: Actual 12 Month Ended 12-2016</t>
  </si>
  <si>
    <t xml:space="preserve">  Date:                     01/23/2017</t>
  </si>
  <si>
    <t>12-2016 Allocation Method Average Number of Customers</t>
  </si>
  <si>
    <t>Total Gas Operations</t>
  </si>
  <si>
    <t>Total Electric Operations</t>
  </si>
  <si>
    <t>Gas Portion of Common</t>
  </si>
  <si>
    <t>Electric Portion of Common</t>
  </si>
  <si>
    <t xml:space="preserve">Common </t>
  </si>
  <si>
    <t>Gas Operations Direct</t>
  </si>
  <si>
    <t>Electric Operations Direct</t>
  </si>
  <si>
    <t xml:space="preserve">Payments In </t>
  </si>
  <si>
    <t/>
  </si>
  <si>
    <t>62000000</t>
  </si>
  <si>
    <t>Injuries &amp; Damages</t>
  </si>
  <si>
    <t>Adj to Liability Claims Gas 2017 - Q2</t>
  </si>
  <si>
    <t>92500300</t>
  </si>
  <si>
    <t>Adj to Liability Claims Gas 2017 - Q1</t>
  </si>
  <si>
    <t>Claim 6-3057</t>
  </si>
  <si>
    <t>92500001</t>
  </si>
  <si>
    <t>Claim 6-3102E</t>
  </si>
  <si>
    <t>200006 -INSURANCE LIABILITY</t>
  </si>
  <si>
    <t>Order</t>
  </si>
  <si>
    <t>143442 -ASHBAUGH BEAL, LLP</t>
  </si>
  <si>
    <t>125881 -COZEN O'CONNOR</t>
  </si>
  <si>
    <t>143582 -LAW OFFICE OF ROBERT M COHON PLLC</t>
  </si>
  <si>
    <t>143543 -SOLEM LAW PLLC</t>
  </si>
  <si>
    <t>143151 -THE PEARSON LAW FIRM PS</t>
  </si>
  <si>
    <t>8/2017 Liability claims Reserve</t>
  </si>
  <si>
    <t>DAVID D. LOWELL SETTLEMENT</t>
  </si>
  <si>
    <t>Adj to Liability Claims Electric 2017 - Q3</t>
  </si>
  <si>
    <t>Adj to Liability Claims Gas 2017 - Q3</t>
  </si>
  <si>
    <t>Reverse 8/2017 Liability claims Reserve</t>
  </si>
  <si>
    <t>10/17 Liability claim payment</t>
  </si>
  <si>
    <t>Adj to Liability Claims Electric 2017 - Q4</t>
  </si>
  <si>
    <t>12/17 Liability claim payment</t>
  </si>
  <si>
    <t>Twelve months ended 12/31/17</t>
  </si>
  <si>
    <t xml:space="preserve">  ZO12                      Orders: Actual 12 Month Ended 12-2017</t>
  </si>
  <si>
    <t xml:space="preserve">  Date:                     01/22/2019</t>
  </si>
  <si>
    <t>Direct Labor</t>
  </si>
  <si>
    <t>Orders</t>
  </si>
  <si>
    <t>12 Months</t>
  </si>
  <si>
    <t>O&amp;M  Alloc.</t>
  </si>
  <si>
    <t>92500305  CLSD-Claims Defense &amp; Cost Recovery Elec</t>
  </si>
  <si>
    <t>92500306  CLSD-Liability Claims Electric</t>
  </si>
  <si>
    <t>92500558  Claims Defense &amp; Cost Recovery Gas</t>
  </si>
  <si>
    <t>92500559  Liability Claims Gas</t>
  </si>
  <si>
    <t>18490424  1412 - Workers Comp Pymts to Employees</t>
  </si>
  <si>
    <t>18490425  1412 - Workers Comp Pmts - W352338</t>
  </si>
  <si>
    <t>Total Operations</t>
  </si>
  <si>
    <t>Order 92500001 12ME 12-2017</t>
  </si>
  <si>
    <t>SAP Download</t>
  </si>
  <si>
    <t>Name</t>
  </si>
  <si>
    <t>Cost Element</t>
  </si>
  <si>
    <t>Cost element name</t>
  </si>
  <si>
    <t>Offsetting acct no.</t>
  </si>
  <si>
    <t>Posting Date</t>
  </si>
  <si>
    <t>Val.in rep.cur.</t>
  </si>
  <si>
    <t>200006</t>
  </si>
  <si>
    <t>13100573</t>
  </si>
  <si>
    <t>143151</t>
  </si>
  <si>
    <t>22820011</t>
  </si>
  <si>
    <t>13101003</t>
  </si>
  <si>
    <t>Liability Claim Reimbursement - 6000003801</t>
  </si>
  <si>
    <t>13109003</t>
  </si>
  <si>
    <t>143582</t>
  </si>
  <si>
    <t>Order 92500300 12ME 12-2017</t>
  </si>
  <si>
    <t>22820012</t>
  </si>
  <si>
    <t>125881</t>
  </si>
  <si>
    <t>143442</t>
  </si>
  <si>
    <t>143543</t>
  </si>
  <si>
    <t xml:space="preserve">  ZO12                      Orders: Actual 12 Month Ended 12-2018</t>
  </si>
  <si>
    <t xml:space="preserve">  Date:                     01/18/2019</t>
  </si>
  <si>
    <t>92500021  1115 - Liability Claims - Electric</t>
  </si>
  <si>
    <t>92500035  Claims Defense &amp; Cost Recovery Electr</t>
  </si>
  <si>
    <t>92500609  Liability Claims - Common</t>
  </si>
  <si>
    <t>92500301  Liability Claims - Gas</t>
  </si>
  <si>
    <t>92500006  S-4050 Substation Vehicle Damage Claims</t>
  </si>
  <si>
    <t>Order 92500001 12ME 12-2018</t>
  </si>
  <si>
    <t>143729 -PREMIER LAW GROUP PLLC</t>
  </si>
  <si>
    <t>143729</t>
  </si>
  <si>
    <t>Adj to Liability Claims Electric 2018 - Q1</t>
  </si>
  <si>
    <t>Reclass Costs to New Order</t>
  </si>
  <si>
    <t>Adj to Liability Claims Electric 2018 - Q2</t>
  </si>
  <si>
    <t>Ord 92500021 12ME 12-2018</t>
  </si>
  <si>
    <t>92500021</t>
  </si>
  <si>
    <t>Transfer cost from old order 92500001</t>
  </si>
  <si>
    <t>63100000</t>
  </si>
  <si>
    <t>6/18 Liability claim payment</t>
  </si>
  <si>
    <t>8/18 Liability claim payment</t>
  </si>
  <si>
    <t>200036 -NON-EMPLOYEE EXPENSE REIMBURSEMENT</t>
  </si>
  <si>
    <t>200036</t>
  </si>
  <si>
    <t>9/18 Liability claim payment</t>
  </si>
  <si>
    <t>Adj to Liability Claims Electric 2018 - Q3</t>
  </si>
  <si>
    <t>22820022</t>
  </si>
  <si>
    <t>144383 -WASHINGTON LAW CENTER</t>
  </si>
  <si>
    <t>144383</t>
  </si>
  <si>
    <t>10/18 Liability claim pmt 6-4807</t>
  </si>
  <si>
    <t>12/18 Liability claim pmt 6-4932</t>
  </si>
  <si>
    <t>12/18 Liability claim pmt 6-4797</t>
  </si>
  <si>
    <t>Adj to Liability Claims Electric 2018 - Q4</t>
  </si>
  <si>
    <t>Order 92500300 12ME 12-2018</t>
  </si>
  <si>
    <t>Adj to Liability Claims Gas 2018 - Q2</t>
  </si>
  <si>
    <t>COLLEEN ROBERTS X 81-2843</t>
  </si>
  <si>
    <t>Greenwood Ins. Reimburs. to 42630039</t>
  </si>
  <si>
    <t>62000013</t>
  </si>
  <si>
    <t>Order 92500301 12ME 12-2018</t>
  </si>
  <si>
    <t>92500301</t>
  </si>
  <si>
    <t>ck#10882 claim#6-3106 Hal Miller</t>
  </si>
  <si>
    <t>144035 -STEVEN D WELER INC PS</t>
  </si>
  <si>
    <t>144035</t>
  </si>
  <si>
    <t>Adj to Liability Claims Reserve Gas 2018 - Q3</t>
  </si>
  <si>
    <t>Adj to Liability Claims Gas 2018 - Q3</t>
  </si>
  <si>
    <t>144421 -SOOS CREEK WATER &amp; SEWER DISTRICT</t>
  </si>
  <si>
    <t>144421</t>
  </si>
  <si>
    <t>10/18 Liability claim pmt 6-4768</t>
  </si>
  <si>
    <t>10/18 Liability claim pmt 6-4842</t>
  </si>
  <si>
    <t>144556 -DIXON &amp; CANNON LTD</t>
  </si>
  <si>
    <t>144556</t>
  </si>
  <si>
    <t>12/18 Liability claim pmt 6-4889</t>
  </si>
  <si>
    <t>Adj to Liability Claims Gas 2018 - Q4</t>
  </si>
  <si>
    <t>Reclass Liability Claim Payment December 2018</t>
  </si>
  <si>
    <t>FOR THE TWELVE MONTHS ENDED DECEMBER 31, 2018</t>
  </si>
  <si>
    <t>Twelve months ended 12/31/18</t>
  </si>
  <si>
    <t>92500557  CLSD-Claims Investigation Electric</t>
  </si>
  <si>
    <t>TY</t>
  </si>
  <si>
    <t>(a)</t>
  </si>
  <si>
    <t>(b)</t>
  </si>
  <si>
    <t>(c)=(b)-(a)</t>
  </si>
  <si>
    <t>PROFORMA</t>
  </si>
  <si>
    <t>(d)</t>
  </si>
  <si>
    <t>(e)=(d)-(b)</t>
  </si>
  <si>
    <t>%'s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</si>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</sst>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0.0%"/>
    <numFmt numFmtId="167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Times New Roman"/>
      <family val="1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right"/>
    </xf>
    <xf numFmtId="0" fontId="3" fillId="0" borderId="0" xfId="0" quotePrefix="1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0" xfId="0" quotePrefix="1" applyNumberFormat="1" applyFont="1" applyFill="1" applyBorder="1" applyAlignment="1">
      <alignment horizontal="centerContinuous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Alignment="1" applyProtection="1">
      <alignment horizontal="center"/>
      <protection locked="0"/>
    </xf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/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/>
    <xf numFmtId="0" fontId="3" fillId="0" borderId="0" xfId="0" quotePrefix="1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Alignment="1">
      <alignment horizontal="center"/>
    </xf>
    <xf numFmtId="42" fontId="4" fillId="0" borderId="0" xfId="0" applyNumberFormat="1" applyFont="1" applyFill="1" applyBorder="1"/>
    <xf numFmtId="42" fontId="5" fillId="0" borderId="0" xfId="0" applyNumberFormat="1" applyFont="1" applyBorder="1"/>
    <xf numFmtId="41" fontId="4" fillId="0" borderId="1" xfId="0" applyNumberFormat="1" applyFont="1" applyFill="1" applyBorder="1" applyAlignment="1">
      <alignment horizontal="center"/>
    </xf>
    <xf numFmtId="41" fontId="5" fillId="0" borderId="1" xfId="0" applyNumberFormat="1" applyFont="1" applyBorder="1"/>
    <xf numFmtId="41" fontId="4" fillId="0" borderId="2" xfId="0" applyNumberFormat="1" applyFont="1" applyFill="1" applyBorder="1" applyAlignment="1">
      <alignment horizontal="center"/>
    </xf>
    <xf numFmtId="49" fontId="4" fillId="0" borderId="0" xfId="0" applyNumberFormat="1" applyFont="1" applyBorder="1" applyAlignment="1">
      <alignment horizontal="left"/>
    </xf>
    <xf numFmtId="41" fontId="5" fillId="0" borderId="0" xfId="0" applyNumberFormat="1" applyFont="1" applyFill="1" applyBorder="1" applyAlignment="1">
      <alignment horizontal="center"/>
    </xf>
    <xf numFmtId="41" fontId="5" fillId="0" borderId="0" xfId="0" applyNumberFormat="1" applyFont="1" applyAlignment="1"/>
    <xf numFmtId="41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Alignment="1"/>
    <xf numFmtId="9" fontId="4" fillId="0" borderId="0" xfId="0" applyNumberFormat="1" applyFont="1" applyFill="1" applyBorder="1" applyAlignment="1"/>
    <xf numFmtId="0" fontId="4" fillId="0" borderId="0" xfId="0" applyNumberFormat="1" applyFont="1" applyFill="1" applyAlignment="1"/>
    <xf numFmtId="41" fontId="5" fillId="0" borderId="2" xfId="0" applyNumberFormat="1" applyFont="1" applyBorder="1"/>
    <xf numFmtId="0" fontId="4" fillId="0" borderId="0" xfId="0" applyNumberFormat="1" applyFont="1" applyFill="1" applyAlignment="1">
      <alignment vertical="center"/>
    </xf>
    <xf numFmtId="42" fontId="5" fillId="0" borderId="3" xfId="0" applyNumberFormat="1" applyFont="1" applyBorder="1"/>
    <xf numFmtId="43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5" fontId="5" fillId="0" borderId="0" xfId="0" applyNumberFormat="1" applyFont="1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41" fontId="4" fillId="0" borderId="0" xfId="0" applyNumberFormat="1" applyFont="1" applyFill="1" applyBorder="1" applyAlignment="1" applyProtection="1">
      <protection locked="0"/>
    </xf>
    <xf numFmtId="165" fontId="5" fillId="0" borderId="0" xfId="0" applyNumberFormat="1" applyFont="1" applyBorder="1" applyAlignment="1"/>
    <xf numFmtId="0" fontId="5" fillId="0" borderId="0" xfId="0" applyNumberFormat="1" applyFont="1" applyBorder="1" applyAlignment="1"/>
    <xf numFmtId="41" fontId="0" fillId="0" borderId="0" xfId="0" applyNumberFormat="1"/>
    <xf numFmtId="37" fontId="4" fillId="0" borderId="0" xfId="0" applyNumberFormat="1" applyFont="1" applyFill="1" applyBorder="1" applyAlignment="1"/>
    <xf numFmtId="42" fontId="4" fillId="0" borderId="0" xfId="0" applyNumberFormat="1" applyFont="1" applyFill="1" applyBorder="1" applyAlignment="1">
      <alignment horizontal="center"/>
    </xf>
    <xf numFmtId="167" fontId="5" fillId="0" borderId="0" xfId="0" applyNumberFormat="1" applyFont="1" applyFill="1" applyBorder="1"/>
    <xf numFmtId="41" fontId="5" fillId="0" borderId="0" xfId="0" applyNumberFormat="1" applyFont="1" applyBorder="1"/>
    <xf numFmtId="41" fontId="5" fillId="0" borderId="1" xfId="0" applyNumberFormat="1" applyFont="1" applyBorder="1" applyAlignment="1"/>
    <xf numFmtId="41" fontId="4" fillId="0" borderId="0" xfId="0" applyNumberFormat="1" applyFont="1" applyFill="1" applyAlignment="1"/>
    <xf numFmtId="42" fontId="5" fillId="0" borderId="3" xfId="0" applyNumberFormat="1" applyFont="1" applyBorder="1"/>
    <xf numFmtId="41" fontId="0" fillId="0" borderId="0" xfId="0" applyNumberFormat="1" applyAlignment="1"/>
    <xf numFmtId="9" fontId="12" fillId="0" borderId="0" xfId="0" applyNumberFormat="1" applyFont="1" applyFill="1" applyBorder="1" applyAlignment="1"/>
    <xf numFmtId="166" fontId="4" fillId="0" borderId="0" xfId="0" applyNumberFormat="1" applyFont="1" applyAlignment="1"/>
    <xf numFmtId="166" fontId="1" fillId="0" borderId="0" xfId="0" applyNumberFormat="1" applyFont="1" applyAlignment="1"/>
    <xf numFmtId="0" fontId="8" fillId="0" borderId="0" xfId="0" applyNumberFormat="1" applyFont="1" applyAlignment="1"/>
    <xf numFmtId="0" fontId="8" fillId="0" borderId="0" xfId="0" applyNumberFormat="1" applyFont="1" applyFill="1" applyAlignment="1"/>
    <xf numFmtId="44" fontId="8" fillId="0" borderId="3" xfId="0" applyNumberFormat="1" applyFont="1" applyFill="1" applyBorder="1"/>
    <xf numFmtId="44" fontId="10" fillId="0" borderId="3" xfId="0" applyNumberFormat="1" applyFont="1" applyFill="1" applyBorder="1"/>
    <xf numFmtId="0" fontId="10" fillId="0" borderId="3" xfId="0" applyNumberFormat="1" applyFont="1" applyFill="1" applyBorder="1" applyAlignment="1"/>
    <xf numFmtId="44" fontId="8" fillId="0" borderId="0" xfId="0" applyNumberFormat="1" applyFont="1" applyFill="1"/>
    <xf numFmtId="44" fontId="8" fillId="0" borderId="1" xfId="0" applyNumberFormat="1" applyFont="1" applyFill="1" applyBorder="1" applyAlignment="1">
      <alignment horizontal="right"/>
    </xf>
    <xf numFmtId="0" fontId="6" fillId="0" borderId="1" xfId="0" applyNumberFormat="1" applyFont="1" applyBorder="1" applyAlignment="1"/>
    <xf numFmtId="44" fontId="8" fillId="0" borderId="0" xfId="0" applyNumberFormat="1" applyFont="1" applyFill="1" applyBorder="1" applyAlignment="1">
      <alignment horizontal="right"/>
    </xf>
    <xf numFmtId="0" fontId="6" fillId="0" borderId="0" xfId="0" applyNumberFormat="1" applyFont="1" applyBorder="1" applyAlignment="1"/>
    <xf numFmtId="0" fontId="8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/>
    <xf numFmtId="0" fontId="11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8" fillId="0" borderId="0" xfId="0" applyNumberFormat="1" applyFont="1" applyAlignment="1"/>
    <xf numFmtId="0" fontId="8" fillId="0" borderId="0" xfId="0" applyNumberFormat="1" applyFont="1" applyFill="1" applyAlignment="1"/>
    <xf numFmtId="44" fontId="8" fillId="0" borderId="3" xfId="0" applyNumberFormat="1" applyFont="1" applyFill="1" applyBorder="1"/>
    <xf numFmtId="44" fontId="10" fillId="0" borderId="3" xfId="0" applyNumberFormat="1" applyFont="1" applyFill="1" applyBorder="1"/>
    <xf numFmtId="0" fontId="10" fillId="0" borderId="3" xfId="0" applyNumberFormat="1" applyFont="1" applyFill="1" applyBorder="1" applyAlignment="1"/>
    <xf numFmtId="44" fontId="8" fillId="0" borderId="0" xfId="0" applyNumberFormat="1" applyFont="1" applyFill="1"/>
    <xf numFmtId="44" fontId="8" fillId="0" borderId="1" xfId="0" applyNumberFormat="1" applyFont="1" applyFill="1" applyBorder="1" applyAlignment="1">
      <alignment horizontal="right"/>
    </xf>
    <xf numFmtId="0" fontId="6" fillId="0" borderId="1" xfId="0" applyNumberFormat="1" applyFont="1" applyBorder="1" applyAlignment="1"/>
    <xf numFmtId="44" fontId="8" fillId="0" borderId="0" xfId="0" applyNumberFormat="1" applyFont="1" applyFill="1" applyBorder="1" applyAlignment="1">
      <alignment horizontal="right"/>
    </xf>
    <xf numFmtId="0" fontId="8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/>
    <xf numFmtId="0" fontId="11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6" fillId="0" borderId="0" xfId="0" applyNumberFormat="1" applyFont="1" applyAlignment="1"/>
    <xf numFmtId="0" fontId="6" fillId="0" borderId="1" xfId="0" applyNumberFormat="1" applyFont="1" applyFill="1" applyBorder="1" applyAlignment="1"/>
    <xf numFmtId="44" fontId="14" fillId="0" borderId="0" xfId="0" applyNumberFormat="1" applyFont="1" applyFill="1" applyBorder="1" applyAlignment="1">
      <alignment horizontal="right"/>
    </xf>
    <xf numFmtId="44" fontId="14" fillId="0" borderId="1" xfId="0" applyNumberFormat="1" applyFont="1" applyFill="1" applyBorder="1" applyAlignment="1">
      <alignment horizontal="right"/>
    </xf>
    <xf numFmtId="0" fontId="6" fillId="0" borderId="0" xfId="0" applyNumberFormat="1" applyFont="1" applyFill="1" applyAlignment="1"/>
    <xf numFmtId="44" fontId="14" fillId="0" borderId="0" xfId="0" applyNumberFormat="1" applyFont="1" applyFill="1"/>
    <xf numFmtId="44" fontId="6" fillId="0" borderId="0" xfId="0" applyNumberFormat="1" applyFont="1" applyAlignment="1"/>
    <xf numFmtId="43" fontId="14" fillId="0" borderId="0" xfId="0" applyNumberFormat="1" applyFont="1"/>
    <xf numFmtId="0" fontId="6" fillId="0" borderId="0" xfId="0" applyNumberFormat="1" applyFont="1" applyAlignment="1"/>
    <xf numFmtId="43" fontId="14" fillId="0" borderId="0" xfId="0" applyNumberFormat="1" applyFont="1"/>
    <xf numFmtId="0" fontId="6" fillId="0" borderId="1" xfId="0" applyNumberFormat="1" applyFont="1" applyFill="1" applyBorder="1" applyAlignment="1"/>
    <xf numFmtId="44" fontId="14" fillId="0" borderId="0" xfId="0" applyNumberFormat="1" applyFont="1" applyFill="1" applyBorder="1" applyAlignment="1">
      <alignment horizontal="right"/>
    </xf>
    <xf numFmtId="44" fontId="14" fillId="0" borderId="1" xfId="0" applyNumberFormat="1" applyFont="1" applyFill="1" applyBorder="1" applyAlignment="1">
      <alignment horizontal="right"/>
    </xf>
    <xf numFmtId="0" fontId="6" fillId="0" borderId="0" xfId="0" applyNumberFormat="1" applyFont="1" applyFill="1" applyAlignment="1"/>
    <xf numFmtId="44" fontId="14" fillId="0" borderId="0" xfId="0" applyNumberFormat="1" applyFont="1" applyFill="1"/>
    <xf numFmtId="44" fontId="6" fillId="0" borderId="0" xfId="0" applyNumberFormat="1" applyFont="1" applyAlignment="1"/>
    <xf numFmtId="0" fontId="10" fillId="0" borderId="0" xfId="0" applyFont="1" applyFill="1" applyAlignment="1">
      <alignment vertical="top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0" xfId="0" applyFont="1" applyFill="1"/>
    <xf numFmtId="43" fontId="14" fillId="0" borderId="0" xfId="0" applyNumberFormat="1" applyFont="1" applyFill="1"/>
    <xf numFmtId="41" fontId="14" fillId="0" borderId="0" xfId="0" applyNumberFormat="1" applyFont="1" applyFill="1"/>
    <xf numFmtId="10" fontId="14" fillId="0" borderId="0" xfId="0" applyNumberFormat="1" applyFont="1" applyFill="1"/>
    <xf numFmtId="42" fontId="14" fillId="0" borderId="7" xfId="0" applyNumberFormat="1" applyFont="1" applyFill="1" applyBorder="1"/>
    <xf numFmtId="0" fontId="14" fillId="0" borderId="7" xfId="0" applyFont="1" applyFill="1" applyBorder="1"/>
    <xf numFmtId="42" fontId="14" fillId="0" borderId="0" xfId="0" applyNumberFormat="1" applyFont="1" applyFill="1"/>
    <xf numFmtId="0" fontId="16" fillId="0" borderId="0" xfId="0" applyFont="1" applyAlignment="1">
      <alignment horizontal="center"/>
    </xf>
    <xf numFmtId="0" fontId="17" fillId="0" borderId="0" xfId="0" applyFont="1"/>
    <xf numFmtId="0" fontId="2" fillId="0" borderId="0" xfId="0" applyFont="1"/>
    <xf numFmtId="17" fontId="2" fillId="0" borderId="0" xfId="0" applyNumberFormat="1" applyFont="1"/>
    <xf numFmtId="43" fontId="0" fillId="0" borderId="0" xfId="0" applyNumberFormat="1"/>
    <xf numFmtId="43" fontId="2" fillId="0" borderId="0" xfId="0" applyNumberFormat="1" applyFont="1"/>
    <xf numFmtId="0" fontId="13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0" xfId="0" applyFont="1" applyFill="1" applyAlignment="1">
      <alignment horizontal="right" vertical="top"/>
    </xf>
    <xf numFmtId="43" fontId="13" fillId="0" borderId="0" xfId="0" applyNumberFormat="1" applyFont="1" applyAlignment="1">
      <alignment vertical="top"/>
    </xf>
    <xf numFmtId="0" fontId="13" fillId="0" borderId="0" xfId="0" applyFont="1" applyFill="1" applyAlignment="1">
      <alignment vertical="top"/>
    </xf>
    <xf numFmtId="43" fontId="9" fillId="0" borderId="0" xfId="0" applyNumberFormat="1" applyFont="1" applyAlignment="1">
      <alignment vertical="top"/>
    </xf>
    <xf numFmtId="43" fontId="9" fillId="0" borderId="6" xfId="0" applyNumberFormat="1" applyFont="1" applyBorder="1" applyAlignment="1">
      <alignment vertical="top"/>
    </xf>
    <xf numFmtId="44" fontId="18" fillId="0" borderId="5" xfId="0" applyNumberFormat="1" applyFont="1" applyBorder="1"/>
    <xf numFmtId="0" fontId="0" fillId="0" borderId="0" xfId="0" applyAlignment="1">
      <alignment vertical="top"/>
    </xf>
    <xf numFmtId="44" fontId="18" fillId="0" borderId="0" xfId="0" applyNumberFormat="1" applyFont="1" applyBorder="1"/>
    <xf numFmtId="0" fontId="2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4" xfId="0" applyFill="1" applyBorder="1" applyAlignment="1">
      <alignment vertical="top" wrapText="1"/>
    </xf>
    <xf numFmtId="14" fontId="0" fillId="0" borderId="0" xfId="0" applyNumberFormat="1" applyAlignment="1">
      <alignment horizontal="right" vertical="top"/>
    </xf>
    <xf numFmtId="43" fontId="0" fillId="0" borderId="0" xfId="0" applyNumberFormat="1" applyAlignment="1">
      <alignment horizontal="right" vertical="top"/>
    </xf>
    <xf numFmtId="0" fontId="0" fillId="0" borderId="2" xfId="0" applyFill="1" applyBorder="1" applyAlignment="1">
      <alignment vertical="top"/>
    </xf>
    <xf numFmtId="43" fontId="2" fillId="0" borderId="5" xfId="0" applyNumberFormat="1" applyFont="1" applyFill="1" applyBorder="1" applyAlignment="1">
      <alignment horizontal="right" vertical="top"/>
    </xf>
    <xf numFmtId="4" fontId="0" fillId="0" borderId="0" xfId="0" applyNumberFormat="1" applyAlignment="1">
      <alignment horizontal="right" vertical="top"/>
    </xf>
    <xf numFmtId="17" fontId="0" fillId="0" borderId="0" xfId="0" applyNumberFormat="1"/>
    <xf numFmtId="43" fontId="0" fillId="0" borderId="6" xfId="0" applyNumberFormat="1" applyBorder="1"/>
    <xf numFmtId="44" fontId="2" fillId="0" borderId="0" xfId="0" applyNumberFormat="1" applyFont="1"/>
    <xf numFmtId="44" fontId="10" fillId="0" borderId="5" xfId="0" applyNumberFormat="1" applyFont="1" applyFill="1" applyBorder="1" applyAlignment="1">
      <alignment horizontal="right" vertical="top"/>
    </xf>
    <xf numFmtId="10" fontId="17" fillId="0" borderId="0" xfId="0" applyNumberFormat="1" applyFont="1" applyFill="1"/>
    <xf numFmtId="43" fontId="13" fillId="0" borderId="0" xfId="0" applyNumberFormat="1" applyFont="1" applyFill="1" applyAlignment="1">
      <alignment vertical="top"/>
    </xf>
    <xf numFmtId="0" fontId="3" fillId="0" borderId="0" xfId="0" applyNumberFormat="1" applyFont="1" applyFill="1" applyAlignment="1">
      <alignment horizontal="center"/>
    </xf>
    <xf numFmtId="0" fontId="3" fillId="0" borderId="0" xfId="0" quotePrefix="1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 applyProtection="1">
      <alignment horizontal="center"/>
      <protection locked="0"/>
    </xf>
    <xf numFmtId="41" fontId="4" fillId="0" borderId="6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42" fontId="0" fillId="0" borderId="0" xfId="0" applyNumberFormat="1"/>
    <xf numFmtId="0" fontId="3" fillId="0" borderId="6" xfId="0" quotePrefix="1" applyNumberFormat="1" applyFont="1" applyFill="1" applyBorder="1" applyAlignment="1">
      <alignment horizontal="center"/>
    </xf>
    <xf numFmtId="0" fontId="3" fillId="0" borderId="0" xfId="0" applyNumberFormat="1" applyFont="1" applyFill="1" applyAlignment="1" applyProtection="1">
      <alignment horizontal="left"/>
      <protection locked="0"/>
    </xf>
    <xf numFmtId="0" fontId="3" fillId="0" borderId="0" xfId="0" applyNumberFormat="1" applyFont="1" applyFill="1" applyAlignment="1">
      <alignment horizontal="left"/>
    </xf>
    <xf numFmtId="43" fontId="0" fillId="0" borderId="0" xfId="0" applyNumberFormat="1" applyFill="1" applyAlignment="1">
      <alignment horizontal="right" vertical="top"/>
    </xf>
    <xf numFmtId="4" fontId="0" fillId="0" borderId="0" xfId="0" applyNumberFormat="1" applyFill="1" applyAlignment="1">
      <alignment horizontal="right" vertical="top"/>
    </xf>
    <xf numFmtId="14" fontId="0" fillId="0" borderId="0" xfId="0" applyNumberFormat="1" applyFill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9">
          <cell r="E9">
            <v>0.58050000000000002</v>
          </cell>
          <cell r="F9">
            <v>0.41949999999999998</v>
          </cell>
        </row>
        <row r="23">
          <cell r="E23">
            <v>0.58053439161453524</v>
          </cell>
          <cell r="F23">
            <v>0.41946560838546482</v>
          </cell>
        </row>
        <row r="43">
          <cell r="G43">
            <v>0.49997132880489842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8"/>
  <sheetViews>
    <sheetView tabSelected="1" zoomScale="90" zoomScaleNormal="90" workbookViewId="0">
      <selection activeCell="H26" sqref="H26"/>
    </sheetView>
  </sheetViews>
  <sheetFormatPr defaultRowHeight="15" x14ac:dyDescent="0.25"/>
  <cols>
    <col min="1" max="1" width="5.5703125" customWidth="1"/>
    <col min="2" max="2" width="54.42578125" customWidth="1"/>
    <col min="3" max="3" width="6.7109375" customWidth="1"/>
    <col min="4" max="4" width="12.7109375" customWidth="1"/>
    <col min="5" max="5" width="12.42578125" customWidth="1"/>
    <col min="6" max="7" width="16.28515625" customWidth="1"/>
    <col min="8" max="8" width="19.140625" customWidth="1"/>
    <col min="10" max="10" width="11.28515625" bestFit="1" customWidth="1"/>
  </cols>
  <sheetData>
    <row r="2" spans="1:10" x14ac:dyDescent="0.25">
      <c r="A2" s="1"/>
      <c r="B2" s="1"/>
      <c r="C2" s="1"/>
      <c r="D2" s="1"/>
      <c r="E2" s="1"/>
      <c r="F2" s="1"/>
      <c r="G2" s="1"/>
    </row>
    <row r="3" spans="1:10" x14ac:dyDescent="0.25">
      <c r="A3" s="1"/>
      <c r="B3" s="1"/>
      <c r="C3" s="1"/>
      <c r="D3" s="1"/>
      <c r="E3" s="1"/>
      <c r="F3" s="1"/>
      <c r="G3" s="1"/>
    </row>
    <row r="4" spans="1:10" x14ac:dyDescent="0.25">
      <c r="A4" s="3"/>
      <c r="B4" s="4"/>
      <c r="D4" s="154" t="s">
        <v>0</v>
      </c>
      <c r="E4" s="3"/>
      <c r="F4" s="3"/>
      <c r="G4" s="3"/>
    </row>
    <row r="5" spans="1:10" x14ac:dyDescent="0.25">
      <c r="C5" s="155" t="s">
        <v>1</v>
      </c>
      <c r="D5" s="147"/>
      <c r="E5" s="147"/>
      <c r="F5" s="147"/>
      <c r="G5" s="147"/>
      <c r="H5" s="147"/>
    </row>
    <row r="6" spans="1:10" x14ac:dyDescent="0.25">
      <c r="C6" s="155" t="s">
        <v>190</v>
      </c>
      <c r="D6" s="148"/>
      <c r="E6" s="148"/>
      <c r="F6" s="148"/>
      <c r="G6" s="148"/>
      <c r="H6" s="148"/>
    </row>
    <row r="7" spans="1:10" x14ac:dyDescent="0.25">
      <c r="D7" s="155" t="s">
        <v>47</v>
      </c>
      <c r="E7" s="148"/>
      <c r="F7" s="148"/>
      <c r="G7" s="148"/>
      <c r="H7" s="148"/>
    </row>
    <row r="8" spans="1:10" x14ac:dyDescent="0.25">
      <c r="C8" s="147"/>
      <c r="D8" s="148"/>
      <c r="E8" s="148"/>
      <c r="F8" s="148"/>
      <c r="G8" s="148"/>
      <c r="H8" s="148"/>
    </row>
    <row r="9" spans="1:10" x14ac:dyDescent="0.25">
      <c r="A9" s="5"/>
      <c r="B9" s="6"/>
      <c r="C9" s="6"/>
      <c r="D9" s="7" t="s">
        <v>193</v>
      </c>
      <c r="E9" s="8"/>
      <c r="F9" s="16" t="s">
        <v>6</v>
      </c>
      <c r="G9" s="8"/>
      <c r="H9" s="16" t="s">
        <v>197</v>
      </c>
    </row>
    <row r="10" spans="1:10" x14ac:dyDescent="0.25">
      <c r="A10" s="9" t="s">
        <v>2</v>
      </c>
      <c r="B10" s="10"/>
      <c r="C10" s="10"/>
      <c r="D10" s="16" t="s">
        <v>5</v>
      </c>
      <c r="E10" s="16" t="s">
        <v>6</v>
      </c>
      <c r="F10" s="16" t="s">
        <v>7</v>
      </c>
      <c r="G10" s="16" t="s">
        <v>197</v>
      </c>
      <c r="H10" s="16" t="s">
        <v>7</v>
      </c>
    </row>
    <row r="11" spans="1:10" x14ac:dyDescent="0.25">
      <c r="A11" s="11" t="s">
        <v>3</v>
      </c>
      <c r="B11" s="12" t="s">
        <v>4</v>
      </c>
      <c r="C11" s="153" t="s">
        <v>200</v>
      </c>
      <c r="D11" s="151" t="s">
        <v>194</v>
      </c>
      <c r="E11" s="13" t="s">
        <v>195</v>
      </c>
      <c r="F11" s="151" t="s">
        <v>196</v>
      </c>
      <c r="G11" s="149" t="s">
        <v>198</v>
      </c>
      <c r="H11" s="151" t="s">
        <v>199</v>
      </c>
    </row>
    <row r="12" spans="1:10" x14ac:dyDescent="0.25">
      <c r="A12" s="7"/>
      <c r="B12" s="14"/>
      <c r="C12" s="14"/>
      <c r="D12" s="15"/>
      <c r="E12" s="15"/>
      <c r="F12" s="15"/>
      <c r="G12" s="15"/>
      <c r="H12" s="16"/>
    </row>
    <row r="13" spans="1:10" x14ac:dyDescent="0.25">
      <c r="A13" s="17">
        <v>1</v>
      </c>
      <c r="B13" s="18" t="s">
        <v>8</v>
      </c>
      <c r="C13" s="18"/>
      <c r="D13" s="19">
        <f>'3 Yr Aver. Accruals-Elec'!B8</f>
        <v>510000</v>
      </c>
      <c r="E13" s="19">
        <f>'3 Yr Aver. Accruals-Elec'!B12</f>
        <v>220833.33333333334</v>
      </c>
      <c r="F13" s="19">
        <f>E13-D13</f>
        <v>-289166.66666666663</v>
      </c>
      <c r="G13" s="152">
        <f>+E13</f>
        <v>220833.33333333334</v>
      </c>
      <c r="H13" s="19">
        <f>+G13-E13</f>
        <v>0</v>
      </c>
      <c r="J13" s="152"/>
    </row>
    <row r="14" spans="1:10" x14ac:dyDescent="0.25">
      <c r="A14" s="17">
        <f t="shared" ref="A14:A20" si="0">A13+1</f>
        <v>2</v>
      </c>
      <c r="B14" s="18" t="s">
        <v>9</v>
      </c>
      <c r="C14" s="18"/>
      <c r="D14" s="20">
        <f>' 3 Yr Aver. Payments-Elec'!B8</f>
        <v>740336.86596767348</v>
      </c>
      <c r="E14" s="20">
        <f>' 3 Yr Aver. Payments-Elec'!B12</f>
        <v>945203.0581214655</v>
      </c>
      <c r="F14" s="150">
        <f>E14-D14</f>
        <v>204866.19215379201</v>
      </c>
      <c r="G14" s="41">
        <f>+E14</f>
        <v>945203.0581214655</v>
      </c>
      <c r="H14" s="21">
        <f>+G14-E14</f>
        <v>0</v>
      </c>
    </row>
    <row r="15" spans="1:10" x14ac:dyDescent="0.25">
      <c r="A15" s="17">
        <f t="shared" si="0"/>
        <v>3</v>
      </c>
      <c r="B15" s="18" t="s">
        <v>10</v>
      </c>
      <c r="C15" s="18"/>
      <c r="D15" s="22">
        <f>SUM(D13:D14)</f>
        <v>1250336.8659676735</v>
      </c>
      <c r="E15" s="22">
        <f>SUM(E13:E14)</f>
        <v>1166036.3914547989</v>
      </c>
      <c r="F15" s="22">
        <f t="shared" ref="F15" si="1">SUM(F13:F14)</f>
        <v>-84300.474512874614</v>
      </c>
      <c r="G15" s="22">
        <f>SUM(G13:G14)</f>
        <v>1166036.3914547989</v>
      </c>
      <c r="H15" s="22">
        <f>SUM(H13:H14)</f>
        <v>0</v>
      </c>
    </row>
    <row r="16" spans="1:10" x14ac:dyDescent="0.25">
      <c r="A16" s="17">
        <f t="shared" si="0"/>
        <v>4</v>
      </c>
      <c r="B16" s="23"/>
      <c r="C16" s="23"/>
      <c r="D16" s="24"/>
      <c r="E16" s="24"/>
      <c r="F16" s="24"/>
      <c r="G16" s="24" t="s">
        <v>201</v>
      </c>
      <c r="H16" s="25"/>
    </row>
    <row r="17" spans="1:8" x14ac:dyDescent="0.25">
      <c r="A17" s="17">
        <f t="shared" si="0"/>
        <v>5</v>
      </c>
      <c r="B17" s="18" t="s">
        <v>11</v>
      </c>
      <c r="C17" s="18"/>
      <c r="D17" s="26">
        <f>+D15</f>
        <v>1250336.8659676735</v>
      </c>
      <c r="E17" s="26">
        <f>+E15</f>
        <v>1166036.3914547989</v>
      </c>
      <c r="F17" s="19">
        <f>E17-D17</f>
        <v>-84300.474512874614</v>
      </c>
      <c r="G17" s="152">
        <f>+E17</f>
        <v>1166036.3914547989</v>
      </c>
      <c r="H17" s="19">
        <f>+G17-E17</f>
        <v>0</v>
      </c>
    </row>
    <row r="18" spans="1:8" x14ac:dyDescent="0.25">
      <c r="A18" s="17">
        <f t="shared" si="0"/>
        <v>6</v>
      </c>
      <c r="B18" s="27" t="s">
        <v>12</v>
      </c>
      <c r="C18" s="28">
        <v>0.21</v>
      </c>
      <c r="D18" s="21">
        <f>-D17*$C$18</f>
        <v>-262570.74185321142</v>
      </c>
      <c r="E18" s="21">
        <f>-E17*$C$18</f>
        <v>-244867.64220550776</v>
      </c>
      <c r="F18" s="150">
        <f>E18-D18</f>
        <v>17703.099647703668</v>
      </c>
      <c r="G18" s="41">
        <f>+E18</f>
        <v>-244867.64220550776</v>
      </c>
      <c r="H18" s="21">
        <f>+G18-E18</f>
        <v>0</v>
      </c>
    </row>
    <row r="19" spans="1:8" x14ac:dyDescent="0.25">
      <c r="A19" s="17">
        <f t="shared" si="0"/>
        <v>7</v>
      </c>
      <c r="B19" s="29"/>
      <c r="C19" s="29"/>
      <c r="D19" s="26"/>
      <c r="E19" s="26"/>
      <c r="F19" s="26"/>
      <c r="G19" s="22">
        <f>SUM(G17:G18)</f>
        <v>921168.74924929114</v>
      </c>
      <c r="H19" s="30"/>
    </row>
    <row r="20" spans="1:8" ht="15.75" thickBot="1" x14ac:dyDescent="0.3">
      <c r="A20" s="17">
        <f t="shared" si="0"/>
        <v>8</v>
      </c>
      <c r="B20" s="31" t="s">
        <v>13</v>
      </c>
      <c r="C20" s="31"/>
      <c r="D20" s="32">
        <f>-D17-D18</f>
        <v>-987766.12411446206</v>
      </c>
      <c r="E20" s="32">
        <f>-E17-E18</f>
        <v>-921168.74924929114</v>
      </c>
      <c r="F20" s="32">
        <f>-F17-F18</f>
        <v>66597.374865170947</v>
      </c>
      <c r="G20" s="32">
        <f>-G17-G18</f>
        <v>-921168.74924929114</v>
      </c>
      <c r="H20" s="32">
        <f>-H17-H18</f>
        <v>0</v>
      </c>
    </row>
    <row r="21" spans="1:8" ht="15.75" thickTop="1" x14ac:dyDescent="0.25">
      <c r="A21" s="17"/>
      <c r="B21" s="23"/>
      <c r="C21" s="23"/>
      <c r="D21" s="33"/>
      <c r="E21" s="34"/>
      <c r="F21" s="43"/>
      <c r="G21" s="34"/>
      <c r="H21" s="35"/>
    </row>
    <row r="22" spans="1:8" x14ac:dyDescent="0.25">
      <c r="A22" s="17"/>
      <c r="B22" s="36"/>
      <c r="C22" s="36"/>
      <c r="D22" s="33"/>
      <c r="E22" s="34"/>
      <c r="F22" s="34"/>
      <c r="G22" s="34"/>
      <c r="H22" s="35"/>
    </row>
    <row r="23" spans="1:8" x14ac:dyDescent="0.25">
      <c r="A23" s="17"/>
      <c r="B23" s="18"/>
      <c r="C23" s="18"/>
      <c r="D23" s="33"/>
      <c r="E23" s="34"/>
      <c r="F23" s="34"/>
      <c r="G23" s="34"/>
      <c r="H23" s="35"/>
    </row>
    <row r="24" spans="1:8" x14ac:dyDescent="0.25">
      <c r="A24" s="17"/>
      <c r="B24" s="37"/>
      <c r="C24" s="37"/>
      <c r="D24" s="38"/>
      <c r="H24" s="39"/>
    </row>
    <row r="25" spans="1:8" x14ac:dyDescent="0.25">
      <c r="A25" s="17"/>
      <c r="B25" s="23"/>
      <c r="C25" s="23"/>
      <c r="D25" s="29"/>
      <c r="E25" s="29"/>
      <c r="F25" s="29"/>
      <c r="G25" s="29"/>
      <c r="H25" s="40"/>
    </row>
    <row r="26" spans="1:8" x14ac:dyDescent="0.25">
      <c r="A26" s="17"/>
      <c r="B26" s="37"/>
      <c r="C26" s="37"/>
      <c r="D26" s="29"/>
      <c r="H26" s="19"/>
    </row>
    <row r="36" spans="8:8" x14ac:dyDescent="0.25">
      <c r="H36" s="41"/>
    </row>
    <row r="37" spans="8:8" x14ac:dyDescent="0.25">
      <c r="H37" s="41"/>
    </row>
    <row r="38" spans="8:8" x14ac:dyDescent="0.25">
      <c r="H38" s="41"/>
    </row>
  </sheetData>
  <pageMargins left="0.7" right="0.7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zoomScale="90" zoomScaleNormal="90" workbookViewId="0">
      <selection activeCell="L16" sqref="L16"/>
    </sheetView>
  </sheetViews>
  <sheetFormatPr defaultRowHeight="15" x14ac:dyDescent="0.25"/>
  <cols>
    <col min="1" max="1" width="5.5703125" customWidth="1"/>
    <col min="2" max="2" width="54.5703125" customWidth="1"/>
    <col min="3" max="3" width="5.7109375" customWidth="1"/>
    <col min="4" max="4" width="11.7109375" customWidth="1"/>
    <col min="5" max="5" width="13" customWidth="1"/>
    <col min="6" max="6" width="14.7109375" customWidth="1"/>
    <col min="7" max="7" width="11.28515625" bestFit="1" customWidth="1"/>
    <col min="8" max="8" width="12.28515625" customWidth="1"/>
  </cols>
  <sheetData>
    <row r="2" spans="1:8" x14ac:dyDescent="0.25">
      <c r="A2" s="1"/>
      <c r="B2" s="1"/>
      <c r="C2" s="1"/>
      <c r="D2" s="1"/>
      <c r="E2" s="1"/>
      <c r="F2" s="86"/>
    </row>
    <row r="3" spans="1:8" x14ac:dyDescent="0.25">
      <c r="A3" s="1"/>
      <c r="B3" s="1"/>
      <c r="C3" s="1"/>
      <c r="D3" s="1"/>
      <c r="E3" s="1"/>
      <c r="F3" s="2"/>
    </row>
    <row r="4" spans="1:8" x14ac:dyDescent="0.25">
      <c r="A4" s="3"/>
      <c r="B4" s="4"/>
      <c r="C4" s="4"/>
      <c r="D4" s="3"/>
      <c r="E4" s="3"/>
    </row>
    <row r="5" spans="1:8" x14ac:dyDescent="0.25">
      <c r="B5" s="147"/>
      <c r="D5" s="154" t="s">
        <v>14</v>
      </c>
      <c r="E5" s="147"/>
      <c r="F5" s="147"/>
    </row>
    <row r="6" spans="1:8" x14ac:dyDescent="0.25">
      <c r="B6" s="148"/>
      <c r="C6" s="155" t="s">
        <v>15</v>
      </c>
      <c r="D6" s="148"/>
      <c r="E6" s="148"/>
      <c r="F6" s="148"/>
    </row>
    <row r="7" spans="1:8" x14ac:dyDescent="0.25">
      <c r="B7" s="148"/>
      <c r="C7" s="155" t="str">
        <f>'Lead E'!C6</f>
        <v>FOR THE TWELVE MONTHS ENDED DECEMBER 31, 2018</v>
      </c>
      <c r="D7" s="148"/>
      <c r="E7" s="148"/>
      <c r="F7" s="148"/>
    </row>
    <row r="8" spans="1:8" x14ac:dyDescent="0.25">
      <c r="B8" s="148"/>
      <c r="D8" s="155" t="s">
        <v>47</v>
      </c>
      <c r="E8" s="148"/>
      <c r="F8" s="148"/>
    </row>
    <row r="9" spans="1:8" x14ac:dyDescent="0.25">
      <c r="A9" s="5"/>
      <c r="B9" s="6"/>
      <c r="C9" s="6"/>
      <c r="D9" s="7" t="s">
        <v>193</v>
      </c>
      <c r="E9" s="8"/>
      <c r="F9" s="16" t="s">
        <v>6</v>
      </c>
      <c r="G9" s="8"/>
      <c r="H9" s="16" t="s">
        <v>197</v>
      </c>
    </row>
    <row r="10" spans="1:8" x14ac:dyDescent="0.25">
      <c r="A10" s="9" t="s">
        <v>2</v>
      </c>
      <c r="B10" s="10"/>
      <c r="C10" s="10"/>
      <c r="D10" s="16" t="s">
        <v>5</v>
      </c>
      <c r="E10" s="16" t="s">
        <v>6</v>
      </c>
      <c r="F10" s="16" t="s">
        <v>7</v>
      </c>
      <c r="G10" s="16" t="s">
        <v>197</v>
      </c>
      <c r="H10" s="16" t="s">
        <v>7</v>
      </c>
    </row>
    <row r="11" spans="1:8" x14ac:dyDescent="0.25">
      <c r="A11" s="11" t="s">
        <v>3</v>
      </c>
      <c r="B11" s="12" t="s">
        <v>4</v>
      </c>
      <c r="C11" s="153" t="s">
        <v>200</v>
      </c>
      <c r="D11" s="151" t="s">
        <v>194</v>
      </c>
      <c r="E11" s="13" t="s">
        <v>195</v>
      </c>
      <c r="F11" s="151" t="s">
        <v>196</v>
      </c>
      <c r="G11" s="149" t="s">
        <v>198</v>
      </c>
      <c r="H11" s="151" t="s">
        <v>199</v>
      </c>
    </row>
    <row r="12" spans="1:8" x14ac:dyDescent="0.25">
      <c r="A12" s="29"/>
      <c r="B12" s="42"/>
      <c r="C12" s="42"/>
      <c r="D12" s="42"/>
      <c r="E12" s="42"/>
      <c r="F12" s="42"/>
    </row>
    <row r="13" spans="1:8" x14ac:dyDescent="0.25">
      <c r="A13" s="17">
        <v>1</v>
      </c>
      <c r="B13" s="18" t="s">
        <v>8</v>
      </c>
      <c r="C13" s="18"/>
      <c r="D13" s="43">
        <f>'3 Yr Aver. Accruals-Gas'!B8</f>
        <v>-1380897.52</v>
      </c>
      <c r="E13" s="43">
        <f>'3 Yr Aver. Accruals-Gas'!B12</f>
        <v>243867.49333333332</v>
      </c>
      <c r="F13" s="19">
        <f>E13-D13</f>
        <v>1624765.0133333334</v>
      </c>
      <c r="G13" s="19">
        <f>E13</f>
        <v>243867.49333333332</v>
      </c>
      <c r="H13" s="19">
        <f>G13-E13</f>
        <v>0</v>
      </c>
    </row>
    <row r="14" spans="1:8" x14ac:dyDescent="0.25">
      <c r="A14" s="17">
        <f>A13+1</f>
        <v>2</v>
      </c>
      <c r="B14" s="18" t="s">
        <v>9</v>
      </c>
      <c r="C14" s="18"/>
      <c r="D14" s="20">
        <f>' 3 Yr Aver. Payments-Gas'!B8</f>
        <v>915434.50818377954</v>
      </c>
      <c r="E14" s="20">
        <f>' 3 Yr Aver. Payments-Gas'!B12</f>
        <v>880946.86970319226</v>
      </c>
      <c r="F14" s="21">
        <f>E14-D14</f>
        <v>-34487.63848058728</v>
      </c>
      <c r="G14" s="21">
        <f>E14</f>
        <v>880946.86970319226</v>
      </c>
      <c r="H14" s="21">
        <f>G14-E14</f>
        <v>0</v>
      </c>
    </row>
    <row r="15" spans="1:8" x14ac:dyDescent="0.25">
      <c r="A15" s="17">
        <f t="shared" ref="A15:A20" si="0">A14+1</f>
        <v>3</v>
      </c>
      <c r="B15" s="18" t="s">
        <v>10</v>
      </c>
      <c r="C15" s="18"/>
      <c r="D15" s="24">
        <f>SUM(D13:D14)</f>
        <v>-465463.01181622047</v>
      </c>
      <c r="E15" s="24">
        <f>SUM(E13:E14)</f>
        <v>1124814.3630365257</v>
      </c>
      <c r="F15" s="24">
        <f>SUM(F13:F14)</f>
        <v>1590277.3748527463</v>
      </c>
      <c r="G15" s="24">
        <f>SUM(G13:G14)</f>
        <v>1124814.3630365257</v>
      </c>
      <c r="H15" s="24">
        <f>SUM(H13:H14)</f>
        <v>0</v>
      </c>
    </row>
    <row r="16" spans="1:8" x14ac:dyDescent="0.25">
      <c r="A16" s="17">
        <f t="shared" si="0"/>
        <v>4</v>
      </c>
      <c r="B16" s="44"/>
      <c r="C16" s="44"/>
      <c r="D16" s="26"/>
      <c r="E16" s="26"/>
      <c r="F16" s="45"/>
    </row>
    <row r="17" spans="1:8" x14ac:dyDescent="0.25">
      <c r="A17" s="17">
        <f t="shared" si="0"/>
        <v>5</v>
      </c>
      <c r="B17" s="18" t="s">
        <v>11</v>
      </c>
      <c r="C17" s="18"/>
      <c r="D17" s="26">
        <f>+D15</f>
        <v>-465463.01181622047</v>
      </c>
      <c r="E17" s="26">
        <f>+E15</f>
        <v>1124814.3630365257</v>
      </c>
      <c r="F17" s="19">
        <f>F15</f>
        <v>1590277.3748527463</v>
      </c>
      <c r="G17" s="19">
        <f>E17</f>
        <v>1124814.3630365257</v>
      </c>
      <c r="H17" s="19">
        <f>H15</f>
        <v>0</v>
      </c>
    </row>
    <row r="18" spans="1:8" x14ac:dyDescent="0.25">
      <c r="A18" s="17">
        <f t="shared" si="0"/>
        <v>6</v>
      </c>
      <c r="B18" s="27" t="s">
        <v>12</v>
      </c>
      <c r="C18" s="28">
        <v>0.21</v>
      </c>
      <c r="D18" s="21">
        <f>-D17*$C$18</f>
        <v>97747.232481406303</v>
      </c>
      <c r="E18" s="21">
        <f>-E17*$C$18</f>
        <v>-236211.01623767038</v>
      </c>
      <c r="F18" s="46">
        <f>ROUND(-F17*C18,0)</f>
        <v>-333958</v>
      </c>
      <c r="G18" s="46">
        <f>E18</f>
        <v>-236211.01623767038</v>
      </c>
      <c r="H18" s="46">
        <f>-H17*C18</f>
        <v>0</v>
      </c>
    </row>
    <row r="19" spans="1:8" x14ac:dyDescent="0.25">
      <c r="A19" s="17">
        <f t="shared" si="0"/>
        <v>7</v>
      </c>
      <c r="B19" s="29"/>
      <c r="C19" s="29"/>
      <c r="D19" s="26"/>
      <c r="E19" s="26"/>
      <c r="F19" s="25"/>
      <c r="G19" s="25"/>
      <c r="H19" s="25"/>
    </row>
    <row r="20" spans="1:8" ht="15.75" thickBot="1" x14ac:dyDescent="0.3">
      <c r="A20" s="17">
        <f t="shared" si="0"/>
        <v>8</v>
      </c>
      <c r="B20" s="31" t="s">
        <v>13</v>
      </c>
      <c r="C20" s="31"/>
      <c r="D20" s="32">
        <f>-D17-D18</f>
        <v>367715.77933481417</v>
      </c>
      <c r="E20" s="32">
        <f>-E17-E18</f>
        <v>-888603.34679885535</v>
      </c>
      <c r="F20" s="48">
        <f>-F17-F18</f>
        <v>-1256319.3748527463</v>
      </c>
      <c r="G20" s="48">
        <f>SUM(G17:G18)</f>
        <v>888603.34679885535</v>
      </c>
      <c r="H20" s="48">
        <f>-H17-H18</f>
        <v>0</v>
      </c>
    </row>
    <row r="21" spans="1:8" ht="15.75" thickTop="1" x14ac:dyDescent="0.25">
      <c r="A21" s="17"/>
      <c r="B21" s="29"/>
      <c r="C21" s="29"/>
      <c r="D21" s="47"/>
      <c r="E21" s="47"/>
      <c r="F21" s="25"/>
    </row>
    <row r="22" spans="1:8" x14ac:dyDescent="0.25">
      <c r="A22" s="17"/>
      <c r="B22" s="29"/>
      <c r="C22" s="29"/>
      <c r="D22" s="47"/>
      <c r="E22" s="47"/>
      <c r="F22" s="25"/>
    </row>
    <row r="23" spans="1:8" x14ac:dyDescent="0.25">
      <c r="A23" s="17"/>
      <c r="B23" s="27"/>
      <c r="C23" s="27"/>
      <c r="D23" s="49"/>
      <c r="E23" s="49"/>
      <c r="F23" s="25"/>
    </row>
    <row r="24" spans="1:8" x14ac:dyDescent="0.25">
      <c r="A24" s="17"/>
      <c r="B24" s="27"/>
      <c r="C24" s="27"/>
      <c r="D24" s="49"/>
      <c r="E24" s="49"/>
      <c r="F24" s="25"/>
    </row>
    <row r="25" spans="1:8" x14ac:dyDescent="0.25">
      <c r="A25" s="17"/>
      <c r="B25" s="27"/>
      <c r="C25" s="27"/>
      <c r="D25" s="50"/>
      <c r="E25" s="50"/>
      <c r="F25" s="35"/>
    </row>
    <row r="26" spans="1:8" x14ac:dyDescent="0.25">
      <c r="A26" s="17"/>
      <c r="B26" s="51"/>
      <c r="C26" s="51"/>
      <c r="D26" s="52"/>
      <c r="E26" s="52"/>
      <c r="F26" s="40"/>
    </row>
    <row r="27" spans="1:8" x14ac:dyDescent="0.25">
      <c r="A27" s="17"/>
      <c r="B27" s="31"/>
      <c r="C27" s="31"/>
      <c r="D27" s="31"/>
      <c r="E27" s="31"/>
      <c r="F27" s="44"/>
    </row>
    <row r="28" spans="1:8" x14ac:dyDescent="0.25">
      <c r="A28" s="29"/>
      <c r="B28" s="29"/>
      <c r="C28" s="29"/>
      <c r="D28" s="29"/>
      <c r="E28" s="29"/>
      <c r="F28" s="29"/>
    </row>
  </sheetData>
  <pageMargins left="0.7" right="0.7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E9" sqref="E9"/>
    </sheetView>
  </sheetViews>
  <sheetFormatPr defaultColWidth="9.140625" defaultRowHeight="15" x14ac:dyDescent="0.25"/>
  <cols>
    <col min="1" max="1" width="26.42578125" style="87" bestFit="1" customWidth="1"/>
    <col min="2" max="2" width="36.85546875" style="91" customWidth="1"/>
    <col min="3" max="3" width="3.140625" style="54" customWidth="1"/>
    <col min="4" max="4" width="3.7109375" style="53" customWidth="1"/>
    <col min="5" max="5" width="13.85546875" style="87" bestFit="1" customWidth="1"/>
    <col min="6" max="9" width="9.140625" style="87"/>
    <col min="10" max="10" width="14" style="94" bestFit="1" customWidth="1"/>
    <col min="11" max="16384" width="9.140625" style="87"/>
  </cols>
  <sheetData>
    <row r="1" spans="1:5" s="87" customFormat="1" ht="14.25" x14ac:dyDescent="0.2">
      <c r="B1" s="69" t="s">
        <v>41</v>
      </c>
      <c r="C1" s="68"/>
      <c r="D1" s="53"/>
    </row>
    <row r="2" spans="1:5" s="87" customFormat="1" ht="14.25" x14ac:dyDescent="0.2">
      <c r="B2" s="67" t="s">
        <v>40</v>
      </c>
      <c r="C2" s="66"/>
      <c r="D2" s="53"/>
    </row>
    <row r="3" spans="1:5" s="87" customFormat="1" ht="14.25" x14ac:dyDescent="0.2">
      <c r="B3" s="67" t="s">
        <v>39</v>
      </c>
      <c r="C3" s="66"/>
      <c r="D3" s="53"/>
    </row>
    <row r="4" spans="1:5" s="87" customFormat="1" ht="12.75" x14ac:dyDescent="0.2">
      <c r="A4" s="60"/>
      <c r="B4" s="88"/>
      <c r="C4" s="65"/>
      <c r="D4" s="53"/>
    </row>
    <row r="5" spans="1:5" s="87" customFormat="1" ht="12.75" x14ac:dyDescent="0.2">
      <c r="A5" s="60" t="s">
        <v>38</v>
      </c>
      <c r="B5" s="64" t="s">
        <v>37</v>
      </c>
      <c r="C5" s="63"/>
      <c r="D5" s="53"/>
    </row>
    <row r="6" spans="1:5" s="87" customFormat="1" x14ac:dyDescent="0.25">
      <c r="A6" s="62" t="s">
        <v>68</v>
      </c>
      <c r="B6" s="89">
        <f>'ZO12 925 Inj &amp; Dam 12-2016'!C45</f>
        <v>112500</v>
      </c>
      <c r="C6" s="61"/>
      <c r="D6" s="53"/>
    </row>
    <row r="7" spans="1:5" s="87" customFormat="1" x14ac:dyDescent="0.25">
      <c r="A7" s="62" t="s">
        <v>104</v>
      </c>
      <c r="B7" s="89">
        <f>'ZO12 Inj &amp; Dam 12ME 12-2017'!C28</f>
        <v>40000</v>
      </c>
      <c r="C7" s="61"/>
      <c r="D7" s="53"/>
    </row>
    <row r="8" spans="1:5" s="87" customFormat="1" x14ac:dyDescent="0.25">
      <c r="A8" s="60" t="s">
        <v>191</v>
      </c>
      <c r="B8" s="90">
        <f>'ZO12 Inj &amp; Dam 12ME 12-2018'!C30</f>
        <v>510000</v>
      </c>
      <c r="C8" s="59"/>
      <c r="D8" s="53"/>
    </row>
    <row r="9" spans="1:5" s="87" customFormat="1" x14ac:dyDescent="0.25">
      <c r="A9" s="91" t="s">
        <v>33</v>
      </c>
      <c r="B9" s="92">
        <f>SUM(B6:B8)</f>
        <v>662500</v>
      </c>
      <c r="C9" s="58"/>
      <c r="D9" s="54" t="s">
        <v>49</v>
      </c>
      <c r="E9" s="93">
        <f>'ZO12 Inj &amp; Dam 12ME 12-2018'!C30+'ZO12 Inj &amp; Dam 12ME 12-2017'!C28+'ZO12 925 Inj &amp; Dam 12-2016'!C45-'3 Yr Aver. Accruals-Elec'!B9</f>
        <v>0</v>
      </c>
    </row>
    <row r="10" spans="1:5" s="87" customFormat="1" ht="3" customHeight="1" x14ac:dyDescent="0.25">
      <c r="A10" s="91"/>
      <c r="B10" s="92"/>
      <c r="C10" s="58"/>
      <c r="D10" s="54"/>
    </row>
    <row r="11" spans="1:5" s="87" customFormat="1" x14ac:dyDescent="0.25">
      <c r="A11" s="91"/>
      <c r="B11" s="92"/>
      <c r="C11" s="58"/>
      <c r="D11" s="54"/>
    </row>
    <row r="12" spans="1:5" s="87" customFormat="1" ht="13.5" thickBot="1" x14ac:dyDescent="0.25">
      <c r="A12" s="57" t="s">
        <v>36</v>
      </c>
      <c r="B12" s="56">
        <f>B9/3</f>
        <v>220833.33333333334</v>
      </c>
      <c r="C12" s="55"/>
      <c r="D12" s="53"/>
    </row>
    <row r="13" spans="1:5" s="87" customFormat="1" ht="13.5" thickTop="1" x14ac:dyDescent="0.2">
      <c r="B13" s="91"/>
      <c r="C13" s="54"/>
      <c r="D13" s="53"/>
    </row>
  </sheetData>
  <printOptions horizontalCentered="1"/>
  <pageMargins left="0" right="0" top="1" bottom="1" header="0.5" footer="0.5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6" sqref="B6"/>
    </sheetView>
  </sheetViews>
  <sheetFormatPr defaultColWidth="9.140625" defaultRowHeight="15" x14ac:dyDescent="0.25"/>
  <cols>
    <col min="1" max="1" width="26.42578125" style="95" bestFit="1" customWidth="1"/>
    <col min="2" max="2" width="36.85546875" style="100" customWidth="1"/>
    <col min="3" max="3" width="3.140625" style="71" customWidth="1"/>
    <col min="4" max="4" width="3.42578125" style="70" customWidth="1"/>
    <col min="5" max="5" width="13.85546875" style="95" bestFit="1" customWidth="1"/>
    <col min="6" max="9" width="9.140625" style="95"/>
    <col min="10" max="10" width="14" style="96" bestFit="1" customWidth="1"/>
    <col min="11" max="16384" width="9.140625" style="95"/>
  </cols>
  <sheetData>
    <row r="1" spans="1:5" x14ac:dyDescent="0.25">
      <c r="B1" s="85" t="s">
        <v>41</v>
      </c>
      <c r="C1" s="84"/>
    </row>
    <row r="2" spans="1:5" x14ac:dyDescent="0.25">
      <c r="B2" s="83" t="s">
        <v>40</v>
      </c>
      <c r="C2" s="82"/>
    </row>
    <row r="3" spans="1:5" x14ac:dyDescent="0.25">
      <c r="B3" s="83" t="s">
        <v>43</v>
      </c>
      <c r="C3" s="82"/>
    </row>
    <row r="4" spans="1:5" x14ac:dyDescent="0.25">
      <c r="A4" s="77"/>
      <c r="B4" s="97"/>
      <c r="C4" s="81"/>
    </row>
    <row r="5" spans="1:5" x14ac:dyDescent="0.25">
      <c r="A5" s="77" t="s">
        <v>38</v>
      </c>
      <c r="B5" s="80" t="s">
        <v>42</v>
      </c>
      <c r="C5" s="79"/>
    </row>
    <row r="6" spans="1:5" x14ac:dyDescent="0.25">
      <c r="A6" s="62" t="s">
        <v>68</v>
      </c>
      <c r="B6" s="98">
        <f>'ZO12 925 Inj &amp; Dam 12-2016'!F45</f>
        <v>137500</v>
      </c>
      <c r="C6" s="78"/>
    </row>
    <row r="7" spans="1:5" x14ac:dyDescent="0.25">
      <c r="A7" s="62" t="s">
        <v>104</v>
      </c>
      <c r="B7" s="98">
        <f>'ZO12 Inj &amp; Dam 12ME 12-2017'!C29</f>
        <v>1975000</v>
      </c>
      <c r="C7" s="78"/>
    </row>
    <row r="8" spans="1:5" x14ac:dyDescent="0.25">
      <c r="A8" s="60" t="s">
        <v>191</v>
      </c>
      <c r="B8" s="99">
        <f>'ZO12 Inj &amp; Dam 12ME 12-2018'!C31</f>
        <v>-1380897.52</v>
      </c>
      <c r="C8" s="76"/>
    </row>
    <row r="9" spans="1:5" x14ac:dyDescent="0.25">
      <c r="A9" s="100" t="s">
        <v>33</v>
      </c>
      <c r="B9" s="101">
        <f>SUM(B6:B8)</f>
        <v>731602.48</v>
      </c>
      <c r="C9" s="75"/>
      <c r="D9" s="71" t="s">
        <v>49</v>
      </c>
      <c r="E9" s="102">
        <f>'ZO12 Inj &amp; Dam 12ME 12-2018'!C31+'ZO12 Inj &amp; Dam 12ME 12-2017'!C29+'ZO12 925 Inj &amp; Dam 12-2016'!F45-'3 Yr Aver. Accruals-Gas'!B9</f>
        <v>0</v>
      </c>
    </row>
    <row r="10" spans="1:5" x14ac:dyDescent="0.25">
      <c r="A10" s="100"/>
      <c r="B10" s="101"/>
      <c r="C10" s="75"/>
      <c r="D10" s="71"/>
    </row>
    <row r="11" spans="1:5" x14ac:dyDescent="0.25">
      <c r="A11" s="100"/>
      <c r="B11" s="101"/>
      <c r="C11" s="75"/>
      <c r="D11" s="71"/>
    </row>
    <row r="12" spans="1:5" ht="15.75" thickBot="1" x14ac:dyDescent="0.3">
      <c r="A12" s="74" t="s">
        <v>36</v>
      </c>
      <c r="B12" s="73">
        <f>B9/3</f>
        <v>243867.49333333332</v>
      </c>
      <c r="C12" s="72"/>
    </row>
    <row r="13" spans="1:5" ht="15.75" thickTop="1" x14ac:dyDescent="0.25"/>
  </sheetData>
  <printOptions horizontalCentered="1"/>
  <pageMargins left="0" right="0" top="1" bottom="1" header="0.5" footer="0.5"/>
  <pageSetup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8" sqref="B8"/>
    </sheetView>
  </sheetViews>
  <sheetFormatPr defaultColWidth="9.140625" defaultRowHeight="15" x14ac:dyDescent="0.25"/>
  <cols>
    <col min="1" max="1" width="26.42578125" style="87" bestFit="1" customWidth="1"/>
    <col min="2" max="2" width="36.85546875" style="91" customWidth="1"/>
    <col min="3" max="3" width="3.140625" style="54" customWidth="1"/>
    <col min="4" max="4" width="3.7109375" style="53" customWidth="1"/>
    <col min="5" max="5" width="14.140625" style="87" bestFit="1" customWidth="1"/>
    <col min="6" max="9" width="9.140625" style="87"/>
    <col min="10" max="10" width="14" style="94" bestFit="1" customWidth="1"/>
    <col min="11" max="16384" width="9.140625" style="87"/>
  </cols>
  <sheetData>
    <row r="1" spans="1:5" s="87" customFormat="1" ht="14.25" x14ac:dyDescent="0.2">
      <c r="B1" s="69" t="s">
        <v>41</v>
      </c>
      <c r="C1" s="68"/>
      <c r="D1" s="53"/>
    </row>
    <row r="2" spans="1:5" s="87" customFormat="1" ht="14.25" x14ac:dyDescent="0.2">
      <c r="B2" s="67" t="s">
        <v>45</v>
      </c>
      <c r="C2" s="66"/>
      <c r="D2" s="53"/>
    </row>
    <row r="3" spans="1:5" s="87" customFormat="1" ht="14.25" x14ac:dyDescent="0.2">
      <c r="B3" s="67" t="s">
        <v>39</v>
      </c>
      <c r="C3" s="66"/>
      <c r="D3" s="53"/>
    </row>
    <row r="4" spans="1:5" s="87" customFormat="1" ht="12.75" x14ac:dyDescent="0.2">
      <c r="A4" s="60"/>
      <c r="B4" s="88"/>
      <c r="C4" s="65"/>
      <c r="D4" s="53"/>
    </row>
    <row r="5" spans="1:5" s="87" customFormat="1" ht="12.75" x14ac:dyDescent="0.2">
      <c r="A5" s="60" t="s">
        <v>38</v>
      </c>
      <c r="B5" s="64" t="s">
        <v>37</v>
      </c>
      <c r="C5" s="63"/>
      <c r="D5" s="53"/>
    </row>
    <row r="6" spans="1:5" s="87" customFormat="1" x14ac:dyDescent="0.25">
      <c r="A6" s="62" t="s">
        <v>68</v>
      </c>
      <c r="B6" s="89">
        <f>'ZO12 925 Inj &amp; Dam 12-2016'!D45</f>
        <v>476368.34740999993</v>
      </c>
      <c r="C6" s="61"/>
      <c r="D6" s="53"/>
    </row>
    <row r="7" spans="1:5" s="87" customFormat="1" x14ac:dyDescent="0.25">
      <c r="A7" s="62" t="s">
        <v>104</v>
      </c>
      <c r="B7" s="89">
        <f>'ZO12 Inj &amp; Dam 12ME 12-2017'!D28</f>
        <v>1618903.9609867232</v>
      </c>
      <c r="C7" s="61"/>
      <c r="D7" s="53"/>
    </row>
    <row r="8" spans="1:5" s="87" customFormat="1" x14ac:dyDescent="0.25">
      <c r="A8" s="60" t="s">
        <v>191</v>
      </c>
      <c r="B8" s="90">
        <f>'ZO12 Inj &amp; Dam 12ME 12-2018'!D30</f>
        <v>740336.86596767348</v>
      </c>
      <c r="C8" s="59"/>
      <c r="D8" s="53"/>
    </row>
    <row r="9" spans="1:5" s="87" customFormat="1" x14ac:dyDescent="0.25">
      <c r="A9" s="91" t="s">
        <v>33</v>
      </c>
      <c r="B9" s="92">
        <f>SUM(B6:B8)</f>
        <v>2835609.1743643964</v>
      </c>
      <c r="C9" s="58"/>
      <c r="D9" s="71" t="s">
        <v>49</v>
      </c>
      <c r="E9" s="93">
        <f>'ZO12 Inj &amp; Dam 12ME 12-2018'!D30+'ZO12 Inj &amp; Dam 12ME 12-2017'!D28+'ZO12 925 Inj &amp; Dam 12-2016'!D45-' 3 Yr Aver. Payments-Elec'!B9</f>
        <v>0</v>
      </c>
    </row>
    <row r="10" spans="1:5" s="87" customFormat="1" x14ac:dyDescent="0.25">
      <c r="A10" s="91"/>
      <c r="B10" s="92"/>
      <c r="C10" s="58"/>
      <c r="D10" s="54"/>
    </row>
    <row r="11" spans="1:5" s="87" customFormat="1" x14ac:dyDescent="0.25">
      <c r="A11" s="91"/>
      <c r="B11" s="92"/>
      <c r="C11" s="58"/>
      <c r="D11" s="54"/>
    </row>
    <row r="12" spans="1:5" s="87" customFormat="1" ht="13.5" thickBot="1" x14ac:dyDescent="0.25">
      <c r="A12" s="57" t="s">
        <v>44</v>
      </c>
      <c r="B12" s="56">
        <f>B9/3</f>
        <v>945203.0581214655</v>
      </c>
      <c r="C12" s="55"/>
      <c r="D12" s="53"/>
    </row>
    <row r="13" spans="1:5" s="87" customFormat="1" ht="13.5" thickTop="1" x14ac:dyDescent="0.2">
      <c r="B13" s="91"/>
      <c r="C13" s="54"/>
      <c r="D13" s="53"/>
    </row>
  </sheetData>
  <printOptions horizontalCentered="1"/>
  <pageMargins left="0" right="0" top="1" bottom="1" header="0.5" footer="0.5"/>
  <pageSetup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I36" sqref="I36"/>
    </sheetView>
  </sheetViews>
  <sheetFormatPr defaultColWidth="9.140625" defaultRowHeight="15" x14ac:dyDescent="0.25"/>
  <cols>
    <col min="1" max="1" width="26.42578125" style="95" bestFit="1" customWidth="1"/>
    <col min="2" max="2" width="36.85546875" style="100" customWidth="1"/>
    <col min="3" max="3" width="3.140625" style="71" customWidth="1"/>
    <col min="4" max="4" width="4" style="70" customWidth="1"/>
    <col min="5" max="5" width="14.140625" style="95" bestFit="1" customWidth="1"/>
    <col min="6" max="9" width="9.140625" style="95"/>
    <col min="10" max="10" width="14" style="96" bestFit="1" customWidth="1"/>
    <col min="11" max="16384" width="9.140625" style="95"/>
  </cols>
  <sheetData>
    <row r="1" spans="1:5" x14ac:dyDescent="0.25">
      <c r="B1" s="85" t="s">
        <v>41</v>
      </c>
      <c r="C1" s="84"/>
    </row>
    <row r="2" spans="1:5" x14ac:dyDescent="0.25">
      <c r="B2" s="83" t="s">
        <v>45</v>
      </c>
      <c r="C2" s="82"/>
    </row>
    <row r="3" spans="1:5" x14ac:dyDescent="0.25">
      <c r="B3" s="83" t="s">
        <v>43</v>
      </c>
      <c r="C3" s="82"/>
    </row>
    <row r="4" spans="1:5" x14ac:dyDescent="0.25">
      <c r="A4" s="77"/>
      <c r="B4" s="97"/>
      <c r="C4" s="81"/>
    </row>
    <row r="5" spans="1:5" x14ac:dyDescent="0.25">
      <c r="A5" s="77" t="s">
        <v>38</v>
      </c>
      <c r="B5" s="80" t="s">
        <v>46</v>
      </c>
      <c r="C5" s="79"/>
    </row>
    <row r="6" spans="1:5" x14ac:dyDescent="0.25">
      <c r="A6" s="62" t="s">
        <v>68</v>
      </c>
      <c r="B6" s="98">
        <f>'ZO12 925 Inj &amp; Dam 12-2016'!G45</f>
        <v>89012.852589999908</v>
      </c>
      <c r="C6" s="78"/>
    </row>
    <row r="7" spans="1:5" x14ac:dyDescent="0.25">
      <c r="A7" s="62" t="s">
        <v>104</v>
      </c>
      <c r="B7" s="98">
        <f>'ZO12 Inj &amp; Dam 12ME 12-2017'!D29</f>
        <v>1638393.2483357973</v>
      </c>
      <c r="C7" s="78"/>
    </row>
    <row r="8" spans="1:5" x14ac:dyDescent="0.25">
      <c r="A8" s="60" t="s">
        <v>191</v>
      </c>
      <c r="B8" s="99">
        <f>'ZO12 Inj &amp; Dam 12ME 12-2018'!D31</f>
        <v>915434.50818377954</v>
      </c>
      <c r="C8" s="76"/>
    </row>
    <row r="9" spans="1:5" x14ac:dyDescent="0.25">
      <c r="A9" s="100" t="s">
        <v>33</v>
      </c>
      <c r="B9" s="101">
        <f>SUM(B6:B8)</f>
        <v>2642840.6091095768</v>
      </c>
      <c r="C9" s="75"/>
      <c r="D9" s="71" t="s">
        <v>49</v>
      </c>
      <c r="E9" s="102">
        <f>'ZO12 925 Inj &amp; Dam 12-2016'!G45+'ZO12 Inj &amp; Dam 12ME 12-2017'!D29+'ZO12 Inj &amp; Dam 12ME 12-2018'!D31-' 3 Yr Aver. Payments-Gas'!B9</f>
        <v>0</v>
      </c>
    </row>
    <row r="10" spans="1:5" x14ac:dyDescent="0.25">
      <c r="A10" s="100"/>
      <c r="B10" s="101"/>
      <c r="C10" s="75"/>
      <c r="D10" s="71"/>
    </row>
    <row r="11" spans="1:5" x14ac:dyDescent="0.25">
      <c r="A11" s="100"/>
      <c r="B11" s="101"/>
      <c r="C11" s="75"/>
      <c r="D11" s="71"/>
    </row>
    <row r="12" spans="1:5" ht="15.75" thickBot="1" x14ac:dyDescent="0.3">
      <c r="A12" s="74" t="s">
        <v>36</v>
      </c>
      <c r="B12" s="73">
        <f>B9/3</f>
        <v>880946.86970319226</v>
      </c>
      <c r="C12" s="72"/>
    </row>
    <row r="13" spans="1:5" ht="15.75" thickTop="1" x14ac:dyDescent="0.25"/>
  </sheetData>
  <printOptions horizontalCentered="1"/>
  <pageMargins left="0" right="0" top="1" bottom="1" header="0.5" footer="0.5"/>
  <pageSetup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opLeftCell="A85" zoomScaleNormal="100" workbookViewId="0">
      <selection activeCell="C12" sqref="C12"/>
    </sheetView>
  </sheetViews>
  <sheetFormatPr defaultRowHeight="15" x14ac:dyDescent="0.25"/>
  <cols>
    <col min="1" max="1" width="53.85546875" customWidth="1"/>
    <col min="2" max="2" width="33.28515625" customWidth="1"/>
    <col min="3" max="3" width="18.140625" customWidth="1"/>
    <col min="4" max="4" width="17.140625" customWidth="1"/>
    <col min="5" max="5" width="11.140625" bestFit="1" customWidth="1"/>
    <col min="6" max="6" width="16.28515625" customWidth="1"/>
    <col min="7" max="8" width="15" customWidth="1"/>
    <col min="9" max="9" width="12.5703125" bestFit="1" customWidth="1"/>
    <col min="10" max="10" width="11.7109375" bestFit="1" customWidth="1"/>
    <col min="11" max="13" width="11.140625" bestFit="1" customWidth="1"/>
    <col min="14" max="14" width="10.140625" bestFit="1" customWidth="1"/>
  </cols>
  <sheetData>
    <row r="1" spans="1:14" x14ac:dyDescent="0.25">
      <c r="A1" t="s">
        <v>139</v>
      </c>
    </row>
    <row r="2" spans="1:14" x14ac:dyDescent="0.25">
      <c r="A2" t="s">
        <v>140</v>
      </c>
    </row>
    <row r="3" spans="1:14" x14ac:dyDescent="0.25">
      <c r="A3" t="s">
        <v>16</v>
      </c>
    </row>
    <row r="4" spans="1:14" ht="15.75" x14ac:dyDescent="0.25">
      <c r="C4" s="114" t="s">
        <v>107</v>
      </c>
      <c r="D4" s="115"/>
    </row>
    <row r="5" spans="1:14" ht="15.75" x14ac:dyDescent="0.25">
      <c r="A5" t="s">
        <v>108</v>
      </c>
      <c r="B5" t="s">
        <v>109</v>
      </c>
      <c r="C5" s="114" t="s">
        <v>110</v>
      </c>
      <c r="D5" s="114" t="s">
        <v>33</v>
      </c>
      <c r="E5" s="141"/>
      <c r="F5" s="141"/>
      <c r="G5" s="141"/>
      <c r="H5" s="141"/>
      <c r="I5" s="141"/>
      <c r="J5" s="141"/>
      <c r="K5" s="141"/>
      <c r="L5" s="141"/>
      <c r="M5" s="141"/>
      <c r="N5" s="141"/>
    </row>
    <row r="6" spans="1:14" x14ac:dyDescent="0.25">
      <c r="A6" t="s">
        <v>19</v>
      </c>
      <c r="B6" s="118">
        <v>100000</v>
      </c>
      <c r="C6" s="118"/>
      <c r="D6" s="118">
        <f>B6</f>
        <v>100000</v>
      </c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1:14" x14ac:dyDescent="0.25">
      <c r="A7" t="s">
        <v>141</v>
      </c>
      <c r="B7" s="118">
        <v>357881.86</v>
      </c>
      <c r="C7" s="118"/>
      <c r="D7" s="118">
        <f t="shared" ref="D7:D9" si="0">B7</f>
        <v>357881.86</v>
      </c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1:14" x14ac:dyDescent="0.25">
      <c r="A8" t="s">
        <v>21</v>
      </c>
      <c r="B8" s="118">
        <v>829431.48</v>
      </c>
      <c r="C8" s="118"/>
      <c r="D8" s="118">
        <f t="shared" si="0"/>
        <v>829431.48</v>
      </c>
      <c r="E8" s="118"/>
      <c r="F8" s="118"/>
      <c r="G8" s="118"/>
      <c r="H8" s="118"/>
      <c r="I8" s="118"/>
      <c r="J8" s="118"/>
      <c r="K8" s="118"/>
      <c r="L8" s="118"/>
      <c r="M8" s="118"/>
      <c r="N8" s="118"/>
    </row>
    <row r="9" spans="1:14" x14ac:dyDescent="0.25">
      <c r="A9" t="s">
        <v>113</v>
      </c>
      <c r="B9" s="118">
        <v>-14558.77</v>
      </c>
      <c r="C9" s="118"/>
      <c r="D9" s="118">
        <f t="shared" si="0"/>
        <v>-14558.77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</row>
    <row r="10" spans="1:14" ht="15.75" x14ac:dyDescent="0.25">
      <c r="A10" t="s">
        <v>115</v>
      </c>
      <c r="B10" s="118">
        <v>357068.55</v>
      </c>
      <c r="C10" s="145">
        <f>[1]Lead!$G$43</f>
        <v>0.49997132880489842</v>
      </c>
      <c r="D10" s="118">
        <f>B10*C10</f>
        <v>178524.03741793829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</row>
    <row r="11" spans="1:14" ht="15.75" x14ac:dyDescent="0.25">
      <c r="A11" t="s">
        <v>116</v>
      </c>
      <c r="B11" s="118">
        <v>15111.56</v>
      </c>
      <c r="C11" s="145">
        <f>C10</f>
        <v>0.49997132880489842</v>
      </c>
      <c r="D11" s="118">
        <f>B11*C11</f>
        <v>7555.3467335149508</v>
      </c>
      <c r="E11" s="118"/>
      <c r="F11" s="118"/>
      <c r="G11" s="118"/>
      <c r="H11" s="118"/>
      <c r="I11" s="118"/>
      <c r="J11" s="118"/>
      <c r="K11" s="118"/>
      <c r="L11" s="118"/>
      <c r="M11" s="118"/>
      <c r="N11" s="118"/>
    </row>
    <row r="12" spans="1:14" x14ac:dyDescent="0.25">
      <c r="A12" t="s">
        <v>142</v>
      </c>
      <c r="B12" s="118">
        <v>250</v>
      </c>
      <c r="C12" s="118"/>
      <c r="D12" s="118">
        <f>B12</f>
        <v>250</v>
      </c>
      <c r="E12" s="118"/>
      <c r="F12" s="118"/>
      <c r="G12" s="118"/>
      <c r="H12" s="118"/>
      <c r="I12" s="118"/>
      <c r="J12" s="118"/>
      <c r="K12" s="118"/>
      <c r="L12" s="118"/>
      <c r="M12" s="118"/>
      <c r="N12" s="118"/>
    </row>
    <row r="13" spans="1:14" x14ac:dyDescent="0.25">
      <c r="A13" t="s">
        <v>143</v>
      </c>
      <c r="B13" s="118">
        <v>1173166.42</v>
      </c>
      <c r="C13" s="118"/>
      <c r="D13" s="118">
        <f t="shared" ref="D13:D15" si="1">B13</f>
        <v>1173166.42</v>
      </c>
      <c r="E13" s="118"/>
      <c r="F13" s="118"/>
      <c r="G13" s="118"/>
      <c r="H13" s="118"/>
      <c r="I13" s="118"/>
      <c r="J13" s="118"/>
      <c r="K13" s="118"/>
      <c r="L13" s="118"/>
      <c r="M13" s="118"/>
      <c r="N13" s="118"/>
    </row>
    <row r="14" spans="1:14" x14ac:dyDescent="0.25">
      <c r="A14" t="s">
        <v>144</v>
      </c>
      <c r="B14" s="118">
        <v>-1850492.59</v>
      </c>
      <c r="C14" s="118"/>
      <c r="D14" s="118">
        <f t="shared" si="1"/>
        <v>-1850492.59</v>
      </c>
      <c r="E14" s="118"/>
      <c r="F14" s="118"/>
      <c r="G14" s="118"/>
      <c r="H14" s="118"/>
      <c r="I14" s="118"/>
      <c r="J14" s="118"/>
      <c r="K14" s="118"/>
      <c r="L14" s="118"/>
      <c r="M14" s="118"/>
      <c r="N14" s="118"/>
    </row>
    <row r="15" spans="1:14" x14ac:dyDescent="0.25">
      <c r="A15" t="s">
        <v>145</v>
      </c>
      <c r="B15" s="142">
        <v>3116.07</v>
      </c>
      <c r="C15" s="142"/>
      <c r="D15" s="142">
        <f t="shared" si="1"/>
        <v>3116.07</v>
      </c>
      <c r="E15" s="118"/>
      <c r="F15" s="118"/>
      <c r="G15" s="118"/>
      <c r="H15" s="118"/>
      <c r="I15" s="118"/>
      <c r="J15" s="118"/>
      <c r="K15" s="118"/>
      <c r="L15" s="118"/>
      <c r="M15" s="118"/>
      <c r="N15" s="118"/>
    </row>
    <row r="16" spans="1:14" x14ac:dyDescent="0.25">
      <c r="A16" s="116" t="s">
        <v>33</v>
      </c>
      <c r="B16" s="143">
        <f>SUM(B6:B15)</f>
        <v>970974.57999999949</v>
      </c>
      <c r="C16" s="118"/>
      <c r="D16" s="143">
        <f>SUM(D6:D15)</f>
        <v>784873.85415145278</v>
      </c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9" spans="2:7" ht="15.75" x14ac:dyDescent="0.25">
      <c r="B19" s="120"/>
      <c r="C19" s="121"/>
      <c r="D19" s="122" t="s">
        <v>79</v>
      </c>
    </row>
    <row r="20" spans="2:7" ht="15.75" x14ac:dyDescent="0.25">
      <c r="B20" s="120"/>
      <c r="C20" s="121"/>
      <c r="D20" s="122" t="s">
        <v>54</v>
      </c>
    </row>
    <row r="21" spans="2:7" ht="15.75" x14ac:dyDescent="0.25">
      <c r="B21" s="120"/>
      <c r="C21" s="123" t="s">
        <v>42</v>
      </c>
      <c r="D21" s="123" t="s">
        <v>42</v>
      </c>
    </row>
    <row r="22" spans="2:7" ht="15.75" x14ac:dyDescent="0.25">
      <c r="B22" s="124" t="s">
        <v>78</v>
      </c>
      <c r="C22" s="125">
        <f>G39+G41+G66</f>
        <v>510000</v>
      </c>
      <c r="D22" s="125">
        <f>SUM(D6:D7)+D12+D15-C22</f>
        <v>-48752.070000000007</v>
      </c>
    </row>
    <row r="23" spans="2:7" ht="15.75" x14ac:dyDescent="0.25">
      <c r="B23" s="124" t="s">
        <v>77</v>
      </c>
      <c r="C23" s="125">
        <f>G72+SUM(G88:G89)+SUM(G95:G96)</f>
        <v>-1380897.52</v>
      </c>
      <c r="D23" s="125">
        <f>SUM(D8:D9)+D14-C23</f>
        <v>345277.6399999999</v>
      </c>
    </row>
    <row r="24" spans="2:7" x14ac:dyDescent="0.25">
      <c r="B24" s="126"/>
      <c r="C24" s="120"/>
      <c r="D24" s="120"/>
    </row>
    <row r="25" spans="2:7" ht="15.75" x14ac:dyDescent="0.25">
      <c r="B25" s="124" t="s">
        <v>76</v>
      </c>
      <c r="C25" s="125">
        <v>0</v>
      </c>
      <c r="D25" s="125">
        <f>D10+D11+D13</f>
        <v>1359245.8041514531</v>
      </c>
    </row>
    <row r="26" spans="2:7" ht="15.75" x14ac:dyDescent="0.25">
      <c r="B26" s="124" t="s">
        <v>75</v>
      </c>
      <c r="C26" s="125"/>
      <c r="D26" s="146">
        <f>D25*[1]Lead!$E$23</f>
        <v>789088.93596767355</v>
      </c>
      <c r="F26" s="146"/>
      <c r="G26" s="146"/>
    </row>
    <row r="27" spans="2:7" ht="15.75" x14ac:dyDescent="0.25">
      <c r="B27" s="124" t="s">
        <v>74</v>
      </c>
      <c r="C27" s="125"/>
      <c r="D27" s="146">
        <f>D25*[1]Lead!$F$23</f>
        <v>570156.86818377965</v>
      </c>
      <c r="F27" s="146"/>
      <c r="G27" s="146"/>
    </row>
    <row r="28" spans="2:7" ht="15.75" x14ac:dyDescent="0.25">
      <c r="B28" s="124"/>
      <c r="C28" s="125"/>
      <c r="D28" s="125"/>
    </row>
    <row r="29" spans="2:7" x14ac:dyDescent="0.25">
      <c r="B29" s="126"/>
      <c r="C29" s="120"/>
      <c r="D29" s="120"/>
    </row>
    <row r="30" spans="2:7" ht="15.75" x14ac:dyDescent="0.25">
      <c r="B30" s="124" t="s">
        <v>73</v>
      </c>
      <c r="C30" s="127">
        <f>C22+C26</f>
        <v>510000</v>
      </c>
      <c r="D30" s="127">
        <f>D22+D26</f>
        <v>740336.86596767348</v>
      </c>
    </row>
    <row r="31" spans="2:7" ht="15.75" x14ac:dyDescent="0.25">
      <c r="B31" s="124" t="s">
        <v>72</v>
      </c>
      <c r="C31" s="128">
        <f>C23+C27</f>
        <v>-1380897.52</v>
      </c>
      <c r="D31" s="128">
        <f>D23+D27</f>
        <v>915434.50818377954</v>
      </c>
    </row>
    <row r="32" spans="2:7" ht="16.5" thickBot="1" x14ac:dyDescent="0.3">
      <c r="B32" s="124" t="s">
        <v>117</v>
      </c>
      <c r="C32" s="129">
        <f>SUM(C30:C31)</f>
        <v>-870897.52</v>
      </c>
      <c r="D32" s="129">
        <f>SUM(D30:D31)</f>
        <v>1655771.3741514529</v>
      </c>
    </row>
    <row r="33" spans="1:8" ht="15.75" thickTop="1" x14ac:dyDescent="0.25"/>
    <row r="34" spans="1:8" x14ac:dyDescent="0.25">
      <c r="A34" s="133" t="s">
        <v>146</v>
      </c>
      <c r="B34" s="130"/>
      <c r="C34" s="130"/>
      <c r="D34" s="130"/>
      <c r="E34" s="130"/>
      <c r="F34" s="130"/>
      <c r="G34" s="130"/>
      <c r="H34" s="130"/>
    </row>
    <row r="35" spans="1:8" x14ac:dyDescent="0.25">
      <c r="A35" s="133" t="s">
        <v>119</v>
      </c>
      <c r="B35" s="130"/>
      <c r="C35" s="130"/>
      <c r="D35" s="130"/>
      <c r="E35" s="130"/>
      <c r="F35" s="130"/>
      <c r="G35" s="130"/>
      <c r="H35" s="130"/>
    </row>
    <row r="36" spans="1:8" ht="30" x14ac:dyDescent="0.25">
      <c r="A36" s="134" t="s">
        <v>90</v>
      </c>
      <c r="B36" s="134" t="s">
        <v>120</v>
      </c>
      <c r="C36" s="134" t="s">
        <v>121</v>
      </c>
      <c r="D36" s="134" t="s">
        <v>122</v>
      </c>
      <c r="E36" s="135" t="s">
        <v>123</v>
      </c>
      <c r="F36" s="134" t="s">
        <v>124</v>
      </c>
      <c r="G36" s="134" t="s">
        <v>125</v>
      </c>
    </row>
    <row r="37" spans="1:8" x14ac:dyDescent="0.25">
      <c r="A37" s="130" t="s">
        <v>87</v>
      </c>
      <c r="B37" s="130" t="s">
        <v>147</v>
      </c>
      <c r="C37" s="130" t="s">
        <v>81</v>
      </c>
      <c r="D37" s="130" t="s">
        <v>82</v>
      </c>
      <c r="E37" s="130" t="s">
        <v>148</v>
      </c>
      <c r="F37" s="136">
        <v>43152</v>
      </c>
      <c r="G37" s="137">
        <v>16500</v>
      </c>
    </row>
    <row r="38" spans="1:8" x14ac:dyDescent="0.25">
      <c r="A38" s="130" t="s">
        <v>87</v>
      </c>
      <c r="B38" s="130" t="s">
        <v>89</v>
      </c>
      <c r="C38" s="130" t="s">
        <v>81</v>
      </c>
      <c r="D38" s="130" t="s">
        <v>82</v>
      </c>
      <c r="E38" s="130" t="s">
        <v>126</v>
      </c>
      <c r="F38" s="136">
        <v>43182</v>
      </c>
      <c r="G38" s="137">
        <v>2236.3000000000002</v>
      </c>
    </row>
    <row r="39" spans="1:8" x14ac:dyDescent="0.25">
      <c r="A39" s="130" t="s">
        <v>87</v>
      </c>
      <c r="B39" s="130" t="s">
        <v>149</v>
      </c>
      <c r="C39" s="130" t="s">
        <v>81</v>
      </c>
      <c r="D39" s="130" t="s">
        <v>82</v>
      </c>
      <c r="E39" s="130" t="s">
        <v>129</v>
      </c>
      <c r="F39" s="158">
        <v>43189</v>
      </c>
      <c r="G39" s="156">
        <v>310000</v>
      </c>
    </row>
    <row r="40" spans="1:8" x14ac:dyDescent="0.25">
      <c r="A40" s="130" t="s">
        <v>87</v>
      </c>
      <c r="B40" s="130" t="s">
        <v>150</v>
      </c>
      <c r="C40" s="130" t="s">
        <v>81</v>
      </c>
      <c r="D40" s="130" t="s">
        <v>82</v>
      </c>
      <c r="E40" s="130" t="s">
        <v>81</v>
      </c>
      <c r="F40" s="158">
        <v>43251</v>
      </c>
      <c r="G40" s="156">
        <v>-328736.3</v>
      </c>
    </row>
    <row r="41" spans="1:8" x14ac:dyDescent="0.25">
      <c r="A41" s="130" t="s">
        <v>87</v>
      </c>
      <c r="B41" s="130" t="s">
        <v>151</v>
      </c>
      <c r="C41" s="130" t="s">
        <v>81</v>
      </c>
      <c r="D41" s="130" t="s">
        <v>82</v>
      </c>
      <c r="E41" s="130" t="s">
        <v>135</v>
      </c>
      <c r="F41" s="158">
        <v>43281</v>
      </c>
      <c r="G41" s="156">
        <v>100000</v>
      </c>
    </row>
    <row r="42" spans="1:8" ht="15.75" thickBot="1" x14ac:dyDescent="0.3">
      <c r="A42" s="138" t="s">
        <v>80</v>
      </c>
      <c r="B42" s="138" t="s">
        <v>80</v>
      </c>
      <c r="C42" s="138" t="s">
        <v>80</v>
      </c>
      <c r="D42" s="138" t="s">
        <v>80</v>
      </c>
      <c r="E42" s="138" t="s">
        <v>80</v>
      </c>
      <c r="F42" s="138" t="s">
        <v>80</v>
      </c>
      <c r="G42" s="144">
        <f>SUM(G37:G41)</f>
        <v>100000</v>
      </c>
    </row>
    <row r="43" spans="1:8" ht="15.75" thickTop="1" x14ac:dyDescent="0.25"/>
    <row r="44" spans="1:8" x14ac:dyDescent="0.25">
      <c r="A44" s="133" t="s">
        <v>152</v>
      </c>
      <c r="B44" s="130"/>
      <c r="C44" s="130"/>
      <c r="D44" s="130"/>
      <c r="E44" s="130"/>
      <c r="F44" s="130"/>
      <c r="G44" s="130"/>
      <c r="H44" s="130"/>
    </row>
    <row r="45" spans="1:8" x14ac:dyDescent="0.25">
      <c r="A45" s="133" t="s">
        <v>119</v>
      </c>
      <c r="B45" s="130"/>
      <c r="C45" s="130"/>
      <c r="D45" s="130"/>
      <c r="E45" s="130"/>
      <c r="F45" s="130"/>
      <c r="G45" s="130"/>
      <c r="H45" s="130"/>
    </row>
    <row r="46" spans="1:8" ht="30" x14ac:dyDescent="0.25">
      <c r="A46" s="134" t="s">
        <v>90</v>
      </c>
      <c r="B46" s="134" t="s">
        <v>120</v>
      </c>
      <c r="C46" s="134" t="s">
        <v>121</v>
      </c>
      <c r="D46" s="134" t="s">
        <v>122</v>
      </c>
      <c r="E46" s="135" t="s">
        <v>123</v>
      </c>
      <c r="F46" s="134" t="s">
        <v>124</v>
      </c>
      <c r="G46" s="134" t="s">
        <v>125</v>
      </c>
    </row>
    <row r="47" spans="1:8" x14ac:dyDescent="0.25">
      <c r="A47" s="130" t="s">
        <v>153</v>
      </c>
      <c r="B47" s="130" t="s">
        <v>89</v>
      </c>
      <c r="C47" s="130" t="s">
        <v>81</v>
      </c>
      <c r="D47" s="130" t="s">
        <v>82</v>
      </c>
      <c r="E47" s="130" t="s">
        <v>126</v>
      </c>
      <c r="F47" s="136">
        <v>43227</v>
      </c>
      <c r="G47" s="137">
        <v>2034.48</v>
      </c>
    </row>
    <row r="48" spans="1:8" x14ac:dyDescent="0.25">
      <c r="A48" s="130" t="s">
        <v>153</v>
      </c>
      <c r="B48" s="130" t="s">
        <v>154</v>
      </c>
      <c r="C48" s="130" t="s">
        <v>81</v>
      </c>
      <c r="D48" s="130" t="s">
        <v>82</v>
      </c>
      <c r="E48" s="130" t="s">
        <v>155</v>
      </c>
      <c r="F48" s="136">
        <v>43250</v>
      </c>
      <c r="G48" s="137">
        <v>16000</v>
      </c>
    </row>
    <row r="49" spans="1:7" x14ac:dyDescent="0.25">
      <c r="A49" s="130" t="s">
        <v>153</v>
      </c>
      <c r="B49" s="130" t="s">
        <v>150</v>
      </c>
      <c r="C49" s="130" t="s">
        <v>81</v>
      </c>
      <c r="D49" s="130" t="s">
        <v>82</v>
      </c>
      <c r="E49" s="130" t="s">
        <v>81</v>
      </c>
      <c r="F49" s="136">
        <v>43251</v>
      </c>
      <c r="G49" s="137">
        <v>328736.3</v>
      </c>
    </row>
    <row r="50" spans="1:7" x14ac:dyDescent="0.25">
      <c r="A50" s="130" t="s">
        <v>153</v>
      </c>
      <c r="B50" s="130" t="s">
        <v>156</v>
      </c>
      <c r="C50" s="130" t="s">
        <v>81</v>
      </c>
      <c r="D50" s="130" t="s">
        <v>82</v>
      </c>
      <c r="E50" s="130" t="s">
        <v>127</v>
      </c>
      <c r="F50" s="136">
        <v>43281</v>
      </c>
      <c r="G50" s="137">
        <v>741.4</v>
      </c>
    </row>
    <row r="51" spans="1:7" x14ac:dyDescent="0.25">
      <c r="A51" s="130" t="s">
        <v>153</v>
      </c>
      <c r="B51" s="130" t="s">
        <v>156</v>
      </c>
      <c r="C51" s="130" t="s">
        <v>81</v>
      </c>
      <c r="D51" s="130" t="s">
        <v>82</v>
      </c>
      <c r="E51" s="130" t="s">
        <v>127</v>
      </c>
      <c r="F51" s="136">
        <v>43281</v>
      </c>
      <c r="G51" s="137">
        <v>567.85</v>
      </c>
    </row>
    <row r="52" spans="1:7" x14ac:dyDescent="0.25">
      <c r="A52" s="130" t="s">
        <v>153</v>
      </c>
      <c r="B52" s="130" t="s">
        <v>157</v>
      </c>
      <c r="C52" s="130" t="s">
        <v>81</v>
      </c>
      <c r="D52" s="130" t="s">
        <v>82</v>
      </c>
      <c r="E52" s="130" t="s">
        <v>127</v>
      </c>
      <c r="F52" s="136">
        <v>43343</v>
      </c>
      <c r="G52" s="137">
        <v>687.5</v>
      </c>
    </row>
    <row r="53" spans="1:7" x14ac:dyDescent="0.25">
      <c r="A53" s="130" t="s">
        <v>153</v>
      </c>
      <c r="B53" s="130" t="s">
        <v>89</v>
      </c>
      <c r="C53" s="130" t="s">
        <v>81</v>
      </c>
      <c r="D53" s="130" t="s">
        <v>82</v>
      </c>
      <c r="E53" s="130" t="s">
        <v>126</v>
      </c>
      <c r="F53" s="136">
        <v>43361</v>
      </c>
      <c r="G53" s="137">
        <v>1143.46</v>
      </c>
    </row>
    <row r="54" spans="1:7" x14ac:dyDescent="0.25">
      <c r="A54" s="130" t="s">
        <v>153</v>
      </c>
      <c r="B54" s="130" t="s">
        <v>89</v>
      </c>
      <c r="C54" s="130" t="s">
        <v>81</v>
      </c>
      <c r="D54" s="130" t="s">
        <v>82</v>
      </c>
      <c r="E54" s="130" t="s">
        <v>126</v>
      </c>
      <c r="F54" s="136">
        <v>43367</v>
      </c>
      <c r="G54" s="137">
        <v>22500</v>
      </c>
    </row>
    <row r="55" spans="1:7" x14ac:dyDescent="0.25">
      <c r="A55" s="130" t="s">
        <v>153</v>
      </c>
      <c r="B55" s="130" t="s">
        <v>89</v>
      </c>
      <c r="C55" s="130" t="s">
        <v>81</v>
      </c>
      <c r="D55" s="130" t="s">
        <v>82</v>
      </c>
      <c r="E55" s="130" t="s">
        <v>126</v>
      </c>
      <c r="F55" s="136">
        <v>43367</v>
      </c>
      <c r="G55" s="137">
        <v>55000</v>
      </c>
    </row>
    <row r="56" spans="1:7" x14ac:dyDescent="0.25">
      <c r="A56" s="130" t="s">
        <v>153</v>
      </c>
      <c r="B56" s="130" t="s">
        <v>89</v>
      </c>
      <c r="C56" s="130" t="s">
        <v>81</v>
      </c>
      <c r="D56" s="130" t="s">
        <v>82</v>
      </c>
      <c r="E56" s="130" t="s">
        <v>126</v>
      </c>
      <c r="F56" s="136">
        <v>43367</v>
      </c>
      <c r="G56" s="137">
        <v>22500</v>
      </c>
    </row>
    <row r="57" spans="1:7" x14ac:dyDescent="0.25">
      <c r="A57" s="130" t="s">
        <v>153</v>
      </c>
      <c r="B57" s="130" t="s">
        <v>158</v>
      </c>
      <c r="C57" s="130" t="s">
        <v>81</v>
      </c>
      <c r="D57" s="130" t="s">
        <v>82</v>
      </c>
      <c r="E57" s="130" t="s">
        <v>159</v>
      </c>
      <c r="F57" s="136">
        <v>43369</v>
      </c>
      <c r="G57" s="137">
        <v>5000</v>
      </c>
    </row>
    <row r="58" spans="1:7" x14ac:dyDescent="0.25">
      <c r="A58" s="130" t="s">
        <v>153</v>
      </c>
      <c r="B58" s="130" t="s">
        <v>160</v>
      </c>
      <c r="C58" s="130" t="s">
        <v>81</v>
      </c>
      <c r="D58" s="130" t="s">
        <v>82</v>
      </c>
      <c r="E58" s="130" t="s">
        <v>127</v>
      </c>
      <c r="F58" s="136">
        <v>43373</v>
      </c>
      <c r="G58" s="156">
        <v>84.37</v>
      </c>
    </row>
    <row r="59" spans="1:7" x14ac:dyDescent="0.25">
      <c r="A59" s="130" t="s">
        <v>153</v>
      </c>
      <c r="B59" s="130" t="s">
        <v>160</v>
      </c>
      <c r="C59" s="130" t="s">
        <v>81</v>
      </c>
      <c r="D59" s="130" t="s">
        <v>82</v>
      </c>
      <c r="E59" s="130" t="s">
        <v>127</v>
      </c>
      <c r="F59" s="136">
        <v>43373</v>
      </c>
      <c r="G59" s="156">
        <v>500</v>
      </c>
    </row>
    <row r="60" spans="1:7" x14ac:dyDescent="0.25">
      <c r="A60" s="130" t="s">
        <v>153</v>
      </c>
      <c r="B60" s="130" t="s">
        <v>161</v>
      </c>
      <c r="C60" s="130" t="s">
        <v>81</v>
      </c>
      <c r="D60" s="130" t="s">
        <v>82</v>
      </c>
      <c r="E60" s="130" t="s">
        <v>162</v>
      </c>
      <c r="F60" s="136">
        <v>43373</v>
      </c>
      <c r="G60" s="156">
        <v>-350000</v>
      </c>
    </row>
    <row r="61" spans="1:7" x14ac:dyDescent="0.25">
      <c r="A61" s="130" t="s">
        <v>153</v>
      </c>
      <c r="B61" s="130" t="s">
        <v>163</v>
      </c>
      <c r="C61" s="130" t="s">
        <v>81</v>
      </c>
      <c r="D61" s="130" t="s">
        <v>82</v>
      </c>
      <c r="E61" s="130" t="s">
        <v>164</v>
      </c>
      <c r="F61" s="136">
        <v>43381</v>
      </c>
      <c r="G61" s="156">
        <v>150000</v>
      </c>
    </row>
    <row r="62" spans="1:7" x14ac:dyDescent="0.25">
      <c r="A62" s="130" t="s">
        <v>153</v>
      </c>
      <c r="B62" s="130" t="s">
        <v>89</v>
      </c>
      <c r="C62" s="130" t="s">
        <v>81</v>
      </c>
      <c r="D62" s="130" t="s">
        <v>82</v>
      </c>
      <c r="E62" s="130" t="s">
        <v>126</v>
      </c>
      <c r="F62" s="136">
        <v>43395</v>
      </c>
      <c r="G62" s="156">
        <v>1143.46</v>
      </c>
    </row>
    <row r="63" spans="1:7" x14ac:dyDescent="0.25">
      <c r="A63" s="130" t="s">
        <v>153</v>
      </c>
      <c r="B63" s="130" t="s">
        <v>165</v>
      </c>
      <c r="C63" s="130" t="s">
        <v>81</v>
      </c>
      <c r="D63" s="130" t="s">
        <v>82</v>
      </c>
      <c r="E63" s="130" t="s">
        <v>127</v>
      </c>
      <c r="F63" s="136">
        <v>43404</v>
      </c>
      <c r="G63" s="156">
        <v>96</v>
      </c>
    </row>
    <row r="64" spans="1:7" x14ac:dyDescent="0.25">
      <c r="A64" s="130" t="s">
        <v>153</v>
      </c>
      <c r="B64" s="130" t="s">
        <v>166</v>
      </c>
      <c r="C64" s="130" t="s">
        <v>81</v>
      </c>
      <c r="D64" s="130" t="s">
        <v>82</v>
      </c>
      <c r="E64" s="130" t="s">
        <v>127</v>
      </c>
      <c r="F64" s="136">
        <v>43465</v>
      </c>
      <c r="G64" s="156">
        <v>275.52</v>
      </c>
    </row>
    <row r="65" spans="1:8" x14ac:dyDescent="0.25">
      <c r="A65" s="130" t="s">
        <v>153</v>
      </c>
      <c r="B65" s="130" t="s">
        <v>167</v>
      </c>
      <c r="C65" s="130" t="s">
        <v>81</v>
      </c>
      <c r="D65" s="130" t="s">
        <v>82</v>
      </c>
      <c r="E65" s="130" t="s">
        <v>127</v>
      </c>
      <c r="F65" s="136">
        <v>43465</v>
      </c>
      <c r="G65" s="156">
        <v>871.52</v>
      </c>
    </row>
    <row r="66" spans="1:8" x14ac:dyDescent="0.25">
      <c r="A66" s="130" t="s">
        <v>153</v>
      </c>
      <c r="B66" s="130" t="s">
        <v>168</v>
      </c>
      <c r="C66" s="130" t="s">
        <v>81</v>
      </c>
      <c r="D66" s="130" t="s">
        <v>82</v>
      </c>
      <c r="E66" s="130" t="s">
        <v>129</v>
      </c>
      <c r="F66" s="136">
        <v>43465</v>
      </c>
      <c r="G66" s="156">
        <v>100000</v>
      </c>
    </row>
    <row r="67" spans="1:8" ht="15.75" thickBot="1" x14ac:dyDescent="0.3">
      <c r="A67" s="138" t="s">
        <v>80</v>
      </c>
      <c r="B67" s="138" t="s">
        <v>80</v>
      </c>
      <c r="C67" s="138" t="s">
        <v>80</v>
      </c>
      <c r="D67" s="138" t="s">
        <v>80</v>
      </c>
      <c r="E67" s="138" t="s">
        <v>80</v>
      </c>
      <c r="F67" s="138" t="s">
        <v>80</v>
      </c>
      <c r="G67" s="144">
        <f>SUM(G47:G66)</f>
        <v>357881.86</v>
      </c>
    </row>
    <row r="68" spans="1:8" ht="15.75" thickTop="1" x14ac:dyDescent="0.25"/>
    <row r="69" spans="1:8" x14ac:dyDescent="0.25">
      <c r="A69" s="133" t="s">
        <v>169</v>
      </c>
      <c r="B69" s="130"/>
      <c r="C69" s="130"/>
      <c r="D69" s="130"/>
      <c r="E69" s="130"/>
      <c r="F69" s="130"/>
      <c r="G69" s="130"/>
      <c r="H69" s="130"/>
    </row>
    <row r="70" spans="1:8" x14ac:dyDescent="0.25">
      <c r="A70" s="133" t="s">
        <v>119</v>
      </c>
      <c r="B70" s="130"/>
      <c r="C70" s="130"/>
      <c r="D70" s="130"/>
      <c r="E70" s="130"/>
      <c r="F70" s="130"/>
      <c r="G70" s="130"/>
      <c r="H70" s="130"/>
    </row>
    <row r="71" spans="1:8" ht="30" x14ac:dyDescent="0.25">
      <c r="A71" s="134" t="s">
        <v>90</v>
      </c>
      <c r="B71" s="134" t="s">
        <v>120</v>
      </c>
      <c r="C71" s="134" t="s">
        <v>121</v>
      </c>
      <c r="D71" s="134" t="s">
        <v>122</v>
      </c>
      <c r="E71" s="135" t="s">
        <v>123</v>
      </c>
      <c r="F71" s="134" t="s">
        <v>124</v>
      </c>
      <c r="G71" s="134" t="s">
        <v>125</v>
      </c>
    </row>
    <row r="72" spans="1:8" x14ac:dyDescent="0.25">
      <c r="A72" s="130" t="s">
        <v>84</v>
      </c>
      <c r="B72" s="130" t="s">
        <v>170</v>
      </c>
      <c r="C72" s="130" t="s">
        <v>81</v>
      </c>
      <c r="D72" s="130" t="s">
        <v>82</v>
      </c>
      <c r="E72" s="130" t="s">
        <v>135</v>
      </c>
      <c r="F72" s="136">
        <v>43281</v>
      </c>
      <c r="G72" s="156">
        <v>1154102.48</v>
      </c>
    </row>
    <row r="73" spans="1:8" x14ac:dyDescent="0.25">
      <c r="A73" s="130" t="s">
        <v>84</v>
      </c>
      <c r="B73" s="130" t="s">
        <v>171</v>
      </c>
      <c r="C73" s="130" t="s">
        <v>81</v>
      </c>
      <c r="D73" s="130" t="s">
        <v>82</v>
      </c>
      <c r="E73" s="130" t="s">
        <v>126</v>
      </c>
      <c r="F73" s="136">
        <v>43320</v>
      </c>
      <c r="G73" s="137">
        <v>50000</v>
      </c>
    </row>
    <row r="74" spans="1:8" x14ac:dyDescent="0.25">
      <c r="A74" s="130" t="s">
        <v>84</v>
      </c>
      <c r="B74" s="130" t="s">
        <v>172</v>
      </c>
      <c r="C74" s="130" t="s">
        <v>81</v>
      </c>
      <c r="D74" s="130" t="s">
        <v>82</v>
      </c>
      <c r="E74" s="130" t="s">
        <v>173</v>
      </c>
      <c r="F74" s="136">
        <v>43343</v>
      </c>
      <c r="G74" s="137">
        <v>-374671</v>
      </c>
    </row>
    <row r="75" spans="1:8" ht="15.75" thickBot="1" x14ac:dyDescent="0.3">
      <c r="A75" s="138" t="s">
        <v>80</v>
      </c>
      <c r="B75" s="138" t="s">
        <v>80</v>
      </c>
      <c r="C75" s="138" t="s">
        <v>80</v>
      </c>
      <c r="D75" s="138" t="s">
        <v>80</v>
      </c>
      <c r="E75" s="138" t="s">
        <v>80</v>
      </c>
      <c r="F75" s="138" t="s">
        <v>80</v>
      </c>
      <c r="G75" s="144">
        <f>SUM(G72:G74)</f>
        <v>829431.48</v>
      </c>
    </row>
    <row r="76" spans="1:8" ht="15.75" thickTop="1" x14ac:dyDescent="0.25"/>
    <row r="77" spans="1:8" x14ac:dyDescent="0.25">
      <c r="A77" s="133" t="s">
        <v>174</v>
      </c>
      <c r="B77" s="130"/>
      <c r="C77" s="130"/>
      <c r="D77" s="130"/>
      <c r="E77" s="130"/>
      <c r="F77" s="130"/>
      <c r="G77" s="130"/>
      <c r="H77" s="130"/>
    </row>
    <row r="78" spans="1:8" x14ac:dyDescent="0.25">
      <c r="A78" s="133" t="s">
        <v>119</v>
      </c>
      <c r="B78" s="130"/>
      <c r="C78" s="130"/>
      <c r="D78" s="130"/>
      <c r="E78" s="130"/>
      <c r="F78" s="130"/>
      <c r="G78" s="130"/>
      <c r="H78" s="130"/>
    </row>
    <row r="79" spans="1:8" ht="30" x14ac:dyDescent="0.25">
      <c r="A79" s="134" t="s">
        <v>90</v>
      </c>
      <c r="B79" s="134" t="s">
        <v>120</v>
      </c>
      <c r="C79" s="134" t="s">
        <v>121</v>
      </c>
      <c r="D79" s="134" t="s">
        <v>122</v>
      </c>
      <c r="E79" s="135" t="s">
        <v>123</v>
      </c>
      <c r="F79" s="134" t="s">
        <v>124</v>
      </c>
      <c r="G79" s="134" t="s">
        <v>125</v>
      </c>
    </row>
    <row r="80" spans="1:8" x14ac:dyDescent="0.25">
      <c r="A80" s="130" t="s">
        <v>175</v>
      </c>
      <c r="B80" s="130" t="s">
        <v>176</v>
      </c>
      <c r="C80" s="130" t="s">
        <v>81</v>
      </c>
      <c r="D80" s="130" t="s">
        <v>82</v>
      </c>
      <c r="E80" s="130" t="s">
        <v>127</v>
      </c>
      <c r="F80" s="136">
        <v>43251</v>
      </c>
      <c r="G80" s="137">
        <v>1000</v>
      </c>
    </row>
    <row r="81" spans="1:7" x14ac:dyDescent="0.25">
      <c r="A81" s="130" t="s">
        <v>175</v>
      </c>
      <c r="B81" s="130" t="s">
        <v>177</v>
      </c>
      <c r="C81" s="130" t="s">
        <v>81</v>
      </c>
      <c r="D81" s="130" t="s">
        <v>82</v>
      </c>
      <c r="E81" s="130" t="s">
        <v>178</v>
      </c>
      <c r="F81" s="136">
        <v>43257</v>
      </c>
      <c r="G81" s="137">
        <v>26000</v>
      </c>
    </row>
    <row r="82" spans="1:7" x14ac:dyDescent="0.25">
      <c r="A82" s="130" t="s">
        <v>175</v>
      </c>
      <c r="B82" s="130" t="s">
        <v>80</v>
      </c>
      <c r="C82" s="130" t="s">
        <v>81</v>
      </c>
      <c r="D82" s="130" t="s">
        <v>82</v>
      </c>
      <c r="E82" s="130" t="s">
        <v>126</v>
      </c>
      <c r="F82" s="136">
        <v>43262</v>
      </c>
      <c r="G82" s="137">
        <v>50000</v>
      </c>
    </row>
    <row r="83" spans="1:7" x14ac:dyDescent="0.25">
      <c r="A83" s="130" t="s">
        <v>175</v>
      </c>
      <c r="B83" s="130" t="s">
        <v>89</v>
      </c>
      <c r="C83" s="130" t="s">
        <v>81</v>
      </c>
      <c r="D83" s="130" t="s">
        <v>82</v>
      </c>
      <c r="E83" s="130" t="s">
        <v>126</v>
      </c>
      <c r="F83" s="136">
        <v>43333</v>
      </c>
      <c r="G83" s="137">
        <v>27000</v>
      </c>
    </row>
    <row r="84" spans="1:7" x14ac:dyDescent="0.25">
      <c r="A84" s="130" t="s">
        <v>175</v>
      </c>
      <c r="B84" s="130" t="s">
        <v>89</v>
      </c>
      <c r="C84" s="130" t="s">
        <v>81</v>
      </c>
      <c r="D84" s="130" t="s">
        <v>82</v>
      </c>
      <c r="E84" s="130" t="s">
        <v>126</v>
      </c>
      <c r="F84" s="136">
        <v>43334</v>
      </c>
      <c r="G84" s="137">
        <v>10566.96</v>
      </c>
    </row>
    <row r="85" spans="1:7" x14ac:dyDescent="0.25">
      <c r="A85" s="130" t="s">
        <v>175</v>
      </c>
      <c r="B85" s="130" t="s">
        <v>89</v>
      </c>
      <c r="C85" s="130" t="s">
        <v>81</v>
      </c>
      <c r="D85" s="130" t="s">
        <v>82</v>
      </c>
      <c r="E85" s="130" t="s">
        <v>126</v>
      </c>
      <c r="F85" s="136">
        <v>43340</v>
      </c>
      <c r="G85" s="137">
        <v>1628</v>
      </c>
    </row>
    <row r="86" spans="1:7" x14ac:dyDescent="0.25">
      <c r="A86" s="130" t="s">
        <v>175</v>
      </c>
      <c r="B86" s="130" t="s">
        <v>157</v>
      </c>
      <c r="C86" s="130" t="s">
        <v>81</v>
      </c>
      <c r="D86" s="130" t="s">
        <v>82</v>
      </c>
      <c r="E86" s="130" t="s">
        <v>127</v>
      </c>
      <c r="F86" s="136">
        <v>43343</v>
      </c>
      <c r="G86" s="137">
        <v>354.92</v>
      </c>
    </row>
    <row r="87" spans="1:7" x14ac:dyDescent="0.25">
      <c r="A87" s="130" t="s">
        <v>175</v>
      </c>
      <c r="B87" s="130" t="s">
        <v>89</v>
      </c>
      <c r="C87" s="130" t="s">
        <v>81</v>
      </c>
      <c r="D87" s="130" t="s">
        <v>82</v>
      </c>
      <c r="E87" s="130" t="s">
        <v>126</v>
      </c>
      <c r="F87" s="136">
        <v>43348</v>
      </c>
      <c r="G87" s="137">
        <v>9803.41</v>
      </c>
    </row>
    <row r="88" spans="1:7" x14ac:dyDescent="0.25">
      <c r="A88" s="130" t="s">
        <v>175</v>
      </c>
      <c r="B88" s="130" t="s">
        <v>179</v>
      </c>
      <c r="C88" s="130" t="s">
        <v>81</v>
      </c>
      <c r="D88" s="130" t="s">
        <v>82</v>
      </c>
      <c r="E88" s="130" t="s">
        <v>162</v>
      </c>
      <c r="F88" s="136">
        <v>43373</v>
      </c>
      <c r="G88" s="156">
        <v>-2700000</v>
      </c>
    </row>
    <row r="89" spans="1:7" x14ac:dyDescent="0.25">
      <c r="A89" s="130" t="s">
        <v>175</v>
      </c>
      <c r="B89" s="130" t="s">
        <v>180</v>
      </c>
      <c r="C89" s="130" t="s">
        <v>81</v>
      </c>
      <c r="D89" s="130" t="s">
        <v>82</v>
      </c>
      <c r="E89" s="130" t="s">
        <v>81</v>
      </c>
      <c r="F89" s="136">
        <v>43373</v>
      </c>
      <c r="G89" s="156">
        <v>725000</v>
      </c>
    </row>
    <row r="90" spans="1:7" x14ac:dyDescent="0.25">
      <c r="A90" s="130" t="s">
        <v>175</v>
      </c>
      <c r="B90" s="130" t="s">
        <v>181</v>
      </c>
      <c r="C90" s="130" t="s">
        <v>81</v>
      </c>
      <c r="D90" s="130" t="s">
        <v>82</v>
      </c>
      <c r="E90" s="130" t="s">
        <v>182</v>
      </c>
      <c r="F90" s="136">
        <v>43397</v>
      </c>
      <c r="G90" s="156">
        <v>7000</v>
      </c>
    </row>
    <row r="91" spans="1:7" x14ac:dyDescent="0.25">
      <c r="A91" s="130" t="s">
        <v>175</v>
      </c>
      <c r="B91" s="130" t="s">
        <v>183</v>
      </c>
      <c r="C91" s="130" t="s">
        <v>81</v>
      </c>
      <c r="D91" s="130" t="s">
        <v>82</v>
      </c>
      <c r="E91" s="130" t="s">
        <v>127</v>
      </c>
      <c r="F91" s="136">
        <v>43404</v>
      </c>
      <c r="G91" s="137">
        <v>141.57</v>
      </c>
    </row>
    <row r="92" spans="1:7" x14ac:dyDescent="0.25">
      <c r="A92" s="130" t="s">
        <v>175</v>
      </c>
      <c r="B92" s="130" t="s">
        <v>184</v>
      </c>
      <c r="C92" s="130" t="s">
        <v>81</v>
      </c>
      <c r="D92" s="130" t="s">
        <v>82</v>
      </c>
      <c r="E92" s="130" t="s">
        <v>127</v>
      </c>
      <c r="F92" s="136">
        <v>43404</v>
      </c>
      <c r="G92" s="137">
        <v>413.6</v>
      </c>
    </row>
    <row r="93" spans="1:7" x14ac:dyDescent="0.25">
      <c r="A93" s="130" t="s">
        <v>175</v>
      </c>
      <c r="B93" s="130" t="s">
        <v>185</v>
      </c>
      <c r="C93" s="130" t="s">
        <v>81</v>
      </c>
      <c r="D93" s="130" t="s">
        <v>82</v>
      </c>
      <c r="E93" s="130" t="s">
        <v>186</v>
      </c>
      <c r="F93" s="136">
        <v>43445</v>
      </c>
      <c r="G93" s="137">
        <v>550000</v>
      </c>
    </row>
    <row r="94" spans="1:7" x14ac:dyDescent="0.25">
      <c r="A94" s="130" t="s">
        <v>175</v>
      </c>
      <c r="B94" s="130" t="s">
        <v>187</v>
      </c>
      <c r="C94" s="130" t="s">
        <v>81</v>
      </c>
      <c r="D94" s="130" t="s">
        <v>82</v>
      </c>
      <c r="E94" s="130" t="s">
        <v>127</v>
      </c>
      <c r="F94" s="136">
        <v>43465</v>
      </c>
      <c r="G94" s="137">
        <v>598.95000000000005</v>
      </c>
    </row>
    <row r="95" spans="1:7" x14ac:dyDescent="0.25">
      <c r="A95" s="130" t="s">
        <v>175</v>
      </c>
      <c r="B95" s="130" t="s">
        <v>188</v>
      </c>
      <c r="C95" s="130" t="s">
        <v>81</v>
      </c>
      <c r="D95" s="130" t="s">
        <v>82</v>
      </c>
      <c r="E95" s="130" t="s">
        <v>81</v>
      </c>
      <c r="F95" s="136">
        <v>43465</v>
      </c>
      <c r="G95" s="156">
        <v>-10000</v>
      </c>
    </row>
    <row r="96" spans="1:7" x14ac:dyDescent="0.25">
      <c r="A96" s="130" t="s">
        <v>175</v>
      </c>
      <c r="B96" s="130" t="s">
        <v>189</v>
      </c>
      <c r="C96" s="130" t="s">
        <v>81</v>
      </c>
      <c r="D96" s="130" t="s">
        <v>82</v>
      </c>
      <c r="E96" s="130" t="s">
        <v>135</v>
      </c>
      <c r="F96" s="136">
        <v>43465</v>
      </c>
      <c r="G96" s="156">
        <v>-550000</v>
      </c>
    </row>
    <row r="97" spans="1:7" ht="15.75" thickBot="1" x14ac:dyDescent="0.3">
      <c r="A97" s="138" t="s">
        <v>80</v>
      </c>
      <c r="B97" s="138" t="s">
        <v>80</v>
      </c>
      <c r="C97" s="138" t="s">
        <v>80</v>
      </c>
      <c r="D97" s="138" t="s">
        <v>80</v>
      </c>
      <c r="E97" s="138" t="s">
        <v>80</v>
      </c>
      <c r="F97" s="138" t="s">
        <v>80</v>
      </c>
      <c r="G97" s="144">
        <f>SUM(G80:G96)</f>
        <v>-1850492.5899999999</v>
      </c>
    </row>
    <row r="98" spans="1:7" ht="15.75" thickTop="1" x14ac:dyDescent="0.25"/>
  </sheetData>
  <pageMargins left="0.7" right="0.7" top="0.75" bottom="0.75" header="0.3" footer="0.3"/>
  <pageSetup scale="4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opLeftCell="C23" zoomScale="115" zoomScaleNormal="115" workbookViewId="0">
      <selection activeCell="F23" sqref="F23"/>
    </sheetView>
  </sheetViews>
  <sheetFormatPr defaultRowHeight="15" x14ac:dyDescent="0.25"/>
  <cols>
    <col min="1" max="1" width="56.28515625" customWidth="1"/>
    <col min="2" max="2" width="33.7109375" customWidth="1"/>
    <col min="3" max="3" width="15.85546875" customWidth="1"/>
    <col min="4" max="4" width="18.5703125" bestFit="1" customWidth="1"/>
    <col min="5" max="5" width="13" customWidth="1"/>
    <col min="6" max="6" width="15.28515625" customWidth="1"/>
    <col min="7" max="7" width="15.7109375" customWidth="1"/>
    <col min="8" max="14" width="13" customWidth="1"/>
  </cols>
  <sheetData>
    <row r="1" spans="1:14" x14ac:dyDescent="0.25">
      <c r="A1" t="s">
        <v>105</v>
      </c>
    </row>
    <row r="2" spans="1:14" x14ac:dyDescent="0.25">
      <c r="A2" t="s">
        <v>106</v>
      </c>
    </row>
    <row r="3" spans="1:14" x14ac:dyDescent="0.25">
      <c r="A3" t="s">
        <v>16</v>
      </c>
    </row>
    <row r="4" spans="1:14" ht="15.75" x14ac:dyDescent="0.25">
      <c r="C4" s="114" t="s">
        <v>107</v>
      </c>
      <c r="D4" s="115"/>
    </row>
    <row r="5" spans="1:14" ht="15.75" x14ac:dyDescent="0.25">
      <c r="A5" s="116" t="s">
        <v>108</v>
      </c>
      <c r="B5" s="116" t="s">
        <v>109</v>
      </c>
      <c r="C5" s="114" t="s">
        <v>110</v>
      </c>
      <c r="D5" s="114" t="s">
        <v>33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1:14" x14ac:dyDescent="0.25">
      <c r="A6" t="s">
        <v>19</v>
      </c>
      <c r="B6" s="118">
        <v>1236903.56</v>
      </c>
      <c r="C6" s="118"/>
      <c r="D6" s="118">
        <f>B6</f>
        <v>1236903.56</v>
      </c>
      <c r="E6" s="118"/>
      <c r="F6" s="118"/>
      <c r="G6" s="118"/>
      <c r="H6" s="118"/>
      <c r="I6" s="118"/>
      <c r="J6" s="118"/>
      <c r="K6" s="118"/>
      <c r="L6" s="118"/>
      <c r="M6" s="118"/>
      <c r="N6" s="118"/>
    </row>
    <row r="7" spans="1:14" x14ac:dyDescent="0.25">
      <c r="A7" t="s">
        <v>21</v>
      </c>
      <c r="B7" s="118">
        <v>2812306.76</v>
      </c>
      <c r="C7" s="118"/>
      <c r="D7" s="118">
        <f>B7</f>
        <v>2812306.76</v>
      </c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1:14" x14ac:dyDescent="0.25">
      <c r="A8" t="s">
        <v>111</v>
      </c>
      <c r="B8" s="118">
        <v>145.96</v>
      </c>
      <c r="C8" s="118"/>
      <c r="D8" s="118">
        <f t="shared" ref="D8:D12" si="0">B8</f>
        <v>145.96</v>
      </c>
      <c r="E8" s="118"/>
      <c r="F8" s="118"/>
      <c r="G8" s="118"/>
      <c r="H8" s="118"/>
      <c r="I8" s="118"/>
      <c r="J8" s="118"/>
      <c r="K8" s="118"/>
      <c r="L8" s="118"/>
      <c r="M8" s="118"/>
      <c r="N8" s="118"/>
    </row>
    <row r="9" spans="1:14" x14ac:dyDescent="0.25">
      <c r="A9" t="s">
        <v>112</v>
      </c>
      <c r="B9" s="118">
        <v>1922.64</v>
      </c>
      <c r="C9" s="118"/>
      <c r="D9" s="118">
        <f t="shared" si="0"/>
        <v>1922.64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</row>
    <row r="10" spans="1:14" x14ac:dyDescent="0.25">
      <c r="A10" t="s">
        <v>192</v>
      </c>
      <c r="B10" s="118">
        <v>963.38</v>
      </c>
      <c r="C10" s="118"/>
      <c r="D10" s="118">
        <f t="shared" si="0"/>
        <v>963.38</v>
      </c>
      <c r="E10" s="118"/>
      <c r="F10" s="118"/>
      <c r="G10" s="118"/>
      <c r="H10" s="118"/>
      <c r="I10" s="118"/>
      <c r="J10" s="118"/>
      <c r="K10" s="118"/>
      <c r="L10" s="118"/>
      <c r="M10" s="118"/>
      <c r="N10" s="118"/>
    </row>
    <row r="11" spans="1:14" x14ac:dyDescent="0.25">
      <c r="A11" t="s">
        <v>113</v>
      </c>
      <c r="B11" s="118">
        <v>453317.75</v>
      </c>
      <c r="C11" s="118"/>
      <c r="D11" s="118">
        <f t="shared" si="0"/>
        <v>453317.75</v>
      </c>
      <c r="E11" s="118"/>
      <c r="F11" s="118"/>
      <c r="G11" s="118"/>
      <c r="H11" s="118"/>
      <c r="I11" s="118"/>
      <c r="J11" s="118"/>
      <c r="K11" s="118"/>
      <c r="L11" s="118"/>
      <c r="M11" s="118"/>
      <c r="N11" s="118"/>
    </row>
    <row r="12" spans="1:14" x14ac:dyDescent="0.25">
      <c r="A12" t="s">
        <v>114</v>
      </c>
      <c r="B12" s="118">
        <v>45000</v>
      </c>
      <c r="C12" s="118"/>
      <c r="D12" s="118">
        <f t="shared" si="0"/>
        <v>45000</v>
      </c>
      <c r="E12" s="118"/>
      <c r="F12" s="118"/>
      <c r="G12" s="118"/>
      <c r="H12" s="118"/>
      <c r="I12" s="118"/>
      <c r="J12" s="118"/>
      <c r="K12" s="118"/>
      <c r="L12" s="118"/>
      <c r="M12" s="118"/>
      <c r="N12" s="118"/>
    </row>
    <row r="13" spans="1:14" ht="15.75" x14ac:dyDescent="0.25">
      <c r="A13" t="s">
        <v>115</v>
      </c>
      <c r="B13" s="118">
        <v>1377458.57</v>
      </c>
      <c r="C13" s="145">
        <v>0.51027486634521357</v>
      </c>
      <c r="D13" s="118">
        <f>B13*C13</f>
        <v>702882.48770281905</v>
      </c>
      <c r="E13" s="118"/>
      <c r="F13" s="118"/>
      <c r="G13" s="118"/>
      <c r="H13" s="118"/>
      <c r="I13" s="118"/>
      <c r="J13" s="118"/>
      <c r="K13" s="118"/>
      <c r="L13" s="118"/>
      <c r="M13" s="118"/>
      <c r="N13" s="118"/>
    </row>
    <row r="14" spans="1:14" ht="15.75" x14ac:dyDescent="0.25">
      <c r="A14" t="s">
        <v>116</v>
      </c>
      <c r="B14" s="118">
        <v>36950.03</v>
      </c>
      <c r="C14" s="145">
        <v>0.51027486634521357</v>
      </c>
      <c r="D14" s="118">
        <f>B14*C14</f>
        <v>18854.671619701632</v>
      </c>
      <c r="E14" s="118"/>
      <c r="F14" s="118"/>
      <c r="G14" s="118"/>
      <c r="H14" s="118"/>
      <c r="I14" s="118"/>
      <c r="J14" s="118"/>
      <c r="K14" s="118"/>
      <c r="L14" s="118"/>
      <c r="M14" s="118"/>
      <c r="N14" s="118"/>
    </row>
    <row r="15" spans="1:14" x14ac:dyDescent="0.25">
      <c r="A15" s="116" t="s">
        <v>33</v>
      </c>
      <c r="B15" s="119">
        <f>SUM(B6:B14)</f>
        <v>5964968.6500000004</v>
      </c>
      <c r="C15" s="119"/>
      <c r="D15" s="119">
        <f>SUM(D6:D14)</f>
        <v>5272297.2093225205</v>
      </c>
      <c r="E15" s="119"/>
      <c r="F15" s="119"/>
      <c r="G15" s="119"/>
      <c r="H15" s="119"/>
      <c r="I15" s="119"/>
      <c r="J15" s="119"/>
      <c r="K15" s="119"/>
      <c r="L15" s="119"/>
      <c r="M15" s="119"/>
      <c r="N15" s="119"/>
    </row>
    <row r="16" spans="1:14" x14ac:dyDescent="0.25">
      <c r="A16" s="116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8" ht="15.75" x14ac:dyDescent="0.25">
      <c r="B17" s="120"/>
      <c r="C17" s="121"/>
      <c r="D17" s="122" t="s">
        <v>79</v>
      </c>
    </row>
    <row r="18" spans="1:8" ht="15.75" x14ac:dyDescent="0.25">
      <c r="A18">
        <v>92500001</v>
      </c>
      <c r="B18" s="120"/>
      <c r="C18" s="121"/>
      <c r="D18" s="122" t="s">
        <v>54</v>
      </c>
    </row>
    <row r="19" spans="1:8" ht="15.75" x14ac:dyDescent="0.25">
      <c r="A19">
        <v>92500300</v>
      </c>
      <c r="B19" s="120"/>
      <c r="C19" s="123" t="s">
        <v>42</v>
      </c>
      <c r="D19" s="123" t="s">
        <v>42</v>
      </c>
    </row>
    <row r="20" spans="1:8" ht="15.75" x14ac:dyDescent="0.25">
      <c r="A20">
        <v>92500305</v>
      </c>
      <c r="B20" s="124" t="s">
        <v>78</v>
      </c>
      <c r="C20" s="125">
        <f>G41+G43+G44+G49</f>
        <v>40000</v>
      </c>
      <c r="D20" s="125">
        <f>D8+D9+D10+D6-C20</f>
        <v>1199935.54</v>
      </c>
    </row>
    <row r="21" spans="1:8" ht="15.75" x14ac:dyDescent="0.25">
      <c r="A21">
        <v>92500306</v>
      </c>
      <c r="B21" s="124" t="s">
        <v>77</v>
      </c>
      <c r="C21" s="125">
        <f>SUM(G56:G58)</f>
        <v>1975000</v>
      </c>
      <c r="D21" s="125">
        <f>D11+D7+D12-C21</f>
        <v>1335624.5099999998</v>
      </c>
    </row>
    <row r="22" spans="1:8" x14ac:dyDescent="0.25">
      <c r="A22">
        <v>92500557</v>
      </c>
      <c r="B22" s="126"/>
      <c r="C22" s="120"/>
      <c r="D22" s="120"/>
    </row>
    <row r="23" spans="1:8" ht="15.75" x14ac:dyDescent="0.25">
      <c r="A23">
        <v>92500558</v>
      </c>
      <c r="B23" s="124" t="s">
        <v>76</v>
      </c>
      <c r="C23" s="125">
        <v>0</v>
      </c>
      <c r="D23" s="125">
        <f>D13+D14</f>
        <v>721737.15932252072</v>
      </c>
    </row>
    <row r="24" spans="1:8" ht="15.75" x14ac:dyDescent="0.25">
      <c r="A24">
        <v>92500559</v>
      </c>
      <c r="B24" s="124" t="s">
        <v>75</v>
      </c>
      <c r="C24" s="125"/>
      <c r="D24" s="146">
        <f>D23*[1]Lead!$E$9</f>
        <v>418968.42098672327</v>
      </c>
      <c r="F24" s="146"/>
      <c r="G24" s="146"/>
    </row>
    <row r="25" spans="1:8" ht="15.75" x14ac:dyDescent="0.25">
      <c r="A25">
        <v>18490424</v>
      </c>
      <c r="B25" s="124" t="s">
        <v>74</v>
      </c>
      <c r="C25" s="125"/>
      <c r="D25" s="146">
        <f>D23*[1]Lead!$F$9</f>
        <v>302768.73833579745</v>
      </c>
      <c r="F25" s="146"/>
      <c r="G25" s="146"/>
    </row>
    <row r="26" spans="1:8" ht="15.75" x14ac:dyDescent="0.25">
      <c r="A26">
        <v>18490425</v>
      </c>
      <c r="B26" s="124"/>
      <c r="C26" s="125"/>
      <c r="D26" s="125"/>
    </row>
    <row r="27" spans="1:8" x14ac:dyDescent="0.25">
      <c r="B27" s="126"/>
      <c r="C27" s="120"/>
      <c r="D27" s="120"/>
    </row>
    <row r="28" spans="1:8" ht="15.75" x14ac:dyDescent="0.25">
      <c r="B28" s="124" t="s">
        <v>73</v>
      </c>
      <c r="C28" s="127">
        <f>C20+C24</f>
        <v>40000</v>
      </c>
      <c r="D28" s="127">
        <f>D20+D24</f>
        <v>1618903.9609867232</v>
      </c>
    </row>
    <row r="29" spans="1:8" ht="15.75" x14ac:dyDescent="0.25">
      <c r="B29" s="124" t="s">
        <v>72</v>
      </c>
      <c r="C29" s="128">
        <f>C21+C25</f>
        <v>1975000</v>
      </c>
      <c r="D29" s="128">
        <f>D21+D25</f>
        <v>1638393.2483357973</v>
      </c>
    </row>
    <row r="30" spans="1:8" ht="16.5" thickBot="1" x14ac:dyDescent="0.3">
      <c r="B30" s="124" t="s">
        <v>117</v>
      </c>
      <c r="C30" s="129">
        <f>SUM(C28:C29)</f>
        <v>2015000</v>
      </c>
      <c r="D30" s="129">
        <f>SUM(D28:D29)</f>
        <v>3257297.2093225205</v>
      </c>
      <c r="E30" s="130"/>
      <c r="F30" s="130"/>
      <c r="G30" s="130"/>
      <c r="H30" s="130"/>
    </row>
    <row r="31" spans="1:8" ht="16.5" thickTop="1" x14ac:dyDescent="0.25">
      <c r="B31" s="124"/>
      <c r="C31" s="131"/>
      <c r="D31" s="131"/>
      <c r="E31" s="130"/>
      <c r="F31" s="130"/>
      <c r="G31" s="130"/>
      <c r="H31" s="130"/>
    </row>
    <row r="32" spans="1:8" x14ac:dyDescent="0.25">
      <c r="A32" s="132" t="s">
        <v>118</v>
      </c>
      <c r="B32" s="130"/>
      <c r="C32" s="130"/>
      <c r="D32" s="130"/>
      <c r="E32" s="130"/>
      <c r="F32" s="130"/>
      <c r="G32" s="130"/>
      <c r="H32" s="130"/>
    </row>
    <row r="33" spans="1:8" x14ac:dyDescent="0.25">
      <c r="A33" s="133" t="s">
        <v>119</v>
      </c>
      <c r="B33" s="130"/>
      <c r="C33" s="130"/>
      <c r="D33" s="130"/>
      <c r="E33" s="130"/>
      <c r="F33" s="130"/>
      <c r="G33" s="130"/>
      <c r="H33" s="130"/>
    </row>
    <row r="34" spans="1:8" ht="30" x14ac:dyDescent="0.25">
      <c r="A34" s="134" t="s">
        <v>90</v>
      </c>
      <c r="B34" s="134" t="s">
        <v>120</v>
      </c>
      <c r="C34" s="134" t="s">
        <v>121</v>
      </c>
      <c r="D34" s="134" t="s">
        <v>122</v>
      </c>
      <c r="E34" s="135" t="s">
        <v>123</v>
      </c>
      <c r="F34" s="134" t="s">
        <v>124</v>
      </c>
      <c r="G34" s="134" t="s">
        <v>125</v>
      </c>
    </row>
    <row r="35" spans="1:8" x14ac:dyDescent="0.25">
      <c r="A35" s="130" t="s">
        <v>87</v>
      </c>
      <c r="B35" s="130" t="s">
        <v>89</v>
      </c>
      <c r="C35" s="130" t="s">
        <v>81</v>
      </c>
      <c r="D35" s="130" t="s">
        <v>82</v>
      </c>
      <c r="E35" s="130" t="s">
        <v>126</v>
      </c>
      <c r="F35" s="136">
        <v>42755</v>
      </c>
      <c r="G35" s="137">
        <v>2840.08</v>
      </c>
    </row>
    <row r="36" spans="1:8" x14ac:dyDescent="0.25">
      <c r="A36" s="130" t="s">
        <v>87</v>
      </c>
      <c r="B36" s="130" t="s">
        <v>88</v>
      </c>
      <c r="C36" s="130" t="s">
        <v>81</v>
      </c>
      <c r="D36" s="130" t="s">
        <v>82</v>
      </c>
      <c r="E36" s="130" t="s">
        <v>127</v>
      </c>
      <c r="F36" s="136">
        <v>42766</v>
      </c>
      <c r="G36" s="137">
        <v>103.27</v>
      </c>
    </row>
    <row r="37" spans="1:8" x14ac:dyDescent="0.25">
      <c r="A37" s="130" t="s">
        <v>87</v>
      </c>
      <c r="B37" s="130" t="s">
        <v>86</v>
      </c>
      <c r="C37" s="130" t="s">
        <v>81</v>
      </c>
      <c r="D37" s="130" t="s">
        <v>82</v>
      </c>
      <c r="E37" s="130" t="s">
        <v>127</v>
      </c>
      <c r="F37" s="136">
        <v>42766</v>
      </c>
      <c r="G37" s="137">
        <v>785</v>
      </c>
    </row>
    <row r="38" spans="1:8" x14ac:dyDescent="0.25">
      <c r="A38" s="130" t="s">
        <v>87</v>
      </c>
      <c r="B38" s="130" t="s">
        <v>89</v>
      </c>
      <c r="C38" s="130" t="s">
        <v>81</v>
      </c>
      <c r="D38" s="130" t="s">
        <v>82</v>
      </c>
      <c r="E38" s="130" t="s">
        <v>126</v>
      </c>
      <c r="F38" s="136">
        <v>42773</v>
      </c>
      <c r="G38" s="137">
        <v>1238.95</v>
      </c>
    </row>
    <row r="39" spans="1:8" x14ac:dyDescent="0.25">
      <c r="A39" s="130" t="s">
        <v>87</v>
      </c>
      <c r="B39" s="130" t="s">
        <v>89</v>
      </c>
      <c r="C39" s="130" t="s">
        <v>81</v>
      </c>
      <c r="D39" s="130" t="s">
        <v>82</v>
      </c>
      <c r="E39" s="130" t="s">
        <v>126</v>
      </c>
      <c r="F39" s="136">
        <v>42829</v>
      </c>
      <c r="G39" s="137">
        <v>1253.53</v>
      </c>
    </row>
    <row r="40" spans="1:8" x14ac:dyDescent="0.25">
      <c r="A40" s="130" t="s">
        <v>87</v>
      </c>
      <c r="B40" s="130" t="s">
        <v>95</v>
      </c>
      <c r="C40" s="130" t="s">
        <v>81</v>
      </c>
      <c r="D40" s="130" t="s">
        <v>82</v>
      </c>
      <c r="E40" s="130" t="s">
        <v>128</v>
      </c>
      <c r="F40" s="136">
        <v>42956</v>
      </c>
      <c r="G40" s="156">
        <v>40000</v>
      </c>
    </row>
    <row r="41" spans="1:8" x14ac:dyDescent="0.25">
      <c r="A41" s="130" t="s">
        <v>87</v>
      </c>
      <c r="B41" s="130" t="s">
        <v>96</v>
      </c>
      <c r="C41" s="130" t="s">
        <v>81</v>
      </c>
      <c r="D41" s="130" t="s">
        <v>82</v>
      </c>
      <c r="E41" s="130" t="s">
        <v>129</v>
      </c>
      <c r="F41" s="136">
        <v>42978</v>
      </c>
      <c r="G41" s="156">
        <v>1000000</v>
      </c>
    </row>
    <row r="42" spans="1:8" x14ac:dyDescent="0.25">
      <c r="A42" s="130" t="s">
        <v>87</v>
      </c>
      <c r="B42" s="130" t="s">
        <v>97</v>
      </c>
      <c r="C42" s="130" t="s">
        <v>81</v>
      </c>
      <c r="D42" s="130" t="s">
        <v>82</v>
      </c>
      <c r="E42" s="130" t="s">
        <v>130</v>
      </c>
      <c r="F42" s="136">
        <v>42984</v>
      </c>
      <c r="G42" s="156">
        <v>1000000</v>
      </c>
    </row>
    <row r="43" spans="1:8" x14ac:dyDescent="0.25">
      <c r="A43" s="130" t="s">
        <v>87</v>
      </c>
      <c r="B43" s="130" t="s">
        <v>98</v>
      </c>
      <c r="C43" s="130" t="s">
        <v>81</v>
      </c>
      <c r="D43" s="130" t="s">
        <v>82</v>
      </c>
      <c r="E43" s="130" t="s">
        <v>129</v>
      </c>
      <c r="F43" s="136">
        <v>43008</v>
      </c>
      <c r="G43" s="156">
        <v>179000</v>
      </c>
    </row>
    <row r="44" spans="1:8" x14ac:dyDescent="0.25">
      <c r="A44" s="130" t="s">
        <v>87</v>
      </c>
      <c r="B44" s="130" t="s">
        <v>100</v>
      </c>
      <c r="C44" s="130" t="s">
        <v>81</v>
      </c>
      <c r="D44" s="130" t="s">
        <v>82</v>
      </c>
      <c r="E44" s="130" t="s">
        <v>129</v>
      </c>
      <c r="F44" s="136">
        <v>43008</v>
      </c>
      <c r="G44" s="156">
        <v>-1000000</v>
      </c>
    </row>
    <row r="45" spans="1:8" x14ac:dyDescent="0.25">
      <c r="A45" s="130" t="s">
        <v>87</v>
      </c>
      <c r="B45" s="130" t="s">
        <v>89</v>
      </c>
      <c r="C45" s="130" t="s">
        <v>81</v>
      </c>
      <c r="D45" s="130" t="s">
        <v>82</v>
      </c>
      <c r="E45" s="130" t="s">
        <v>126</v>
      </c>
      <c r="F45" s="136">
        <v>43034</v>
      </c>
      <c r="G45" s="156">
        <v>1303.3900000000001</v>
      </c>
    </row>
    <row r="46" spans="1:8" x14ac:dyDescent="0.25">
      <c r="A46" s="130" t="s">
        <v>87</v>
      </c>
      <c r="B46" s="130" t="s">
        <v>101</v>
      </c>
      <c r="C46" s="130" t="s">
        <v>81</v>
      </c>
      <c r="D46" s="130" t="s">
        <v>82</v>
      </c>
      <c r="E46" s="130" t="s">
        <v>127</v>
      </c>
      <c r="F46" s="136">
        <v>43039</v>
      </c>
      <c r="G46" s="156">
        <v>247.73</v>
      </c>
    </row>
    <row r="47" spans="1:8" x14ac:dyDescent="0.25">
      <c r="A47" s="130" t="s">
        <v>87</v>
      </c>
      <c r="B47" s="130" t="s">
        <v>131</v>
      </c>
      <c r="C47" s="130" t="s">
        <v>81</v>
      </c>
      <c r="D47" s="130" t="s">
        <v>82</v>
      </c>
      <c r="E47" s="130" t="s">
        <v>132</v>
      </c>
      <c r="F47" s="136">
        <v>43089</v>
      </c>
      <c r="G47" s="156">
        <v>-1303.3900000000001</v>
      </c>
    </row>
    <row r="48" spans="1:8" x14ac:dyDescent="0.25">
      <c r="A48" s="130" t="s">
        <v>87</v>
      </c>
      <c r="B48" s="130" t="s">
        <v>93</v>
      </c>
      <c r="C48" s="130" t="s">
        <v>81</v>
      </c>
      <c r="D48" s="130" t="s">
        <v>82</v>
      </c>
      <c r="E48" s="130" t="s">
        <v>133</v>
      </c>
      <c r="F48" s="136">
        <v>43098</v>
      </c>
      <c r="G48" s="156">
        <v>150000</v>
      </c>
    </row>
    <row r="49" spans="1:8" x14ac:dyDescent="0.25">
      <c r="A49" s="130" t="s">
        <v>87</v>
      </c>
      <c r="B49" s="130" t="s">
        <v>102</v>
      </c>
      <c r="C49" s="130" t="s">
        <v>81</v>
      </c>
      <c r="D49" s="130" t="s">
        <v>82</v>
      </c>
      <c r="E49" s="130" t="s">
        <v>129</v>
      </c>
      <c r="F49" s="136">
        <v>43098</v>
      </c>
      <c r="G49" s="156">
        <v>-139000</v>
      </c>
    </row>
    <row r="50" spans="1:8" x14ac:dyDescent="0.25">
      <c r="A50" s="130" t="s">
        <v>87</v>
      </c>
      <c r="B50" s="130" t="s">
        <v>103</v>
      </c>
      <c r="C50" s="130" t="s">
        <v>81</v>
      </c>
      <c r="D50" s="130" t="s">
        <v>82</v>
      </c>
      <c r="E50" s="130" t="s">
        <v>127</v>
      </c>
      <c r="F50" s="136">
        <v>43100</v>
      </c>
      <c r="G50" s="156">
        <v>435</v>
      </c>
    </row>
    <row r="51" spans="1:8" ht="15.75" thickBot="1" x14ac:dyDescent="0.3">
      <c r="A51" s="138" t="s">
        <v>80</v>
      </c>
      <c r="B51" s="138" t="s">
        <v>80</v>
      </c>
      <c r="C51" s="138" t="s">
        <v>80</v>
      </c>
      <c r="D51" s="138" t="s">
        <v>80</v>
      </c>
      <c r="E51" s="138" t="s">
        <v>80</v>
      </c>
      <c r="F51" s="138" t="s">
        <v>80</v>
      </c>
      <c r="G51" s="139">
        <f>SUM(G35:G50)</f>
        <v>1236903.56</v>
      </c>
    </row>
    <row r="52" spans="1:8" ht="15.75" thickTop="1" x14ac:dyDescent="0.25"/>
    <row r="53" spans="1:8" x14ac:dyDescent="0.25">
      <c r="A53" s="133" t="s">
        <v>134</v>
      </c>
      <c r="B53" s="130"/>
      <c r="C53" s="130"/>
      <c r="D53" s="130"/>
      <c r="E53" s="130"/>
      <c r="F53" s="130"/>
      <c r="G53" s="130"/>
      <c r="H53" s="130"/>
    </row>
    <row r="54" spans="1:8" x14ac:dyDescent="0.25">
      <c r="A54" s="133" t="s">
        <v>119</v>
      </c>
      <c r="B54" s="130"/>
      <c r="C54" s="130"/>
      <c r="D54" s="130"/>
      <c r="E54" s="130"/>
      <c r="F54" s="130"/>
      <c r="G54" s="130"/>
      <c r="H54" s="130"/>
    </row>
    <row r="55" spans="1:8" ht="30" x14ac:dyDescent="0.25">
      <c r="A55" s="134" t="s">
        <v>90</v>
      </c>
      <c r="B55" s="134" t="s">
        <v>120</v>
      </c>
      <c r="C55" s="134" t="s">
        <v>121</v>
      </c>
      <c r="D55" s="134" t="s">
        <v>122</v>
      </c>
      <c r="E55" s="135" t="s">
        <v>123</v>
      </c>
      <c r="F55" s="134" t="s">
        <v>124</v>
      </c>
      <c r="G55" s="134" t="s">
        <v>125</v>
      </c>
    </row>
    <row r="56" spans="1:8" x14ac:dyDescent="0.25">
      <c r="A56" s="130" t="s">
        <v>84</v>
      </c>
      <c r="B56" s="130" t="s">
        <v>85</v>
      </c>
      <c r="C56" s="130" t="s">
        <v>81</v>
      </c>
      <c r="D56" s="130" t="s">
        <v>82</v>
      </c>
      <c r="E56" s="130" t="s">
        <v>135</v>
      </c>
      <c r="F56" s="136">
        <v>42825</v>
      </c>
      <c r="G56" s="157">
        <v>1595000</v>
      </c>
    </row>
    <row r="57" spans="1:8" x14ac:dyDescent="0.25">
      <c r="A57" s="130" t="s">
        <v>84</v>
      </c>
      <c r="B57" s="130" t="s">
        <v>83</v>
      </c>
      <c r="C57" s="130" t="s">
        <v>81</v>
      </c>
      <c r="D57" s="130" t="s">
        <v>82</v>
      </c>
      <c r="E57" s="130" t="s">
        <v>135</v>
      </c>
      <c r="F57" s="136">
        <v>42916</v>
      </c>
      <c r="G57" s="157">
        <v>340000</v>
      </c>
    </row>
    <row r="58" spans="1:8" x14ac:dyDescent="0.25">
      <c r="A58" s="130" t="s">
        <v>84</v>
      </c>
      <c r="B58" s="130" t="s">
        <v>99</v>
      </c>
      <c r="C58" s="130" t="s">
        <v>81</v>
      </c>
      <c r="D58" s="130" t="s">
        <v>82</v>
      </c>
      <c r="E58" s="130" t="s">
        <v>129</v>
      </c>
      <c r="F58" s="136">
        <v>43008</v>
      </c>
      <c r="G58" s="157">
        <v>40000</v>
      </c>
    </row>
    <row r="59" spans="1:8" x14ac:dyDescent="0.25">
      <c r="A59" s="130" t="s">
        <v>84</v>
      </c>
      <c r="B59" s="130" t="s">
        <v>92</v>
      </c>
      <c r="C59" s="130" t="s">
        <v>81</v>
      </c>
      <c r="D59" s="130" t="s">
        <v>82</v>
      </c>
      <c r="E59" s="130" t="s">
        <v>136</v>
      </c>
      <c r="F59" s="136">
        <v>43028</v>
      </c>
      <c r="G59" s="157">
        <v>75000</v>
      </c>
    </row>
    <row r="60" spans="1:8" x14ac:dyDescent="0.25">
      <c r="A60" s="130" t="s">
        <v>84</v>
      </c>
      <c r="B60" s="130" t="s">
        <v>92</v>
      </c>
      <c r="C60" s="130" t="s">
        <v>81</v>
      </c>
      <c r="D60" s="130" t="s">
        <v>82</v>
      </c>
      <c r="E60" s="130" t="s">
        <v>136</v>
      </c>
      <c r="F60" s="136">
        <v>43035</v>
      </c>
      <c r="G60" s="157">
        <v>6672.92</v>
      </c>
    </row>
    <row r="61" spans="1:8" x14ac:dyDescent="0.25">
      <c r="A61" s="130" t="s">
        <v>84</v>
      </c>
      <c r="B61" s="130" t="s">
        <v>92</v>
      </c>
      <c r="C61" s="130" t="s">
        <v>81</v>
      </c>
      <c r="D61" s="130" t="s">
        <v>82</v>
      </c>
      <c r="E61" s="130" t="s">
        <v>136</v>
      </c>
      <c r="F61" s="136">
        <v>43035</v>
      </c>
      <c r="G61" s="157">
        <v>14934.14</v>
      </c>
    </row>
    <row r="62" spans="1:8" x14ac:dyDescent="0.25">
      <c r="A62" s="130" t="s">
        <v>84</v>
      </c>
      <c r="B62" s="130" t="s">
        <v>92</v>
      </c>
      <c r="C62" s="130" t="s">
        <v>81</v>
      </c>
      <c r="D62" s="130" t="s">
        <v>82</v>
      </c>
      <c r="E62" s="130" t="s">
        <v>136</v>
      </c>
      <c r="F62" s="136">
        <v>43035</v>
      </c>
      <c r="G62" s="140">
        <v>30285.9</v>
      </c>
    </row>
    <row r="63" spans="1:8" x14ac:dyDescent="0.25">
      <c r="A63" s="130" t="s">
        <v>84</v>
      </c>
      <c r="B63" s="130" t="s">
        <v>92</v>
      </c>
      <c r="C63" s="130" t="s">
        <v>81</v>
      </c>
      <c r="D63" s="130" t="s">
        <v>82</v>
      </c>
      <c r="E63" s="130" t="s">
        <v>136</v>
      </c>
      <c r="F63" s="136">
        <v>43035</v>
      </c>
      <c r="G63" s="140">
        <v>9311.9699999999993</v>
      </c>
    </row>
    <row r="64" spans="1:8" x14ac:dyDescent="0.25">
      <c r="A64" s="130" t="s">
        <v>84</v>
      </c>
      <c r="B64" s="130" t="s">
        <v>92</v>
      </c>
      <c r="C64" s="130" t="s">
        <v>81</v>
      </c>
      <c r="D64" s="130" t="s">
        <v>82</v>
      </c>
      <c r="E64" s="130" t="s">
        <v>136</v>
      </c>
      <c r="F64" s="136">
        <v>43035</v>
      </c>
      <c r="G64" s="140">
        <v>1212.45</v>
      </c>
    </row>
    <row r="65" spans="1:7" x14ac:dyDescent="0.25">
      <c r="A65" s="130" t="s">
        <v>84</v>
      </c>
      <c r="B65" s="130" t="s">
        <v>92</v>
      </c>
      <c r="C65" s="130" t="s">
        <v>81</v>
      </c>
      <c r="D65" s="130" t="s">
        <v>82</v>
      </c>
      <c r="E65" s="130" t="s">
        <v>136</v>
      </c>
      <c r="F65" s="136">
        <v>43035</v>
      </c>
      <c r="G65" s="140">
        <v>33319.14</v>
      </c>
    </row>
    <row r="66" spans="1:7" x14ac:dyDescent="0.25">
      <c r="A66" s="130" t="s">
        <v>84</v>
      </c>
      <c r="B66" s="130" t="s">
        <v>92</v>
      </c>
      <c r="C66" s="130" t="s">
        <v>81</v>
      </c>
      <c r="D66" s="130" t="s">
        <v>82</v>
      </c>
      <c r="E66" s="130" t="s">
        <v>136</v>
      </c>
      <c r="F66" s="136">
        <v>43035</v>
      </c>
      <c r="G66" s="140">
        <v>4863</v>
      </c>
    </row>
    <row r="67" spans="1:7" x14ac:dyDescent="0.25">
      <c r="A67" s="130" t="s">
        <v>84</v>
      </c>
      <c r="B67" s="130" t="s">
        <v>92</v>
      </c>
      <c r="C67" s="130" t="s">
        <v>81</v>
      </c>
      <c r="D67" s="130" t="s">
        <v>82</v>
      </c>
      <c r="E67" s="130" t="s">
        <v>136</v>
      </c>
      <c r="F67" s="136">
        <v>43056</v>
      </c>
      <c r="G67" s="140">
        <v>127707.24</v>
      </c>
    </row>
    <row r="68" spans="1:7" x14ac:dyDescent="0.25">
      <c r="A68" s="130" t="s">
        <v>84</v>
      </c>
      <c r="B68" s="130" t="s">
        <v>92</v>
      </c>
      <c r="C68" s="130" t="s">
        <v>81</v>
      </c>
      <c r="D68" s="130" t="s">
        <v>82</v>
      </c>
      <c r="E68" s="130" t="s">
        <v>136</v>
      </c>
      <c r="F68" s="136">
        <v>43059</v>
      </c>
      <c r="G68" s="140">
        <v>100000</v>
      </c>
    </row>
    <row r="69" spans="1:7" x14ac:dyDescent="0.25">
      <c r="A69" s="130" t="s">
        <v>84</v>
      </c>
      <c r="B69" s="130" t="s">
        <v>91</v>
      </c>
      <c r="C69" s="130" t="s">
        <v>81</v>
      </c>
      <c r="D69" s="130" t="s">
        <v>82</v>
      </c>
      <c r="E69" s="130" t="s">
        <v>137</v>
      </c>
      <c r="F69" s="136">
        <v>43059</v>
      </c>
      <c r="G69" s="140">
        <v>400000</v>
      </c>
    </row>
    <row r="70" spans="1:7" x14ac:dyDescent="0.25">
      <c r="A70" s="130" t="s">
        <v>84</v>
      </c>
      <c r="B70" s="130" t="s">
        <v>92</v>
      </c>
      <c r="C70" s="130" t="s">
        <v>81</v>
      </c>
      <c r="D70" s="130" t="s">
        <v>82</v>
      </c>
      <c r="E70" s="130" t="s">
        <v>136</v>
      </c>
      <c r="F70" s="136">
        <v>43060</v>
      </c>
      <c r="G70" s="140">
        <v>24000</v>
      </c>
    </row>
    <row r="71" spans="1:7" x14ac:dyDescent="0.25">
      <c r="A71" s="130" t="s">
        <v>84</v>
      </c>
      <c r="B71" s="130" t="s">
        <v>94</v>
      </c>
      <c r="C71" s="130" t="s">
        <v>81</v>
      </c>
      <c r="D71" s="130" t="s">
        <v>82</v>
      </c>
      <c r="E71" s="130" t="s">
        <v>138</v>
      </c>
      <c r="F71" s="136">
        <v>43089</v>
      </c>
      <c r="G71" s="140">
        <v>10000</v>
      </c>
    </row>
    <row r="72" spans="1:7" ht="15.75" thickBot="1" x14ac:dyDescent="0.3">
      <c r="A72" s="138" t="s">
        <v>80</v>
      </c>
      <c r="B72" s="138" t="s">
        <v>80</v>
      </c>
      <c r="C72" s="138" t="s">
        <v>80</v>
      </c>
      <c r="D72" s="138" t="s">
        <v>80</v>
      </c>
      <c r="E72" s="138" t="s">
        <v>80</v>
      </c>
      <c r="F72" s="138" t="s">
        <v>80</v>
      </c>
      <c r="G72" s="139">
        <f>SUM(G56:G71)</f>
        <v>2812306.7600000007</v>
      </c>
    </row>
    <row r="73" spans="1:7" ht="15.75" thickTop="1" x14ac:dyDescent="0.25"/>
  </sheetData>
  <pageMargins left="0.7" right="0.7" top="0.75" bottom="0.75" header="0.3" footer="0.3"/>
  <pageSetup scale="5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/>
  </sheetViews>
  <sheetFormatPr defaultColWidth="8.85546875" defaultRowHeight="15" x14ac:dyDescent="0.25"/>
  <cols>
    <col min="1" max="1" width="60.28515625" style="104" customWidth="1"/>
    <col min="2" max="2" width="14.7109375" style="104" customWidth="1"/>
    <col min="3" max="3" width="12.28515625" style="104" customWidth="1"/>
    <col min="4" max="4" width="11" style="104" bestFit="1" customWidth="1"/>
    <col min="5" max="5" width="5.85546875" style="104" customWidth="1"/>
    <col min="6" max="6" width="11.42578125" style="104" customWidth="1"/>
    <col min="7" max="7" width="9.140625" style="104" bestFit="1" customWidth="1"/>
    <col min="8" max="8" width="5.140625" style="104" customWidth="1"/>
    <col min="9" max="16384" width="8.85546875" style="104"/>
  </cols>
  <sheetData>
    <row r="1" spans="1:8" x14ac:dyDescent="0.25">
      <c r="A1" s="104" t="s">
        <v>69</v>
      </c>
      <c r="B1" s="105" t="s">
        <v>51</v>
      </c>
    </row>
    <row r="2" spans="1:8" x14ac:dyDescent="0.25">
      <c r="A2" s="104" t="s">
        <v>70</v>
      </c>
      <c r="B2" s="105" t="s">
        <v>50</v>
      </c>
    </row>
    <row r="3" spans="1:8" x14ac:dyDescent="0.25">
      <c r="A3" s="104" t="s">
        <v>16</v>
      </c>
      <c r="B3" s="104" t="s">
        <v>52</v>
      </c>
    </row>
    <row r="6" spans="1:8" x14ac:dyDescent="0.25">
      <c r="D6" s="106" t="s">
        <v>67</v>
      </c>
      <c r="G6" s="106" t="s">
        <v>34</v>
      </c>
    </row>
    <row r="7" spans="1:8" x14ac:dyDescent="0.25">
      <c r="D7" s="106" t="s">
        <v>53</v>
      </c>
      <c r="G7" s="106" t="s">
        <v>53</v>
      </c>
    </row>
    <row r="8" spans="1:8" x14ac:dyDescent="0.25">
      <c r="C8" s="106" t="s">
        <v>35</v>
      </c>
      <c r="D8" s="106" t="s">
        <v>54</v>
      </c>
      <c r="F8" s="106" t="s">
        <v>34</v>
      </c>
      <c r="G8" s="106" t="s">
        <v>54</v>
      </c>
    </row>
    <row r="9" spans="1:8" x14ac:dyDescent="0.25">
      <c r="C9" s="106" t="s">
        <v>42</v>
      </c>
      <c r="D9" s="106" t="s">
        <v>42</v>
      </c>
      <c r="E9" s="105" t="s">
        <v>49</v>
      </c>
      <c r="F9" s="106" t="s">
        <v>42</v>
      </c>
      <c r="G9" s="106" t="s">
        <v>42</v>
      </c>
      <c r="H9" s="105" t="s">
        <v>49</v>
      </c>
    </row>
    <row r="10" spans="1:8" x14ac:dyDescent="0.25">
      <c r="A10" s="104" t="s">
        <v>17</v>
      </c>
      <c r="B10" s="106" t="s">
        <v>18</v>
      </c>
    </row>
    <row r="11" spans="1:8" x14ac:dyDescent="0.25">
      <c r="A11" s="104" t="s">
        <v>19</v>
      </c>
      <c r="B11" s="108">
        <v>471120.79</v>
      </c>
      <c r="C11" s="113">
        <v>112500</v>
      </c>
      <c r="D11" s="113">
        <v>358620.79</v>
      </c>
      <c r="E11" s="109">
        <f>B11-SUM(C11:D11)</f>
        <v>0</v>
      </c>
      <c r="F11" s="109"/>
      <c r="G11" s="109"/>
      <c r="H11" s="109"/>
    </row>
    <row r="12" spans="1:8" x14ac:dyDescent="0.25">
      <c r="A12" s="104" t="s">
        <v>20</v>
      </c>
      <c r="B12" s="108">
        <v>471120.79</v>
      </c>
      <c r="C12" s="109"/>
      <c r="D12" s="109"/>
      <c r="E12" s="109"/>
      <c r="F12" s="109"/>
      <c r="G12" s="109"/>
      <c r="H12" s="109"/>
    </row>
    <row r="13" spans="1:8" x14ac:dyDescent="0.25">
      <c r="A13" s="104" t="s">
        <v>21</v>
      </c>
      <c r="B13" s="108">
        <v>141596.79999999999</v>
      </c>
      <c r="C13" s="109"/>
      <c r="D13" s="109"/>
      <c r="E13" s="109"/>
      <c r="F13" s="113">
        <v>137500</v>
      </c>
      <c r="G13" s="113">
        <v>4096.8</v>
      </c>
      <c r="H13" s="109">
        <f>B13-SUM(F13:G13)</f>
        <v>0</v>
      </c>
    </row>
    <row r="14" spans="1:8" x14ac:dyDescent="0.25">
      <c r="A14" s="104" t="s">
        <v>22</v>
      </c>
      <c r="B14" s="108">
        <v>141596.79999999999</v>
      </c>
      <c r="C14" s="109"/>
      <c r="D14" s="109"/>
      <c r="E14" s="109"/>
      <c r="F14" s="109"/>
      <c r="G14" s="109"/>
      <c r="H14" s="109"/>
    </row>
    <row r="15" spans="1:8" x14ac:dyDescent="0.25">
      <c r="A15" s="104" t="s">
        <v>23</v>
      </c>
      <c r="B15" s="108">
        <v>0</v>
      </c>
      <c r="C15" s="109"/>
      <c r="D15" s="109"/>
      <c r="E15" s="109"/>
      <c r="F15" s="109"/>
      <c r="G15" s="109"/>
      <c r="H15" s="109"/>
    </row>
    <row r="16" spans="1:8" x14ac:dyDescent="0.25">
      <c r="A16" s="104" t="s">
        <v>24</v>
      </c>
      <c r="B16" s="108">
        <v>292.95</v>
      </c>
      <c r="C16" s="109"/>
      <c r="D16" s="109"/>
      <c r="E16" s="109"/>
      <c r="F16" s="109"/>
      <c r="G16" s="109"/>
      <c r="H16" s="109"/>
    </row>
    <row r="17" spans="1:8" x14ac:dyDescent="0.25">
      <c r="A17" s="104" t="s">
        <v>25</v>
      </c>
      <c r="B17" s="108">
        <v>249779.59</v>
      </c>
      <c r="C17" s="109"/>
      <c r="D17" s="109"/>
      <c r="E17" s="109"/>
      <c r="F17" s="109"/>
      <c r="G17" s="109"/>
      <c r="H17" s="109"/>
    </row>
    <row r="18" spans="1:8" x14ac:dyDescent="0.25">
      <c r="A18" s="104" t="s">
        <v>26</v>
      </c>
      <c r="B18" s="108">
        <v>879997.34</v>
      </c>
      <c r="C18" s="109"/>
      <c r="D18" s="109"/>
      <c r="E18" s="109"/>
      <c r="F18" s="109"/>
      <c r="G18" s="109"/>
      <c r="H18" s="109"/>
    </row>
    <row r="19" spans="1:8" x14ac:dyDescent="0.25">
      <c r="A19" s="104" t="s">
        <v>27</v>
      </c>
      <c r="B19" s="108">
        <v>1093772.19</v>
      </c>
      <c r="C19" s="109"/>
      <c r="D19" s="109"/>
      <c r="E19" s="109"/>
      <c r="F19" s="109"/>
      <c r="G19" s="109"/>
      <c r="H19" s="109"/>
    </row>
    <row r="20" spans="1:8" x14ac:dyDescent="0.25">
      <c r="A20" s="104" t="s">
        <v>28</v>
      </c>
      <c r="B20" s="108">
        <v>-930751.8</v>
      </c>
      <c r="C20" s="109"/>
      <c r="D20" s="109"/>
      <c r="E20" s="109"/>
      <c r="F20" s="109"/>
      <c r="G20" s="109"/>
      <c r="H20" s="109"/>
    </row>
    <row r="21" spans="1:8" x14ac:dyDescent="0.25">
      <c r="A21" s="104" t="s">
        <v>29</v>
      </c>
      <c r="B21" s="108">
        <v>39643.22</v>
      </c>
      <c r="C21" s="109"/>
      <c r="D21" s="109"/>
      <c r="E21" s="109"/>
      <c r="F21" s="109"/>
      <c r="G21" s="109"/>
      <c r="H21" s="109"/>
    </row>
    <row r="22" spans="1:8" x14ac:dyDescent="0.25">
      <c r="A22" s="104" t="s">
        <v>30</v>
      </c>
      <c r="B22" s="108">
        <v>1332733.49</v>
      </c>
      <c r="C22" s="109"/>
      <c r="D22" s="109"/>
      <c r="E22" s="109"/>
      <c r="F22" s="109"/>
      <c r="G22" s="109"/>
      <c r="H22" s="109"/>
    </row>
    <row r="23" spans="1:8" x14ac:dyDescent="0.25">
      <c r="A23" s="104" t="s">
        <v>31</v>
      </c>
      <c r="B23" s="108">
        <v>1945451.08</v>
      </c>
      <c r="C23" s="109"/>
      <c r="D23" s="109"/>
      <c r="E23" s="109"/>
      <c r="F23" s="109"/>
      <c r="G23" s="109"/>
      <c r="H23" s="109"/>
    </row>
    <row r="24" spans="1:8" x14ac:dyDescent="0.25">
      <c r="A24" s="104" t="s">
        <v>48</v>
      </c>
      <c r="B24" s="108">
        <v>1945451.08</v>
      </c>
      <c r="C24" s="109"/>
      <c r="D24" s="109"/>
      <c r="E24" s="109"/>
      <c r="F24" s="109"/>
      <c r="G24" s="109"/>
      <c r="H24" s="109"/>
    </row>
    <row r="25" spans="1:8" x14ac:dyDescent="0.25">
      <c r="C25" s="109"/>
      <c r="D25" s="109"/>
      <c r="E25" s="109"/>
      <c r="F25" s="109"/>
      <c r="G25" s="109"/>
      <c r="H25" s="109"/>
    </row>
    <row r="26" spans="1:8" x14ac:dyDescent="0.25">
      <c r="A26" s="103" t="s">
        <v>66</v>
      </c>
      <c r="C26" s="109"/>
      <c r="D26" s="109"/>
      <c r="E26" s="109"/>
      <c r="F26" s="109"/>
      <c r="G26" s="109"/>
      <c r="H26" s="109"/>
    </row>
    <row r="27" spans="1:8" x14ac:dyDescent="0.25">
      <c r="A27" s="104" t="s">
        <v>71</v>
      </c>
      <c r="B27" s="110">
        <v>0.58099999999999996</v>
      </c>
      <c r="C27" s="109"/>
      <c r="D27" s="109"/>
      <c r="E27" s="109"/>
      <c r="F27" s="109"/>
      <c r="G27" s="109"/>
      <c r="H27" s="109"/>
    </row>
    <row r="28" spans="1:8" x14ac:dyDescent="0.25">
      <c r="A28" s="104" t="s">
        <v>71</v>
      </c>
      <c r="B28" s="110">
        <v>0.41899999999999998</v>
      </c>
      <c r="C28" s="109"/>
      <c r="D28" s="109"/>
      <c r="E28" s="109"/>
      <c r="F28" s="109"/>
      <c r="G28" s="109"/>
      <c r="H28" s="109"/>
    </row>
    <row r="29" spans="1:8" x14ac:dyDescent="0.25">
      <c r="C29" s="109"/>
      <c r="D29" s="109"/>
      <c r="E29" s="109"/>
      <c r="F29" s="109"/>
      <c r="G29" s="109"/>
      <c r="H29" s="109"/>
    </row>
    <row r="30" spans="1:8" x14ac:dyDescent="0.25">
      <c r="A30" s="107" t="s">
        <v>32</v>
      </c>
      <c r="B30" s="108">
        <f>B15</f>
        <v>0</v>
      </c>
      <c r="C30" s="109"/>
      <c r="D30" s="109"/>
      <c r="E30" s="109"/>
      <c r="F30" s="109"/>
      <c r="G30" s="109"/>
      <c r="H30" s="109"/>
    </row>
    <row r="31" spans="1:8" x14ac:dyDescent="0.25">
      <c r="A31" s="104" t="s">
        <v>58</v>
      </c>
      <c r="B31" s="108">
        <f>B27*B30</f>
        <v>0</v>
      </c>
      <c r="C31" s="109"/>
      <c r="D31" s="109"/>
      <c r="E31" s="109"/>
      <c r="F31" s="109"/>
      <c r="G31" s="109"/>
      <c r="H31" s="109"/>
    </row>
    <row r="32" spans="1:8" x14ac:dyDescent="0.25">
      <c r="A32" s="104" t="s">
        <v>59</v>
      </c>
      <c r="B32" s="108">
        <f>B28*B30</f>
        <v>0</v>
      </c>
      <c r="C32" s="109"/>
      <c r="D32" s="109"/>
      <c r="E32" s="109"/>
      <c r="F32" s="109"/>
      <c r="G32" s="109"/>
      <c r="H32" s="109"/>
    </row>
    <row r="33" spans="1:8" x14ac:dyDescent="0.25">
      <c r="C33" s="109"/>
      <c r="D33" s="109"/>
      <c r="E33" s="109"/>
      <c r="F33" s="109"/>
      <c r="G33" s="109"/>
      <c r="H33" s="109"/>
    </row>
    <row r="34" spans="1:8" x14ac:dyDescent="0.25">
      <c r="A34" s="107" t="s">
        <v>62</v>
      </c>
      <c r="B34" s="108">
        <f>B20</f>
        <v>-930751.8</v>
      </c>
      <c r="C34" s="109"/>
      <c r="D34" s="109"/>
      <c r="E34" s="109"/>
      <c r="F34" s="109"/>
      <c r="G34" s="109"/>
      <c r="H34" s="109"/>
    </row>
    <row r="35" spans="1:8" x14ac:dyDescent="0.25">
      <c r="A35" s="104" t="s">
        <v>60</v>
      </c>
      <c r="B35" s="108">
        <f>B27*B34</f>
        <v>-540766.79579999996</v>
      </c>
      <c r="C35" s="109"/>
      <c r="D35" s="109">
        <f>B35</f>
        <v>-540766.79579999996</v>
      </c>
      <c r="E35" s="109"/>
      <c r="F35" s="109"/>
      <c r="G35" s="109"/>
      <c r="H35" s="109"/>
    </row>
    <row r="36" spans="1:8" x14ac:dyDescent="0.25">
      <c r="A36" s="104" t="s">
        <v>61</v>
      </c>
      <c r="B36" s="108">
        <f>B28*B34</f>
        <v>-389985.00420000002</v>
      </c>
      <c r="C36" s="109"/>
      <c r="D36" s="109"/>
      <c r="E36" s="109"/>
      <c r="F36" s="109"/>
      <c r="G36" s="109">
        <f>B36</f>
        <v>-389985.00420000002</v>
      </c>
      <c r="H36" s="109"/>
    </row>
    <row r="37" spans="1:8" x14ac:dyDescent="0.25">
      <c r="C37" s="109"/>
      <c r="D37" s="109"/>
      <c r="E37" s="109"/>
      <c r="F37" s="109"/>
      <c r="G37" s="109"/>
      <c r="H37" s="109"/>
    </row>
    <row r="38" spans="1:8" x14ac:dyDescent="0.25">
      <c r="A38" s="107" t="s">
        <v>55</v>
      </c>
      <c r="B38" s="108">
        <f>B19</f>
        <v>1093772.19</v>
      </c>
      <c r="C38" s="109"/>
      <c r="D38" s="109"/>
      <c r="E38" s="109"/>
      <c r="F38" s="109"/>
      <c r="G38" s="109"/>
      <c r="H38" s="109"/>
    </row>
    <row r="39" spans="1:8" x14ac:dyDescent="0.25">
      <c r="A39" s="104" t="s">
        <v>63</v>
      </c>
      <c r="B39" s="108">
        <f>B27*B38</f>
        <v>635481.64238999994</v>
      </c>
      <c r="C39" s="109"/>
      <c r="D39" s="109">
        <f>B39</f>
        <v>635481.64238999994</v>
      </c>
      <c r="E39" s="109"/>
      <c r="F39" s="109"/>
      <c r="G39" s="109"/>
      <c r="H39" s="109"/>
    </row>
    <row r="40" spans="1:8" x14ac:dyDescent="0.25">
      <c r="A40" s="104" t="s">
        <v>64</v>
      </c>
      <c r="B40" s="108">
        <f>B28*B38</f>
        <v>458290.54760999995</v>
      </c>
      <c r="C40" s="109"/>
      <c r="D40" s="109"/>
      <c r="E40" s="109"/>
      <c r="F40" s="109"/>
      <c r="G40" s="109">
        <f>B40</f>
        <v>458290.54760999995</v>
      </c>
      <c r="H40" s="109"/>
    </row>
    <row r="41" spans="1:8" x14ac:dyDescent="0.25">
      <c r="C41" s="109"/>
      <c r="D41" s="109"/>
      <c r="E41" s="109"/>
      <c r="F41" s="109"/>
      <c r="G41" s="109"/>
      <c r="H41" s="109"/>
    </row>
    <row r="42" spans="1:8" x14ac:dyDescent="0.25">
      <c r="A42" s="107" t="s">
        <v>56</v>
      </c>
      <c r="B42" s="108">
        <f>B21</f>
        <v>39643.22</v>
      </c>
      <c r="C42" s="109"/>
      <c r="D42" s="109"/>
      <c r="E42" s="109"/>
      <c r="F42" s="109"/>
      <c r="G42" s="109"/>
      <c r="H42" s="109"/>
    </row>
    <row r="43" spans="1:8" x14ac:dyDescent="0.25">
      <c r="A43" s="104" t="s">
        <v>57</v>
      </c>
      <c r="B43" s="108">
        <f>B27*B42</f>
        <v>23032.71082</v>
      </c>
      <c r="C43" s="109"/>
      <c r="D43" s="109">
        <f>B43</f>
        <v>23032.71082</v>
      </c>
      <c r="E43" s="109"/>
      <c r="F43" s="109"/>
      <c r="G43" s="109"/>
      <c r="H43" s="109"/>
    </row>
    <row r="44" spans="1:8" x14ac:dyDescent="0.25">
      <c r="A44" s="104" t="s">
        <v>65</v>
      </c>
      <c r="B44" s="108">
        <f>B28*B42</f>
        <v>16610.509180000001</v>
      </c>
      <c r="C44" s="109"/>
      <c r="D44" s="109"/>
      <c r="E44" s="109"/>
      <c r="F44" s="109"/>
      <c r="G44" s="109">
        <f>B44</f>
        <v>16610.509180000001</v>
      </c>
      <c r="H44" s="109"/>
    </row>
    <row r="45" spans="1:8" ht="15.75" thickBot="1" x14ac:dyDescent="0.3">
      <c r="C45" s="111">
        <f>SUM(C11:C44)</f>
        <v>112500</v>
      </c>
      <c r="D45" s="111">
        <f>SUM(D11:D44)</f>
        <v>476368.34740999993</v>
      </c>
      <c r="E45" s="112"/>
      <c r="F45" s="111">
        <f t="shared" ref="F45:G45" si="0">SUM(F11:F44)</f>
        <v>137500</v>
      </c>
      <c r="G45" s="111">
        <f t="shared" si="0"/>
        <v>89012.852589999908</v>
      </c>
      <c r="H45" s="109">
        <f>SUM(B11+B13+SUM(B19:B21)-SUM(C45:G45))</f>
        <v>0</v>
      </c>
    </row>
    <row r="46" spans="1:8" ht="15.75" thickTop="1" x14ac:dyDescent="0.25">
      <c r="C46" s="109"/>
      <c r="D46" s="109"/>
      <c r="E46" s="109"/>
      <c r="F46" s="109"/>
      <c r="G46" s="109"/>
      <c r="H46" s="109"/>
    </row>
    <row r="47" spans="1:8" x14ac:dyDescent="0.25">
      <c r="C47" s="109"/>
      <c r="D47" s="109"/>
      <c r="E47" s="108"/>
      <c r="F47" s="109"/>
      <c r="G47" s="109"/>
      <c r="H47" s="109"/>
    </row>
    <row r="48" spans="1:8" x14ac:dyDescent="0.25">
      <c r="D48" s="109"/>
      <c r="E48" s="109"/>
      <c r="F48" s="109"/>
      <c r="G48" s="109"/>
      <c r="H48" s="109"/>
    </row>
    <row r="49" spans="4:8" x14ac:dyDescent="0.25">
      <c r="D49" s="109"/>
      <c r="E49" s="109"/>
      <c r="F49" s="109"/>
      <c r="G49" s="109"/>
      <c r="H49" s="109"/>
    </row>
  </sheetData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0BAAEDE-4DAD-4054-9445-9F816E799159}"/>
</file>

<file path=customXml/itemProps2.xml><?xml version="1.0" encoding="utf-8"?>
<ds:datastoreItem xmlns:ds="http://schemas.openxmlformats.org/officeDocument/2006/customXml" ds:itemID="{ABB9C5D5-8C3E-424A-9AF4-8D3DDAE7D030}"/>
</file>

<file path=customXml/itemProps3.xml><?xml version="1.0" encoding="utf-8"?>
<ds:datastoreItem xmlns:ds="http://schemas.openxmlformats.org/officeDocument/2006/customXml" ds:itemID="{7F90A888-A815-4056-AEEC-12E9504D621F}"/>
</file>

<file path=customXml/itemProps4.xml><?xml version="1.0" encoding="utf-8"?>
<ds:datastoreItem xmlns:ds="http://schemas.openxmlformats.org/officeDocument/2006/customXml" ds:itemID="{2831408F-988D-431D-8DF9-185E3F1294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 E</vt:lpstr>
      <vt:lpstr>Lead G</vt:lpstr>
      <vt:lpstr>3 Yr Aver. Accruals-Elec</vt:lpstr>
      <vt:lpstr>3 Yr Aver. Accruals-Gas</vt:lpstr>
      <vt:lpstr> 3 Yr Aver. Payments-Elec</vt:lpstr>
      <vt:lpstr> 3 Yr Aver. Payments-Gas</vt:lpstr>
      <vt:lpstr>ZO12 Inj &amp; Dam 12ME 12-2018</vt:lpstr>
      <vt:lpstr>ZO12 Inj &amp; Dam 12ME 12-2017</vt:lpstr>
      <vt:lpstr>ZO12 925 Inj &amp; Dam 12-2016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NC</cp:lastModifiedBy>
  <cp:lastPrinted>2019-05-31T18:40:35Z</cp:lastPrinted>
  <dcterms:created xsi:type="dcterms:W3CDTF">2016-07-06T16:24:09Z</dcterms:created>
  <dcterms:modified xsi:type="dcterms:W3CDTF">2019-07-31T15:33:54Z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