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9CD2F5C-86EE-4B59-9E68-53A89CC8DE28}" xr6:coauthVersionLast="47" xr6:coauthVersionMax="47" xr10:uidLastSave="{00000000-0000-0000-0000-000000000000}"/>
  <bookViews>
    <workbookView xWindow="-120" yWindow="-120" windowWidth="29040" windowHeight="15840" tabRatio="817" xr2:uid="{A8FF2048-C3F7-460D-9750-310E410E493E}"/>
  </bookViews>
  <sheets>
    <sheet name="4.2" sheetId="11" r:id="rId1"/>
    <sheet name="4.3" sheetId="1" r:id="rId2"/>
    <sheet name="4.3.1" sheetId="2" r:id="rId3"/>
    <sheet name="4.3.2" sheetId="3" r:id="rId4"/>
    <sheet name="4.3.3" sheetId="4" r:id="rId5"/>
    <sheet name="4.3.4" sheetId="5" r:id="rId6"/>
    <sheet name="4.3.5_REDACTED" sheetId="6" r:id="rId7"/>
    <sheet name="4.3.6" sheetId="7" r:id="rId8"/>
    <sheet name="4.3.7" sheetId="8" r:id="rId9"/>
    <sheet name="4.3.8" sheetId="9" r:id="rId10"/>
    <sheet name="4.3.9" sheetId="10" r:id="rId11"/>
  </sheets>
  <definedNames>
    <definedName name="_xlnm._FilterDatabase" localSheetId="9" hidden="1">'4.3.8'!$K$7:$L$75</definedName>
    <definedName name="_xlnm.Print_Area" localSheetId="2">'4.3.1'!$A$1:$K$26</definedName>
    <definedName name="_xlnm.Print_Area" localSheetId="5">'4.3.4'!$A$1:$P$62</definedName>
    <definedName name="_xlnm.Print_Area" localSheetId="9">'4.3.8'!$A$1:$I$81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I10" i="1" s="1"/>
  <c r="F11" i="11"/>
  <c r="I11" i="11" s="1"/>
  <c r="I44" i="1"/>
  <c r="I42" i="1"/>
  <c r="I41" i="1"/>
  <c r="I39" i="1"/>
  <c r="I36" i="1"/>
  <c r="I34" i="1"/>
  <c r="I31" i="1"/>
  <c r="I25" i="1"/>
  <c r="F45" i="1"/>
  <c r="I45" i="1" s="1"/>
  <c r="F44" i="1"/>
  <c r="F43" i="1"/>
  <c r="I43" i="1" s="1"/>
  <c r="F42" i="1"/>
  <c r="F41" i="1"/>
  <c r="F40" i="1"/>
  <c r="I40" i="1" s="1"/>
  <c r="F39" i="1"/>
  <c r="F38" i="1"/>
  <c r="I38" i="1" s="1"/>
  <c r="F37" i="1"/>
  <c r="I37" i="1" s="1"/>
  <c r="F36" i="1"/>
  <c r="F35" i="1"/>
  <c r="I35" i="1" s="1"/>
  <c r="F34" i="1"/>
  <c r="F33" i="1"/>
  <c r="I33" i="1" s="1"/>
  <c r="F32" i="1"/>
  <c r="I32" i="1" s="1"/>
  <c r="F31" i="1"/>
  <c r="F30" i="1"/>
  <c r="I30" i="1" s="1"/>
  <c r="F29" i="1"/>
  <c r="I29" i="1" s="1"/>
  <c r="F28" i="1"/>
  <c r="I28" i="1" s="1"/>
  <c r="F27" i="1"/>
  <c r="I27" i="1" s="1"/>
  <c r="F26" i="1"/>
  <c r="I26" i="1" s="1"/>
  <c r="F25" i="1"/>
  <c r="F24" i="1"/>
  <c r="I24" i="1" s="1"/>
  <c r="F23" i="1"/>
  <c r="I23" i="1" s="1"/>
  <c r="F22" i="1"/>
  <c r="I22" i="1" s="1"/>
  <c r="F21" i="1"/>
  <c r="I21" i="1" s="1"/>
  <c r="F20" i="1"/>
  <c r="I20" i="1" s="1"/>
  <c r="F19" i="1"/>
  <c r="I19" i="1" s="1"/>
  <c r="F18" i="1"/>
  <c r="I18" i="1" s="1"/>
  <c r="F17" i="1"/>
  <c r="I17" i="1" s="1"/>
  <c r="F16" i="1"/>
  <c r="I16" i="1" s="1"/>
  <c r="F15" i="1"/>
  <c r="I15" i="1" s="1"/>
  <c r="F14" i="1"/>
  <c r="I14" i="1" s="1"/>
  <c r="F13" i="1"/>
  <c r="I13" i="1" s="1"/>
  <c r="F12" i="1"/>
  <c r="I12" i="1" s="1"/>
  <c r="F11" i="1"/>
  <c r="I11" i="1" s="1"/>
  <c r="I45" i="11"/>
  <c r="I43" i="11"/>
  <c r="I42" i="11"/>
  <c r="I40" i="11"/>
  <c r="I37" i="11"/>
  <c r="I35" i="11"/>
  <c r="I32" i="11"/>
  <c r="I26" i="11"/>
  <c r="F46" i="11"/>
  <c r="I46" i="11" s="1"/>
  <c r="F45" i="11"/>
  <c r="F44" i="11"/>
  <c r="I44" i="11" s="1"/>
  <c r="F43" i="11"/>
  <c r="F42" i="11"/>
  <c r="F41" i="11"/>
  <c r="I41" i="11" s="1"/>
  <c r="F40" i="11"/>
  <c r="F39" i="11"/>
  <c r="I39" i="11" s="1"/>
  <c r="F38" i="11"/>
  <c r="I38" i="11" s="1"/>
  <c r="F37" i="11"/>
  <c r="F36" i="11"/>
  <c r="I36" i="11" s="1"/>
  <c r="F35" i="11"/>
  <c r="F34" i="11"/>
  <c r="I34" i="11" s="1"/>
  <c r="F33" i="11"/>
  <c r="I33" i="11" s="1"/>
  <c r="F31" i="11"/>
  <c r="I31" i="11" s="1"/>
  <c r="F30" i="11"/>
  <c r="I30" i="11" s="1"/>
  <c r="F29" i="11"/>
  <c r="I29" i="11" s="1"/>
  <c r="F28" i="11"/>
  <c r="I28" i="11" s="1"/>
  <c r="F27" i="11"/>
  <c r="I27" i="11" s="1"/>
  <c r="F26" i="11"/>
  <c r="F25" i="11"/>
  <c r="I25" i="11" s="1"/>
  <c r="F24" i="11"/>
  <c r="I24" i="11" s="1"/>
  <c r="F23" i="11"/>
  <c r="I23" i="11" s="1"/>
  <c r="F22" i="11"/>
  <c r="I22" i="11" s="1"/>
  <c r="F21" i="11"/>
  <c r="I21" i="11" s="1"/>
  <c r="F20" i="11"/>
  <c r="I20" i="11" s="1"/>
  <c r="F19" i="11"/>
  <c r="I19" i="11" s="1"/>
  <c r="F18" i="11"/>
  <c r="I18" i="11" s="1"/>
  <c r="F17" i="11"/>
  <c r="I17" i="11" s="1"/>
  <c r="F16" i="11"/>
  <c r="I16" i="11" s="1"/>
  <c r="F15" i="11"/>
  <c r="I15" i="11" s="1"/>
  <c r="F14" i="11"/>
  <c r="I14" i="11" s="1"/>
  <c r="F13" i="11"/>
  <c r="I13" i="11" s="1"/>
  <c r="F12" i="11"/>
  <c r="I12" i="11" s="1"/>
  <c r="F32" i="11"/>
  <c r="L61" i="9"/>
  <c r="L75" i="9"/>
  <c r="L74" i="9"/>
  <c r="L73" i="9"/>
  <c r="L72" i="9"/>
  <c r="L71" i="9"/>
  <c r="L70" i="9"/>
  <c r="L69" i="9"/>
  <c r="L68" i="9"/>
  <c r="L67" i="9"/>
  <c r="L66" i="9"/>
  <c r="L65" i="9"/>
  <c r="L64" i="9"/>
  <c r="L63" i="9"/>
  <c r="L62"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F47" i="11" l="1"/>
  <c r="I47" i="11"/>
  <c r="I46" i="1"/>
  <c r="F46" i="1"/>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B79" i="9"/>
  <c r="N60" i="6"/>
  <c r="M60" i="6"/>
  <c r="L60" i="6"/>
  <c r="K60" i="6"/>
  <c r="J60" i="6"/>
  <c r="I60" i="6"/>
  <c r="H60" i="6"/>
  <c r="G60" i="6"/>
  <c r="F60" i="6"/>
  <c r="E60" i="6"/>
  <c r="D60" i="6"/>
  <c r="C60" i="6"/>
  <c r="N58" i="6"/>
  <c r="M58" i="6"/>
  <c r="L58" i="6"/>
  <c r="K58" i="6"/>
  <c r="J58" i="6"/>
  <c r="I58" i="6"/>
  <c r="H58" i="6"/>
  <c r="G58" i="6"/>
  <c r="F58" i="6"/>
  <c r="E58" i="6"/>
  <c r="D58" i="6"/>
  <c r="C58" i="6"/>
  <c r="N57" i="6"/>
  <c r="M57" i="6"/>
  <c r="L57" i="6"/>
  <c r="K57" i="6"/>
  <c r="J57" i="6"/>
  <c r="I57" i="6"/>
  <c r="H57" i="6"/>
  <c r="G57" i="6"/>
  <c r="F57" i="6"/>
  <c r="E57" i="6"/>
  <c r="D57" i="6"/>
  <c r="C57" i="6"/>
  <c r="N56" i="6"/>
  <c r="M56" i="6"/>
  <c r="L56" i="6"/>
  <c r="K56" i="6"/>
  <c r="J56" i="6"/>
  <c r="I56" i="6"/>
  <c r="H56" i="6"/>
  <c r="G56" i="6"/>
  <c r="F56" i="6"/>
  <c r="E56" i="6"/>
  <c r="D56" i="6"/>
  <c r="C56" i="6"/>
  <c r="N55" i="6"/>
  <c r="M55" i="6"/>
  <c r="L55" i="6"/>
  <c r="K55" i="6"/>
  <c r="J55" i="6"/>
  <c r="I55" i="6"/>
  <c r="H55" i="6"/>
  <c r="G55" i="6"/>
  <c r="F55" i="6"/>
  <c r="E55" i="6"/>
  <c r="D55" i="6"/>
  <c r="C55" i="6"/>
  <c r="N53" i="6"/>
  <c r="M53" i="6"/>
  <c r="L53" i="6"/>
  <c r="K53" i="6"/>
  <c r="J53" i="6"/>
  <c r="I53" i="6"/>
  <c r="H53" i="6"/>
  <c r="G53" i="6"/>
  <c r="F53" i="6"/>
  <c r="E53" i="6"/>
  <c r="D53" i="6"/>
  <c r="C53" i="6"/>
  <c r="N52" i="6"/>
  <c r="M52" i="6"/>
  <c r="L52" i="6"/>
  <c r="K52" i="6"/>
  <c r="J52" i="6"/>
  <c r="I52" i="6"/>
  <c r="H52" i="6"/>
  <c r="G52" i="6"/>
  <c r="F52" i="6"/>
  <c r="E52" i="6"/>
  <c r="D52" i="6"/>
  <c r="O52" i="6" s="1"/>
  <c r="C52" i="6"/>
  <c r="N51" i="6"/>
  <c r="M51" i="6"/>
  <c r="L51" i="6"/>
  <c r="K51" i="6"/>
  <c r="J51" i="6"/>
  <c r="I51" i="6"/>
  <c r="H51" i="6"/>
  <c r="G51" i="6"/>
  <c r="F51" i="6"/>
  <c r="E51" i="6"/>
  <c r="D51" i="6"/>
  <c r="C51" i="6"/>
  <c r="N50" i="6"/>
  <c r="M50" i="6"/>
  <c r="L50" i="6"/>
  <c r="K50" i="6"/>
  <c r="J50" i="6"/>
  <c r="I50" i="6"/>
  <c r="H50" i="6"/>
  <c r="G50" i="6"/>
  <c r="F50" i="6"/>
  <c r="E50" i="6"/>
  <c r="D50" i="6"/>
  <c r="C50" i="6"/>
  <c r="N49" i="6"/>
  <c r="M49" i="6"/>
  <c r="L49" i="6"/>
  <c r="K49" i="6"/>
  <c r="J49" i="6"/>
  <c r="I49" i="6"/>
  <c r="H49" i="6"/>
  <c r="G49" i="6"/>
  <c r="F49" i="6"/>
  <c r="E49" i="6"/>
  <c r="D49" i="6"/>
  <c r="C49" i="6"/>
  <c r="A11" i="5"/>
  <c r="A3" i="5"/>
  <c r="G24" i="3"/>
  <c r="G23" i="3"/>
  <c r="G22" i="3"/>
  <c r="G21" i="3"/>
  <c r="D9" i="3"/>
  <c r="E9" i="3" s="1"/>
  <c r="A1" i="3"/>
  <c r="C78" i="10"/>
  <c r="C80" i="10" s="1"/>
  <c r="B77" i="9"/>
  <c r="C14" i="7"/>
  <c r="B14" i="7"/>
  <c r="E13" i="7"/>
  <c r="G13" i="7" s="1"/>
  <c r="E12" i="7"/>
  <c r="G12" i="7" s="1"/>
  <c r="E11" i="7"/>
  <c r="G11" i="7" s="1"/>
  <c r="G14" i="7" s="1"/>
  <c r="D11" i="7"/>
  <c r="D14" i="7" s="1"/>
  <c r="G10" i="7"/>
  <c r="E10" i="7"/>
  <c r="E14" i="7" s="1"/>
  <c r="O55" i="6"/>
  <c r="N48" i="6"/>
  <c r="M48" i="6"/>
  <c r="L48" i="6"/>
  <c r="K48" i="6"/>
  <c r="J48" i="6"/>
  <c r="I48" i="6"/>
  <c r="H48" i="6"/>
  <c r="G48" i="6"/>
  <c r="F48" i="6"/>
  <c r="E48" i="6"/>
  <c r="D48" i="6"/>
  <c r="C48" i="6"/>
  <c r="N57" i="5"/>
  <c r="M57" i="5"/>
  <c r="L57" i="5"/>
  <c r="K57" i="5"/>
  <c r="J57" i="5"/>
  <c r="I57" i="5"/>
  <c r="H57" i="5"/>
  <c r="G57" i="5"/>
  <c r="F57" i="5"/>
  <c r="E57" i="5"/>
  <c r="D57" i="5"/>
  <c r="C57" i="5"/>
  <c r="O57" i="5" s="1"/>
  <c r="N56" i="5"/>
  <c r="M56" i="5"/>
  <c r="L56" i="5"/>
  <c r="K56" i="5"/>
  <c r="J56" i="5"/>
  <c r="I56" i="5"/>
  <c r="H56" i="5"/>
  <c r="G56" i="5"/>
  <c r="F56" i="5"/>
  <c r="E56" i="5"/>
  <c r="D56" i="5"/>
  <c r="C56" i="5"/>
  <c r="O56" i="5" s="1"/>
  <c r="N55" i="5"/>
  <c r="M55" i="5"/>
  <c r="L55" i="5"/>
  <c r="K55" i="5"/>
  <c r="J55" i="5"/>
  <c r="I55" i="5"/>
  <c r="H55" i="5"/>
  <c r="G55" i="5"/>
  <c r="F55" i="5"/>
  <c r="E55" i="5"/>
  <c r="D55" i="5"/>
  <c r="C55" i="5"/>
  <c r="O55" i="5" s="1"/>
  <c r="N54" i="5"/>
  <c r="M54" i="5"/>
  <c r="L54" i="5"/>
  <c r="K54" i="5"/>
  <c r="J54" i="5"/>
  <c r="I54" i="5"/>
  <c r="H54" i="5"/>
  <c r="G54" i="5"/>
  <c r="F54" i="5"/>
  <c r="E54" i="5"/>
  <c r="D54" i="5"/>
  <c r="C54" i="5"/>
  <c r="O54" i="5" s="1"/>
  <c r="N53" i="5"/>
  <c r="M53" i="5"/>
  <c r="L53" i="5"/>
  <c r="K53" i="5"/>
  <c r="J53" i="5"/>
  <c r="I53" i="5"/>
  <c r="H53" i="5"/>
  <c r="G53" i="5"/>
  <c r="F53" i="5"/>
  <c r="E53" i="5"/>
  <c r="O53" i="5" s="1"/>
  <c r="D53" i="5"/>
  <c r="C53" i="5"/>
  <c r="N52" i="5"/>
  <c r="M52" i="5"/>
  <c r="L52" i="5"/>
  <c r="K52" i="5"/>
  <c r="J52" i="5"/>
  <c r="I52" i="5"/>
  <c r="H52" i="5"/>
  <c r="G52" i="5"/>
  <c r="F52" i="5"/>
  <c r="E52" i="5"/>
  <c r="D52" i="5"/>
  <c r="C52" i="5"/>
  <c r="O52" i="5" s="1"/>
  <c r="N51" i="5"/>
  <c r="M51" i="5"/>
  <c r="L51" i="5"/>
  <c r="K51" i="5"/>
  <c r="J51" i="5"/>
  <c r="I51" i="5"/>
  <c r="H51" i="5"/>
  <c r="G51" i="5"/>
  <c r="F51" i="5"/>
  <c r="E51" i="5"/>
  <c r="D51" i="5"/>
  <c r="C51" i="5"/>
  <c r="O51" i="5" s="1"/>
  <c r="N50" i="5"/>
  <c r="M50" i="5"/>
  <c r="L50" i="5"/>
  <c r="K50" i="5"/>
  <c r="J50" i="5"/>
  <c r="I50" i="5"/>
  <c r="H50" i="5"/>
  <c r="G50" i="5"/>
  <c r="F50" i="5"/>
  <c r="E50" i="5"/>
  <c r="D50" i="5"/>
  <c r="C50" i="5"/>
  <c r="O50" i="5" s="1"/>
  <c r="N49" i="5"/>
  <c r="M49" i="5"/>
  <c r="L49" i="5"/>
  <c r="K49" i="5"/>
  <c r="J49" i="5"/>
  <c r="I49" i="5"/>
  <c r="H49" i="5"/>
  <c r="G49" i="5"/>
  <c r="F49" i="5"/>
  <c r="E49" i="5"/>
  <c r="D49" i="5"/>
  <c r="C49" i="5"/>
  <c r="O49" i="5" s="1"/>
  <c r="N48" i="5"/>
  <c r="M48" i="5"/>
  <c r="L48" i="5"/>
  <c r="K48" i="5"/>
  <c r="J48" i="5"/>
  <c r="I48" i="5"/>
  <c r="H48" i="5"/>
  <c r="G48" i="5"/>
  <c r="F48" i="5"/>
  <c r="E48" i="5"/>
  <c r="D48" i="5"/>
  <c r="C48" i="5"/>
  <c r="O48" i="5" s="1"/>
  <c r="N47" i="5"/>
  <c r="M47" i="5"/>
  <c r="L47" i="5"/>
  <c r="K47" i="5"/>
  <c r="J47" i="5"/>
  <c r="I47" i="5"/>
  <c r="H47" i="5"/>
  <c r="G47" i="5"/>
  <c r="O47" i="5" s="1"/>
  <c r="F47" i="5"/>
  <c r="E47" i="5"/>
  <c r="D47" i="5"/>
  <c r="C47" i="5"/>
  <c r="N46" i="5"/>
  <c r="N58" i="5" s="1"/>
  <c r="M46" i="5"/>
  <c r="M58" i="5" s="1"/>
  <c r="L46" i="5"/>
  <c r="L58" i="5" s="1"/>
  <c r="K46" i="5"/>
  <c r="K58" i="5" s="1"/>
  <c r="J46" i="5"/>
  <c r="J58" i="5" s="1"/>
  <c r="I46" i="5"/>
  <c r="I58" i="5" s="1"/>
  <c r="H46" i="5"/>
  <c r="H58" i="5" s="1"/>
  <c r="G46" i="5"/>
  <c r="G58" i="5" s="1"/>
  <c r="F46" i="5"/>
  <c r="F58" i="5" s="1"/>
  <c r="E46" i="5"/>
  <c r="E58" i="5" s="1"/>
  <c r="D46" i="5"/>
  <c r="D58" i="5" s="1"/>
  <c r="C46" i="5"/>
  <c r="C58" i="5" s="1"/>
  <c r="O45" i="5"/>
  <c r="N45" i="5"/>
  <c r="M45" i="5"/>
  <c r="L45" i="5"/>
  <c r="K45" i="5"/>
  <c r="J45" i="5"/>
  <c r="I45" i="5"/>
  <c r="H45" i="5"/>
  <c r="G45" i="5"/>
  <c r="F45" i="5"/>
  <c r="E45" i="5"/>
  <c r="D45" i="5"/>
  <c r="C45" i="5"/>
  <c r="N29" i="5"/>
  <c r="M29" i="5"/>
  <c r="L29" i="5"/>
  <c r="K29" i="5"/>
  <c r="J29" i="5"/>
  <c r="I29" i="5"/>
  <c r="H29" i="5"/>
  <c r="G29" i="5"/>
  <c r="F29" i="5"/>
  <c r="E29" i="5"/>
  <c r="D29" i="5"/>
  <c r="C29" i="5"/>
  <c r="N25" i="5"/>
  <c r="M25" i="5"/>
  <c r="L25" i="5"/>
  <c r="K25" i="5"/>
  <c r="J25" i="5"/>
  <c r="I25" i="5"/>
  <c r="H25" i="5"/>
  <c r="G25" i="5"/>
  <c r="F25" i="5"/>
  <c r="E25" i="5"/>
  <c r="D25" i="5"/>
  <c r="C25" i="5"/>
  <c r="O24" i="5"/>
  <c r="O23" i="5"/>
  <c r="O22" i="5"/>
  <c r="O21" i="5"/>
  <c r="O20" i="5"/>
  <c r="O19" i="5"/>
  <c r="O18" i="5"/>
  <c r="O17" i="5"/>
  <c r="O16" i="5"/>
  <c r="O15" i="5"/>
  <c r="O14" i="5"/>
  <c r="O13" i="5"/>
  <c r="O25" i="5" s="1"/>
  <c r="N8" i="5"/>
  <c r="M8" i="5"/>
  <c r="L8" i="5"/>
  <c r="K8" i="5"/>
  <c r="J8" i="5"/>
  <c r="I8" i="5"/>
  <c r="H8" i="5"/>
  <c r="G8" i="5"/>
  <c r="F8" i="5"/>
  <c r="E8" i="5"/>
  <c r="D8" i="5"/>
  <c r="C8" i="5"/>
  <c r="O7" i="5"/>
  <c r="O6" i="5"/>
  <c r="O5" i="5"/>
  <c r="O8" i="5" s="1"/>
  <c r="H31" i="3"/>
  <c r="E31" i="3"/>
  <c r="B27" i="3"/>
  <c r="D26" i="3"/>
  <c r="G26" i="3" s="1"/>
  <c r="H26" i="3" s="1"/>
  <c r="D25" i="3"/>
  <c r="G25" i="3" s="1"/>
  <c r="D24" i="3"/>
  <c r="H24" i="3" s="1"/>
  <c r="D23" i="3"/>
  <c r="H23" i="3" s="1"/>
  <c r="E22" i="3"/>
  <c r="D22" i="3"/>
  <c r="D21" i="3"/>
  <c r="H21" i="3" s="1"/>
  <c r="G20" i="3"/>
  <c r="H20" i="3" s="1"/>
  <c r="E20" i="3"/>
  <c r="D20" i="3"/>
  <c r="D19" i="3"/>
  <c r="E19" i="3" s="1"/>
  <c r="B17" i="3"/>
  <c r="G16" i="3"/>
  <c r="H16" i="3" s="1"/>
  <c r="H17" i="3" s="1"/>
  <c r="D16" i="3"/>
  <c r="E16" i="3" s="1"/>
  <c r="E17" i="3" s="1"/>
  <c r="D15" i="3"/>
  <c r="G15" i="3" s="1"/>
  <c r="D13" i="3"/>
  <c r="E13" i="3" s="1"/>
  <c r="E14" i="3" s="1"/>
  <c r="B11" i="3"/>
  <c r="D8" i="3" s="1"/>
  <c r="E24" i="3" l="1"/>
  <c r="B81" i="9"/>
  <c r="C25" i="9" s="1"/>
  <c r="H22" i="3"/>
  <c r="F9" i="8"/>
  <c r="G9" i="8" s="1"/>
  <c r="G17" i="3"/>
  <c r="D10" i="3"/>
  <c r="E10" i="3" s="1"/>
  <c r="E26" i="3"/>
  <c r="D8" i="4"/>
  <c r="B29" i="3"/>
  <c r="B33" i="3" s="1"/>
  <c r="O51" i="6"/>
  <c r="O53" i="6"/>
  <c r="O57" i="6"/>
  <c r="O60" i="6"/>
  <c r="O50" i="6"/>
  <c r="O56" i="6"/>
  <c r="O58" i="6"/>
  <c r="C82" i="10"/>
  <c r="D14" i="10" s="1"/>
  <c r="C73" i="9"/>
  <c r="C65" i="9"/>
  <c r="C17" i="9"/>
  <c r="C9" i="9"/>
  <c r="C60" i="9"/>
  <c r="C44" i="9"/>
  <c r="C71" i="9"/>
  <c r="C63" i="9"/>
  <c r="C55" i="9"/>
  <c r="C47" i="9"/>
  <c r="C39" i="9"/>
  <c r="C48" i="9"/>
  <c r="C24" i="9"/>
  <c r="C16" i="9"/>
  <c r="C59" i="9"/>
  <c r="C74" i="9"/>
  <c r="C42" i="9"/>
  <c r="C34" i="9"/>
  <c r="C26" i="9"/>
  <c r="C18" i="9"/>
  <c r="C10" i="9"/>
  <c r="C69" i="9"/>
  <c r="C61" i="9"/>
  <c r="C53" i="9"/>
  <c r="C45" i="9"/>
  <c r="C37" i="9"/>
  <c r="C72" i="9"/>
  <c r="C56" i="9"/>
  <c r="C40" i="9"/>
  <c r="C8" i="9"/>
  <c r="C75" i="9"/>
  <c r="C67" i="9"/>
  <c r="C43" i="9"/>
  <c r="C19" i="9"/>
  <c r="C27" i="9"/>
  <c r="C70" i="9"/>
  <c r="C62" i="9"/>
  <c r="C54" i="9"/>
  <c r="C46" i="9"/>
  <c r="C38" i="9"/>
  <c r="C30" i="9"/>
  <c r="C22" i="9"/>
  <c r="C14" i="9"/>
  <c r="C68" i="9"/>
  <c r="C52" i="9"/>
  <c r="C28" i="9"/>
  <c r="C11" i="9"/>
  <c r="C79" i="9"/>
  <c r="O49" i="6"/>
  <c r="O46" i="5"/>
  <c r="O58" i="5" s="1"/>
  <c r="H25" i="3"/>
  <c r="G27" i="3"/>
  <c r="H27" i="3"/>
  <c r="E21" i="3"/>
  <c r="E23" i="3"/>
  <c r="E25" i="3"/>
  <c r="G19" i="3"/>
  <c r="H19" i="3" s="1"/>
  <c r="D27" i="3"/>
  <c r="D17" i="3"/>
  <c r="C33" i="9" l="1"/>
  <c r="D36" i="10"/>
  <c r="C13" i="9"/>
  <c r="C51" i="9"/>
  <c r="C50" i="9"/>
  <c r="C15" i="9"/>
  <c r="C12" i="9"/>
  <c r="C77" i="9" s="1"/>
  <c r="C81" i="9" s="1"/>
  <c r="C41" i="9"/>
  <c r="D43" i="10"/>
  <c r="C21" i="9"/>
  <c r="C32" i="9"/>
  <c r="C58" i="9"/>
  <c r="C23" i="9"/>
  <c r="C20" i="9"/>
  <c r="C49" i="9"/>
  <c r="D50" i="10"/>
  <c r="D29" i="10"/>
  <c r="C29" i="9"/>
  <c r="C64" i="9"/>
  <c r="C66" i="9"/>
  <c r="C31" i="9"/>
  <c r="C36" i="9"/>
  <c r="C57" i="9"/>
  <c r="D57" i="10"/>
  <c r="D64" i="10"/>
  <c r="D71" i="10"/>
  <c r="C35" i="9"/>
  <c r="D37" i="10"/>
  <c r="D70" i="10"/>
  <c r="D28" i="10"/>
  <c r="D35" i="10"/>
  <c r="D42" i="10"/>
  <c r="D49" i="10"/>
  <c r="D56" i="10"/>
  <c r="D63" i="10"/>
  <c r="D62" i="10"/>
  <c r="D21" i="10"/>
  <c r="D20" i="10"/>
  <c r="D27" i="10"/>
  <c r="D34" i="10"/>
  <c r="D41" i="10"/>
  <c r="D48" i="10"/>
  <c r="D55" i="10"/>
  <c r="D54" i="10"/>
  <c r="D13" i="10"/>
  <c r="D12" i="10"/>
  <c r="D19" i="10"/>
  <c r="D26" i="10"/>
  <c r="D33" i="10"/>
  <c r="D40" i="10"/>
  <c r="D47" i="10"/>
  <c r="D46" i="10"/>
  <c r="D69" i="10"/>
  <c r="D68" i="10"/>
  <c r="D75" i="10"/>
  <c r="D11" i="10"/>
  <c r="D18" i="10"/>
  <c r="D25" i="10"/>
  <c r="D32" i="10"/>
  <c r="D39" i="10"/>
  <c r="D38" i="10"/>
  <c r="D61" i="10"/>
  <c r="D60" i="10"/>
  <c r="D67" i="10"/>
  <c r="D74" i="10"/>
  <c r="D10" i="10"/>
  <c r="D17" i="10"/>
  <c r="D24" i="10"/>
  <c r="D31" i="10"/>
  <c r="D30" i="10"/>
  <c r="D53" i="10"/>
  <c r="D52" i="10"/>
  <c r="D59" i="10"/>
  <c r="D66" i="10"/>
  <c r="D73" i="10"/>
  <c r="D9" i="10"/>
  <c r="D16" i="10"/>
  <c r="D23" i="10"/>
  <c r="D22" i="10"/>
  <c r="D45" i="10"/>
  <c r="D44" i="10"/>
  <c r="D51" i="10"/>
  <c r="D58" i="10"/>
  <c r="D65" i="10"/>
  <c r="D72" i="10"/>
  <c r="D8" i="10"/>
  <c r="D15" i="10"/>
  <c r="G10" i="3"/>
  <c r="H10" i="3" s="1"/>
  <c r="G9" i="3"/>
  <c r="H9" i="3" s="1"/>
  <c r="G8" i="3"/>
  <c r="D80" i="10"/>
  <c r="E27" i="3"/>
  <c r="D11" i="3"/>
  <c r="E8" i="3"/>
  <c r="D29" i="3" l="1"/>
  <c r="D33" i="3" s="1"/>
  <c r="D10" i="4"/>
  <c r="D11" i="4" s="1"/>
  <c r="G11" i="3"/>
  <c r="H8" i="3"/>
  <c r="H11" i="3" s="1"/>
  <c r="F21" i="8" s="1"/>
  <c r="G21" i="8" s="1"/>
  <c r="D78" i="10"/>
  <c r="D82" i="10" s="1"/>
  <c r="E11" i="3"/>
  <c r="E29" i="3" l="1"/>
  <c r="F8" i="8"/>
  <c r="D13" i="4"/>
  <c r="G8" i="8" l="1"/>
  <c r="G10" i="8" s="1"/>
  <c r="G13" i="8" s="1"/>
  <c r="G15" i="8" s="1"/>
  <c r="G17" i="8" s="1"/>
  <c r="F10" i="8"/>
  <c r="F13" i="8" s="1"/>
  <c r="F15" i="8" s="1"/>
  <c r="F17" i="8" s="1"/>
  <c r="E33" i="3"/>
  <c r="E81" i="9"/>
  <c r="D15" i="4"/>
  <c r="G13" i="3" s="1"/>
  <c r="D14" i="4"/>
  <c r="F81" i="9" l="1"/>
  <c r="E17" i="9"/>
  <c r="E35" i="9"/>
  <c r="E12" i="9"/>
  <c r="E39" i="9"/>
  <c r="E18" i="9"/>
  <c r="E53" i="9"/>
  <c r="E56" i="9"/>
  <c r="E27" i="9"/>
  <c r="E62" i="9"/>
  <c r="E15" i="9"/>
  <c r="E45" i="9"/>
  <c r="E73" i="9"/>
  <c r="E79" i="9"/>
  <c r="F79" i="9" s="1"/>
  <c r="E25" i="9"/>
  <c r="E33" i="9"/>
  <c r="E20" i="9"/>
  <c r="E59" i="9"/>
  <c r="E26" i="9"/>
  <c r="E61" i="9"/>
  <c r="E72" i="9"/>
  <c r="E22" i="9"/>
  <c r="E30" i="9"/>
  <c r="E38" i="9"/>
  <c r="E11" i="9"/>
  <c r="E41" i="9"/>
  <c r="E47" i="9"/>
  <c r="E16" i="9"/>
  <c r="E34" i="9"/>
  <c r="E69" i="9"/>
  <c r="E19" i="9"/>
  <c r="E43" i="9"/>
  <c r="E67" i="9"/>
  <c r="E46" i="9"/>
  <c r="E28" i="9"/>
  <c r="E36" i="9"/>
  <c r="E55" i="9"/>
  <c r="E24" i="9"/>
  <c r="E42" i="9"/>
  <c r="E71" i="9"/>
  <c r="E66" i="9"/>
  <c r="E68" i="9"/>
  <c r="E31" i="9"/>
  <c r="E70" i="9"/>
  <c r="E13" i="9"/>
  <c r="E21" i="9"/>
  <c r="E29" i="9"/>
  <c r="E75" i="9"/>
  <c r="E54" i="9"/>
  <c r="E49" i="9"/>
  <c r="E44" i="9"/>
  <c r="E63" i="9"/>
  <c r="E48" i="9"/>
  <c r="E52" i="9"/>
  <c r="E60" i="9"/>
  <c r="E50" i="9"/>
  <c r="E10" i="9"/>
  <c r="E9" i="9"/>
  <c r="E74" i="9"/>
  <c r="E14" i="9"/>
  <c r="E51" i="9"/>
  <c r="E32" i="9"/>
  <c r="E64" i="9"/>
  <c r="E37" i="9"/>
  <c r="E57" i="9"/>
  <c r="E58" i="9"/>
  <c r="E8" i="9"/>
  <c r="E65" i="9"/>
  <c r="E23" i="9"/>
  <c r="E40" i="9"/>
  <c r="H17" i="8"/>
  <c r="H13" i="3"/>
  <c r="G29" i="3"/>
  <c r="G33" i="3" s="1"/>
  <c r="F38" i="9" l="1"/>
  <c r="F38" i="10"/>
  <c r="G38" i="10" s="1"/>
  <c r="F42" i="9"/>
  <c r="F42" i="10"/>
  <c r="G42" i="10" s="1"/>
  <c r="F19" i="9"/>
  <c r="F19" i="10"/>
  <c r="G19" i="10" s="1"/>
  <c r="F30" i="9"/>
  <c r="F30" i="10"/>
  <c r="G30" i="10" s="1"/>
  <c r="F25" i="9"/>
  <c r="F25" i="10"/>
  <c r="G25" i="10" s="1"/>
  <c r="F53" i="9"/>
  <c r="F53" i="10"/>
  <c r="G53" i="10" s="1"/>
  <c r="F50" i="9"/>
  <c r="F50" i="10"/>
  <c r="G50" i="10" s="1"/>
  <c r="F33" i="9"/>
  <c r="F33" i="10"/>
  <c r="G33" i="10" s="1"/>
  <c r="F29" i="9"/>
  <c r="F29" i="10"/>
  <c r="G29" i="10" s="1"/>
  <c r="F52" i="9"/>
  <c r="F52" i="10"/>
  <c r="G52" i="10" s="1"/>
  <c r="F24" i="9"/>
  <c r="F24" i="10"/>
  <c r="G24" i="10" s="1"/>
  <c r="F51" i="9"/>
  <c r="F51" i="10"/>
  <c r="G51" i="10" s="1"/>
  <c r="F34" i="9"/>
  <c r="F34" i="10"/>
  <c r="G34" i="10" s="1"/>
  <c r="F39" i="9"/>
  <c r="F39" i="10"/>
  <c r="G39" i="10" s="1"/>
  <c r="F37" i="9"/>
  <c r="F37" i="10"/>
  <c r="G37" i="10" s="1"/>
  <c r="F56" i="9"/>
  <c r="F56" i="10"/>
  <c r="G56" i="10" s="1"/>
  <c r="F12" i="9"/>
  <c r="F12" i="10"/>
  <c r="G12" i="10" s="1"/>
  <c r="F43" i="9"/>
  <c r="F43" i="10"/>
  <c r="G43" i="10" s="1"/>
  <c r="F64" i="9"/>
  <c r="F64" i="10"/>
  <c r="G64" i="10" s="1"/>
  <c r="F21" i="9"/>
  <c r="F21" i="10"/>
  <c r="G21" i="10" s="1"/>
  <c r="F18" i="9"/>
  <c r="F18" i="10"/>
  <c r="G18" i="10" s="1"/>
  <c r="F13" i="9"/>
  <c r="F13" i="10"/>
  <c r="G13" i="10" s="1"/>
  <c r="F73" i="9"/>
  <c r="F73" i="10"/>
  <c r="G73" i="10" s="1"/>
  <c r="F63" i="9"/>
  <c r="F63" i="10"/>
  <c r="G63" i="10" s="1"/>
  <c r="F70" i="9"/>
  <c r="F70" i="10"/>
  <c r="G70" i="10" s="1"/>
  <c r="F16" i="9"/>
  <c r="F16" i="10"/>
  <c r="G16" i="10" s="1"/>
  <c r="F74" i="9"/>
  <c r="F74" i="10"/>
  <c r="G74" i="10" s="1"/>
  <c r="F28" i="9"/>
  <c r="F28" i="10"/>
  <c r="G28" i="10" s="1"/>
  <c r="F47" i="9"/>
  <c r="F47" i="10"/>
  <c r="G47" i="10" s="1"/>
  <c r="F15" i="9"/>
  <c r="F15" i="10"/>
  <c r="G15" i="10" s="1"/>
  <c r="F35" i="9"/>
  <c r="F35" i="10"/>
  <c r="G35" i="10" s="1"/>
  <c r="F75" i="9"/>
  <c r="F75" i="10"/>
  <c r="G75" i="10" s="1"/>
  <c r="F60" i="9"/>
  <c r="F60" i="10"/>
  <c r="G60" i="10" s="1"/>
  <c r="F32" i="9"/>
  <c r="F32" i="10"/>
  <c r="G32" i="10" s="1"/>
  <c r="F69" i="9"/>
  <c r="F69" i="10"/>
  <c r="G69" i="10" s="1"/>
  <c r="F23" i="9"/>
  <c r="F23" i="10"/>
  <c r="G23" i="10" s="1"/>
  <c r="F72" i="9"/>
  <c r="F72" i="10"/>
  <c r="G72" i="10" s="1"/>
  <c r="F14" i="9"/>
  <c r="F14" i="10"/>
  <c r="G14" i="10" s="1"/>
  <c r="F36" i="9"/>
  <c r="F36" i="10"/>
  <c r="G36" i="10" s="1"/>
  <c r="F45" i="9"/>
  <c r="F45" i="10"/>
  <c r="G45" i="10" s="1"/>
  <c r="F8" i="10"/>
  <c r="F8" i="9"/>
  <c r="E77" i="9"/>
  <c r="F44" i="9"/>
  <c r="F44" i="10"/>
  <c r="G44" i="10" s="1"/>
  <c r="F31" i="9"/>
  <c r="F31" i="10"/>
  <c r="G31" i="10" s="1"/>
  <c r="F26" i="9"/>
  <c r="F26" i="10"/>
  <c r="G26" i="10" s="1"/>
  <c r="F58" i="9"/>
  <c r="F58" i="10"/>
  <c r="G58" i="10" s="1"/>
  <c r="F9" i="9"/>
  <c r="F9" i="10"/>
  <c r="G9" i="10" s="1"/>
  <c r="F49" i="9"/>
  <c r="F49" i="10"/>
  <c r="G49" i="10" s="1"/>
  <c r="F68" i="9"/>
  <c r="F68" i="10"/>
  <c r="G68" i="10" s="1"/>
  <c r="F46" i="9"/>
  <c r="F46" i="10"/>
  <c r="G46" i="10" s="1"/>
  <c r="F41" i="9"/>
  <c r="F41" i="10"/>
  <c r="G41" i="10" s="1"/>
  <c r="F59" i="9"/>
  <c r="F59" i="10"/>
  <c r="G59" i="10" s="1"/>
  <c r="F62" i="9"/>
  <c r="F62" i="10"/>
  <c r="G62" i="10" s="1"/>
  <c r="F17" i="9"/>
  <c r="F17" i="10"/>
  <c r="G17" i="10" s="1"/>
  <c r="F71" i="9"/>
  <c r="F71" i="10"/>
  <c r="G71" i="10" s="1"/>
  <c r="F40" i="9"/>
  <c r="F40" i="10"/>
  <c r="G40" i="10" s="1"/>
  <c r="F22" i="9"/>
  <c r="F22" i="10"/>
  <c r="G22" i="10" s="1"/>
  <c r="F48" i="9"/>
  <c r="F48" i="10"/>
  <c r="G48" i="10" s="1"/>
  <c r="F55" i="9"/>
  <c r="F55" i="10"/>
  <c r="G55" i="10" s="1"/>
  <c r="F65" i="9"/>
  <c r="F65" i="10"/>
  <c r="G65" i="10" s="1"/>
  <c r="F61" i="9"/>
  <c r="F61" i="10"/>
  <c r="G61" i="10" s="1"/>
  <c r="F57" i="9"/>
  <c r="F57" i="10"/>
  <c r="G57" i="10" s="1"/>
  <c r="F10" i="9"/>
  <c r="F10" i="10"/>
  <c r="G10" i="10" s="1"/>
  <c r="F54" i="9"/>
  <c r="F54" i="10"/>
  <c r="G54" i="10" s="1"/>
  <c r="F66" i="9"/>
  <c r="F66" i="10"/>
  <c r="G66" i="10" s="1"/>
  <c r="F67" i="9"/>
  <c r="F67" i="10"/>
  <c r="G67" i="10" s="1"/>
  <c r="F11" i="9"/>
  <c r="F11" i="10"/>
  <c r="G11" i="10" s="1"/>
  <c r="F20" i="9"/>
  <c r="F20" i="10"/>
  <c r="G20" i="10" s="1"/>
  <c r="F27" i="9"/>
  <c r="F27" i="10"/>
  <c r="G27" i="10" s="1"/>
  <c r="H29" i="3"/>
  <c r="F22" i="8"/>
  <c r="F77" i="9" l="1"/>
  <c r="G8" i="10"/>
  <c r="G78" i="10" s="1"/>
  <c r="F78" i="10"/>
  <c r="H33" i="3"/>
  <c r="H81" i="9"/>
  <c r="F23" i="8"/>
  <c r="F26" i="8" s="1"/>
  <c r="F28" i="8" s="1"/>
  <c r="F30" i="8" s="1"/>
  <c r="G22" i="8"/>
  <c r="G23" i="8" s="1"/>
  <c r="G26" i="8" s="1"/>
  <c r="G28" i="8" s="1"/>
  <c r="G30" i="8" s="1"/>
  <c r="F80" i="10" l="1"/>
  <c r="G80" i="10" s="1"/>
  <c r="H30" i="8"/>
  <c r="G82" i="10"/>
  <c r="I81" i="9"/>
  <c r="H13" i="9"/>
  <c r="H21" i="9"/>
  <c r="H35" i="9"/>
  <c r="H12" i="9"/>
  <c r="H39" i="9"/>
  <c r="H59" i="9"/>
  <c r="H26" i="9"/>
  <c r="H57" i="9"/>
  <c r="H72" i="9"/>
  <c r="H71" i="9"/>
  <c r="H51" i="9"/>
  <c r="H79" i="9"/>
  <c r="I79" i="9" s="1"/>
  <c r="H32" i="9"/>
  <c r="H25" i="9"/>
  <c r="H64" i="9"/>
  <c r="H33" i="9"/>
  <c r="H52" i="9"/>
  <c r="H61" i="9"/>
  <c r="H60" i="9"/>
  <c r="H70" i="9"/>
  <c r="H37" i="9"/>
  <c r="H20" i="9"/>
  <c r="H8" i="9"/>
  <c r="H47" i="9"/>
  <c r="H16" i="9"/>
  <c r="H34" i="9"/>
  <c r="H65" i="9"/>
  <c r="H69" i="9"/>
  <c r="H9" i="9"/>
  <c r="H24" i="9"/>
  <c r="H22" i="9"/>
  <c r="H50" i="9"/>
  <c r="H58" i="9"/>
  <c r="H38" i="9"/>
  <c r="H66" i="9"/>
  <c r="H11" i="9"/>
  <c r="H10" i="9"/>
  <c r="H41" i="9"/>
  <c r="H62" i="9"/>
  <c r="H68" i="9"/>
  <c r="H19" i="9"/>
  <c r="H43" i="9"/>
  <c r="H23" i="9"/>
  <c r="H67" i="9"/>
  <c r="H31" i="9"/>
  <c r="H46" i="9"/>
  <c r="H74" i="9"/>
  <c r="H36" i="9"/>
  <c r="H55" i="9"/>
  <c r="H14" i="9"/>
  <c r="H40" i="9"/>
  <c r="H73" i="9"/>
  <c r="H15" i="9"/>
  <c r="H28" i="9"/>
  <c r="H18" i="9"/>
  <c r="H49" i="9"/>
  <c r="H53" i="9"/>
  <c r="H56" i="9"/>
  <c r="H27" i="9"/>
  <c r="H48" i="9"/>
  <c r="H45" i="9"/>
  <c r="H42" i="9"/>
  <c r="H17" i="9"/>
  <c r="H29" i="9"/>
  <c r="H75" i="9"/>
  <c r="H54" i="9"/>
  <c r="H44" i="9"/>
  <c r="H63" i="9"/>
  <c r="H30" i="9"/>
  <c r="F82" i="10" l="1"/>
  <c r="I66" i="10"/>
  <c r="J66" i="10" s="1"/>
  <c r="I66" i="9"/>
  <c r="I75" i="10"/>
  <c r="J75" i="10" s="1"/>
  <c r="I75" i="9"/>
  <c r="I19" i="10"/>
  <c r="J19" i="10" s="1"/>
  <c r="I19" i="9"/>
  <c r="I13" i="10"/>
  <c r="J13" i="10" s="1"/>
  <c r="I13" i="9"/>
  <c r="I18" i="10"/>
  <c r="J18" i="10" s="1"/>
  <c r="I18" i="9"/>
  <c r="I62" i="10"/>
  <c r="J62" i="10" s="1"/>
  <c r="I62" i="9"/>
  <c r="I26" i="10"/>
  <c r="J26" i="10" s="1"/>
  <c r="I26" i="9"/>
  <c r="I42" i="10"/>
  <c r="J42" i="10" s="1"/>
  <c r="I42" i="9"/>
  <c r="I28" i="10"/>
  <c r="J28" i="10" s="1"/>
  <c r="I28" i="9"/>
  <c r="I46" i="10"/>
  <c r="J46" i="10" s="1"/>
  <c r="I46" i="9"/>
  <c r="I41" i="10"/>
  <c r="J41" i="10" s="1"/>
  <c r="I41" i="9"/>
  <c r="I24" i="10"/>
  <c r="J24" i="10" s="1"/>
  <c r="I24" i="9"/>
  <c r="I20" i="10"/>
  <c r="J20" i="10" s="1"/>
  <c r="I20" i="9"/>
  <c r="I25" i="10"/>
  <c r="J25" i="10" s="1"/>
  <c r="I25" i="9"/>
  <c r="I59" i="10"/>
  <c r="J59" i="10" s="1"/>
  <c r="I59" i="9"/>
  <c r="I44" i="10"/>
  <c r="J44" i="10" s="1"/>
  <c r="I44" i="9"/>
  <c r="I23" i="10"/>
  <c r="J23" i="10" s="1"/>
  <c r="I23" i="9"/>
  <c r="I53" i="10"/>
  <c r="J53" i="10" s="1"/>
  <c r="I53" i="9"/>
  <c r="I58" i="10"/>
  <c r="J58" i="10" s="1"/>
  <c r="I58" i="9"/>
  <c r="I72" i="10"/>
  <c r="J72" i="10" s="1"/>
  <c r="I72" i="9"/>
  <c r="I17" i="10"/>
  <c r="J17" i="10" s="1"/>
  <c r="I17" i="9"/>
  <c r="I74" i="10"/>
  <c r="J74" i="10" s="1"/>
  <c r="I74" i="9"/>
  <c r="I22" i="10"/>
  <c r="J22" i="10" s="1"/>
  <c r="I22" i="9"/>
  <c r="I64" i="10"/>
  <c r="J64" i="10" s="1"/>
  <c r="I64" i="9"/>
  <c r="I30" i="10"/>
  <c r="J30" i="10" s="1"/>
  <c r="I30" i="9"/>
  <c r="I45" i="10"/>
  <c r="J45" i="10" s="1"/>
  <c r="I45" i="9"/>
  <c r="I15" i="10"/>
  <c r="I15" i="9"/>
  <c r="I31" i="10"/>
  <c r="J31" i="10" s="1"/>
  <c r="I31" i="9"/>
  <c r="I10" i="10"/>
  <c r="J10" i="10" s="1"/>
  <c r="I10" i="9"/>
  <c r="I9" i="10"/>
  <c r="J9" i="10" s="1"/>
  <c r="I9" i="9"/>
  <c r="I37" i="10"/>
  <c r="J37" i="10" s="1"/>
  <c r="I37" i="9"/>
  <c r="I32" i="10"/>
  <c r="J32" i="10" s="1"/>
  <c r="I32" i="9"/>
  <c r="I39" i="10"/>
  <c r="J39" i="10" s="1"/>
  <c r="I39" i="9"/>
  <c r="I65" i="10"/>
  <c r="J65" i="10" s="1"/>
  <c r="I65" i="9"/>
  <c r="I55" i="10"/>
  <c r="J55" i="10" s="1"/>
  <c r="I55" i="9"/>
  <c r="I16" i="10"/>
  <c r="J16" i="10" s="1"/>
  <c r="I16" i="9"/>
  <c r="I8" i="10"/>
  <c r="J8" i="10" s="1"/>
  <c r="H77" i="9"/>
  <c r="I8" i="9"/>
  <c r="I63" i="10"/>
  <c r="J63" i="10" s="1"/>
  <c r="I63" i="9"/>
  <c r="I48" i="10"/>
  <c r="J48" i="10" s="1"/>
  <c r="I48" i="9"/>
  <c r="I73" i="10"/>
  <c r="J73" i="10" s="1"/>
  <c r="I73" i="9"/>
  <c r="I67" i="10"/>
  <c r="J67" i="10" s="1"/>
  <c r="I67" i="9"/>
  <c r="I11" i="10"/>
  <c r="J11" i="10" s="1"/>
  <c r="I11" i="9"/>
  <c r="I69" i="10"/>
  <c r="J69" i="10" s="1"/>
  <c r="I69" i="9"/>
  <c r="I70" i="10"/>
  <c r="J70" i="10" s="1"/>
  <c r="I70" i="9"/>
  <c r="I12" i="10"/>
  <c r="J12" i="10" s="1"/>
  <c r="I12" i="9"/>
  <c r="I27" i="10"/>
  <c r="J27" i="10" s="1"/>
  <c r="I27" i="9"/>
  <c r="I60" i="10"/>
  <c r="J60" i="10" s="1"/>
  <c r="I60" i="9"/>
  <c r="I51" i="10"/>
  <c r="J51" i="10" s="1"/>
  <c r="I51" i="9"/>
  <c r="I35" i="10"/>
  <c r="J35" i="10" s="1"/>
  <c r="I35" i="9"/>
  <c r="I54" i="10"/>
  <c r="J54" i="10" s="1"/>
  <c r="I54" i="9"/>
  <c r="I56" i="10"/>
  <c r="J56" i="10" s="1"/>
  <c r="I56" i="9"/>
  <c r="I14" i="10"/>
  <c r="J14" i="10" s="1"/>
  <c r="I14" i="9"/>
  <c r="I43" i="10"/>
  <c r="J43" i="10" s="1"/>
  <c r="I43" i="9"/>
  <c r="I38" i="10"/>
  <c r="J38" i="10" s="1"/>
  <c r="I38" i="9"/>
  <c r="I34" i="10"/>
  <c r="J34" i="10" s="1"/>
  <c r="I34" i="9"/>
  <c r="I61" i="10"/>
  <c r="J61" i="10" s="1"/>
  <c r="I61" i="9"/>
  <c r="I71" i="10"/>
  <c r="J71" i="10" s="1"/>
  <c r="I71" i="9"/>
  <c r="I21" i="10"/>
  <c r="J21" i="10" s="1"/>
  <c r="I21" i="9"/>
  <c r="I40" i="10"/>
  <c r="J40" i="10" s="1"/>
  <c r="I40" i="9"/>
  <c r="I52" i="10"/>
  <c r="J52" i="10" s="1"/>
  <c r="I52" i="9"/>
  <c r="I29" i="10"/>
  <c r="J29" i="10" s="1"/>
  <c r="I29" i="9"/>
  <c r="I49" i="10"/>
  <c r="J49" i="10" s="1"/>
  <c r="I49" i="9"/>
  <c r="I36" i="10"/>
  <c r="J36" i="10" s="1"/>
  <c r="I36" i="9"/>
  <c r="I68" i="10"/>
  <c r="J68" i="10" s="1"/>
  <c r="I68" i="9"/>
  <c r="I50" i="10"/>
  <c r="J50" i="10" s="1"/>
  <c r="I50" i="9"/>
  <c r="I47" i="10"/>
  <c r="J47" i="10" s="1"/>
  <c r="I47" i="9"/>
  <c r="I33" i="10"/>
  <c r="J33" i="10" s="1"/>
  <c r="I33" i="9"/>
  <c r="I57" i="10"/>
  <c r="J57" i="10" s="1"/>
  <c r="I57" i="9"/>
  <c r="I78" i="10" l="1"/>
  <c r="J15" i="10"/>
  <c r="J78" i="10" s="1"/>
  <c r="I77" i="9"/>
  <c r="I80" i="10" l="1"/>
  <c r="J80" i="10" s="1"/>
  <c r="J82" i="10" s="1"/>
  <c r="I82" i="10" l="1"/>
</calcChain>
</file>

<file path=xl/sharedStrings.xml><?xml version="1.0" encoding="utf-8"?>
<sst xmlns="http://schemas.openxmlformats.org/spreadsheetml/2006/main" count="836" uniqueCount="289">
  <si>
    <t>PacifiCorp</t>
  </si>
  <si>
    <t>PAGE</t>
  </si>
  <si>
    <t xml:space="preserve">Washington 2023 General Rate Case </t>
  </si>
  <si>
    <t>General Wage Increase (Pro Forma) - Year 1</t>
  </si>
  <si>
    <t>TOTAL</t>
  </si>
  <si>
    <t>WASHINGTON</t>
  </si>
  <si>
    <t>ACCOUNT</t>
  </si>
  <si>
    <t>Type</t>
  </si>
  <si>
    <t>COMPANY</t>
  </si>
  <si>
    <t>FACTOR</t>
  </si>
  <si>
    <t>FACTOR %</t>
  </si>
  <si>
    <t>ALLOCATED</t>
  </si>
  <si>
    <t>REF#</t>
  </si>
  <si>
    <t>Adjustment to Expense:</t>
  </si>
  <si>
    <t>Steam Operations</t>
  </si>
  <si>
    <t>PRO</t>
  </si>
  <si>
    <t>CAGE</t>
  </si>
  <si>
    <t>CAGW</t>
  </si>
  <si>
    <t>JBG</t>
  </si>
  <si>
    <t>SG</t>
  </si>
  <si>
    <t>Fuel Related-Non NPC</t>
  </si>
  <si>
    <t>SE</t>
  </si>
  <si>
    <t>Steam Maintenance</t>
  </si>
  <si>
    <t>Hydro Operations</t>
  </si>
  <si>
    <t>SG-P</t>
  </si>
  <si>
    <t>SG-U</t>
  </si>
  <si>
    <t>Hydro Maintenance</t>
  </si>
  <si>
    <t>Other Operations</t>
  </si>
  <si>
    <t>WA</t>
  </si>
  <si>
    <t>Situs</t>
  </si>
  <si>
    <t>Other Maintenance</t>
  </si>
  <si>
    <t>Other Power Supply Expense</t>
  </si>
  <si>
    <t>Transmission Operations</t>
  </si>
  <si>
    <t>Transmission Maintenance</t>
  </si>
  <si>
    <t>Distribution Operations</t>
  </si>
  <si>
    <t>SNPD</t>
  </si>
  <si>
    <t>Distribution Maintenance</t>
  </si>
  <si>
    <t>Customer Accounts</t>
  </si>
  <si>
    <t>CN</t>
  </si>
  <si>
    <t>Customer Services</t>
  </si>
  <si>
    <t>Administrative &amp; General</t>
  </si>
  <si>
    <t>SO</t>
  </si>
  <si>
    <t>Description of Adjustment:</t>
  </si>
  <si>
    <t xml:space="preserve">
</t>
  </si>
  <si>
    <t>This adjustment recognizes wage and benefit increases that have occurred, or are projected to occur during calendar year 2024 for labor charged to operation &amp; maintenance accounts. See page 4.3.1 or more information on how this adjustment was calculated.</t>
  </si>
  <si>
    <t>Washington 2023 General Rate Case</t>
  </si>
  <si>
    <t>General Wage Increase Adjustment</t>
  </si>
  <si>
    <t xml:space="preserve"> </t>
  </si>
  <si>
    <t>Actual</t>
  </si>
  <si>
    <t>Restatement</t>
  </si>
  <si>
    <t>Pro Forma</t>
  </si>
  <si>
    <t>Description</t>
  </si>
  <si>
    <t>12 Months Ended June 2022</t>
  </si>
  <si>
    <t>Adjustment</t>
  </si>
  <si>
    <t>12 Months Ending December 2024</t>
  </si>
  <si>
    <t>Ref</t>
  </si>
  <si>
    <t>Regular Ordinary Time</t>
  </si>
  <si>
    <t>Overtime</t>
  </si>
  <si>
    <t>Premium Pay</t>
  </si>
  <si>
    <t>Subtotal for Escalation</t>
  </si>
  <si>
    <t>4.3.3&amp;4</t>
  </si>
  <si>
    <t>Annual Incentive Plan</t>
  </si>
  <si>
    <t>Payroll Tax Expense</t>
  </si>
  <si>
    <t>4.3.7</t>
  </si>
  <si>
    <t>Payroll Tax Expense-Unemployment</t>
  </si>
  <si>
    <t>Total Payroll Taxes</t>
  </si>
  <si>
    <t>SERP Plan</t>
  </si>
  <si>
    <t>4.3.6</t>
  </si>
  <si>
    <t>Medical</t>
  </si>
  <si>
    <t>Pensions</t>
  </si>
  <si>
    <t>Pension Administration</t>
  </si>
  <si>
    <t>Post Retirement Benefits</t>
  </si>
  <si>
    <t>Post Employment Benefits</t>
  </si>
  <si>
    <t>401(k)</t>
  </si>
  <si>
    <t>All Other Labor and Benefit Items</t>
  </si>
  <si>
    <t>Total Other Labor</t>
  </si>
  <si>
    <t>Total Labor</t>
  </si>
  <si>
    <t>4.3.8</t>
  </si>
  <si>
    <t>Non-Utility and Capitalized Labor</t>
  </si>
  <si>
    <t>Total Utility Labor</t>
  </si>
  <si>
    <t>Ref 4.2</t>
  </si>
  <si>
    <t>Ref 4.3</t>
  </si>
  <si>
    <t>Composite Labor Increases</t>
  </si>
  <si>
    <t>Regular Time/Overtime/Premium Pay June 2022 - Actual</t>
  </si>
  <si>
    <t>Ref 4.3.2</t>
  </si>
  <si>
    <t>Regular Time/Overtime/Premium Pay June 2022 - Annualized</t>
  </si>
  <si>
    <t>% Increase - Annualized</t>
  </si>
  <si>
    <t>Regular Time/Overtime/Premium Pay December 2024 - Pro Forma</t>
  </si>
  <si>
    <t>% Increase - Pro Forma</t>
  </si>
  <si>
    <t>% Increase - Total</t>
  </si>
  <si>
    <t>Account Desc.</t>
  </si>
  <si>
    <t>Total</t>
  </si>
  <si>
    <t>Grand Total</t>
  </si>
  <si>
    <t>Group Code</t>
  </si>
  <si>
    <t>Labor Group</t>
  </si>
  <si>
    <t>Officer/Exempt</t>
  </si>
  <si>
    <t>IBEW 125</t>
  </si>
  <si>
    <t>IBEW 659</t>
  </si>
  <si>
    <t>UWUA 197</t>
  </si>
  <si>
    <t>UWUA 127</t>
  </si>
  <si>
    <t>IBEW 57 WY</t>
  </si>
  <si>
    <t>IBEW 57 PD</t>
  </si>
  <si>
    <t>IBEW 57 PS</t>
  </si>
  <si>
    <t>PCCC Non-Exempt</t>
  </si>
  <si>
    <t>IBEW 57 CT</t>
  </si>
  <si>
    <t>IBEW 77</t>
  </si>
  <si>
    <t>Non-Exempt</t>
  </si>
  <si>
    <t>Annualization Increase</t>
  </si>
  <si>
    <t xml:space="preserve">Officer/Exempt    </t>
  </si>
  <si>
    <t>(1)</t>
  </si>
  <si>
    <t xml:space="preserve">IBEW 125       </t>
  </si>
  <si>
    <t xml:space="preserve">IBEW 659       </t>
  </si>
  <si>
    <t xml:space="preserve">UWUA 197       </t>
  </si>
  <si>
    <t xml:space="preserve">UWUA 127 </t>
  </si>
  <si>
    <t xml:space="preserve">IBEW 57 WY  </t>
  </si>
  <si>
    <t xml:space="preserve">IBEW 57 PD     </t>
  </si>
  <si>
    <t xml:space="preserve">IBEW 57 PS     </t>
  </si>
  <si>
    <t xml:space="preserve">Non-Exempt     </t>
  </si>
  <si>
    <t>Annualized Labor June 2022</t>
  </si>
  <si>
    <t>Pro Forma Increase to December 2024</t>
  </si>
  <si>
    <t>Increases occur on the 26th of each month.  For this exhibit, each increase is listed on the first day of the following month.</t>
  </si>
  <si>
    <t>Jan</t>
  </si>
  <si>
    <t>Feb</t>
  </si>
  <si>
    <t>Mar</t>
  </si>
  <si>
    <t>Apr</t>
  </si>
  <si>
    <t>May</t>
  </si>
  <si>
    <t>Jun</t>
  </si>
  <si>
    <t>Jul</t>
  </si>
  <si>
    <t>Aug</t>
  </si>
  <si>
    <t>Sep</t>
  </si>
  <si>
    <t>Oct</t>
  </si>
  <si>
    <t>Nov</t>
  </si>
  <si>
    <t>Dec</t>
  </si>
  <si>
    <t>(2)</t>
  </si>
  <si>
    <t>Pro Forma Labor December 2024</t>
  </si>
  <si>
    <t>Labor increases supported by union contracts/actual increases.</t>
  </si>
  <si>
    <t>Projected labor increases supported by planned targets.</t>
  </si>
  <si>
    <t>(3)</t>
  </si>
  <si>
    <t>Increase will be contingent on the future outcome of a new contract.</t>
  </si>
  <si>
    <t xml:space="preserve">A </t>
  </si>
  <si>
    <t>B</t>
  </si>
  <si>
    <t>C</t>
  </si>
  <si>
    <t>D</t>
  </si>
  <si>
    <t>D - A</t>
  </si>
  <si>
    <t>Actual June 2019
Net of Joint Venture</t>
  </si>
  <si>
    <t>Actual June 2022 Gross</t>
  </si>
  <si>
    <t>Projected December 2024
Gross</t>
  </si>
  <si>
    <t xml:space="preserve">Projected December 2024 Net of Joint Venture </t>
  </si>
  <si>
    <t>Pro Forma Adjustment</t>
  </si>
  <si>
    <t>4.3.3</t>
  </si>
  <si>
    <t>Wage and Employee Benefit Adjustment</t>
  </si>
  <si>
    <t>Payroll Tax Adjustment Calculation</t>
  </si>
  <si>
    <t>Line No.</t>
  </si>
  <si>
    <t>Social Security</t>
  </si>
  <si>
    <t>Medicare</t>
  </si>
  <si>
    <t>Total FICA Tax</t>
  </si>
  <si>
    <t>FICA Calculated on June 2022 Annualized Labor</t>
  </si>
  <si>
    <t>Annualized Wages Adjustment</t>
  </si>
  <si>
    <t>a</t>
  </si>
  <si>
    <t>4.3.2</t>
  </si>
  <si>
    <t>Annualized Incentive Adjustment</t>
  </si>
  <si>
    <t>b</t>
  </si>
  <si>
    <t>c</t>
  </si>
  <si>
    <t>a + b</t>
  </si>
  <si>
    <t>Percentage of eligible wages</t>
  </si>
  <si>
    <t>d</t>
  </si>
  <si>
    <t>Total eligible wages</t>
  </si>
  <si>
    <t>e</t>
  </si>
  <si>
    <t>c * d</t>
  </si>
  <si>
    <t>Tax rate</t>
  </si>
  <si>
    <t>f</t>
  </si>
  <si>
    <t>Tax on eligible wages</t>
  </si>
  <si>
    <t>g</t>
  </si>
  <si>
    <t>e * f</t>
  </si>
  <si>
    <t>Total FICA Tax on Annualized Labor</t>
  </si>
  <si>
    <t>FICA Calculated on December 2024 Pro Forma Labor</t>
  </si>
  <si>
    <t>Pro Forma Wages Adjustment</t>
  </si>
  <si>
    <t>h</t>
  </si>
  <si>
    <t>Pro Forma Incentive Adjustment</t>
  </si>
  <si>
    <t>i</t>
  </si>
  <si>
    <t>j</t>
  </si>
  <si>
    <t>h + i</t>
  </si>
  <si>
    <t>k</t>
  </si>
  <si>
    <t>l</t>
  </si>
  <si>
    <t>j * k</t>
  </si>
  <si>
    <t>m</t>
  </si>
  <si>
    <t>n</t>
  </si>
  <si>
    <t>l * m</t>
  </si>
  <si>
    <t>Total FICA Tax on Pro Forma Labor</t>
  </si>
  <si>
    <t>Adjustment by FERC Account - Total Company</t>
  </si>
  <si>
    <t>Total Company Basis</t>
  </si>
  <si>
    <t>Indicator</t>
  </si>
  <si>
    <t>Actual
12 Months Ended
June 2022</t>
  </si>
  <si>
    <t>% Of Total</t>
  </si>
  <si>
    <t>Blank</t>
  </si>
  <si>
    <t>Restating 
Adjustment</t>
  </si>
  <si>
    <t>Restatement
12 Months Ended
June 2022</t>
  </si>
  <si>
    <t>Blank 2</t>
  </si>
  <si>
    <t>Pro Forma
Adjustment</t>
  </si>
  <si>
    <t>Pro Forma
12 Months Ending
December 2024</t>
  </si>
  <si>
    <t>500CAGE</t>
  </si>
  <si>
    <t>500CAGW</t>
  </si>
  <si>
    <t>500JBG</t>
  </si>
  <si>
    <t>500SG</t>
  </si>
  <si>
    <t>501SE</t>
  </si>
  <si>
    <t>512CAGE</t>
  </si>
  <si>
    <t>512JBG</t>
  </si>
  <si>
    <t>512SG</t>
  </si>
  <si>
    <t>535SG-P</t>
  </si>
  <si>
    <t>535SG-U</t>
  </si>
  <si>
    <t>545SG-P</t>
  </si>
  <si>
    <t>545SG-U</t>
  </si>
  <si>
    <t>548CAGE</t>
  </si>
  <si>
    <t>548CAGW</t>
  </si>
  <si>
    <t>548SG</t>
  </si>
  <si>
    <t>549OR</t>
  </si>
  <si>
    <t>553CAGE</t>
  </si>
  <si>
    <t>553CAGW</t>
  </si>
  <si>
    <t>553SG</t>
  </si>
  <si>
    <t>557CAGE</t>
  </si>
  <si>
    <t>557ID</t>
  </si>
  <si>
    <t>557WYU</t>
  </si>
  <si>
    <t>557SG</t>
  </si>
  <si>
    <t>560SG</t>
  </si>
  <si>
    <t>571SG</t>
  </si>
  <si>
    <t>580CA</t>
  </si>
  <si>
    <t>580ID</t>
  </si>
  <si>
    <t>580OR</t>
  </si>
  <si>
    <t>580SNPD</t>
  </si>
  <si>
    <t>580UT</t>
  </si>
  <si>
    <t>580WA</t>
  </si>
  <si>
    <t>580WYP</t>
  </si>
  <si>
    <t>580WYU</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</si>
  <si>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</si>
  <si>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</si>
  <si>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</si>
  <si>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</si>
  <si>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</si>
  <si>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</si>
  <si>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</si>
  <si>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</si>
  <si>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</si>
  <si>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</si>
  <si>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</si>
  <si>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</si>
  <si>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</si>
  <si>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</si>
  <si>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</si>
  <si>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</si>
  <si>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</si>
  <si>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</si>
  <si>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</si>
  <si>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</si>
  <si>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</si>
  <si>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</si>
  <si>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</si>
  <si>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</si>
  <si>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920CA</t>
  </si>
  <si>
    <t>920ID</t>
  </si>
  <si>
    <t>920OR</t>
  </si>
  <si>
    <t>920SO</t>
  </si>
  <si>
    <t>920UT</t>
  </si>
  <si>
    <t>920WA</t>
  </si>
  <si>
    <t>920WYP</t>
  </si>
  <si>
    <t>935CA</t>
  </si>
  <si>
    <t>935OR</t>
  </si>
  <si>
    <t>935SO</t>
  </si>
  <si>
    <t>935WA</t>
  </si>
  <si>
    <t>Utility Labor</t>
  </si>
  <si>
    <t>Non-Utility/Capital</t>
  </si>
  <si>
    <t>Washington Allocated</t>
  </si>
  <si>
    <t>WA %</t>
  </si>
  <si>
    <t>4.3.1</t>
  </si>
  <si>
    <t>This adjustment annualizes the wage and benefit increases that occurred during the twelve month period ended June 2022 for labor charged to operations and maintenance accounts. See page 4.3.1 for more information on how this adjustment was calculated.</t>
  </si>
  <si>
    <t>RES</t>
  </si>
  <si>
    <t>General Wage Increase (Annualizing)</t>
  </si>
  <si>
    <t>(3) REDACTED</t>
  </si>
  <si>
    <t>REDACTED</t>
  </si>
  <si>
    <t>The unadjusted and restated (12 months ended June 2022) labor expenses are summarized on page 4.3.2. The following is an explanation of the procedures used to develop the labor expenses used in this adjustment.</t>
  </si>
  <si>
    <t>5.  Payroll taxes have been updated as result of the labor calculations in parts 3 and 4 above. These payroll tax calculations can be found on page 4.3.7.</t>
  </si>
  <si>
    <t>Situs/System</t>
  </si>
  <si>
    <t>System</t>
  </si>
  <si>
    <t>1.  Actual 12 months ended June 2022 total labor related expenses are identified on page 4.3.2.</t>
  </si>
  <si>
    <t>2.  Actual 12 months ended June 2022 expenses for regular time, overtime, and premium pay were identified by labor group and restated to reflect wage increases during the base period. The restatement of labor calculations can be found on page 4.3.4.</t>
  </si>
  <si>
    <t>Adjustment by FERC Account - Washington Allocated</t>
  </si>
  <si>
    <t xml:space="preserve">3.  The restated 12 months ended June 2022 regular time, overtime, and premium pay expenses were then escalated prospectively by labor group to December 2024 (see page 4.3.5).  Union and non-union costs were escalated using the contractual and target rates found on page 4.3.5.  </t>
  </si>
  <si>
    <t>4. Compensation related to the Annual Incentive Plan is calculated by escalating the base period amount by the overall non-union wage increase percentage. The Annual Incentive Plan is the second step of a two-stage compensation philosophy that provides employees with market average compensation with a portion at risk and based on achieving annual goals. Union employees do not participate in the Company's Annual Incentive Plan; instead, they receive annual increases to their wages that are reflected in the escalation described above.</t>
  </si>
  <si>
    <t>Page 4.3.8</t>
  </si>
  <si>
    <t>Page 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</si>
</sst>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
    <numFmt numFmtId="168" formatCode="_(* #,##0.0_);_(* \(#,##0.0\);_(* &quot;-&quot;??_);_(@_)"/>
    <numFmt numFmtId="169" formatCode="_(* #,##0.000_);_(* \(#,##0.000\);_(* &quot;-&quot;??_);_(@_)"/>
    <numFmt numFmtId="170" formatCode="_(&quot;$&quot;* #,##0_);_(&quot;$&quot;* \(#,##0\);_(&quot;$&quot;* &quot;-&quot;??_);_(@_)"/>
    <numFmt numFmtId="171" formatCode="[$-409]dd\-mmm\-yy;@"/>
    <numFmt numFmtId="172" formatCode="0.0000%"/>
  </numFmts>
  <fonts count="17" x14ac:knownFonts="1">
    <font>
      <sz val="10"/>
      <color theme="1"/>
      <name val="Arial"/>
      <family val="2"/>
    </font>
    <font>
      <sz val="10"/>
      <color theme="1"/>
      <name val="Arial"/>
      <family val="2"/>
    </font>
    <font>
      <sz val="10"/>
      <color rgb="FFFF0000"/>
      <name val="Arial"/>
      <family val="2"/>
    </font>
    <font>
      <b/>
      <sz val="10"/>
      <color theme="1"/>
      <name val="Arial"/>
      <family val="2"/>
    </font>
    <font>
      <sz val="10"/>
      <name val="MS Sans Serif"/>
      <family val="2"/>
    </font>
    <font>
      <b/>
      <sz val="10"/>
      <name val="Arial"/>
      <family val="2"/>
    </font>
    <font>
      <sz val="10"/>
      <name val="Arial"/>
      <family val="2"/>
    </font>
    <font>
      <b/>
      <sz val="10"/>
      <color rgb="FFFF0000"/>
      <name val="Arial"/>
      <family val="2"/>
    </font>
    <font>
      <u/>
      <sz val="10"/>
      <name val="Arial"/>
      <family val="2"/>
    </font>
    <font>
      <sz val="12"/>
      <name val="Times New Roman"/>
      <family val="1"/>
    </font>
    <font>
      <sz val="10"/>
      <color rgb="FF0000FF"/>
      <name val="Arial"/>
      <family val="2"/>
    </font>
    <font>
      <i/>
      <sz val="10"/>
      <color rgb="FF00B0F0"/>
      <name val="Arial"/>
      <family val="2"/>
    </font>
    <font>
      <sz val="10"/>
      <color indexed="10"/>
      <name val="Arial"/>
      <family val="2"/>
    </font>
    <font>
      <b/>
      <u/>
      <sz val="10"/>
      <name val="Arial"/>
      <family val="2"/>
    </font>
    <font>
      <b/>
      <sz val="10"/>
      <color indexed="9"/>
      <name val="Arial"/>
      <family val="2"/>
    </font>
    <font>
      <sz val="10"/>
      <color theme="4" tint="-0.249977111117893"/>
      <name val="Arial"/>
      <family val="2"/>
    </font>
    <font>
      <u/>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7">
    <xf numFmtId="0" fontId="0" fillId="0" borderId="0"/>
    <xf numFmtId="0" fontId="4" fillId="0" borderId="0"/>
    <xf numFmtId="43" fontId="4" fillId="0" borderId="0" applyFont="0" applyFill="0" applyBorder="0" applyAlignment="0" applyProtection="0"/>
    <xf numFmtId="0" fontId="9"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0" fontId="4" fillId="0" borderId="0"/>
    <xf numFmtId="0" fontId="6" fillId="0" borderId="0"/>
    <xf numFmtId="44" fontId="6" fillId="0" borderId="0" applyFont="0" applyFill="0" applyBorder="0" applyAlignment="0" applyProtection="0"/>
    <xf numFmtId="0" fontId="6" fillId="0" borderId="0"/>
    <xf numFmtId="171" fontId="6" fillId="0" borderId="0"/>
    <xf numFmtId="0" fontId="6" fillId="0" borderId="0"/>
    <xf numFmtId="9" fontId="4" fillId="0" borderId="0" applyFont="0" applyFill="0" applyBorder="0" applyAlignment="0" applyProtection="0"/>
    <xf numFmtId="0" fontId="6" fillId="0" borderId="0"/>
    <xf numFmtId="0" fontId="9" fillId="0" borderId="0"/>
    <xf numFmtId="0" fontId="9" fillId="0" borderId="0"/>
  </cellStyleXfs>
  <cellXfs count="212">
    <xf numFmtId="0" fontId="0" fillId="0" borderId="0" xfId="0"/>
    <xf numFmtId="0" fontId="3" fillId="0" borderId="0" xfId="0" applyFont="1"/>
    <xf numFmtId="0" fontId="5" fillId="0" borderId="0" xfId="1" applyFont="1"/>
    <xf numFmtId="0" fontId="6" fillId="0" borderId="0" xfId="1" applyFont="1"/>
    <xf numFmtId="0" fontId="6" fillId="0" borderId="0" xfId="1" applyFont="1" applyAlignment="1">
      <alignment horizontal="right"/>
    </xf>
    <xf numFmtId="0" fontId="7" fillId="0" borderId="0" xfId="1" applyFont="1"/>
    <xf numFmtId="164" fontId="6" fillId="0" borderId="0" xfId="2" applyNumberFormat="1" applyFont="1" applyFill="1" applyAlignment="1">
      <alignment horizontal="center"/>
    </xf>
    <xf numFmtId="165" fontId="6" fillId="0" borderId="0" xfId="2" applyNumberFormat="1" applyFont="1"/>
    <xf numFmtId="0" fontId="1" fillId="0" borderId="0" xfId="0" applyFont="1"/>
    <xf numFmtId="0" fontId="6" fillId="0" borderId="0" xfId="0" applyFont="1"/>
    <xf numFmtId="0" fontId="6" fillId="0" borderId="0" xfId="0" applyFont="1" applyAlignment="1">
      <alignment horizontal="center"/>
    </xf>
    <xf numFmtId="41" fontId="6" fillId="0" borderId="0" xfId="0" applyNumberFormat="1" applyFont="1" applyAlignment="1">
      <alignment horizontal="center"/>
    </xf>
    <xf numFmtId="165" fontId="6" fillId="0" borderId="0" xfId="0" applyNumberFormat="1" applyFont="1" applyAlignment="1">
      <alignment horizontal="center"/>
    </xf>
    <xf numFmtId="0" fontId="8" fillId="0" borderId="0" xfId="0" applyFont="1" applyAlignment="1">
      <alignment horizontal="center"/>
    </xf>
    <xf numFmtId="41" fontId="8" fillId="0" borderId="0" xfId="0" applyNumberFormat="1" applyFont="1" applyAlignment="1">
      <alignment horizontal="center"/>
    </xf>
    <xf numFmtId="0" fontId="8" fillId="0" borderId="0" xfId="0" quotePrefix="1" applyFont="1" applyAlignment="1">
      <alignment horizontal="center"/>
    </xf>
    <xf numFmtId="165" fontId="8" fillId="0" borderId="0" xfId="0" applyNumberFormat="1" applyFont="1" applyAlignment="1">
      <alignment horizontal="center"/>
    </xf>
    <xf numFmtId="0" fontId="5" fillId="0" borderId="0" xfId="3" applyFont="1" applyAlignment="1">
      <alignment horizontal="left"/>
    </xf>
    <xf numFmtId="0" fontId="6" fillId="0" borderId="0" xfId="3" applyFont="1"/>
    <xf numFmtId="0" fontId="6" fillId="0" borderId="0" xfId="3" applyFont="1" applyAlignment="1">
      <alignment horizontal="center"/>
    </xf>
    <xf numFmtId="166" fontId="6" fillId="0" borderId="0" xfId="4" applyNumberFormat="1" applyFont="1" applyFill="1" applyAlignment="1" applyProtection="1">
      <alignment horizontal="center"/>
      <protection locked="0"/>
    </xf>
    <xf numFmtId="165" fontId="6" fillId="0" borderId="0" xfId="5" applyNumberFormat="1" applyFont="1" applyFill="1" applyBorder="1" applyAlignment="1" applyProtection="1">
      <alignment horizontal="center"/>
      <protection locked="0"/>
    </xf>
    <xf numFmtId="0" fontId="6" fillId="0" borderId="0" xfId="0" applyFont="1" applyAlignment="1" applyProtection="1">
      <alignment horizontal="center"/>
      <protection locked="0"/>
    </xf>
    <xf numFmtId="0" fontId="6" fillId="0" borderId="0" xfId="1" applyFont="1" applyAlignment="1">
      <alignment horizontal="center"/>
    </xf>
    <xf numFmtId="165" fontId="6" fillId="0" borderId="0" xfId="1" applyNumberFormat="1" applyFont="1"/>
    <xf numFmtId="166" fontId="6" fillId="0" borderId="0" xfId="4" applyNumberFormat="1" applyFont="1" applyFill="1" applyAlignment="1">
      <alignment horizontal="center"/>
    </xf>
    <xf numFmtId="0" fontId="10" fillId="0" borderId="0" xfId="1" applyFont="1" applyAlignment="1">
      <alignment horizontal="center"/>
    </xf>
    <xf numFmtId="165" fontId="6" fillId="0" borderId="1" xfId="1" applyNumberFormat="1" applyFont="1" applyBorder="1"/>
    <xf numFmtId="0" fontId="5" fillId="0" borderId="0" xfId="0" applyFont="1" applyProtection="1">
      <protection locked="0"/>
    </xf>
    <xf numFmtId="0" fontId="6" fillId="0" borderId="3" xfId="0" applyFont="1" applyBorder="1" applyAlignment="1">
      <alignment horizontal="left" vertical="top" wrapText="1"/>
    </xf>
    <xf numFmtId="0" fontId="6" fillId="0" borderId="6" xfId="0" applyFont="1" applyBorder="1" applyAlignment="1">
      <alignment vertical="top"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5" fillId="0" borderId="0" xfId="6" applyFont="1"/>
    <xf numFmtId="167" fontId="6" fillId="0" borderId="0" xfId="4" applyNumberFormat="1" applyFont="1" applyFill="1" applyAlignment="1">
      <alignment wrapText="1"/>
    </xf>
    <xf numFmtId="0" fontId="5" fillId="0" borderId="0" xfId="6" applyFont="1" applyAlignment="1">
      <alignment horizontal="left" wrapText="1"/>
    </xf>
    <xf numFmtId="0" fontId="5" fillId="0" borderId="0" xfId="6" applyFont="1" applyAlignment="1">
      <alignment horizontal="centerContinuous" wrapText="1"/>
    </xf>
    <xf numFmtId="0" fontId="5" fillId="0" borderId="10" xfId="0" applyFont="1" applyBorder="1" applyAlignment="1">
      <alignment horizontal="center" wrapText="1"/>
    </xf>
    <xf numFmtId="0" fontId="5" fillId="0" borderId="10" xfId="6" applyFont="1" applyBorder="1" applyAlignment="1">
      <alignment horizontal="center" wrapText="1"/>
    </xf>
    <xf numFmtId="43" fontId="5" fillId="0" borderId="11" xfId="5" applyFont="1" applyFill="1" applyBorder="1" applyAlignment="1">
      <alignment horizontal="center" vertical="center" wrapText="1"/>
    </xf>
    <xf numFmtId="43" fontId="5" fillId="0" borderId="12" xfId="5" applyFont="1" applyFill="1" applyBorder="1" applyAlignment="1">
      <alignment horizontal="center" vertical="center" wrapText="1"/>
    </xf>
    <xf numFmtId="165" fontId="6" fillId="0" borderId="0" xfId="5" applyNumberFormat="1" applyFont="1" applyFill="1" applyAlignment="1">
      <alignment wrapText="1"/>
    </xf>
    <xf numFmtId="165" fontId="6" fillId="0" borderId="13" xfId="5" applyNumberFormat="1" applyFont="1" applyFill="1" applyBorder="1" applyAlignment="1">
      <alignment wrapText="1"/>
    </xf>
    <xf numFmtId="0" fontId="5" fillId="0" borderId="1" xfId="6" applyFont="1" applyBorder="1" applyAlignment="1">
      <alignment wrapText="1"/>
    </xf>
    <xf numFmtId="165" fontId="5" fillId="0" borderId="1" xfId="5" applyNumberFormat="1" applyFont="1" applyFill="1" applyBorder="1" applyAlignment="1">
      <alignment wrapText="1"/>
    </xf>
    <xf numFmtId="0" fontId="5" fillId="0" borderId="0" xfId="6" applyFont="1" applyAlignment="1">
      <alignment wrapText="1"/>
    </xf>
    <xf numFmtId="165" fontId="5" fillId="0" borderId="14" xfId="5" applyNumberFormat="1" applyFont="1" applyFill="1" applyBorder="1" applyAlignment="1">
      <alignment wrapText="1"/>
    </xf>
    <xf numFmtId="165" fontId="11" fillId="0" borderId="0" xfId="6" applyNumberFormat="1" applyFont="1" applyAlignment="1">
      <alignment wrapText="1"/>
    </xf>
    <xf numFmtId="0" fontId="5" fillId="0" borderId="0" xfId="6" applyFont="1" applyAlignment="1">
      <alignment horizontal="center" wrapText="1"/>
    </xf>
    <xf numFmtId="0" fontId="5" fillId="0" borderId="1" xfId="6" applyFont="1" applyBorder="1" applyAlignment="1">
      <alignment horizontal="left"/>
    </xf>
    <xf numFmtId="165" fontId="5" fillId="0" borderId="15" xfId="5" applyNumberFormat="1" applyFont="1" applyFill="1" applyBorder="1" applyAlignment="1">
      <alignment wrapText="1"/>
    </xf>
    <xf numFmtId="43" fontId="6" fillId="0" borderId="0" xfId="5" applyFont="1" applyFill="1" applyAlignment="1">
      <alignment wrapText="1"/>
    </xf>
    <xf numFmtId="0" fontId="5" fillId="0" borderId="0" xfId="6" applyFont="1" applyAlignment="1">
      <alignment horizontal="right" wrapText="1"/>
    </xf>
    <xf numFmtId="0" fontId="12" fillId="0" borderId="0" xfId="6" applyFont="1" applyAlignment="1">
      <alignment horizontal="center" wrapText="1"/>
    </xf>
    <xf numFmtId="0" fontId="13" fillId="0" borderId="0" xfId="7" applyFont="1"/>
    <xf numFmtId="0" fontId="6" fillId="0" borderId="0" xfId="7" applyFont="1"/>
    <xf numFmtId="17" fontId="6" fillId="0" borderId="0" xfId="7" quotePrefix="1" applyNumberFormat="1" applyFont="1" applyAlignment="1">
      <alignment horizontal="center"/>
    </xf>
    <xf numFmtId="165" fontId="5" fillId="0" borderId="0" xfId="5" applyNumberFormat="1" applyFont="1" applyFill="1" applyBorder="1"/>
    <xf numFmtId="165" fontId="6" fillId="0" borderId="0" xfId="5" applyNumberFormat="1" applyFont="1" applyFill="1" applyBorder="1"/>
    <xf numFmtId="10" fontId="6" fillId="0" borderId="0" xfId="4" applyNumberFormat="1" applyFont="1" applyFill="1" applyBorder="1"/>
    <xf numFmtId="0" fontId="6" fillId="0" borderId="0" xfId="7" applyFont="1" applyAlignment="1">
      <alignment horizontal="left"/>
    </xf>
    <xf numFmtId="0" fontId="6" fillId="0" borderId="0" xfId="7" applyFont="1" applyAlignment="1">
      <alignment vertical="top"/>
    </xf>
    <xf numFmtId="0" fontId="6" fillId="0" borderId="0" xfId="7" applyFont="1" applyAlignment="1">
      <alignment horizontal="center"/>
    </xf>
    <xf numFmtId="17" fontId="5" fillId="0" borderId="18" xfId="7" quotePrefix="1" applyNumberFormat="1" applyFont="1" applyBorder="1" applyAlignment="1">
      <alignment horizontal="center"/>
    </xf>
    <xf numFmtId="165" fontId="5" fillId="0" borderId="18" xfId="5" applyNumberFormat="1" applyFont="1" applyFill="1" applyBorder="1" applyAlignment="1">
      <alignment horizontal="center"/>
    </xf>
    <xf numFmtId="165" fontId="6" fillId="0" borderId="18" xfId="7" applyNumberFormat="1" applyFont="1" applyBorder="1"/>
    <xf numFmtId="165" fontId="6" fillId="0" borderId="18" xfId="5" applyNumberFormat="1" applyFont="1" applyFill="1" applyBorder="1"/>
    <xf numFmtId="0" fontId="5" fillId="0" borderId="0" xfId="7" applyFont="1" applyAlignment="1">
      <alignment horizontal="center"/>
    </xf>
    <xf numFmtId="165" fontId="5" fillId="0" borderId="18" xfId="7" applyNumberFormat="1" applyFont="1" applyBorder="1"/>
    <xf numFmtId="165" fontId="5" fillId="0" borderId="18" xfId="5" applyNumberFormat="1" applyFont="1" applyFill="1" applyBorder="1"/>
    <xf numFmtId="165" fontId="6" fillId="0" borderId="0" xfId="5" applyNumberFormat="1" applyFont="1" applyFill="1"/>
    <xf numFmtId="17" fontId="5" fillId="0" borderId="18" xfId="7" applyNumberFormat="1" applyFont="1" applyBorder="1" applyAlignment="1">
      <alignment horizontal="center" wrapText="1"/>
    </xf>
    <xf numFmtId="17" fontId="5" fillId="0" borderId="18" xfId="7" applyNumberFormat="1" applyFont="1" applyBorder="1" applyAlignment="1">
      <alignment horizontal="center"/>
    </xf>
    <xf numFmtId="0" fontId="6" fillId="0" borderId="18" xfId="7" applyFont="1" applyBorder="1" applyAlignment="1">
      <alignment horizontal="center"/>
    </xf>
    <xf numFmtId="0" fontId="6" fillId="0" borderId="18" xfId="7" applyFont="1" applyBorder="1"/>
    <xf numFmtId="0" fontId="5" fillId="0" borderId="18" xfId="7" applyFont="1" applyBorder="1" applyAlignment="1">
      <alignment vertical="top"/>
    </xf>
    <xf numFmtId="0" fontId="6" fillId="0" borderId="18" xfId="7" applyFont="1" applyBorder="1" applyAlignment="1">
      <alignment vertical="top"/>
    </xf>
    <xf numFmtId="0" fontId="5" fillId="0" borderId="0" xfId="7" applyFont="1" applyAlignment="1">
      <alignment vertical="top"/>
    </xf>
    <xf numFmtId="165" fontId="5" fillId="0" borderId="0" xfId="5" applyNumberFormat="1" applyFont="1" applyFill="1" applyBorder="1" applyAlignment="1">
      <alignment horizontal="center"/>
    </xf>
    <xf numFmtId="165" fontId="6" fillId="0" borderId="0" xfId="7" applyNumberFormat="1" applyFont="1"/>
    <xf numFmtId="168" fontId="6" fillId="0" borderId="0" xfId="7" applyNumberFormat="1" applyFont="1"/>
    <xf numFmtId="0" fontId="5" fillId="0" borderId="0" xfId="7" applyFont="1"/>
    <xf numFmtId="17" fontId="5" fillId="0" borderId="19" xfId="8" applyNumberFormat="1" applyFont="1" applyBorder="1" applyAlignment="1">
      <alignment horizontal="center" wrapText="1"/>
    </xf>
    <xf numFmtId="17" fontId="5" fillId="0" borderId="20" xfId="8" applyNumberFormat="1" applyFont="1" applyBorder="1" applyAlignment="1">
      <alignment horizontal="center"/>
    </xf>
    <xf numFmtId="17" fontId="5" fillId="0" borderId="0" xfId="8" quotePrefix="1" applyNumberFormat="1" applyFont="1" applyAlignment="1">
      <alignment horizontal="center"/>
    </xf>
    <xf numFmtId="10" fontId="6" fillId="0" borderId="18" xfId="4" applyNumberFormat="1" applyFont="1" applyFill="1" applyBorder="1" applyAlignment="1">
      <alignment horizontal="center"/>
    </xf>
    <xf numFmtId="10" fontId="6" fillId="0" borderId="0" xfId="4" applyNumberFormat="1" applyFont="1" applyFill="1" applyBorder="1" applyAlignment="1">
      <alignment horizontal="center"/>
    </xf>
    <xf numFmtId="10" fontId="6" fillId="0" borderId="0" xfId="4" quotePrefix="1" applyNumberFormat="1" applyFont="1" applyFill="1" applyBorder="1" applyAlignment="1">
      <alignment horizontal="center"/>
    </xf>
    <xf numFmtId="166" fontId="6" fillId="0" borderId="0" xfId="7" applyNumberFormat="1" applyFont="1"/>
    <xf numFmtId="17" fontId="5" fillId="0" borderId="18" xfId="8" applyNumberFormat="1" applyFont="1" applyBorder="1" applyAlignment="1">
      <alignment horizontal="center" wrapText="1"/>
    </xf>
    <xf numFmtId="17" fontId="5" fillId="0" borderId="18" xfId="8" applyNumberFormat="1" applyFont="1" applyBorder="1" applyAlignment="1">
      <alignment horizontal="center"/>
    </xf>
    <xf numFmtId="17" fontId="5" fillId="0" borderId="18" xfId="8" quotePrefix="1" applyNumberFormat="1" applyFont="1" applyBorder="1" applyAlignment="1">
      <alignment horizontal="center"/>
    </xf>
    <xf numFmtId="165" fontId="6" fillId="0" borderId="18" xfId="4" applyNumberFormat="1" applyFont="1" applyFill="1" applyBorder="1" applyAlignment="1">
      <alignment horizontal="center"/>
    </xf>
    <xf numFmtId="165" fontId="6" fillId="0" borderId="18" xfId="5" applyNumberFormat="1" applyFont="1" applyFill="1" applyBorder="1" applyAlignment="1">
      <alignment horizontal="center"/>
    </xf>
    <xf numFmtId="0" fontId="5" fillId="0" borderId="18" xfId="8" applyFont="1" applyBorder="1" applyAlignment="1">
      <alignment vertical="top"/>
    </xf>
    <xf numFmtId="169" fontId="6" fillId="0" borderId="0" xfId="4" applyNumberFormat="1" applyFont="1" applyFill="1"/>
    <xf numFmtId="169" fontId="5" fillId="0" borderId="0" xfId="8" quotePrefix="1" applyNumberFormat="1" applyFont="1" applyAlignment="1">
      <alignment horizontal="center"/>
    </xf>
    <xf numFmtId="14" fontId="6" fillId="0" borderId="18" xfId="7" applyNumberFormat="1" applyFont="1" applyBorder="1"/>
    <xf numFmtId="169" fontId="6" fillId="0" borderId="0" xfId="7" applyNumberFormat="1" applyFont="1"/>
    <xf numFmtId="43" fontId="6" fillId="0" borderId="0" xfId="7" applyNumberFormat="1" applyFont="1"/>
    <xf numFmtId="169" fontId="5" fillId="0" borderId="18" xfId="8" applyNumberFormat="1" applyFont="1" applyBorder="1" applyAlignment="1">
      <alignment horizontal="center"/>
    </xf>
    <xf numFmtId="169" fontId="6" fillId="0" borderId="0" xfId="5" applyNumberFormat="1" applyFont="1" applyFill="1"/>
    <xf numFmtId="170" fontId="6" fillId="0" borderId="0" xfId="9" applyNumberFormat="1" applyFont="1" applyFill="1"/>
    <xf numFmtId="0" fontId="5" fillId="0" borderId="0" xfId="10" applyFont="1"/>
    <xf numFmtId="171" fontId="5" fillId="0" borderId="16" xfId="11" applyFont="1" applyBorder="1" applyAlignment="1">
      <alignment horizontal="center" wrapText="1"/>
    </xf>
    <xf numFmtId="171" fontId="5" fillId="0" borderId="18" xfId="11" applyFont="1" applyBorder="1" applyAlignment="1">
      <alignment horizontal="center" wrapText="1"/>
    </xf>
    <xf numFmtId="171" fontId="5" fillId="0" borderId="17" xfId="11" applyFont="1" applyBorder="1" applyAlignment="1">
      <alignment horizontal="center" wrapText="1"/>
    </xf>
    <xf numFmtId="171" fontId="5" fillId="0" borderId="0" xfId="11" applyFont="1" applyAlignment="1">
      <alignment horizontal="center" wrapText="1"/>
    </xf>
    <xf numFmtId="171" fontId="5" fillId="0" borderId="0" xfId="11" applyFont="1"/>
    <xf numFmtId="165" fontId="6" fillId="0" borderId="11" xfId="5" applyNumberFormat="1" applyFont="1" applyFill="1" applyBorder="1"/>
    <xf numFmtId="165" fontId="5" fillId="0" borderId="1" xfId="11" applyNumberFormat="1" applyFont="1" applyBorder="1"/>
    <xf numFmtId="165" fontId="5" fillId="0" borderId="0" xfId="11" applyNumberFormat="1" applyFont="1"/>
    <xf numFmtId="171" fontId="5" fillId="0" borderId="0" xfId="11" applyFont="1" applyAlignment="1">
      <alignment horizontal="center"/>
    </xf>
    <xf numFmtId="0" fontId="5" fillId="0" borderId="0" xfId="12" applyFont="1"/>
    <xf numFmtId="0" fontId="5" fillId="0" borderId="0" xfId="12" applyFont="1" applyAlignment="1">
      <alignment horizontal="center"/>
    </xf>
    <xf numFmtId="0" fontId="8" fillId="0" borderId="0" xfId="12" applyFont="1" applyAlignment="1">
      <alignment horizontal="center"/>
    </xf>
    <xf numFmtId="10" fontId="6" fillId="0" borderId="11" xfId="4" applyNumberFormat="1" applyFont="1" applyFill="1" applyBorder="1"/>
    <xf numFmtId="165" fontId="5" fillId="0" borderId="0" xfId="12" applyNumberFormat="1" applyFont="1"/>
    <xf numFmtId="0" fontId="2" fillId="0" borderId="0" xfId="12" applyFont="1" applyAlignment="1">
      <alignment horizontal="center"/>
    </xf>
    <xf numFmtId="0" fontId="5" fillId="0" borderId="1" xfId="1" applyFont="1" applyBorder="1" applyAlignment="1">
      <alignment horizontal="centerContinuous"/>
    </xf>
    <xf numFmtId="0" fontId="5" fillId="0" borderId="11" xfId="1" applyFont="1" applyBorder="1" applyAlignment="1">
      <alignment wrapText="1"/>
    </xf>
    <xf numFmtId="17" fontId="5" fillId="0" borderId="11" xfId="1" applyNumberFormat="1" applyFont="1" applyBorder="1" applyAlignment="1">
      <alignment horizontal="center" wrapText="1"/>
    </xf>
    <xf numFmtId="0" fontId="5" fillId="0" borderId="11" xfId="10" applyFont="1" applyBorder="1" applyAlignment="1">
      <alignment horizontal="center"/>
    </xf>
    <xf numFmtId="0" fontId="14" fillId="0" borderId="0" xfId="10" applyFont="1"/>
    <xf numFmtId="165" fontId="5" fillId="0" borderId="11" xfId="2" applyNumberFormat="1" applyFont="1" applyFill="1" applyBorder="1" applyAlignment="1">
      <alignment horizontal="center" wrapText="1"/>
    </xf>
    <xf numFmtId="17" fontId="5" fillId="0" borderId="11" xfId="10" applyNumberFormat="1" applyFont="1" applyBorder="1" applyAlignment="1">
      <alignment horizontal="center" wrapText="1"/>
    </xf>
    <xf numFmtId="10" fontId="6" fillId="0" borderId="0" xfId="13" applyNumberFormat="1" applyFont="1" applyFill="1"/>
    <xf numFmtId="0" fontId="5" fillId="0" borderId="1" xfId="1" applyFont="1" applyBorder="1"/>
    <xf numFmtId="165" fontId="5" fillId="0" borderId="1" xfId="1" applyNumberFormat="1" applyFont="1" applyBorder="1"/>
    <xf numFmtId="172" fontId="5" fillId="0" borderId="1" xfId="13" applyNumberFormat="1" applyFont="1" applyBorder="1"/>
    <xf numFmtId="172" fontId="6" fillId="0" borderId="0" xfId="1" applyNumberFormat="1" applyFont="1"/>
    <xf numFmtId="165" fontId="6" fillId="0" borderId="0" xfId="2" applyNumberFormat="1" applyFont="1" applyFill="1"/>
    <xf numFmtId="172" fontId="6" fillId="0" borderId="0" xfId="13" applyNumberFormat="1" applyFont="1"/>
    <xf numFmtId="165" fontId="5" fillId="0" borderId="1" xfId="2" applyNumberFormat="1" applyFont="1" applyFill="1" applyBorder="1"/>
    <xf numFmtId="0" fontId="5" fillId="0" borderId="1" xfId="14" applyFont="1" applyBorder="1" applyAlignment="1">
      <alignment horizontal="center"/>
    </xf>
    <xf numFmtId="0" fontId="5" fillId="0" borderId="11" xfId="1" applyFont="1" applyBorder="1" applyAlignment="1">
      <alignment horizontal="center"/>
    </xf>
    <xf numFmtId="0" fontId="14" fillId="0" borderId="0" xfId="1" applyFont="1"/>
    <xf numFmtId="172" fontId="6" fillId="0" borderId="0" xfId="13" applyNumberFormat="1" applyFont="1" applyFill="1" applyAlignment="1">
      <alignment horizontal="center"/>
    </xf>
    <xf numFmtId="10" fontId="6" fillId="0" borderId="0" xfId="13" applyNumberFormat="1" applyFont="1"/>
    <xf numFmtId="0" fontId="10" fillId="0" borderId="0" xfId="10" applyFont="1"/>
    <xf numFmtId="10" fontId="5" fillId="0" borderId="1" xfId="13" applyNumberFormat="1" applyFont="1" applyFill="1" applyBorder="1" applyAlignment="1">
      <alignment horizontal="center"/>
    </xf>
    <xf numFmtId="10" fontId="6" fillId="0" borderId="0" xfId="13" applyNumberFormat="1" applyFont="1" applyFill="1" applyAlignment="1">
      <alignment horizontal="center"/>
    </xf>
    <xf numFmtId="10" fontId="15" fillId="0" borderId="0" xfId="13" applyNumberFormat="1" applyFont="1" applyFill="1" applyAlignment="1">
      <alignment horizontal="center"/>
    </xf>
    <xf numFmtId="0" fontId="1" fillId="0" borderId="0" xfId="0" applyFont="1" applyAlignment="1">
      <alignment horizontal="center"/>
    </xf>
    <xf numFmtId="0" fontId="6" fillId="0" borderId="0" xfId="12" applyFont="1" applyAlignment="1">
      <alignment horizontal="center"/>
    </xf>
    <xf numFmtId="0" fontId="8" fillId="0" borderId="0" xfId="12" applyFont="1" applyBorder="1" applyAlignment="1">
      <alignment horizontal="center" wrapText="1"/>
    </xf>
    <xf numFmtId="0" fontId="6" fillId="0" borderId="0" xfId="15" applyFont="1" applyAlignment="1">
      <alignment horizontal="center"/>
    </xf>
    <xf numFmtId="0" fontId="6" fillId="0" borderId="0" xfId="16" applyFont="1" applyAlignment="1">
      <alignment horizontal="center"/>
    </xf>
    <xf numFmtId="0" fontId="5" fillId="0" borderId="0" xfId="16" applyFont="1"/>
    <xf numFmtId="166" fontId="6" fillId="0" borderId="0" xfId="13" applyNumberFormat="1" applyFont="1" applyFill="1" applyAlignment="1">
      <alignment horizontal="center"/>
    </xf>
    <xf numFmtId="0" fontId="6" fillId="0" borderId="18" xfId="7" applyFont="1" applyFill="1" applyBorder="1" applyAlignment="1">
      <alignment horizontal="center"/>
    </xf>
    <xf numFmtId="0" fontId="6" fillId="0" borderId="18" xfId="7" applyFont="1" applyFill="1" applyBorder="1"/>
    <xf numFmtId="165" fontId="6" fillId="2" borderId="18" xfId="4" applyNumberFormat="1" applyFont="1" applyFill="1" applyBorder="1" applyAlignment="1">
      <alignment horizontal="center"/>
    </xf>
    <xf numFmtId="165" fontId="6" fillId="2" borderId="18" xfId="5" applyNumberFormat="1" applyFont="1" applyFill="1" applyBorder="1" applyAlignment="1">
      <alignment horizontal="center"/>
    </xf>
    <xf numFmtId="14" fontId="6" fillId="2" borderId="18" xfId="7" applyNumberFormat="1" applyFont="1" applyFill="1" applyBorder="1"/>
    <xf numFmtId="10" fontId="6" fillId="2" borderId="18" xfId="4" applyNumberFormat="1" applyFont="1" applyFill="1" applyBorder="1" applyAlignment="1">
      <alignment horizontal="center"/>
    </xf>
    <xf numFmtId="166" fontId="6" fillId="0" borderId="0" xfId="13" applyNumberFormat="1" applyFont="1" applyFill="1"/>
    <xf numFmtId="166" fontId="5" fillId="0" borderId="1" xfId="4" applyNumberFormat="1" applyFont="1" applyFill="1" applyBorder="1"/>
    <xf numFmtId="0" fontId="16" fillId="0" borderId="0" xfId="0" applyFont="1"/>
    <xf numFmtId="165" fontId="6" fillId="0" borderId="0" xfId="1" applyNumberFormat="1" applyFont="1" applyBorder="1"/>
    <xf numFmtId="0" fontId="6" fillId="0" borderId="0" xfId="0" applyFont="1" applyAlignment="1">
      <alignmen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0" xfId="0" applyFont="1" applyAlignment="1">
      <alignment vertical="top" wrapText="1"/>
    </xf>
    <xf numFmtId="0" fontId="6" fillId="0" borderId="7" xfId="0" applyFont="1" applyBorder="1" applyAlignment="1">
      <alignment vertical="top" wrapText="1"/>
    </xf>
    <xf numFmtId="0" fontId="6" fillId="0" borderId="2" xfId="0" applyFont="1" applyBorder="1" applyAlignment="1">
      <alignment vertical="top" wrapText="1"/>
    </xf>
    <xf numFmtId="0" fontId="6" fillId="0" borderId="9" xfId="0" applyFont="1" applyBorder="1" applyAlignment="1">
      <alignment vertical="top" wrapText="1"/>
    </xf>
    <xf numFmtId="0" fontId="5" fillId="0" borderId="16" xfId="7" applyFont="1" applyBorder="1" applyAlignment="1">
      <alignment horizontal="center"/>
    </xf>
    <xf numFmtId="0" fontId="5" fillId="0" borderId="17" xfId="7" applyFont="1" applyBorder="1" applyAlignment="1">
      <alignment horizontal="center"/>
    </xf>
    <xf numFmtId="0" fontId="6" fillId="0" borderId="16" xfId="7" applyFont="1" applyBorder="1"/>
    <xf numFmtId="0" fontId="6" fillId="0" borderId="17" xfId="7" applyFont="1" applyBorder="1"/>
    <xf numFmtId="0" fontId="5" fillId="0" borderId="16" xfId="7" applyFont="1" applyBorder="1" applyAlignment="1">
      <alignment vertical="top"/>
    </xf>
    <xf numFmtId="0" fontId="5" fillId="0" borderId="17" xfId="7" applyFont="1" applyBorder="1" applyAlignment="1">
      <alignment vertical="top"/>
    </xf>
    <xf numFmtId="0" fontId="0" fillId="0" borderId="0" xfId="0" applyFont="1"/>
    <xf numFmtId="0" fontId="0" fillId="0" borderId="0" xfId="0" applyFont="1" applyAlignment="1">
      <alignment horizontal="right"/>
    </xf>
    <xf numFmtId="0" fontId="0" fillId="0" borderId="0" xfId="0" applyFont="1" applyAlignment="1">
      <alignment horizontal="center"/>
    </xf>
    <xf numFmtId="0" fontId="6" fillId="0" borderId="0" xfId="6" applyFont="1"/>
    <xf numFmtId="0" fontId="6" fillId="0" borderId="0" xfId="6" applyFont="1" applyAlignment="1">
      <alignment vertical="top" wrapText="1"/>
    </xf>
    <xf numFmtId="0" fontId="6" fillId="0" borderId="0" xfId="6" applyFont="1" applyAlignment="1">
      <alignment wrapText="1"/>
    </xf>
    <xf numFmtId="0" fontId="6" fillId="0" borderId="0" xfId="6" applyFont="1" applyAlignment="1">
      <alignment wrapText="1"/>
    </xf>
    <xf numFmtId="0" fontId="6" fillId="0" borderId="0" xfId="6" applyFont="1" applyAlignment="1">
      <alignment horizontal="right" wrapText="1"/>
    </xf>
    <xf numFmtId="0" fontId="6" fillId="0" borderId="0" xfId="6" applyFont="1" applyAlignment="1">
      <alignment horizontal="center" wrapText="1"/>
    </xf>
    <xf numFmtId="165" fontId="6" fillId="0" borderId="0" xfId="6" applyNumberFormat="1" applyFont="1" applyAlignment="1">
      <alignment wrapText="1"/>
    </xf>
    <xf numFmtId="0" fontId="6" fillId="0" borderId="0" xfId="6" applyFont="1" applyAlignment="1">
      <alignment horizontal="left" wrapText="1"/>
    </xf>
    <xf numFmtId="0" fontId="6" fillId="0" borderId="13" xfId="6" applyFont="1" applyBorder="1" applyAlignment="1">
      <alignment wrapText="1"/>
    </xf>
    <xf numFmtId="165" fontId="6" fillId="0" borderId="13" xfId="6" applyNumberFormat="1" applyFont="1" applyBorder="1" applyAlignment="1">
      <alignment wrapText="1"/>
    </xf>
    <xf numFmtId="0" fontId="6" fillId="0" borderId="0" xfId="6" applyFont="1" applyAlignment="1">
      <alignment horizontal="left"/>
    </xf>
    <xf numFmtId="0" fontId="6" fillId="0" borderId="18" xfId="8" applyFont="1" applyBorder="1"/>
    <xf numFmtId="0" fontId="6" fillId="0" borderId="18" xfId="8" applyFont="1" applyBorder="1" applyAlignment="1">
      <alignment horizontal="center"/>
    </xf>
    <xf numFmtId="0" fontId="6" fillId="0" borderId="1" xfId="8" applyFont="1" applyBorder="1"/>
    <xf numFmtId="0" fontId="6" fillId="0" borderId="18" xfId="8" applyFont="1" applyBorder="1" applyAlignment="1">
      <alignment vertical="top"/>
    </xf>
    <xf numFmtId="0" fontId="6" fillId="0" borderId="0" xfId="8" quotePrefix="1" applyFont="1" applyAlignment="1">
      <alignment horizontal="center"/>
    </xf>
    <xf numFmtId="0" fontId="6" fillId="0" borderId="0" xfId="8" applyFont="1"/>
    <xf numFmtId="14" fontId="6" fillId="0" borderId="18" xfId="8" applyNumberFormat="1" applyFont="1" applyBorder="1"/>
    <xf numFmtId="0" fontId="6" fillId="0" borderId="18" xfId="8" applyFont="1" applyFill="1" applyBorder="1" applyAlignment="1">
      <alignment horizontal="center"/>
    </xf>
    <xf numFmtId="14" fontId="6" fillId="2" borderId="18" xfId="8" applyNumberFormat="1" applyFont="1" applyFill="1" applyBorder="1"/>
    <xf numFmtId="0" fontId="6" fillId="0" borderId="18" xfId="8" applyFont="1" applyFill="1" applyBorder="1"/>
    <xf numFmtId="171" fontId="6" fillId="0" borderId="0" xfId="11" applyFont="1"/>
    <xf numFmtId="171" fontId="6" fillId="0" borderId="0" xfId="11" applyFont="1" applyAlignment="1">
      <alignment horizontal="right" indent="1"/>
    </xf>
    <xf numFmtId="171" fontId="6" fillId="0" borderId="0" xfId="11" applyFont="1" applyAlignment="1">
      <alignment horizontal="center"/>
    </xf>
    <xf numFmtId="171" fontId="6" fillId="0" borderId="0" xfId="11" applyFont="1" applyAlignment="1">
      <alignment horizontal="left" indent="1"/>
    </xf>
    <xf numFmtId="0" fontId="6" fillId="0" borderId="0" xfId="12" applyFont="1"/>
    <xf numFmtId="165" fontId="6" fillId="0" borderId="0" xfId="12" applyNumberFormat="1" applyFont="1"/>
    <xf numFmtId="165" fontId="6" fillId="0" borderId="11" xfId="12" applyNumberFormat="1" applyFont="1" applyBorder="1"/>
    <xf numFmtId="10" fontId="6" fillId="0" borderId="11" xfId="12" applyNumberFormat="1" applyFont="1" applyBorder="1"/>
    <xf numFmtId="10" fontId="6" fillId="0" borderId="0" xfId="12" applyNumberFormat="1" applyFont="1"/>
    <xf numFmtId="165" fontId="6" fillId="0" borderId="1" xfId="12" applyNumberFormat="1" applyFont="1" applyBorder="1"/>
    <xf numFmtId="0" fontId="6" fillId="0" borderId="0" xfId="12" applyFont="1" applyAlignment="1">
      <alignment horizontal="right"/>
    </xf>
    <xf numFmtId="0" fontId="6" fillId="0" borderId="0" xfId="10" applyFont="1" applyAlignment="1">
      <alignment horizontal="right"/>
    </xf>
    <xf numFmtId="0" fontId="6" fillId="0" borderId="0" xfId="10" applyFont="1"/>
    <xf numFmtId="165" fontId="6" fillId="0" borderId="0" xfId="10" applyNumberFormat="1" applyFont="1"/>
  </cellXfs>
  <cellStyles count="17">
    <cellStyle name="Comma 2" xfId="5" xr:uid="{977E01BA-3AE3-4C82-B311-A7FBDD5B2BF7}"/>
    <cellStyle name="Comma 6 2" xfId="2" xr:uid="{F608D2CA-E600-4B3C-839E-575C576CD345}"/>
    <cellStyle name="Currency 2" xfId="9" xr:uid="{76233013-1833-4A19-BF97-546B15157C63}"/>
    <cellStyle name="Normal" xfId="0" builtinId="0"/>
    <cellStyle name="Normal 10 2" xfId="14" xr:uid="{030D68DB-27AD-4ACB-A9D0-0023DA8E5B93}"/>
    <cellStyle name="Normal 19" xfId="11" xr:uid="{C91A5790-DA7C-479C-8125-9C6DE70DC8A0}"/>
    <cellStyle name="Normal 2" xfId="6" xr:uid="{F6390459-5BF7-4042-8BD1-2887604AC454}"/>
    <cellStyle name="Normal 3" xfId="10" xr:uid="{436B6C40-7947-44B9-BBC7-0992E808D502}"/>
    <cellStyle name="Normal 4 3" xfId="1" xr:uid="{53CFD908-1F8F-45A8-AE9D-8632DAC20480}"/>
    <cellStyle name="Normal 6" xfId="12" xr:uid="{9A56DE53-338D-4427-9701-288EEA9D67F0}"/>
    <cellStyle name="Normal_Adjustment Template" xfId="15" xr:uid="{F6CF24DE-8CF3-486A-95F3-FC4DA0196908}"/>
    <cellStyle name="Normal_Contract Expiration Dates Summary-8-2-05" xfId="8" xr:uid="{25DF1554-9AE3-4A7C-8719-ACE2691CE0D5}"/>
    <cellStyle name="Normal_Extract for Adjustment-Wy Case - Sept 06" xfId="7" xr:uid="{4363A4FD-C1CF-4782-BAAA-74667DEE32DC}"/>
    <cellStyle name="Normal_Remove Idaho Tax Payment Surcharge" xfId="3" xr:uid="{38D873DE-533A-4255-BF7E-079ED27D2612}"/>
    <cellStyle name="Normal_Trapper Mine Adj Dec 2006" xfId="16" xr:uid="{454297BF-0A59-4A9B-834E-DA0249DCDF86}"/>
    <cellStyle name="Percent 2" xfId="4" xr:uid="{84CADFFB-B89C-4B0A-BE5C-512731C0A0A5}"/>
    <cellStyle name="Percent 5" xfId="13" xr:uid="{D2A70574-F96E-4B5F-81D0-5278A8089BBA}"/>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E2AE9-6310-4BBF-BD13-B3187F576DA0}">
  <sheetPr>
    <pageSetUpPr fitToPage="1"/>
  </sheetPr>
  <dimension ref="A2:L61"/>
  <sheetViews>
    <sheetView tabSelected="1" view="pageBreakPreview" zoomScale="80" zoomScaleNormal="100" zoomScaleSheetLayoutView="80" workbookViewId="0"/>
  </sheetViews>
  <sheetFormatPr defaultRowHeight="12.75" x14ac:dyDescent="0.2"/>
  <cols>
    <col min="1" max="1" width="2.42578125" style="174" customWidth="1"/>
    <col min="2" max="2" width="3.7109375" style="174" customWidth="1"/>
    <col min="3" max="3" width="32.7109375" style="174" customWidth="1"/>
    <col min="4" max="4" width="10.140625" style="174" bestFit="1" customWidth="1"/>
    <col min="5" max="5" width="5.5703125" style="174" bestFit="1" customWidth="1"/>
    <col min="6" max="6" width="12" style="174" bestFit="1" customWidth="1"/>
    <col min="7" max="7" width="8.7109375" style="174" bestFit="1" customWidth="1"/>
    <col min="8" max="8" width="11" style="174" bestFit="1" customWidth="1"/>
    <col min="9" max="9" width="15.28515625" style="174" bestFit="1" customWidth="1"/>
    <col min="10" max="10" width="5.7109375" style="174" bestFit="1" customWidth="1"/>
    <col min="11" max="11" width="9.140625" style="174"/>
    <col min="12" max="12" width="10.28515625" style="174" bestFit="1" customWidth="1"/>
    <col min="13" max="16384" width="9.140625" style="174"/>
  </cols>
  <sheetData>
    <row r="2" spans="2:12" x14ac:dyDescent="0.2">
      <c r="B2" s="2" t="s">
        <v>0</v>
      </c>
      <c r="C2" s="3"/>
      <c r="D2" s="3"/>
      <c r="E2" s="3"/>
      <c r="F2" s="3"/>
      <c r="G2" s="4"/>
      <c r="I2" s="175" t="s">
        <v>1</v>
      </c>
      <c r="J2" s="176">
        <v>4.2</v>
      </c>
    </row>
    <row r="3" spans="2:12" x14ac:dyDescent="0.2">
      <c r="B3" s="2" t="s">
        <v>45</v>
      </c>
      <c r="C3" s="3"/>
      <c r="D3" s="3"/>
      <c r="E3" s="3"/>
      <c r="F3" s="3"/>
      <c r="G3" s="3"/>
    </row>
    <row r="4" spans="2:12" x14ac:dyDescent="0.2">
      <c r="B4" s="2" t="s">
        <v>275</v>
      </c>
      <c r="C4" s="3"/>
      <c r="D4" s="3"/>
      <c r="E4" s="3"/>
      <c r="F4" s="3"/>
      <c r="G4" s="3"/>
    </row>
    <row r="5" spans="2:12" x14ac:dyDescent="0.2">
      <c r="B5" s="3"/>
      <c r="C5" s="3" t="s">
        <v>47</v>
      </c>
      <c r="D5" s="3"/>
      <c r="E5" s="3"/>
      <c r="F5" s="3"/>
      <c r="G5" s="3"/>
    </row>
    <row r="6" spans="2:12" x14ac:dyDescent="0.2">
      <c r="B6" s="3"/>
      <c r="C6" s="3"/>
      <c r="D6" s="3"/>
      <c r="E6" s="3"/>
      <c r="F6" s="3"/>
      <c r="G6" s="3"/>
    </row>
    <row r="7" spans="2:12" x14ac:dyDescent="0.2">
      <c r="B7" s="3"/>
      <c r="C7" s="3"/>
      <c r="D7" s="3"/>
      <c r="E7" s="3"/>
      <c r="F7" s="3"/>
      <c r="G7" s="3"/>
    </row>
    <row r="8" spans="2:12" x14ac:dyDescent="0.2">
      <c r="B8" s="3"/>
      <c r="C8" s="3"/>
      <c r="D8" s="10"/>
      <c r="E8" s="10"/>
      <c r="F8" s="11" t="s">
        <v>4</v>
      </c>
      <c r="G8" s="10"/>
      <c r="H8" s="10"/>
      <c r="I8" s="12" t="s">
        <v>5</v>
      </c>
      <c r="J8" s="10"/>
    </row>
    <row r="9" spans="2:12" x14ac:dyDescent="0.2">
      <c r="B9" s="3"/>
      <c r="D9" s="13" t="s">
        <v>6</v>
      </c>
      <c r="E9" s="13" t="s">
        <v>7</v>
      </c>
      <c r="F9" s="14" t="s">
        <v>8</v>
      </c>
      <c r="G9" s="13" t="s">
        <v>9</v>
      </c>
      <c r="H9" s="15" t="s">
        <v>10</v>
      </c>
      <c r="I9" s="16" t="s">
        <v>11</v>
      </c>
      <c r="J9" s="13" t="s">
        <v>12</v>
      </c>
    </row>
    <row r="10" spans="2:12" x14ac:dyDescent="0.2">
      <c r="B10" s="148" t="s">
        <v>13</v>
      </c>
      <c r="C10" s="2"/>
      <c r="D10" s="13"/>
      <c r="E10" s="13"/>
      <c r="F10" s="14"/>
      <c r="G10" s="13"/>
      <c r="H10" s="15"/>
      <c r="I10" s="16"/>
      <c r="J10" s="13"/>
    </row>
    <row r="11" spans="2:12" x14ac:dyDescent="0.2">
      <c r="B11" s="3"/>
      <c r="C11" s="3" t="s">
        <v>14</v>
      </c>
      <c r="D11" s="147">
        <v>500</v>
      </c>
      <c r="E11" s="23" t="s">
        <v>274</v>
      </c>
      <c r="F11" s="24">
        <f>IF(H11="Situs",SUMIFS('4.3.8'!E:E,'4.3.8'!K:K,D11,'4.3.8'!M:M,H11),SUMIFS('4.3.8'!E:E,'4.3.8'!K:K,D11,'4.3.8'!L:L,G11))</f>
        <v>615201.32699395495</v>
      </c>
      <c r="G11" s="146" t="s">
        <v>16</v>
      </c>
      <c r="H11" s="25">
        <v>0</v>
      </c>
      <c r="I11" s="24">
        <f>IF(H11="Situs",SUMIFS('4.3.8'!E:E,'4.3.8'!K:K,D11,'4.3.8'!L:L,G11),F11*H11)</f>
        <v>0</v>
      </c>
      <c r="L11" s="24"/>
    </row>
    <row r="12" spans="2:12" x14ac:dyDescent="0.2">
      <c r="B12" s="3"/>
      <c r="C12" s="3" t="s">
        <v>14</v>
      </c>
      <c r="D12" s="147">
        <v>500</v>
      </c>
      <c r="E12" s="23" t="s">
        <v>274</v>
      </c>
      <c r="F12" s="24">
        <f>IF(H12="Situs",SUMIFS('4.3.8'!E:E,'4.3.8'!K:K,D12,'4.3.8'!M:M,H12),SUMIFS('4.3.8'!E:E,'4.3.8'!K:K,D12,'4.3.8'!L:L,G12))</f>
        <v>8.4317003230011789</v>
      </c>
      <c r="G12" s="146" t="s">
        <v>17</v>
      </c>
      <c r="H12" s="25">
        <v>0.22162982918040364</v>
      </c>
      <c r="I12" s="24">
        <f>IF(H12="Situs",SUMIFS('4.3.8'!E:E,'4.3.8'!K:K,D12,'4.3.8'!L:L,G12),F12*H12)</f>
        <v>1.8687163022871054</v>
      </c>
      <c r="L12" s="24"/>
    </row>
    <row r="13" spans="2:12" x14ac:dyDescent="0.2">
      <c r="B13" s="3"/>
      <c r="C13" s="3" t="s">
        <v>14</v>
      </c>
      <c r="D13" s="147">
        <v>500</v>
      </c>
      <c r="E13" s="23" t="s">
        <v>274</v>
      </c>
      <c r="F13" s="24">
        <f>IF(H13="Situs",SUMIFS('4.3.8'!E:E,'4.3.8'!K:K,D13,'4.3.8'!M:M,H13),SUMIFS('4.3.8'!E:E,'4.3.8'!K:K,D13,'4.3.8'!L:L,G13))</f>
        <v>88261.142998415235</v>
      </c>
      <c r="G13" s="146" t="s">
        <v>18</v>
      </c>
      <c r="H13" s="25">
        <v>0.22162982918040364</v>
      </c>
      <c r="I13" s="24">
        <f>IF(H13="Situs",SUMIFS('4.3.8'!E:E,'4.3.8'!K:K,D13,'4.3.8'!L:L,G13),F13*H13)</f>
        <v>19561.302046005945</v>
      </c>
      <c r="L13" s="24"/>
    </row>
    <row r="14" spans="2:12" x14ac:dyDescent="0.2">
      <c r="B14" s="3"/>
      <c r="C14" s="3" t="s">
        <v>14</v>
      </c>
      <c r="D14" s="147">
        <v>500</v>
      </c>
      <c r="E14" s="23" t="s">
        <v>274</v>
      </c>
      <c r="F14" s="24">
        <f>IF(H14="Situs",SUMIFS('4.3.8'!E:E,'4.3.8'!K:K,D14,'4.3.8'!M:M,H14),SUMIFS('4.3.8'!E:E,'4.3.8'!K:K,D14,'4.3.8'!L:L,G14))</f>
        <v>29564.800379568143</v>
      </c>
      <c r="G14" s="146" t="s">
        <v>19</v>
      </c>
      <c r="H14" s="25">
        <v>7.9787774498314715E-2</v>
      </c>
      <c r="I14" s="24">
        <f>IF(H14="Situs",SUMIFS('4.3.8'!E:E,'4.3.8'!K:K,D14,'4.3.8'!L:L,G14),F14*H14)</f>
        <v>2358.9096257726724</v>
      </c>
      <c r="L14" s="24"/>
    </row>
    <row r="15" spans="2:12" x14ac:dyDescent="0.2">
      <c r="B15" s="3"/>
      <c r="C15" s="3" t="s">
        <v>20</v>
      </c>
      <c r="D15" s="147">
        <v>501</v>
      </c>
      <c r="E15" s="23" t="s">
        <v>274</v>
      </c>
      <c r="F15" s="24">
        <f>IF(H15="Situs",SUMIFS('4.3.8'!E:E,'4.3.8'!K:K,D15,'4.3.8'!M:M,H15),SUMIFS('4.3.8'!E:E,'4.3.8'!K:K,D15,'4.3.8'!L:L,G15))</f>
        <v>1106.6897040983306</v>
      </c>
      <c r="G15" s="146" t="s">
        <v>21</v>
      </c>
      <c r="H15" s="25">
        <v>7.6163640476536676E-2</v>
      </c>
      <c r="I15" s="24">
        <f>IF(H15="Situs",SUMIFS('4.3.8'!E:E,'4.3.8'!K:K,D15,'4.3.8'!L:L,G15),F15*H15)</f>
        <v>84.289516742030003</v>
      </c>
      <c r="L15" s="24"/>
    </row>
    <row r="16" spans="2:12" x14ac:dyDescent="0.2">
      <c r="B16" s="3"/>
      <c r="C16" s="3" t="s">
        <v>22</v>
      </c>
      <c r="D16" s="147">
        <v>512</v>
      </c>
      <c r="E16" s="23" t="s">
        <v>274</v>
      </c>
      <c r="F16" s="24">
        <f>IF(H16="Situs",SUMIFS('4.3.8'!E:E,'4.3.8'!K:K,D16,'4.3.8'!M:M,H16),SUMIFS('4.3.8'!E:E,'4.3.8'!K:K,D16,'4.3.8'!L:L,G16))</f>
        <v>372301.73759818351</v>
      </c>
      <c r="G16" s="146" t="s">
        <v>16</v>
      </c>
      <c r="H16" s="25">
        <v>0</v>
      </c>
      <c r="I16" s="24">
        <f>IF(H16="Situs",SUMIFS('4.3.8'!E:E,'4.3.8'!K:K,D16,'4.3.8'!L:L,G16),F16*H16)</f>
        <v>0</v>
      </c>
      <c r="L16" s="24"/>
    </row>
    <row r="17" spans="2:12" x14ac:dyDescent="0.2">
      <c r="B17" s="3"/>
      <c r="C17" s="3" t="s">
        <v>22</v>
      </c>
      <c r="D17" s="147">
        <v>512</v>
      </c>
      <c r="E17" s="23" t="s">
        <v>274</v>
      </c>
      <c r="F17" s="24">
        <f>IF(H17="Situs",SUMIFS('4.3.8'!E:E,'4.3.8'!K:K,D17,'4.3.8'!M:M,H17),SUMIFS('4.3.8'!E:E,'4.3.8'!K:K,D17,'4.3.8'!L:L,G17))</f>
        <v>189316.69034759243</v>
      </c>
      <c r="G17" s="146" t="s">
        <v>18</v>
      </c>
      <c r="H17" s="25">
        <v>0.22162982918040364</v>
      </c>
      <c r="I17" s="24">
        <f>IF(H17="Situs",SUMIFS('4.3.8'!E:E,'4.3.8'!K:K,D17,'4.3.8'!L:L,G17),F17*H17)</f>
        <v>41958.225742736278</v>
      </c>
      <c r="L17" s="24"/>
    </row>
    <row r="18" spans="2:12" x14ac:dyDescent="0.2">
      <c r="B18" s="3"/>
      <c r="C18" s="3" t="s">
        <v>22</v>
      </c>
      <c r="D18" s="147">
        <v>512</v>
      </c>
      <c r="E18" s="23" t="s">
        <v>274</v>
      </c>
      <c r="F18" s="24">
        <f>IF(H18="Situs",SUMIFS('4.3.8'!E:E,'4.3.8'!K:K,D18,'4.3.8'!M:M,H18),SUMIFS('4.3.8'!E:E,'4.3.8'!K:K,D18,'4.3.8'!L:L,G18))</f>
        <v>2525.6411773169775</v>
      </c>
      <c r="G18" s="146" t="s">
        <v>19</v>
      </c>
      <c r="H18" s="25">
        <v>7.9787774498314715E-2</v>
      </c>
      <c r="I18" s="24">
        <f>IF(H18="Situs",SUMIFS('4.3.8'!E:E,'4.3.8'!K:K,D18,'4.3.8'!L:L,G18),F18*H18)</f>
        <v>201.51528871942509</v>
      </c>
      <c r="L18" s="24"/>
    </row>
    <row r="19" spans="2:12" x14ac:dyDescent="0.2">
      <c r="B19" s="3"/>
      <c r="C19" s="3" t="s">
        <v>23</v>
      </c>
      <c r="D19" s="147">
        <v>535</v>
      </c>
      <c r="E19" s="23" t="s">
        <v>274</v>
      </c>
      <c r="F19" s="24">
        <f>IF(H19="Situs",SUMIFS('4.3.8'!E:E,'4.3.8'!K:K,D19,'4.3.8'!M:M,H19),SUMIFS('4.3.8'!E:E,'4.3.8'!K:K,D19,'4.3.8'!L:L,G19))</f>
        <v>153252.80466929209</v>
      </c>
      <c r="G19" s="146" t="s">
        <v>24</v>
      </c>
      <c r="H19" s="25">
        <v>7.9787774498314715E-2</v>
      </c>
      <c r="I19" s="24">
        <f>IF(H19="Situs",SUMIFS('4.3.8'!E:E,'4.3.8'!K:K,D19,'4.3.8'!L:L,G19),F19*H19)</f>
        <v>12227.700220187749</v>
      </c>
      <c r="L19" s="24"/>
    </row>
    <row r="20" spans="2:12" x14ac:dyDescent="0.2">
      <c r="B20" s="3"/>
      <c r="C20" s="3" t="s">
        <v>23</v>
      </c>
      <c r="D20" s="147">
        <v>535</v>
      </c>
      <c r="E20" s="23" t="s">
        <v>274</v>
      </c>
      <c r="F20" s="24">
        <f>IF(H20="Situs",SUMIFS('4.3.8'!E:E,'4.3.8'!K:K,D20,'4.3.8'!M:M,H20),SUMIFS('4.3.8'!E:E,'4.3.8'!K:K,D20,'4.3.8'!L:L,G20))</f>
        <v>102809.8633625807</v>
      </c>
      <c r="G20" s="146" t="s">
        <v>25</v>
      </c>
      <c r="H20" s="25">
        <v>7.9787774498314715E-2</v>
      </c>
      <c r="I20" s="24">
        <f>IF(H20="Situs",SUMIFS('4.3.8'!E:E,'4.3.8'!K:K,D20,'4.3.8'!L:L,G20),F20*H20)</f>
        <v>8202.9701941761359</v>
      </c>
      <c r="L20" s="24"/>
    </row>
    <row r="21" spans="2:12" x14ac:dyDescent="0.2">
      <c r="B21" s="3"/>
      <c r="C21" s="3" t="s">
        <v>26</v>
      </c>
      <c r="D21" s="147">
        <v>545</v>
      </c>
      <c r="E21" s="23" t="s">
        <v>274</v>
      </c>
      <c r="F21" s="24">
        <f>IF(H21="Situs",SUMIFS('4.3.8'!E:E,'4.3.8'!K:K,D21,'4.3.8'!M:M,H21),SUMIFS('4.3.8'!E:E,'4.3.8'!K:K,D21,'4.3.8'!L:L,G21))</f>
        <v>26468.976728126971</v>
      </c>
      <c r="G21" s="146" t="s">
        <v>24</v>
      </c>
      <c r="H21" s="25">
        <v>7.9787774498314715E-2</v>
      </c>
      <c r="I21" s="24">
        <f>IF(H21="Situs",SUMIFS('4.3.8'!E:E,'4.3.8'!K:K,D21,'4.3.8'!L:L,G21),F21*H21)</f>
        <v>2111.9007463849348</v>
      </c>
      <c r="L21" s="24"/>
    </row>
    <row r="22" spans="2:12" x14ac:dyDescent="0.2">
      <c r="B22" s="3"/>
      <c r="C22" s="3" t="s">
        <v>26</v>
      </c>
      <c r="D22" s="147">
        <v>545</v>
      </c>
      <c r="E22" s="23" t="s">
        <v>274</v>
      </c>
      <c r="F22" s="24">
        <f>IF(H22="Situs",SUMIFS('4.3.8'!E:E,'4.3.8'!K:K,D22,'4.3.8'!M:M,H22),SUMIFS('4.3.8'!E:E,'4.3.8'!K:K,D22,'4.3.8'!L:L,G22))</f>
        <v>5180.9765565493026</v>
      </c>
      <c r="G22" s="146" t="s">
        <v>25</v>
      </c>
      <c r="H22" s="25">
        <v>7.9787774498314715E-2</v>
      </c>
      <c r="I22" s="24">
        <f>IF(H22="Situs",SUMIFS('4.3.8'!E:E,'4.3.8'!K:K,D22,'4.3.8'!L:L,G22),F22*H22)</f>
        <v>413.3785891750108</v>
      </c>
      <c r="L22" s="24"/>
    </row>
    <row r="23" spans="2:12" x14ac:dyDescent="0.2">
      <c r="B23" s="3"/>
      <c r="C23" s="3" t="s">
        <v>27</v>
      </c>
      <c r="D23" s="147">
        <v>548</v>
      </c>
      <c r="E23" s="23" t="s">
        <v>274</v>
      </c>
      <c r="F23" s="24">
        <f>IF(H23="Situs",SUMIFS('4.3.8'!E:E,'4.3.8'!K:K,D23,'4.3.8'!M:M,H23),SUMIFS('4.3.8'!E:E,'4.3.8'!K:K,D23,'4.3.8'!L:L,G23))</f>
        <v>68268.901120088616</v>
      </c>
      <c r="G23" s="146" t="s">
        <v>16</v>
      </c>
      <c r="H23" s="25">
        <v>0</v>
      </c>
      <c r="I23" s="24">
        <f>IF(H23="Situs",SUMIFS('4.3.8'!E:E,'4.3.8'!K:K,D23,'4.3.8'!L:L,G23),F23*H23)</f>
        <v>0</v>
      </c>
      <c r="L23" s="24"/>
    </row>
    <row r="24" spans="2:12" x14ac:dyDescent="0.2">
      <c r="B24" s="3"/>
      <c r="C24" s="3" t="s">
        <v>27</v>
      </c>
      <c r="D24" s="147">
        <v>548</v>
      </c>
      <c r="E24" s="23" t="s">
        <v>274</v>
      </c>
      <c r="F24" s="24">
        <f>IF(H24="Situs",SUMIFS('4.3.8'!E:E,'4.3.8'!K:K,D24,'4.3.8'!M:M,H24),SUMIFS('4.3.8'!E:E,'4.3.8'!K:K,D24,'4.3.8'!L:L,G24))</f>
        <v>25746.520176413582</v>
      </c>
      <c r="G24" s="146" t="s">
        <v>17</v>
      </c>
      <c r="H24" s="25">
        <v>0.22162982918040364</v>
      </c>
      <c r="I24" s="24">
        <f>IF(H24="Situs",SUMIFS('4.3.8'!E:E,'4.3.8'!K:K,D24,'4.3.8'!L:L,G24),F24*H24)</f>
        <v>5706.1968686883574</v>
      </c>
      <c r="L24" s="24"/>
    </row>
    <row r="25" spans="2:12" x14ac:dyDescent="0.2">
      <c r="B25" s="3"/>
      <c r="C25" s="3" t="s">
        <v>27</v>
      </c>
      <c r="D25" s="147">
        <v>548</v>
      </c>
      <c r="E25" s="23" t="s">
        <v>274</v>
      </c>
      <c r="F25" s="24">
        <f>IF(H25="Situs",SUMIFS('4.3.8'!E:E,'4.3.8'!K:K,D25,'4.3.8'!M:M,H25),SUMIFS('4.3.8'!E:E,'4.3.8'!K:K,D25,'4.3.8'!L:L,G25))</f>
        <v>36920.202187101051</v>
      </c>
      <c r="G25" s="146" t="s">
        <v>19</v>
      </c>
      <c r="H25" s="25">
        <v>7.9787774498314715E-2</v>
      </c>
      <c r="I25" s="24">
        <f>IF(H25="Situs",SUMIFS('4.3.8'!E:E,'4.3.8'!K:K,D25,'4.3.8'!L:L,G25),F25*H25)</f>
        <v>2945.7807665366045</v>
      </c>
      <c r="L25" s="24"/>
    </row>
    <row r="26" spans="2:12" x14ac:dyDescent="0.2">
      <c r="B26" s="3"/>
      <c r="C26" s="3" t="s">
        <v>27</v>
      </c>
      <c r="D26" s="147">
        <v>549</v>
      </c>
      <c r="E26" s="23" t="s">
        <v>274</v>
      </c>
      <c r="F26" s="24">
        <f>IF(H26="Situs",SUMIFS('4.3.8'!E:E,'4.3.8'!K:K,D26,'4.3.8'!M:M,H26),SUMIFS('4.3.8'!E:E,'4.3.8'!K:K,D26,'4.3.8'!L:L,G26))</f>
        <v>289.98883275871822</v>
      </c>
      <c r="G26" s="146" t="s">
        <v>28</v>
      </c>
      <c r="H26" s="25" t="s">
        <v>29</v>
      </c>
      <c r="I26" s="24">
        <f>IF(H26="Situs",SUMIFS('4.3.8'!E:E,'4.3.8'!K:K,D26,'4.3.8'!L:L,G26),F26*H26)</f>
        <v>0</v>
      </c>
      <c r="L26" s="24"/>
    </row>
    <row r="27" spans="2:12" x14ac:dyDescent="0.2">
      <c r="B27" s="3"/>
      <c r="C27" s="3" t="s">
        <v>30</v>
      </c>
      <c r="D27" s="147">
        <v>553</v>
      </c>
      <c r="E27" s="23" t="s">
        <v>274</v>
      </c>
      <c r="F27" s="24">
        <f>IF(H27="Situs",SUMIFS('4.3.8'!E:E,'4.3.8'!K:K,D27,'4.3.8'!M:M,H27),SUMIFS('4.3.8'!E:E,'4.3.8'!K:K,D27,'4.3.8'!L:L,G27))</f>
        <v>24980.116187717638</v>
      </c>
      <c r="G27" s="146" t="s">
        <v>16</v>
      </c>
      <c r="H27" s="25">
        <v>0</v>
      </c>
      <c r="I27" s="24">
        <f>IF(H27="Situs",SUMIFS('4.3.8'!E:E,'4.3.8'!K:K,D27,'4.3.8'!L:L,G27),F27*H27)</f>
        <v>0</v>
      </c>
      <c r="L27" s="24"/>
    </row>
    <row r="28" spans="2:12" x14ac:dyDescent="0.2">
      <c r="B28" s="3"/>
      <c r="C28" s="3" t="s">
        <v>30</v>
      </c>
      <c r="D28" s="147">
        <v>553</v>
      </c>
      <c r="E28" s="23" t="s">
        <v>274</v>
      </c>
      <c r="F28" s="24">
        <f>IF(H28="Situs",SUMIFS('4.3.8'!E:E,'4.3.8'!K:K,D28,'4.3.8'!M:M,H28),SUMIFS('4.3.8'!E:E,'4.3.8'!K:K,D28,'4.3.8'!L:L,G28))</f>
        <v>8710.5555132980844</v>
      </c>
      <c r="G28" s="146" t="s">
        <v>17</v>
      </c>
      <c r="H28" s="25">
        <v>0.22162982918040364</v>
      </c>
      <c r="I28" s="24">
        <f>IF(H28="Situs",SUMIFS('4.3.8'!E:E,'4.3.8'!K:K,D28,'4.3.8'!L:L,G28),F28*H28)</f>
        <v>1930.5189304786775</v>
      </c>
      <c r="L28" s="24"/>
    </row>
    <row r="29" spans="2:12" x14ac:dyDescent="0.2">
      <c r="B29" s="3"/>
      <c r="C29" s="3" t="s">
        <v>30</v>
      </c>
      <c r="D29" s="147">
        <v>553</v>
      </c>
      <c r="E29" s="23" t="s">
        <v>274</v>
      </c>
      <c r="F29" s="24">
        <f>IF(H29="Situs",SUMIFS('4.3.8'!E:E,'4.3.8'!K:K,D29,'4.3.8'!M:M,H29),SUMIFS('4.3.8'!E:E,'4.3.8'!K:K,D29,'4.3.8'!L:L,G29))</f>
        <v>4447.5130458920994</v>
      </c>
      <c r="G29" s="146" t="s">
        <v>19</v>
      </c>
      <c r="H29" s="25">
        <v>7.9787774498314715E-2</v>
      </c>
      <c r="I29" s="24">
        <f>IF(H29="Situs",SUMIFS('4.3.8'!E:E,'4.3.8'!K:K,D29,'4.3.8'!L:L,G29),F29*H29)</f>
        <v>354.85716798395163</v>
      </c>
      <c r="L29" s="24"/>
    </row>
    <row r="30" spans="2:12" x14ac:dyDescent="0.2">
      <c r="B30" s="3"/>
      <c r="C30" s="3" t="s">
        <v>31</v>
      </c>
      <c r="D30" s="147">
        <v>557</v>
      </c>
      <c r="E30" s="23" t="s">
        <v>274</v>
      </c>
      <c r="F30" s="24">
        <f>IF(H30="Situs",SUMIFS('4.3.8'!E:E,'4.3.8'!K:K,D30,'4.3.8'!M:M,H30),SUMIFS('4.3.8'!E:E,'4.3.8'!K:K,D30,'4.3.8'!L:L,G30))</f>
        <v>3024.395098524381</v>
      </c>
      <c r="G30" s="146" t="s">
        <v>16</v>
      </c>
      <c r="H30" s="25">
        <v>0</v>
      </c>
      <c r="I30" s="24">
        <f>IF(H30="Situs",SUMIFS('4.3.8'!E:E,'4.3.8'!K:K,D30,'4.3.8'!L:L,G30),F30*H30)</f>
        <v>0</v>
      </c>
      <c r="L30" s="24"/>
    </row>
    <row r="31" spans="2:12" x14ac:dyDescent="0.2">
      <c r="B31" s="3"/>
      <c r="C31" s="3" t="s">
        <v>31</v>
      </c>
      <c r="D31" s="147">
        <v>557</v>
      </c>
      <c r="E31" s="23" t="s">
        <v>274</v>
      </c>
      <c r="F31" s="24">
        <f>IF(H31="Situs",SUMIFS('4.3.8'!E:E,'4.3.8'!K:K,D31,'4.3.8'!M:M,H31),SUMIFS('4.3.8'!E:E,'4.3.8'!K:K,D31,'4.3.8'!L:L,G31))</f>
        <v>342441.75905828265</v>
      </c>
      <c r="G31" s="146" t="s">
        <v>19</v>
      </c>
      <c r="H31" s="25">
        <v>7.9787774498314715E-2</v>
      </c>
      <c r="I31" s="24">
        <f>IF(H31="Situs",SUMIFS('4.3.8'!E:E,'4.3.8'!K:K,D31,'4.3.8'!L:L,G31),F31*H31)</f>
        <v>27322.665850548477</v>
      </c>
      <c r="L31" s="24"/>
    </row>
    <row r="32" spans="2:12" x14ac:dyDescent="0.2">
      <c r="B32" s="3"/>
      <c r="C32" s="3" t="s">
        <v>31</v>
      </c>
      <c r="D32" s="147">
        <v>557</v>
      </c>
      <c r="E32" s="23" t="s">
        <v>274</v>
      </c>
      <c r="F32" s="24">
        <f>IF(H32="Situs",SUMIFS('4.3.8'!E:E,'4.3.8'!K:K,D32,'4.3.8'!M:M,H32),SUMIFS('4.3.8'!E:E,'4.3.8'!K:K,D32,'4.3.8'!L:L,G32))</f>
        <v>828.46647293319097</v>
      </c>
      <c r="G32" s="146" t="s">
        <v>28</v>
      </c>
      <c r="H32" s="25" t="s">
        <v>29</v>
      </c>
      <c r="I32" s="24">
        <f>IF(H32="Situs",SUMIFS('4.3.8'!E:E,'4.3.8'!K:K,D32,'4.3.8'!L:L,G32),F32*H32)</f>
        <v>0</v>
      </c>
      <c r="L32" s="24"/>
    </row>
    <row r="33" spans="2:12" x14ac:dyDescent="0.2">
      <c r="B33" s="3"/>
      <c r="C33" s="3" t="s">
        <v>32</v>
      </c>
      <c r="D33" s="147">
        <v>560</v>
      </c>
      <c r="E33" s="23" t="s">
        <v>274</v>
      </c>
      <c r="F33" s="24">
        <f>IF(H33="Situs",SUMIFS('4.3.8'!E:E,'4.3.8'!K:K,D33,'4.3.8'!M:M,H33),SUMIFS('4.3.8'!E:E,'4.3.8'!K:K,D33,'4.3.8'!L:L,G33))</f>
        <v>278681.22050924913</v>
      </c>
      <c r="G33" s="146" t="s">
        <v>19</v>
      </c>
      <c r="H33" s="25">
        <v>7.9787774498314715E-2</v>
      </c>
      <c r="I33" s="24">
        <f>IF(H33="Situs",SUMIFS('4.3.8'!E:E,'4.3.8'!K:K,D33,'4.3.8'!L:L,G33),F33*H33)</f>
        <v>22235.354378907086</v>
      </c>
      <c r="L33" s="24"/>
    </row>
    <row r="34" spans="2:12" x14ac:dyDescent="0.2">
      <c r="B34" s="3"/>
      <c r="C34" s="3" t="s">
        <v>33</v>
      </c>
      <c r="D34" s="147">
        <v>571</v>
      </c>
      <c r="E34" s="23" t="s">
        <v>274</v>
      </c>
      <c r="F34" s="24">
        <f>IF(H34="Situs",SUMIFS('4.3.8'!E:E,'4.3.8'!K:K,D34,'4.3.8'!M:M,H34),SUMIFS('4.3.8'!E:E,'4.3.8'!K:K,D34,'4.3.8'!L:L,G34))</f>
        <v>186141.71235337784</v>
      </c>
      <c r="G34" s="146" t="s">
        <v>19</v>
      </c>
      <c r="H34" s="25">
        <v>7.9787774498314715E-2</v>
      </c>
      <c r="I34" s="24">
        <f>IF(H34="Situs",SUMIFS('4.3.8'!E:E,'4.3.8'!K:K,D34,'4.3.8'!L:L,G34),F34*H34)</f>
        <v>14851.832969981473</v>
      </c>
      <c r="L34" s="24"/>
    </row>
    <row r="35" spans="2:12" x14ac:dyDescent="0.2">
      <c r="B35" s="3"/>
      <c r="C35" s="3" t="s">
        <v>34</v>
      </c>
      <c r="D35" s="147">
        <v>580</v>
      </c>
      <c r="E35" s="23" t="s">
        <v>274</v>
      </c>
      <c r="F35" s="24">
        <f>IF(H35="Situs",SUMIFS('4.3.8'!E:E,'4.3.8'!K:K,D35,'4.3.8'!M:M,H35),SUMIFS('4.3.8'!E:E,'4.3.8'!K:K,D35,'4.3.8'!L:L,G35))</f>
        <v>328554.32603249961</v>
      </c>
      <c r="G35" s="146" t="s">
        <v>28</v>
      </c>
      <c r="H35" s="25" t="s">
        <v>29</v>
      </c>
      <c r="I35" s="24">
        <f>IF(H35="Situs",SUMIFS('4.3.8'!E:E,'4.3.8'!K:K,D35,'4.3.8'!L:L,G35),F35*H35)</f>
        <v>22429.000788388705</v>
      </c>
      <c r="L35" s="24"/>
    </row>
    <row r="36" spans="2:12" x14ac:dyDescent="0.2">
      <c r="B36" s="3"/>
      <c r="C36" s="3" t="s">
        <v>34</v>
      </c>
      <c r="D36" s="147">
        <v>580</v>
      </c>
      <c r="E36" s="23" t="s">
        <v>274</v>
      </c>
      <c r="F36" s="24">
        <f>IF(H36="Situs",SUMIFS('4.3.8'!E:E,'4.3.8'!K:K,D36,'4.3.8'!M:M,H36),SUMIFS('4.3.8'!E:E,'4.3.8'!K:K,D36,'4.3.8'!L:L,G36))</f>
        <v>476562.79451202409</v>
      </c>
      <c r="G36" s="146" t="s">
        <v>35</v>
      </c>
      <c r="H36" s="25">
        <v>6.264027551852748E-2</v>
      </c>
      <c r="I36" s="24">
        <f>IF(H36="Situs",SUMIFS('4.3.8'!E:E,'4.3.8'!K:K,D36,'4.3.8'!L:L,G36),F36*H36)</f>
        <v>29852.024750112585</v>
      </c>
      <c r="L36" s="24"/>
    </row>
    <row r="37" spans="2:12" x14ac:dyDescent="0.2">
      <c r="B37" s="3"/>
      <c r="C37" s="3" t="s">
        <v>36</v>
      </c>
      <c r="D37" s="147">
        <v>593</v>
      </c>
      <c r="E37" s="23" t="s">
        <v>274</v>
      </c>
      <c r="F37" s="24">
        <f>IF(H37="Situs",SUMIFS('4.3.8'!E:E,'4.3.8'!K:K,D37,'4.3.8'!M:M,H37),SUMIFS('4.3.8'!E:E,'4.3.8'!K:K,D37,'4.3.8'!L:L,G37))</f>
        <v>993116.24915422499</v>
      </c>
      <c r="G37" s="146" t="s">
        <v>28</v>
      </c>
      <c r="H37" s="25" t="s">
        <v>29</v>
      </c>
      <c r="I37" s="24">
        <f>IF(H37="Situs",SUMIFS('4.3.8'!E:E,'4.3.8'!K:K,D37,'4.3.8'!L:L,G37),F37*H37)</f>
        <v>83155.95271355749</v>
      </c>
      <c r="L37" s="24"/>
    </row>
    <row r="38" spans="2:12" x14ac:dyDescent="0.2">
      <c r="B38" s="3"/>
      <c r="C38" s="3" t="s">
        <v>36</v>
      </c>
      <c r="D38" s="147">
        <v>593</v>
      </c>
      <c r="E38" s="23" t="s">
        <v>274</v>
      </c>
      <c r="F38" s="24">
        <f>IF(H38="Situs",SUMIFS('4.3.8'!E:E,'4.3.8'!K:K,D38,'4.3.8'!M:M,H38),SUMIFS('4.3.8'!E:E,'4.3.8'!K:K,D38,'4.3.8'!L:L,G38))</f>
        <v>221576.59456081002</v>
      </c>
      <c r="G38" s="146" t="s">
        <v>35</v>
      </c>
      <c r="H38" s="25">
        <v>6.264027551852748E-2</v>
      </c>
      <c r="I38" s="24">
        <f>IF(H38="Situs",SUMIFS('4.3.8'!E:E,'4.3.8'!K:K,D38,'4.3.8'!L:L,G38),F38*H38)</f>
        <v>13879.618931746198</v>
      </c>
      <c r="L38" s="24"/>
    </row>
    <row r="39" spans="2:12" x14ac:dyDescent="0.2">
      <c r="B39" s="3"/>
      <c r="C39" s="3" t="s">
        <v>37</v>
      </c>
      <c r="D39" s="22">
        <v>903</v>
      </c>
      <c r="E39" s="23" t="s">
        <v>274</v>
      </c>
      <c r="F39" s="24">
        <f>IF(H39="Situs",SUMIFS('4.3.8'!E:E,'4.3.8'!K:K,D39,'4.3.8'!M:M,H39),SUMIFS('4.3.8'!E:E,'4.3.8'!K:K,D39,'4.3.8'!L:L,G39))</f>
        <v>304378.24950201047</v>
      </c>
      <c r="G39" s="146" t="s">
        <v>38</v>
      </c>
      <c r="H39" s="25">
        <v>6.742981175467383E-2</v>
      </c>
      <c r="I39" s="24">
        <f>IF(H39="Situs",SUMIFS('4.3.8'!E:E,'4.3.8'!K:K,D39,'4.3.8'!L:L,G39),F39*H39)</f>
        <v>20524.16806613771</v>
      </c>
      <c r="L39" s="24"/>
    </row>
    <row r="40" spans="2:12" x14ac:dyDescent="0.2">
      <c r="B40" s="3"/>
      <c r="C40" s="3" t="s">
        <v>37</v>
      </c>
      <c r="D40" s="22">
        <v>903</v>
      </c>
      <c r="E40" s="23" t="s">
        <v>274</v>
      </c>
      <c r="F40" s="24">
        <f>IF(H40="Situs",SUMIFS('4.3.8'!E:E,'4.3.8'!K:K,D40,'4.3.8'!M:M,H40),SUMIFS('4.3.8'!E:E,'4.3.8'!K:K,D40,'4.3.8'!L:L,G40))</f>
        <v>144990.93061487231</v>
      </c>
      <c r="G40" s="146" t="s">
        <v>28</v>
      </c>
      <c r="H40" s="25" t="s">
        <v>29</v>
      </c>
      <c r="I40" s="24">
        <f>IF(H40="Situs",SUMIFS('4.3.8'!E:E,'4.3.8'!K:K,D40,'4.3.8'!L:L,G40),F40*H40)</f>
        <v>11144.252853660792</v>
      </c>
      <c r="L40" s="24"/>
    </row>
    <row r="41" spans="2:12" x14ac:dyDescent="0.2">
      <c r="B41" s="3"/>
      <c r="C41" s="3" t="s">
        <v>39</v>
      </c>
      <c r="D41" s="22">
        <v>908</v>
      </c>
      <c r="E41" s="23" t="s">
        <v>274</v>
      </c>
      <c r="F41" s="24">
        <f>IF(H41="Situs",SUMIFS('4.3.8'!E:E,'4.3.8'!K:K,D41,'4.3.8'!M:M,H41),SUMIFS('4.3.8'!E:E,'4.3.8'!K:K,D41,'4.3.8'!L:L,G41))</f>
        <v>42005.172292727599</v>
      </c>
      <c r="G41" s="146" t="s">
        <v>38</v>
      </c>
      <c r="H41" s="25">
        <v>6.742981175467383E-2</v>
      </c>
      <c r="I41" s="24">
        <f>IF(H41="Situs",SUMIFS('4.3.8'!E:E,'4.3.8'!K:K,D41,'4.3.8'!L:L,G41),F41*H41)</f>
        <v>2832.4008604212627</v>
      </c>
      <c r="L41" s="24"/>
    </row>
    <row r="42" spans="2:12" x14ac:dyDescent="0.2">
      <c r="B42" s="3"/>
      <c r="C42" s="3" t="s">
        <v>39</v>
      </c>
      <c r="D42" s="22">
        <v>908</v>
      </c>
      <c r="E42" s="23" t="s">
        <v>274</v>
      </c>
      <c r="F42" s="24">
        <f>IF(H42="Situs",SUMIFS('4.3.8'!E:E,'4.3.8'!K:K,D42,'4.3.8'!M:M,H42),SUMIFS('4.3.8'!E:E,'4.3.8'!K:K,D42,'4.3.8'!L:L,G42))</f>
        <v>75371.068575118421</v>
      </c>
      <c r="G42" s="146" t="s">
        <v>28</v>
      </c>
      <c r="H42" s="25" t="s">
        <v>29</v>
      </c>
      <c r="I42" s="24">
        <f>IF(H42="Situs",SUMIFS('4.3.8'!E:E,'4.3.8'!K:K,D42,'4.3.8'!L:L,G42),F42*H42)</f>
        <v>1936.0323907138243</v>
      </c>
      <c r="L42" s="24"/>
    </row>
    <row r="43" spans="2:12" x14ac:dyDescent="0.2">
      <c r="B43" s="3"/>
      <c r="C43" s="3" t="s">
        <v>40</v>
      </c>
      <c r="D43" s="22">
        <v>920</v>
      </c>
      <c r="E43" s="23" t="s">
        <v>274</v>
      </c>
      <c r="F43" s="24">
        <f>IF(H43="Situs",SUMIFS('4.3.8'!E:E,'4.3.8'!K:K,D43,'4.3.8'!M:M,H43),SUMIFS('4.3.8'!E:E,'4.3.8'!K:K,D43,'4.3.8'!L:L,G43))</f>
        <v>8185.9194471235833</v>
      </c>
      <c r="G43" s="146" t="s">
        <v>28</v>
      </c>
      <c r="H43" s="25" t="s">
        <v>29</v>
      </c>
      <c r="I43" s="24">
        <f>IF(H43="Situs",SUMIFS('4.3.8'!E:E,'4.3.8'!K:K,D43,'4.3.8'!L:L,G43),F43*H43)</f>
        <v>-94.046117378983737</v>
      </c>
      <c r="L43" s="24"/>
    </row>
    <row r="44" spans="2:12" x14ac:dyDescent="0.2">
      <c r="B44" s="3"/>
      <c r="C44" s="3" t="s">
        <v>40</v>
      </c>
      <c r="D44" s="22">
        <v>920</v>
      </c>
      <c r="E44" s="23" t="s">
        <v>274</v>
      </c>
      <c r="F44" s="24">
        <f>IF(H44="Situs",SUMIFS('4.3.8'!E:E,'4.3.8'!K:K,D44,'4.3.8'!M:M,H44),SUMIFS('4.3.8'!E:E,'4.3.8'!K:K,D44,'4.3.8'!L:L,G44))</f>
        <v>367208.38195496966</v>
      </c>
      <c r="G44" s="146" t="s">
        <v>41</v>
      </c>
      <c r="H44" s="25">
        <v>7.0845810240555085E-2</v>
      </c>
      <c r="I44" s="24">
        <f>IF(H44="Situs",SUMIFS('4.3.8'!E:E,'4.3.8'!K:K,D44,'4.3.8'!L:L,G44),F44*H44)</f>
        <v>26015.175346723052</v>
      </c>
      <c r="L44" s="24"/>
    </row>
    <row r="45" spans="2:12" x14ac:dyDescent="0.2">
      <c r="B45" s="3"/>
      <c r="C45" s="3" t="s">
        <v>40</v>
      </c>
      <c r="D45" s="22">
        <v>935</v>
      </c>
      <c r="E45" s="23" t="s">
        <v>274</v>
      </c>
      <c r="F45" s="24">
        <f>IF(H45="Situs",SUMIFS('4.3.8'!E:E,'4.3.8'!K:K,D45,'4.3.8'!M:M,H45),SUMIFS('4.3.8'!E:E,'4.3.8'!K:K,D45,'4.3.8'!L:L,G45))</f>
        <v>201.02824743552611</v>
      </c>
      <c r="G45" s="146" t="s">
        <v>28</v>
      </c>
      <c r="H45" s="25" t="s">
        <v>29</v>
      </c>
      <c r="I45" s="24">
        <f>IF(H45="Situs",SUMIFS('4.3.8'!E:E,'4.3.8'!K:K,D45,'4.3.8'!L:L,G45),F45*H45)</f>
        <v>6.1260709012416381</v>
      </c>
      <c r="L45" s="24"/>
    </row>
    <row r="46" spans="2:12" x14ac:dyDescent="0.2">
      <c r="B46" s="3"/>
      <c r="C46" s="3" t="s">
        <v>40</v>
      </c>
      <c r="D46" s="22">
        <v>935</v>
      </c>
      <c r="E46" s="23" t="s">
        <v>274</v>
      </c>
      <c r="F46" s="24">
        <f>IF(H46="Situs",SUMIFS('4.3.8'!E:E,'4.3.8'!K:K,D46,'4.3.8'!M:M,H46),SUMIFS('4.3.8'!E:E,'4.3.8'!K:K,D46,'4.3.8'!L:L,G46))</f>
        <v>27075.128265504107</v>
      </c>
      <c r="G46" s="146" t="s">
        <v>41</v>
      </c>
      <c r="H46" s="25">
        <v>7.0845810240555085E-2</v>
      </c>
      <c r="I46" s="24">
        <f>IF(H46="Situs",SUMIFS('4.3.8'!E:E,'4.3.8'!K:K,D46,'4.3.8'!L:L,G46),F46*H46)</f>
        <v>1918.1593993365932</v>
      </c>
      <c r="L46" s="24"/>
    </row>
    <row r="47" spans="2:12" x14ac:dyDescent="0.2">
      <c r="B47" s="3"/>
      <c r="C47" s="3"/>
      <c r="D47" s="23"/>
      <c r="E47" s="23"/>
      <c r="F47" s="27">
        <f>SUM(F11:F46)</f>
        <v>5555706.2759309597</v>
      </c>
      <c r="G47" s="23"/>
      <c r="I47" s="27">
        <f>SUM(I11:I46)</f>
        <v>376068.13367364759</v>
      </c>
      <c r="J47" s="176" t="s">
        <v>159</v>
      </c>
      <c r="L47" s="159"/>
    </row>
    <row r="57" spans="1:10" ht="13.5" thickBot="1" x14ac:dyDescent="0.25">
      <c r="A57" s="161"/>
      <c r="B57" s="28" t="s">
        <v>42</v>
      </c>
      <c r="C57" s="160"/>
      <c r="D57" s="160"/>
      <c r="E57" s="160"/>
      <c r="F57" s="160"/>
      <c r="G57" s="160"/>
      <c r="H57" s="160"/>
      <c r="I57" s="160"/>
      <c r="J57" s="161"/>
    </row>
    <row r="58" spans="1:10" ht="12.75" customHeight="1" x14ac:dyDescent="0.2">
      <c r="A58" s="29" t="s">
        <v>43</v>
      </c>
      <c r="B58" s="162" t="s">
        <v>273</v>
      </c>
      <c r="C58" s="162"/>
      <c r="D58" s="162"/>
      <c r="E58" s="162"/>
      <c r="F58" s="162"/>
      <c r="G58" s="162"/>
      <c r="H58" s="162"/>
      <c r="I58" s="162"/>
      <c r="J58" s="163"/>
    </row>
    <row r="59" spans="1:10" x14ac:dyDescent="0.2">
      <c r="A59" s="30"/>
      <c r="B59" s="164"/>
      <c r="C59" s="164"/>
      <c r="D59" s="164"/>
      <c r="E59" s="164"/>
      <c r="F59" s="164"/>
      <c r="G59" s="164"/>
      <c r="H59" s="164"/>
      <c r="I59" s="164"/>
      <c r="J59" s="165"/>
    </row>
    <row r="60" spans="1:10" x14ac:dyDescent="0.2">
      <c r="A60" s="31"/>
      <c r="B60" s="164"/>
      <c r="C60" s="164"/>
      <c r="D60" s="164"/>
      <c r="E60" s="164"/>
      <c r="F60" s="164"/>
      <c r="G60" s="164"/>
      <c r="H60" s="164"/>
      <c r="I60" s="164"/>
      <c r="J60" s="165"/>
    </row>
    <row r="61" spans="1:10" ht="13.5" thickBot="1" x14ac:dyDescent="0.25">
      <c r="A61" s="32"/>
      <c r="B61" s="166"/>
      <c r="C61" s="166"/>
      <c r="D61" s="166"/>
      <c r="E61" s="166"/>
      <c r="F61" s="166"/>
      <c r="G61" s="166"/>
      <c r="H61" s="166"/>
      <c r="I61" s="166"/>
      <c r="J61" s="167"/>
    </row>
  </sheetData>
  <mergeCells count="1">
    <mergeCell ref="B58:J61"/>
  </mergeCells>
  <conditionalFormatting sqref="B10">
    <cfRule type="cellIs" dxfId="3" priority="3" stopIfTrue="1" operator="equal">
      <formula>"Title"</formula>
    </cfRule>
  </conditionalFormatting>
  <conditionalFormatting sqref="B10">
    <cfRule type="cellIs" dxfId="2" priority="2" stopIfTrue="1" operator="equal">
      <formula>"Title"</formula>
    </cfRule>
  </conditionalFormatting>
  <conditionalFormatting sqref="B10">
    <cfRule type="cellIs" dxfId="1" priority="1" stopIfTrue="1" operator="equal">
      <formula>"Adjustment to Income/Expense/Rate Base:"</formula>
    </cfRule>
  </conditionalFormatting>
  <pageMargins left="0.7" right="0.7" top="0.75" bottom="0.75" header="0.3" footer="0.3"/>
  <pageSetup scale="8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090A7-7DB2-419C-B3C2-5007D5D5B32C}">
  <sheetPr>
    <pageSetUpPr fitToPage="1"/>
  </sheetPr>
  <dimension ref="A1:M81"/>
  <sheetViews>
    <sheetView view="pageBreakPreview" zoomScale="80" zoomScaleNormal="100" zoomScaleSheetLayoutView="80" workbookViewId="0"/>
  </sheetViews>
  <sheetFormatPr defaultRowHeight="12.75" x14ac:dyDescent="0.2"/>
  <cols>
    <col min="1" max="1" width="18" style="3" customWidth="1"/>
    <col min="2" max="2" width="19.5703125" style="3" customWidth="1"/>
    <col min="3" max="3" width="14.28515625" style="3" customWidth="1"/>
    <col min="4" max="4" width="2.7109375" style="3" customWidth="1"/>
    <col min="5" max="6" width="19.140625" style="3" customWidth="1"/>
    <col min="7" max="7" width="2.7109375" style="3" customWidth="1"/>
    <col min="8" max="8" width="19.28515625" style="3" customWidth="1"/>
    <col min="9" max="9" width="18.85546875" style="3" customWidth="1"/>
    <col min="10" max="10" width="4.28515625" style="8" customWidth="1"/>
    <col min="11" max="11" width="9.140625" style="8"/>
    <col min="12" max="12" width="11.42578125" style="8" customWidth="1"/>
    <col min="13" max="16384" width="9.140625" style="8"/>
  </cols>
  <sheetData>
    <row r="1" spans="1:13" x14ac:dyDescent="0.2">
      <c r="A1" s="2" t="s">
        <v>0</v>
      </c>
      <c r="F1" s="209"/>
      <c r="H1" s="4"/>
      <c r="I1" s="209" t="s">
        <v>287</v>
      </c>
    </row>
    <row r="2" spans="1:13" x14ac:dyDescent="0.2">
      <c r="A2" s="2" t="s">
        <v>45</v>
      </c>
    </row>
    <row r="3" spans="1:13" x14ac:dyDescent="0.2">
      <c r="A3" s="2" t="s">
        <v>46</v>
      </c>
    </row>
    <row r="4" spans="1:13" x14ac:dyDescent="0.2">
      <c r="A4" s="2" t="s">
        <v>189</v>
      </c>
    </row>
    <row r="6" spans="1:13" x14ac:dyDescent="0.2">
      <c r="A6" s="119" t="s">
        <v>190</v>
      </c>
      <c r="B6" s="119"/>
      <c r="C6" s="119"/>
      <c r="D6" s="119"/>
      <c r="E6" s="119"/>
      <c r="F6" s="119"/>
      <c r="G6" s="119"/>
      <c r="H6" s="119"/>
      <c r="I6" s="119"/>
    </row>
    <row r="7" spans="1:13" ht="38.25" x14ac:dyDescent="0.2">
      <c r="A7" s="120" t="s">
        <v>191</v>
      </c>
      <c r="B7" s="121" t="s">
        <v>192</v>
      </c>
      <c r="C7" s="122" t="s">
        <v>193</v>
      </c>
      <c r="D7" s="123" t="s">
        <v>194</v>
      </c>
      <c r="E7" s="124" t="s">
        <v>195</v>
      </c>
      <c r="F7" s="125" t="s">
        <v>196</v>
      </c>
      <c r="G7" s="123" t="s">
        <v>197</v>
      </c>
      <c r="H7" s="124" t="s">
        <v>198</v>
      </c>
      <c r="I7" s="125" t="s">
        <v>199</v>
      </c>
      <c r="K7" s="158" t="s">
        <v>6</v>
      </c>
      <c r="L7" s="158" t="s">
        <v>9</v>
      </c>
      <c r="M7" s="8" t="s">
        <v>280</v>
      </c>
    </row>
    <row r="8" spans="1:13" x14ac:dyDescent="0.2">
      <c r="A8" s="210" t="s">
        <v>200</v>
      </c>
      <c r="B8" s="7">
        <v>52403962.587640837</v>
      </c>
      <c r="C8" s="126">
        <f t="shared" ref="C8:C71" si="0">B8/B$81</f>
        <v>7.1422778867538547E-2</v>
      </c>
      <c r="D8" s="210"/>
      <c r="E8" s="7">
        <f t="shared" ref="E8:E71" si="1">$C8*E$81</f>
        <v>615201.32699395495</v>
      </c>
      <c r="F8" s="211">
        <f t="shared" ref="F8:F71" si="2">B8+E8</f>
        <v>53019163.914634794</v>
      </c>
      <c r="G8" s="210"/>
      <c r="H8" s="7">
        <f t="shared" ref="H8:H71" si="3">$C8*H$81</f>
        <v>2956138.1916046003</v>
      </c>
      <c r="I8" s="211">
        <f t="shared" ref="I8:I71" si="4">F8+H8</f>
        <v>55975302.106239393</v>
      </c>
      <c r="K8" s="8" t="str">
        <f>LEFT(A8,3)</f>
        <v>500</v>
      </c>
      <c r="L8" s="8" t="str">
        <f>MID(A8,4,4)</f>
        <v>CAGE</v>
      </c>
      <c r="M8" s="8" t="s">
        <v>281</v>
      </c>
    </row>
    <row r="9" spans="1:13" x14ac:dyDescent="0.2">
      <c r="A9" s="210" t="s">
        <v>201</v>
      </c>
      <c r="B9" s="7">
        <v>718.22749543759471</v>
      </c>
      <c r="C9" s="126">
        <f t="shared" si="0"/>
        <v>9.7889169158600333E-7</v>
      </c>
      <c r="D9" s="210"/>
      <c r="E9" s="7">
        <f t="shared" si="1"/>
        <v>8.4317003230011789</v>
      </c>
      <c r="F9" s="211">
        <f t="shared" si="2"/>
        <v>726.65919576059594</v>
      </c>
      <c r="G9" s="210"/>
      <c r="H9" s="7">
        <f t="shared" si="3"/>
        <v>40.515633259083572</v>
      </c>
      <c r="I9" s="211">
        <f t="shared" si="4"/>
        <v>767.17482901967946</v>
      </c>
      <c r="K9" s="8" t="str">
        <f t="shared" ref="K9:K72" si="5">LEFT(A9,3)</f>
        <v>500</v>
      </c>
      <c r="L9" s="8" t="str">
        <f t="shared" ref="L9:L72" si="6">MID(A9,4,4)</f>
        <v>CAGW</v>
      </c>
      <c r="M9" s="8" t="s">
        <v>281</v>
      </c>
    </row>
    <row r="10" spans="1:13" x14ac:dyDescent="0.2">
      <c r="A10" s="210" t="s">
        <v>202</v>
      </c>
      <c r="B10" s="7">
        <v>7518243.9189972989</v>
      </c>
      <c r="C10" s="126">
        <f t="shared" si="0"/>
        <v>1.0246818110380885E-2</v>
      </c>
      <c r="D10" s="210"/>
      <c r="E10" s="7">
        <f t="shared" si="1"/>
        <v>88261.142998415235</v>
      </c>
      <c r="F10" s="211">
        <f t="shared" si="2"/>
        <v>7606505.061995714</v>
      </c>
      <c r="G10" s="210"/>
      <c r="H10" s="7">
        <f t="shared" si="3"/>
        <v>424108.53846362728</v>
      </c>
      <c r="I10" s="211">
        <f t="shared" si="4"/>
        <v>8030613.600459341</v>
      </c>
      <c r="K10" s="8" t="str">
        <f t="shared" si="5"/>
        <v>500</v>
      </c>
      <c r="L10" s="8" t="str">
        <f t="shared" si="6"/>
        <v>JBG</v>
      </c>
      <c r="M10" s="8" t="s">
        <v>281</v>
      </c>
    </row>
    <row r="11" spans="1:13" x14ac:dyDescent="0.2">
      <c r="A11" s="210" t="s">
        <v>203</v>
      </c>
      <c r="B11" s="7">
        <v>2518383.2105374872</v>
      </c>
      <c r="C11" s="126">
        <f t="shared" si="0"/>
        <v>3.4323726349724929E-3</v>
      </c>
      <c r="D11" s="210"/>
      <c r="E11" s="7">
        <f t="shared" si="1"/>
        <v>29564.800379568143</v>
      </c>
      <c r="F11" s="211">
        <f t="shared" si="2"/>
        <v>2547948.0109170554</v>
      </c>
      <c r="G11" s="210"/>
      <c r="H11" s="7">
        <f t="shared" si="3"/>
        <v>142063.47043537238</v>
      </c>
      <c r="I11" s="211">
        <f t="shared" si="4"/>
        <v>2690011.481352428</v>
      </c>
      <c r="K11" s="8" t="str">
        <f t="shared" si="5"/>
        <v>500</v>
      </c>
      <c r="L11" s="8" t="str">
        <f t="shared" si="6"/>
        <v>SG</v>
      </c>
      <c r="M11" s="8" t="s">
        <v>281</v>
      </c>
    </row>
    <row r="12" spans="1:13" x14ac:dyDescent="0.2">
      <c r="A12" s="210" t="s">
        <v>204</v>
      </c>
      <c r="B12" s="7">
        <v>94269.832175225616</v>
      </c>
      <c r="C12" s="126">
        <f t="shared" si="0"/>
        <v>1.2848290558315623E-4</v>
      </c>
      <c r="D12" s="210"/>
      <c r="E12" s="7">
        <f t="shared" si="1"/>
        <v>1106.6897040983306</v>
      </c>
      <c r="F12" s="211">
        <f t="shared" si="2"/>
        <v>95376.521879323947</v>
      </c>
      <c r="G12" s="210"/>
      <c r="H12" s="7">
        <f t="shared" si="3"/>
        <v>5317.8163911418478</v>
      </c>
      <c r="I12" s="211">
        <f t="shared" si="4"/>
        <v>100694.3382704658</v>
      </c>
      <c r="K12" s="8" t="str">
        <f t="shared" si="5"/>
        <v>501</v>
      </c>
      <c r="L12" s="8" t="str">
        <f t="shared" si="6"/>
        <v>SE</v>
      </c>
      <c r="M12" s="8" t="s">
        <v>281</v>
      </c>
    </row>
    <row r="13" spans="1:13" x14ac:dyDescent="0.2">
      <c r="A13" s="210" t="s">
        <v>205</v>
      </c>
      <c r="B13" s="7">
        <v>31713335.898900937</v>
      </c>
      <c r="C13" s="126">
        <f t="shared" si="0"/>
        <v>4.3222963783913798E-2</v>
      </c>
      <c r="D13" s="210"/>
      <c r="E13" s="7">
        <f t="shared" si="1"/>
        <v>372301.73759818351</v>
      </c>
      <c r="F13" s="211">
        <f t="shared" si="2"/>
        <v>32085637.636499122</v>
      </c>
      <c r="G13" s="210"/>
      <c r="H13" s="7">
        <f t="shared" si="3"/>
        <v>1788967.8338186666</v>
      </c>
      <c r="I13" s="211">
        <f t="shared" si="4"/>
        <v>33874605.470317788</v>
      </c>
      <c r="K13" s="8" t="str">
        <f t="shared" si="5"/>
        <v>512</v>
      </c>
      <c r="L13" s="8" t="str">
        <f t="shared" si="6"/>
        <v>CAGE</v>
      </c>
      <c r="M13" s="8" t="s">
        <v>281</v>
      </c>
    </row>
    <row r="14" spans="1:13" x14ac:dyDescent="0.2">
      <c r="A14" s="210" t="s">
        <v>206</v>
      </c>
      <c r="B14" s="7">
        <v>16126338.359294053</v>
      </c>
      <c r="C14" s="126">
        <f t="shared" si="0"/>
        <v>2.1979022991872103E-2</v>
      </c>
      <c r="D14" s="210"/>
      <c r="E14" s="7">
        <f t="shared" si="1"/>
        <v>189316.69034759243</v>
      </c>
      <c r="F14" s="211">
        <f t="shared" si="2"/>
        <v>16315655.049641646</v>
      </c>
      <c r="G14" s="210"/>
      <c r="H14" s="7">
        <f t="shared" si="3"/>
        <v>909696.18251522258</v>
      </c>
      <c r="I14" s="211">
        <f t="shared" si="4"/>
        <v>17225351.232156869</v>
      </c>
      <c r="K14" s="8" t="str">
        <f t="shared" si="5"/>
        <v>512</v>
      </c>
      <c r="L14" s="8" t="str">
        <f t="shared" si="6"/>
        <v>JBG</v>
      </c>
      <c r="M14" s="8" t="s">
        <v>281</v>
      </c>
    </row>
    <row r="15" spans="1:13" x14ac:dyDescent="0.2">
      <c r="A15" s="210" t="s">
        <v>207</v>
      </c>
      <c r="B15" s="7">
        <v>215138.68705817108</v>
      </c>
      <c r="C15" s="126">
        <f t="shared" si="0"/>
        <v>2.932183390885838E-4</v>
      </c>
      <c r="D15" s="210"/>
      <c r="E15" s="7">
        <f t="shared" si="1"/>
        <v>2525.6411773169775</v>
      </c>
      <c r="F15" s="211">
        <f t="shared" si="2"/>
        <v>217664.32823548806</v>
      </c>
      <c r="G15" s="210"/>
      <c r="H15" s="7">
        <f t="shared" si="3"/>
        <v>12136.099216556611</v>
      </c>
      <c r="I15" s="211">
        <f t="shared" si="4"/>
        <v>229800.42745204468</v>
      </c>
      <c r="K15" s="8" t="str">
        <f t="shared" si="5"/>
        <v>512</v>
      </c>
      <c r="L15" s="8" t="str">
        <f t="shared" si="6"/>
        <v>SG</v>
      </c>
      <c r="M15" s="8" t="s">
        <v>281</v>
      </c>
    </row>
    <row r="16" spans="1:13" x14ac:dyDescent="0.2">
      <c r="A16" s="210" t="s">
        <v>208</v>
      </c>
      <c r="B16" s="7">
        <v>13054351.29924472</v>
      </c>
      <c r="C16" s="126">
        <f t="shared" si="0"/>
        <v>1.7792128687707597E-2</v>
      </c>
      <c r="D16" s="210"/>
      <c r="E16" s="7">
        <f t="shared" si="1"/>
        <v>153252.80466929209</v>
      </c>
      <c r="F16" s="211">
        <f t="shared" si="2"/>
        <v>13207604.103914013</v>
      </c>
      <c r="G16" s="210"/>
      <c r="H16" s="7">
        <f t="shared" si="3"/>
        <v>736403.59501023276</v>
      </c>
      <c r="I16" s="211">
        <f t="shared" si="4"/>
        <v>13944007.698924245</v>
      </c>
      <c r="K16" s="8" t="str">
        <f t="shared" si="5"/>
        <v>535</v>
      </c>
      <c r="L16" s="8" t="str">
        <f t="shared" si="6"/>
        <v>SG-P</v>
      </c>
      <c r="M16" s="8" t="s">
        <v>281</v>
      </c>
    </row>
    <row r="17" spans="1:13" x14ac:dyDescent="0.2">
      <c r="A17" s="210" t="s">
        <v>209</v>
      </c>
      <c r="B17" s="7">
        <v>8757530.253744211</v>
      </c>
      <c r="C17" s="126">
        <f t="shared" si="0"/>
        <v>1.1935874995958206E-2</v>
      </c>
      <c r="D17" s="210"/>
      <c r="E17" s="7">
        <f t="shared" si="1"/>
        <v>102809.8633625807</v>
      </c>
      <c r="F17" s="211">
        <f t="shared" si="2"/>
        <v>8860340.1171067916</v>
      </c>
      <c r="G17" s="210"/>
      <c r="H17" s="7">
        <f t="shared" si="3"/>
        <v>494017.4057244219</v>
      </c>
      <c r="I17" s="211">
        <f t="shared" si="4"/>
        <v>9354357.5228312127</v>
      </c>
      <c r="K17" s="8" t="str">
        <f t="shared" si="5"/>
        <v>535</v>
      </c>
      <c r="L17" s="8" t="str">
        <f t="shared" si="6"/>
        <v>SG-U</v>
      </c>
      <c r="M17" s="8" t="s">
        <v>281</v>
      </c>
    </row>
    <row r="18" spans="1:13" x14ac:dyDescent="0.2">
      <c r="A18" s="210" t="s">
        <v>210</v>
      </c>
      <c r="B18" s="7">
        <v>2254675.3482661643</v>
      </c>
      <c r="C18" s="126">
        <f t="shared" si="0"/>
        <v>3.0729580525134543E-3</v>
      </c>
      <c r="D18" s="210"/>
      <c r="E18" s="7">
        <f t="shared" si="1"/>
        <v>26468.976728126971</v>
      </c>
      <c r="F18" s="211">
        <f t="shared" si="2"/>
        <v>2281144.3249942912</v>
      </c>
      <c r="G18" s="210"/>
      <c r="H18" s="7">
        <f t="shared" si="3"/>
        <v>127187.55562677512</v>
      </c>
      <c r="I18" s="211">
        <f t="shared" si="4"/>
        <v>2408331.8806210663</v>
      </c>
      <c r="K18" s="8" t="str">
        <f t="shared" si="5"/>
        <v>545</v>
      </c>
      <c r="L18" s="8" t="str">
        <f t="shared" si="6"/>
        <v>SG-P</v>
      </c>
      <c r="M18" s="8" t="s">
        <v>281</v>
      </c>
    </row>
    <row r="19" spans="1:13" x14ac:dyDescent="0.2">
      <c r="A19" s="210" t="s">
        <v>211</v>
      </c>
      <c r="B19" s="7">
        <v>441324.96099040727</v>
      </c>
      <c r="C19" s="126">
        <f t="shared" si="0"/>
        <v>6.0149373331887864E-4</v>
      </c>
      <c r="D19" s="210"/>
      <c r="E19" s="7">
        <f t="shared" si="1"/>
        <v>5180.9765565493026</v>
      </c>
      <c r="F19" s="211">
        <f t="shared" si="2"/>
        <v>446505.93754695659</v>
      </c>
      <c r="G19" s="210"/>
      <c r="H19" s="7">
        <f t="shared" si="3"/>
        <v>24895.399272722927</v>
      </c>
      <c r="I19" s="211">
        <f t="shared" si="4"/>
        <v>471401.33681967953</v>
      </c>
      <c r="K19" s="8" t="str">
        <f t="shared" si="5"/>
        <v>545</v>
      </c>
      <c r="L19" s="8" t="str">
        <f t="shared" si="6"/>
        <v>SG-U</v>
      </c>
      <c r="M19" s="8" t="s">
        <v>281</v>
      </c>
    </row>
    <row r="20" spans="1:13" x14ac:dyDescent="0.2">
      <c r="A20" s="210" t="s">
        <v>212</v>
      </c>
      <c r="B20" s="7">
        <v>5815268.5685472023</v>
      </c>
      <c r="C20" s="126">
        <f t="shared" si="0"/>
        <v>7.9257869160575724E-3</v>
      </c>
      <c r="D20" s="210"/>
      <c r="E20" s="7">
        <f t="shared" si="1"/>
        <v>68268.901120088616</v>
      </c>
      <c r="F20" s="211">
        <f t="shared" si="2"/>
        <v>5883537.4696672913</v>
      </c>
      <c r="G20" s="210"/>
      <c r="H20" s="7">
        <f t="shared" si="3"/>
        <v>328042.70251834986</v>
      </c>
      <c r="I20" s="211">
        <f t="shared" si="4"/>
        <v>6211580.1721856408</v>
      </c>
      <c r="K20" s="8" t="str">
        <f t="shared" si="5"/>
        <v>548</v>
      </c>
      <c r="L20" s="8" t="str">
        <f t="shared" si="6"/>
        <v>CAGE</v>
      </c>
      <c r="M20" s="8" t="s">
        <v>281</v>
      </c>
    </row>
    <row r="21" spans="1:13" x14ac:dyDescent="0.2">
      <c r="A21" s="210" t="s">
        <v>213</v>
      </c>
      <c r="B21" s="7">
        <v>2193135.1914980104</v>
      </c>
      <c r="C21" s="126">
        <f t="shared" si="0"/>
        <v>2.9890833073360325E-3</v>
      </c>
      <c r="D21" s="210"/>
      <c r="E21" s="7">
        <f t="shared" si="1"/>
        <v>25746.520176413582</v>
      </c>
      <c r="F21" s="211">
        <f t="shared" si="2"/>
        <v>2218881.7116744239</v>
      </c>
      <c r="G21" s="210"/>
      <c r="H21" s="7">
        <f t="shared" si="3"/>
        <v>123716.03937577734</v>
      </c>
      <c r="I21" s="211">
        <f t="shared" si="4"/>
        <v>2342597.7510502012</v>
      </c>
      <c r="K21" s="8" t="str">
        <f t="shared" si="5"/>
        <v>548</v>
      </c>
      <c r="L21" s="8" t="str">
        <f t="shared" si="6"/>
        <v>CAGW</v>
      </c>
      <c r="M21" s="8" t="s">
        <v>281</v>
      </c>
    </row>
    <row r="22" spans="1:13" x14ac:dyDescent="0.2">
      <c r="A22" s="210" t="s">
        <v>214</v>
      </c>
      <c r="B22" s="7">
        <v>3144929.6502573872</v>
      </c>
      <c r="C22" s="126">
        <f t="shared" si="0"/>
        <v>4.2863097344717572E-3</v>
      </c>
      <c r="D22" s="210"/>
      <c r="E22" s="7">
        <f t="shared" si="1"/>
        <v>36920.202187101051</v>
      </c>
      <c r="F22" s="211">
        <f t="shared" si="2"/>
        <v>3181849.8524444881</v>
      </c>
      <c r="G22" s="210"/>
      <c r="H22" s="7">
        <f t="shared" si="3"/>
        <v>177407.3216980001</v>
      </c>
      <c r="I22" s="211">
        <f t="shared" si="4"/>
        <v>3359257.1741424883</v>
      </c>
      <c r="K22" s="8" t="str">
        <f t="shared" si="5"/>
        <v>548</v>
      </c>
      <c r="L22" s="8" t="str">
        <f t="shared" si="6"/>
        <v>SG</v>
      </c>
      <c r="M22" s="8" t="s">
        <v>281</v>
      </c>
    </row>
    <row r="23" spans="1:13" x14ac:dyDescent="0.2">
      <c r="A23" s="210" t="s">
        <v>215</v>
      </c>
      <c r="B23" s="7">
        <v>24701.773672979787</v>
      </c>
      <c r="C23" s="126">
        <f t="shared" si="0"/>
        <v>3.3666715865821055E-5</v>
      </c>
      <c r="D23" s="210"/>
      <c r="E23" s="7">
        <f t="shared" si="1"/>
        <v>289.98883275871822</v>
      </c>
      <c r="F23" s="211">
        <f t="shared" si="2"/>
        <v>24991.762505738505</v>
      </c>
      <c r="G23" s="210"/>
      <c r="H23" s="7">
        <f t="shared" si="3"/>
        <v>1393.4415061255379</v>
      </c>
      <c r="I23" s="211">
        <f t="shared" si="4"/>
        <v>26385.204011864043</v>
      </c>
      <c r="K23" s="8" t="str">
        <f t="shared" si="5"/>
        <v>549</v>
      </c>
      <c r="L23" s="8" t="str">
        <f t="shared" si="6"/>
        <v>OR</v>
      </c>
      <c r="M23" s="8" t="s">
        <v>29</v>
      </c>
    </row>
    <row r="24" spans="1:13" x14ac:dyDescent="0.2">
      <c r="A24" s="210" t="s">
        <v>216</v>
      </c>
      <c r="B24" s="7">
        <v>2127851.5124999713</v>
      </c>
      <c r="C24" s="126">
        <f t="shared" si="0"/>
        <v>2.9001064143971008E-3</v>
      </c>
      <c r="D24" s="210"/>
      <c r="E24" s="7">
        <f t="shared" si="1"/>
        <v>24980.116187717638</v>
      </c>
      <c r="F24" s="211">
        <f t="shared" si="2"/>
        <v>2152831.6286876891</v>
      </c>
      <c r="G24" s="210"/>
      <c r="H24" s="7">
        <f t="shared" si="3"/>
        <v>120033.34884542282</v>
      </c>
      <c r="I24" s="211">
        <f t="shared" si="4"/>
        <v>2272864.9775331118</v>
      </c>
      <c r="K24" s="8" t="str">
        <f t="shared" si="5"/>
        <v>553</v>
      </c>
      <c r="L24" s="8" t="str">
        <f t="shared" si="6"/>
        <v>CAGE</v>
      </c>
      <c r="M24" s="8" t="s">
        <v>281</v>
      </c>
    </row>
    <row r="25" spans="1:13" x14ac:dyDescent="0.2">
      <c r="A25" s="210" t="s">
        <v>217</v>
      </c>
      <c r="B25" s="7">
        <v>741980.88529306243</v>
      </c>
      <c r="C25" s="126">
        <f t="shared" si="0"/>
        <v>1.0112658294799501E-3</v>
      </c>
      <c r="D25" s="210"/>
      <c r="E25" s="7">
        <f t="shared" si="1"/>
        <v>8710.5555132980844</v>
      </c>
      <c r="F25" s="211">
        <f t="shared" si="2"/>
        <v>750691.44080636057</v>
      </c>
      <c r="G25" s="210"/>
      <c r="H25" s="7">
        <f t="shared" si="3"/>
        <v>41855.575879155251</v>
      </c>
      <c r="I25" s="211">
        <f t="shared" si="4"/>
        <v>792547.01668551587</v>
      </c>
      <c r="K25" s="8" t="str">
        <f t="shared" si="5"/>
        <v>553</v>
      </c>
      <c r="L25" s="8" t="str">
        <f t="shared" si="6"/>
        <v>CAGW</v>
      </c>
      <c r="M25" s="8" t="s">
        <v>281</v>
      </c>
    </row>
    <row r="26" spans="1:13" x14ac:dyDescent="0.2">
      <c r="A26" s="210" t="s">
        <v>218</v>
      </c>
      <c r="B26" s="7">
        <v>378847.21153610951</v>
      </c>
      <c r="C26" s="126">
        <f t="shared" si="0"/>
        <v>5.163411176945747E-4</v>
      </c>
      <c r="D26" s="210"/>
      <c r="E26" s="7">
        <f t="shared" si="1"/>
        <v>4447.5130458920994</v>
      </c>
      <c r="F26" s="211">
        <f t="shared" si="2"/>
        <v>383294.72458200163</v>
      </c>
      <c r="G26" s="210"/>
      <c r="H26" s="7">
        <f t="shared" si="3"/>
        <v>21370.992869705769</v>
      </c>
      <c r="I26" s="211">
        <f t="shared" si="4"/>
        <v>404665.7174517074</v>
      </c>
      <c r="K26" s="8" t="str">
        <f t="shared" si="5"/>
        <v>553</v>
      </c>
      <c r="L26" s="8" t="str">
        <f t="shared" si="6"/>
        <v>SG</v>
      </c>
      <c r="M26" s="8" t="s">
        <v>281</v>
      </c>
    </row>
    <row r="27" spans="1:13" x14ac:dyDescent="0.2">
      <c r="A27" s="210" t="s">
        <v>219</v>
      </c>
      <c r="B27" s="7">
        <v>257623.44884355774</v>
      </c>
      <c r="C27" s="126">
        <f t="shared" si="0"/>
        <v>3.5112197073023684E-4</v>
      </c>
      <c r="D27" s="210"/>
      <c r="E27" s="7">
        <f t="shared" si="1"/>
        <v>3024.395098524381</v>
      </c>
      <c r="F27" s="211">
        <f t="shared" si="2"/>
        <v>260647.84394208211</v>
      </c>
      <c r="G27" s="210"/>
      <c r="H27" s="7">
        <f t="shared" si="3"/>
        <v>14532.689487091322</v>
      </c>
      <c r="I27" s="211">
        <f t="shared" si="4"/>
        <v>275180.5334291734</v>
      </c>
      <c r="K27" s="8" t="str">
        <f t="shared" si="5"/>
        <v>557</v>
      </c>
      <c r="L27" s="8" t="str">
        <f t="shared" si="6"/>
        <v>CAGE</v>
      </c>
      <c r="M27" s="8" t="s">
        <v>281</v>
      </c>
    </row>
    <row r="28" spans="1:13" x14ac:dyDescent="0.2">
      <c r="A28" s="210" t="s">
        <v>220</v>
      </c>
      <c r="B28" s="7">
        <v>70486.518622616408</v>
      </c>
      <c r="C28" s="126">
        <f t="shared" si="0"/>
        <v>9.6067983872522828E-5</v>
      </c>
      <c r="D28" s="210"/>
      <c r="E28" s="7">
        <f t="shared" si="1"/>
        <v>827.48322169905396</v>
      </c>
      <c r="F28" s="211">
        <f t="shared" si="2"/>
        <v>71314.001844315455</v>
      </c>
      <c r="G28" s="210"/>
      <c r="H28" s="7">
        <f t="shared" si="3"/>
        <v>3976.1857578057957</v>
      </c>
      <c r="I28" s="211">
        <f t="shared" si="4"/>
        <v>75290.187602121252</v>
      </c>
      <c r="K28" s="8" t="str">
        <f t="shared" si="5"/>
        <v>557</v>
      </c>
      <c r="L28" s="8" t="str">
        <f t="shared" si="6"/>
        <v>ID</v>
      </c>
      <c r="M28" s="8" t="s">
        <v>29</v>
      </c>
    </row>
    <row r="29" spans="1:13" x14ac:dyDescent="0.2">
      <c r="A29" s="210" t="s">
        <v>221</v>
      </c>
      <c r="B29" s="7">
        <v>83.755119872281028</v>
      </c>
      <c r="C29" s="126">
        <f t="shared" si="0"/>
        <v>1.14152119616102E-7</v>
      </c>
      <c r="D29" s="210"/>
      <c r="E29" s="7">
        <f t="shared" si="1"/>
        <v>0.98325123413696225</v>
      </c>
      <c r="F29" s="211">
        <f t="shared" si="2"/>
        <v>84.738371106417986</v>
      </c>
      <c r="G29" s="210"/>
      <c r="H29" s="7">
        <f t="shared" si="3"/>
        <v>4.7246753178788117</v>
      </c>
      <c r="I29" s="211">
        <f t="shared" si="4"/>
        <v>89.463046424296792</v>
      </c>
      <c r="K29" s="8" t="str">
        <f t="shared" si="5"/>
        <v>557</v>
      </c>
      <c r="L29" s="8" t="str">
        <f t="shared" si="6"/>
        <v>WYU</v>
      </c>
      <c r="M29" s="8" t="s">
        <v>29</v>
      </c>
    </row>
    <row r="30" spans="1:13" x14ac:dyDescent="0.2">
      <c r="A30" s="210" t="s">
        <v>222</v>
      </c>
      <c r="B30" s="7">
        <v>29169808.8783747</v>
      </c>
      <c r="C30" s="126">
        <f t="shared" si="0"/>
        <v>3.9756321969817481E-2</v>
      </c>
      <c r="D30" s="210"/>
      <c r="E30" s="7">
        <f t="shared" si="1"/>
        <v>342441.75905828265</v>
      </c>
      <c r="F30" s="211">
        <f t="shared" si="2"/>
        <v>29512250.637432981</v>
      </c>
      <c r="G30" s="210"/>
      <c r="H30" s="7">
        <f t="shared" si="3"/>
        <v>1645485.9863499564</v>
      </c>
      <c r="I30" s="211">
        <f t="shared" si="4"/>
        <v>31157736.623782936</v>
      </c>
      <c r="K30" s="8" t="str">
        <f t="shared" si="5"/>
        <v>557</v>
      </c>
      <c r="L30" s="8" t="str">
        <f t="shared" si="6"/>
        <v>SG</v>
      </c>
      <c r="M30" s="8" t="s">
        <v>281</v>
      </c>
    </row>
    <row r="31" spans="1:13" x14ac:dyDescent="0.2">
      <c r="A31" s="210" t="s">
        <v>223</v>
      </c>
      <c r="B31" s="7">
        <v>23738570.794058576</v>
      </c>
      <c r="C31" s="126">
        <f t="shared" si="0"/>
        <v>3.2353940594090157E-2</v>
      </c>
      <c r="D31" s="210"/>
      <c r="E31" s="7">
        <f t="shared" si="1"/>
        <v>278681.22050924913</v>
      </c>
      <c r="F31" s="211">
        <f t="shared" si="2"/>
        <v>24017252.014567826</v>
      </c>
      <c r="G31" s="210"/>
      <c r="H31" s="7">
        <f t="shared" si="3"/>
        <v>1339106.6681468156</v>
      </c>
      <c r="I31" s="211">
        <f t="shared" si="4"/>
        <v>25356358.682714641</v>
      </c>
      <c r="K31" s="8" t="str">
        <f t="shared" si="5"/>
        <v>560</v>
      </c>
      <c r="L31" s="8" t="str">
        <f t="shared" si="6"/>
        <v>SG</v>
      </c>
      <c r="M31" s="8" t="s">
        <v>281</v>
      </c>
    </row>
    <row r="32" spans="1:13" x14ac:dyDescent="0.2">
      <c r="A32" s="210" t="s">
        <v>224</v>
      </c>
      <c r="B32" s="7">
        <v>15855887.986830797</v>
      </c>
      <c r="C32" s="126">
        <f t="shared" si="0"/>
        <v>2.1610418859793697E-2</v>
      </c>
      <c r="D32" s="210"/>
      <c r="E32" s="7">
        <f t="shared" si="1"/>
        <v>186141.71235337784</v>
      </c>
      <c r="F32" s="211">
        <f t="shared" si="2"/>
        <v>16042029.699184176</v>
      </c>
      <c r="G32" s="210"/>
      <c r="H32" s="7">
        <f t="shared" si="3"/>
        <v>894439.91876159422</v>
      </c>
      <c r="I32" s="211">
        <f t="shared" si="4"/>
        <v>16936469.617945768</v>
      </c>
      <c r="K32" s="8" t="str">
        <f t="shared" si="5"/>
        <v>571</v>
      </c>
      <c r="L32" s="8" t="str">
        <f t="shared" si="6"/>
        <v>SG</v>
      </c>
      <c r="M32" s="8" t="s">
        <v>281</v>
      </c>
    </row>
    <row r="33" spans="1:13" x14ac:dyDescent="0.2">
      <c r="A33" s="210" t="s">
        <v>225</v>
      </c>
      <c r="B33" s="7">
        <v>1366467.499182188</v>
      </c>
      <c r="C33" s="126">
        <f t="shared" si="0"/>
        <v>1.862395536607483E-3</v>
      </c>
      <c r="D33" s="210"/>
      <c r="E33" s="7">
        <f t="shared" si="1"/>
        <v>16041.775798635044</v>
      </c>
      <c r="F33" s="211">
        <f t="shared" si="2"/>
        <v>1382509.274980823</v>
      </c>
      <c r="G33" s="210"/>
      <c r="H33" s="7">
        <f t="shared" si="3"/>
        <v>77083.231161446136</v>
      </c>
      <c r="I33" s="211">
        <f t="shared" si="4"/>
        <v>1459592.5061422691</v>
      </c>
      <c r="K33" s="8" t="str">
        <f t="shared" si="5"/>
        <v>580</v>
      </c>
      <c r="L33" s="8" t="str">
        <f t="shared" si="6"/>
        <v>CA</v>
      </c>
      <c r="M33" s="8" t="s">
        <v>29</v>
      </c>
    </row>
    <row r="34" spans="1:13" x14ac:dyDescent="0.2">
      <c r="A34" s="210" t="s">
        <v>226</v>
      </c>
      <c r="B34" s="7">
        <v>1572884.3828931206</v>
      </c>
      <c r="C34" s="126">
        <f t="shared" si="0"/>
        <v>2.1437266938678957E-3</v>
      </c>
      <c r="D34" s="210"/>
      <c r="E34" s="7">
        <f t="shared" si="1"/>
        <v>18465.026532022752</v>
      </c>
      <c r="F34" s="211">
        <f t="shared" si="2"/>
        <v>1591349.4094251434</v>
      </c>
      <c r="G34" s="210"/>
      <c r="H34" s="7">
        <f t="shared" si="3"/>
        <v>88727.328347978459</v>
      </c>
      <c r="I34" s="211">
        <f t="shared" si="4"/>
        <v>1680076.7377731218</v>
      </c>
      <c r="K34" s="8" t="str">
        <f t="shared" si="5"/>
        <v>580</v>
      </c>
      <c r="L34" s="8" t="str">
        <f t="shared" si="6"/>
        <v>ID</v>
      </c>
      <c r="M34" s="8" t="s">
        <v>29</v>
      </c>
    </row>
    <row r="35" spans="1:13" x14ac:dyDescent="0.2">
      <c r="A35" s="210" t="s">
        <v>227</v>
      </c>
      <c r="B35" s="7">
        <v>8521141.5042532068</v>
      </c>
      <c r="C35" s="126">
        <f t="shared" si="0"/>
        <v>1.1613694371669845E-2</v>
      </c>
      <c r="D35" s="210"/>
      <c r="E35" s="7">
        <f t="shared" si="1"/>
        <v>100034.75504648543</v>
      </c>
      <c r="F35" s="211">
        <f t="shared" si="2"/>
        <v>8621176.2592996918</v>
      </c>
      <c r="G35" s="210"/>
      <c r="H35" s="7">
        <f t="shared" si="3"/>
        <v>480682.57805242407</v>
      </c>
      <c r="I35" s="211">
        <f t="shared" si="4"/>
        <v>9101858.8373521157</v>
      </c>
      <c r="K35" s="8" t="str">
        <f t="shared" si="5"/>
        <v>580</v>
      </c>
      <c r="L35" s="8" t="str">
        <f t="shared" si="6"/>
        <v>OR</v>
      </c>
      <c r="M35" s="8" t="s">
        <v>29</v>
      </c>
    </row>
    <row r="36" spans="1:13" x14ac:dyDescent="0.2">
      <c r="A36" s="210" t="s">
        <v>228</v>
      </c>
      <c r="B36" s="7">
        <v>40594481.446095899</v>
      </c>
      <c r="C36" s="126">
        <f t="shared" si="0"/>
        <v>5.5327317408830894E-2</v>
      </c>
      <c r="D36" s="210"/>
      <c r="E36" s="7">
        <f t="shared" si="1"/>
        <v>476562.79451202409</v>
      </c>
      <c r="F36" s="211">
        <f t="shared" si="2"/>
        <v>41071044.240607925</v>
      </c>
      <c r="G36" s="210"/>
      <c r="H36" s="7">
        <f t="shared" si="3"/>
        <v>2289958.4505750793</v>
      </c>
      <c r="I36" s="211">
        <f t="shared" si="4"/>
        <v>43361002.691183001</v>
      </c>
      <c r="K36" s="8" t="str">
        <f t="shared" si="5"/>
        <v>580</v>
      </c>
      <c r="L36" s="8" t="str">
        <f t="shared" si="6"/>
        <v>SNPD</v>
      </c>
      <c r="M36" s="8" t="s">
        <v>281</v>
      </c>
    </row>
    <row r="37" spans="1:13" x14ac:dyDescent="0.2">
      <c r="A37" s="210" t="s">
        <v>229</v>
      </c>
      <c r="B37" s="7">
        <v>11866898.858457277</v>
      </c>
      <c r="C37" s="126">
        <f t="shared" si="0"/>
        <v>1.6173717619036184E-2</v>
      </c>
      <c r="D37" s="210"/>
      <c r="E37" s="7">
        <f t="shared" si="1"/>
        <v>139312.59325697925</v>
      </c>
      <c r="F37" s="211">
        <f t="shared" si="2"/>
        <v>12006211.451714255</v>
      </c>
      <c r="G37" s="210"/>
      <c r="H37" s="7">
        <f t="shared" si="3"/>
        <v>669418.70803617511</v>
      </c>
      <c r="I37" s="211">
        <f t="shared" si="4"/>
        <v>12675630.15975043</v>
      </c>
      <c r="K37" s="8" t="str">
        <f t="shared" si="5"/>
        <v>580</v>
      </c>
      <c r="L37" s="8" t="str">
        <f t="shared" si="6"/>
        <v>UT</v>
      </c>
      <c r="M37" s="8" t="s">
        <v>29</v>
      </c>
    </row>
    <row r="38" spans="1:13" x14ac:dyDescent="0.2">
      <c r="A38" s="210" t="s">
        <v>230</v>
      </c>
      <c r="B38" s="7">
        <v>1910542.8851008278</v>
      </c>
      <c r="C38" s="126">
        <f t="shared" si="0"/>
        <v>2.6039306048907061E-3</v>
      </c>
      <c r="D38" s="210"/>
      <c r="E38" s="7">
        <f t="shared" si="1"/>
        <v>22429.000788388705</v>
      </c>
      <c r="F38" s="211">
        <f t="shared" si="2"/>
        <v>1932971.8858892166</v>
      </c>
      <c r="G38" s="210"/>
      <c r="H38" s="7">
        <f t="shared" si="3"/>
        <v>107774.8420245801</v>
      </c>
      <c r="I38" s="211">
        <f t="shared" si="4"/>
        <v>2040746.7279137967</v>
      </c>
      <c r="K38" s="8" t="str">
        <f t="shared" si="5"/>
        <v>580</v>
      </c>
      <c r="L38" s="8" t="str">
        <f t="shared" si="6"/>
        <v>WA</v>
      </c>
      <c r="M38" s="8" t="s">
        <v>29</v>
      </c>
    </row>
    <row r="39" spans="1:13" x14ac:dyDescent="0.2">
      <c r="A39" s="210" t="s">
        <v>231</v>
      </c>
      <c r="B39" s="7">
        <v>2492440.211653599</v>
      </c>
      <c r="C39" s="126">
        <f t="shared" si="0"/>
        <v>3.3970142196743003E-3</v>
      </c>
      <c r="D39" s="210"/>
      <c r="E39" s="7">
        <f t="shared" si="1"/>
        <v>29260.240064823265</v>
      </c>
      <c r="F39" s="211">
        <f t="shared" si="2"/>
        <v>2521700.4517184221</v>
      </c>
      <c r="G39" s="210"/>
      <c r="H39" s="7">
        <f t="shared" si="3"/>
        <v>140600.01068884734</v>
      </c>
      <c r="I39" s="211">
        <f t="shared" si="4"/>
        <v>2662300.4624072695</v>
      </c>
      <c r="K39" s="8" t="str">
        <f t="shared" si="5"/>
        <v>580</v>
      </c>
      <c r="L39" s="8" t="str">
        <f t="shared" si="6"/>
        <v>WYP</v>
      </c>
      <c r="M39" s="8" t="s">
        <v>29</v>
      </c>
    </row>
    <row r="40" spans="1:13" x14ac:dyDescent="0.2">
      <c r="A40" s="210" t="s">
        <v>232</v>
      </c>
      <c r="B40" s="7">
        <v>256476.85454394482</v>
      </c>
      <c r="C40" s="126">
        <f t="shared" si="0"/>
        <v>3.4955924632795379E-4</v>
      </c>
      <c r="D40" s="210"/>
      <c r="E40" s="7">
        <f t="shared" si="1"/>
        <v>3010.9345451651593</v>
      </c>
      <c r="F40" s="211">
        <f t="shared" si="2"/>
        <v>259487.78908910998</v>
      </c>
      <c r="G40" s="210"/>
      <c r="H40" s="7">
        <f t="shared" si="3"/>
        <v>14468.00943176739</v>
      </c>
      <c r="I40" s="211">
        <f t="shared" si="4"/>
        <v>273955.79852087738</v>
      </c>
      <c r="K40" s="8" t="str">
        <f t="shared" si="5"/>
        <v>580</v>
      </c>
      <c r="L40" s="8" t="str">
        <f t="shared" si="6"/>
        <v>WYU</v>
      </c>
      <c r="M40" s="8" t="s">
        <v>29</v>
      </c>
    </row>
    <row r="41" spans="1:13" x14ac:dyDescent="0.2">
      <c r="A41" s="210" t="s">
        <v>233</v>
      </c>
      <c r="B41" s="7">
        <v>4535571.0856092256</v>
      </c>
      <c r="C41" s="126">
        <f t="shared" si="0"/>
        <v>6.18165258292642E-3</v>
      </c>
      <c r="D41" s="210"/>
      <c r="E41" s="7">
        <f t="shared" si="1"/>
        <v>53245.770219679558</v>
      </c>
      <c r="F41" s="211">
        <f t="shared" si="2"/>
        <v>4588816.8558289055</v>
      </c>
      <c r="G41" s="210"/>
      <c r="H41" s="7">
        <f t="shared" si="3"/>
        <v>255854.21874316645</v>
      </c>
      <c r="I41" s="211">
        <f t="shared" si="4"/>
        <v>4844671.0745720724</v>
      </c>
      <c r="K41" s="8" t="str">
        <f t="shared" si="5"/>
        <v>593</v>
      </c>
      <c r="L41" s="8" t="str">
        <f t="shared" si="6"/>
        <v>CA</v>
      </c>
      <c r="M41" s="8" t="s">
        <v>29</v>
      </c>
    </row>
    <row r="42" spans="1:13" x14ac:dyDescent="0.2">
      <c r="A42" s="210" t="s">
        <v>234</v>
      </c>
      <c r="B42" s="7">
        <v>3736223.5656145439</v>
      </c>
      <c r="C42" s="126">
        <f t="shared" si="0"/>
        <v>5.0922002144454109E-3</v>
      </c>
      <c r="D42" s="210"/>
      <c r="E42" s="7">
        <f t="shared" si="1"/>
        <v>43861.753615827663</v>
      </c>
      <c r="F42" s="211">
        <f t="shared" si="2"/>
        <v>3780085.3192303716</v>
      </c>
      <c r="G42" s="210"/>
      <c r="H42" s="7">
        <f t="shared" si="3"/>
        <v>210762.55743475244</v>
      </c>
      <c r="I42" s="211">
        <f t="shared" si="4"/>
        <v>3990847.8766651242</v>
      </c>
      <c r="K42" s="8" t="str">
        <f t="shared" si="5"/>
        <v>593</v>
      </c>
      <c r="L42" s="8" t="str">
        <f t="shared" si="6"/>
        <v>ID</v>
      </c>
      <c r="M42" s="8" t="s">
        <v>29</v>
      </c>
    </row>
    <row r="43" spans="1:13" x14ac:dyDescent="0.2">
      <c r="A43" s="210" t="s">
        <v>235</v>
      </c>
      <c r="B43" s="7">
        <v>31835563.634446021</v>
      </c>
      <c r="C43" s="126">
        <f t="shared" si="0"/>
        <v>4.3389551272650297E-2</v>
      </c>
      <c r="D43" s="210"/>
      <c r="E43" s="7">
        <f t="shared" si="1"/>
        <v>373736.64178080228</v>
      </c>
      <c r="F43" s="211">
        <f t="shared" si="2"/>
        <v>32209300.276226822</v>
      </c>
      <c r="G43" s="210"/>
      <c r="H43" s="7">
        <f t="shared" si="3"/>
        <v>1795862.771897326</v>
      </c>
      <c r="I43" s="211">
        <f t="shared" si="4"/>
        <v>34005163.048124149</v>
      </c>
      <c r="K43" s="8" t="str">
        <f t="shared" si="5"/>
        <v>593</v>
      </c>
      <c r="L43" s="8" t="str">
        <f t="shared" si="6"/>
        <v>OR</v>
      </c>
      <c r="M43" s="8" t="s">
        <v>29</v>
      </c>
    </row>
    <row r="44" spans="1:13" x14ac:dyDescent="0.2">
      <c r="A44" s="210" t="s">
        <v>236</v>
      </c>
      <c r="B44" s="7">
        <v>18874295.392694507</v>
      </c>
      <c r="C44" s="126">
        <f t="shared" si="0"/>
        <v>2.5724288003192951E-2</v>
      </c>
      <c r="D44" s="210"/>
      <c r="E44" s="7">
        <f t="shared" si="1"/>
        <v>221576.59456081002</v>
      </c>
      <c r="F44" s="211">
        <f t="shared" si="2"/>
        <v>19095871.987255316</v>
      </c>
      <c r="G44" s="210"/>
      <c r="H44" s="7">
        <f t="shared" si="3"/>
        <v>1064710.0466240295</v>
      </c>
      <c r="I44" s="211">
        <f t="shared" si="4"/>
        <v>20160582.033879347</v>
      </c>
      <c r="K44" s="8" t="str">
        <f t="shared" si="5"/>
        <v>593</v>
      </c>
      <c r="L44" s="8" t="str">
        <f t="shared" si="6"/>
        <v>SNPD</v>
      </c>
      <c r="M44" s="8" t="s">
        <v>281</v>
      </c>
    </row>
    <row r="45" spans="1:13" x14ac:dyDescent="0.2">
      <c r="A45" s="210" t="s">
        <v>237</v>
      </c>
      <c r="B45" s="7">
        <v>30197501.281687837</v>
      </c>
      <c r="C45" s="126">
        <f t="shared" si="0"/>
        <v>4.1156991759681703E-2</v>
      </c>
      <c r="D45" s="210"/>
      <c r="E45" s="7">
        <f t="shared" si="1"/>
        <v>354506.45224255265</v>
      </c>
      <c r="F45" s="211">
        <f t="shared" si="2"/>
        <v>30552007.73393039</v>
      </c>
      <c r="G45" s="210"/>
      <c r="H45" s="7">
        <f t="shared" si="3"/>
        <v>1703458.7161330355</v>
      </c>
      <c r="I45" s="211">
        <f t="shared" si="4"/>
        <v>32255466.450063426</v>
      </c>
      <c r="K45" s="8" t="str">
        <f t="shared" si="5"/>
        <v>593</v>
      </c>
      <c r="L45" s="8" t="str">
        <f t="shared" si="6"/>
        <v>UT</v>
      </c>
      <c r="M45" s="8" t="s">
        <v>29</v>
      </c>
    </row>
    <row r="46" spans="1:13" x14ac:dyDescent="0.2">
      <c r="A46" s="210" t="s">
        <v>238</v>
      </c>
      <c r="B46" s="7">
        <v>7083374.569807644</v>
      </c>
      <c r="C46" s="126">
        <f t="shared" si="0"/>
        <v>9.6541229050994357E-3</v>
      </c>
      <c r="D46" s="210"/>
      <c r="E46" s="7">
        <f t="shared" si="1"/>
        <v>83155.95271355749</v>
      </c>
      <c r="F46" s="211">
        <f t="shared" si="2"/>
        <v>7166530.5225212015</v>
      </c>
      <c r="G46" s="210"/>
      <c r="H46" s="7">
        <f t="shared" si="3"/>
        <v>399577.304029822</v>
      </c>
      <c r="I46" s="211">
        <f t="shared" si="4"/>
        <v>7566107.8265510239</v>
      </c>
      <c r="K46" s="8" t="str">
        <f t="shared" si="5"/>
        <v>593</v>
      </c>
      <c r="L46" s="8" t="str">
        <f t="shared" si="6"/>
        <v>WA</v>
      </c>
      <c r="M46" s="8" t="s">
        <v>29</v>
      </c>
    </row>
    <row r="47" spans="1:13" x14ac:dyDescent="0.2">
      <c r="A47" s="210" t="s">
        <v>239</v>
      </c>
      <c r="B47" s="7">
        <v>6286983.0651363619</v>
      </c>
      <c r="C47" s="126">
        <f t="shared" si="0"/>
        <v>8.5686993699040613E-3</v>
      </c>
      <c r="D47" s="210"/>
      <c r="E47" s="7">
        <f t="shared" si="1"/>
        <v>73806.63853409818</v>
      </c>
      <c r="F47" s="211">
        <f t="shared" si="2"/>
        <v>6360789.7036704598</v>
      </c>
      <c r="G47" s="210"/>
      <c r="H47" s="7">
        <f t="shared" si="3"/>
        <v>354652.39327539247</v>
      </c>
      <c r="I47" s="211">
        <f t="shared" si="4"/>
        <v>6715442.096945852</v>
      </c>
      <c r="K47" s="8" t="str">
        <f t="shared" si="5"/>
        <v>593</v>
      </c>
      <c r="L47" s="8" t="str">
        <f t="shared" si="6"/>
        <v>WYP</v>
      </c>
      <c r="M47" s="8" t="s">
        <v>29</v>
      </c>
    </row>
    <row r="48" spans="1:13" x14ac:dyDescent="0.2">
      <c r="A48" s="210" t="s">
        <v>240</v>
      </c>
      <c r="B48" s="7">
        <v>920222.5054667237</v>
      </c>
      <c r="C48" s="126">
        <f t="shared" si="0"/>
        <v>1.254196157532234E-3</v>
      </c>
      <c r="D48" s="210"/>
      <c r="E48" s="7">
        <f t="shared" si="1"/>
        <v>10803.040047707134</v>
      </c>
      <c r="F48" s="211">
        <f t="shared" si="2"/>
        <v>931025.54551443085</v>
      </c>
      <c r="G48" s="210"/>
      <c r="H48" s="7">
        <f t="shared" si="3"/>
        <v>51910.28996394678</v>
      </c>
      <c r="I48" s="211">
        <f t="shared" si="4"/>
        <v>982935.83547837764</v>
      </c>
      <c r="K48" s="8" t="str">
        <f t="shared" si="5"/>
        <v>593</v>
      </c>
      <c r="L48" s="8" t="str">
        <f t="shared" si="6"/>
        <v>WYU</v>
      </c>
      <c r="M48" s="8" t="s">
        <v>29</v>
      </c>
    </row>
    <row r="49" spans="1:13" x14ac:dyDescent="0.2">
      <c r="A49" s="210" t="s">
        <v>241</v>
      </c>
      <c r="B49" s="7">
        <v>342872.58069032279</v>
      </c>
      <c r="C49" s="126">
        <f t="shared" si="0"/>
        <v>4.6731031970018914E-4</v>
      </c>
      <c r="D49" s="210"/>
      <c r="E49" s="7">
        <f t="shared" si="1"/>
        <v>4025.1854290170868</v>
      </c>
      <c r="F49" s="211">
        <f t="shared" si="2"/>
        <v>346897.76611933985</v>
      </c>
      <c r="G49" s="210"/>
      <c r="H49" s="7">
        <f t="shared" si="3"/>
        <v>19341.642894610792</v>
      </c>
      <c r="I49" s="211">
        <f t="shared" si="4"/>
        <v>366239.40901395062</v>
      </c>
      <c r="K49" s="8" t="str">
        <f t="shared" si="5"/>
        <v>903</v>
      </c>
      <c r="L49" s="8" t="str">
        <f t="shared" si="6"/>
        <v>CA</v>
      </c>
      <c r="M49" s="8" t="s">
        <v>29</v>
      </c>
    </row>
    <row r="50" spans="1:13" x14ac:dyDescent="0.2">
      <c r="A50" s="210" t="s">
        <v>242</v>
      </c>
      <c r="B50" s="7">
        <v>25927490.236950833</v>
      </c>
      <c r="C50" s="126">
        <f t="shared" si="0"/>
        <v>3.5337278143556708E-2</v>
      </c>
      <c r="D50" s="210"/>
      <c r="E50" s="7">
        <f t="shared" si="1"/>
        <v>304378.24950201047</v>
      </c>
      <c r="F50" s="211">
        <f t="shared" si="2"/>
        <v>26231868.486452844</v>
      </c>
      <c r="G50" s="210"/>
      <c r="H50" s="7">
        <f t="shared" si="3"/>
        <v>1462584.8946770695</v>
      </c>
      <c r="I50" s="211">
        <f t="shared" si="4"/>
        <v>27694453.381129913</v>
      </c>
      <c r="K50" s="8" t="str">
        <f t="shared" si="5"/>
        <v>903</v>
      </c>
      <c r="L50" s="8" t="str">
        <f t="shared" si="6"/>
        <v>CN</v>
      </c>
      <c r="M50" s="8" t="s">
        <v>281</v>
      </c>
    </row>
    <row r="51" spans="1:13" x14ac:dyDescent="0.2">
      <c r="A51" s="210" t="s">
        <v>243</v>
      </c>
      <c r="B51" s="7">
        <v>1798233.8908159994</v>
      </c>
      <c r="C51" s="126">
        <f t="shared" si="0"/>
        <v>2.4508616370578656E-3</v>
      </c>
      <c r="D51" s="210"/>
      <c r="E51" s="7">
        <f t="shared" si="1"/>
        <v>21110.538616719299</v>
      </c>
      <c r="F51" s="211">
        <f t="shared" si="2"/>
        <v>1819344.4294327185</v>
      </c>
      <c r="G51" s="210"/>
      <c r="H51" s="7">
        <f t="shared" si="3"/>
        <v>101439.4259439575</v>
      </c>
      <c r="I51" s="211">
        <f t="shared" si="4"/>
        <v>1920783.855376676</v>
      </c>
      <c r="K51" s="8" t="str">
        <f t="shared" si="5"/>
        <v>903</v>
      </c>
      <c r="L51" s="8" t="str">
        <f t="shared" si="6"/>
        <v>ID</v>
      </c>
      <c r="M51" s="8" t="s">
        <v>29</v>
      </c>
    </row>
    <row r="52" spans="1:13" x14ac:dyDescent="0.2">
      <c r="A52" s="210" t="s">
        <v>244</v>
      </c>
      <c r="B52" s="7">
        <v>1699166.1418188808</v>
      </c>
      <c r="C52" s="126">
        <f t="shared" si="0"/>
        <v>2.3158395207876969E-3</v>
      </c>
      <c r="D52" s="210"/>
      <c r="E52" s="7">
        <f t="shared" si="1"/>
        <v>19947.523309558059</v>
      </c>
      <c r="F52" s="211">
        <f t="shared" si="2"/>
        <v>1719113.665128439</v>
      </c>
      <c r="G52" s="210"/>
      <c r="H52" s="7">
        <f t="shared" si="3"/>
        <v>95850.956257587837</v>
      </c>
      <c r="I52" s="211">
        <f t="shared" si="4"/>
        <v>1814964.6213860267</v>
      </c>
      <c r="K52" s="8" t="str">
        <f t="shared" si="5"/>
        <v>903</v>
      </c>
      <c r="L52" s="8" t="str">
        <f t="shared" si="6"/>
        <v>OR</v>
      </c>
      <c r="M52" s="8" t="s">
        <v>29</v>
      </c>
    </row>
    <row r="53" spans="1:13" x14ac:dyDescent="0.2">
      <c r="A53" s="210" t="s">
        <v>245</v>
      </c>
      <c r="B53" s="7">
        <v>6212478.9539789055</v>
      </c>
      <c r="C53" s="126">
        <f t="shared" si="0"/>
        <v>8.4671557004339874E-3</v>
      </c>
      <c r="D53" s="210"/>
      <c r="E53" s="7">
        <f t="shared" si="1"/>
        <v>72931.990400878916</v>
      </c>
      <c r="F53" s="211">
        <f t="shared" si="2"/>
        <v>6285410.9443797842</v>
      </c>
      <c r="G53" s="210"/>
      <c r="H53" s="7">
        <f t="shared" si="3"/>
        <v>350449.57277196634</v>
      </c>
      <c r="I53" s="211">
        <f t="shared" si="4"/>
        <v>6635860.5171517506</v>
      </c>
      <c r="K53" s="8" t="str">
        <f t="shared" si="5"/>
        <v>903</v>
      </c>
      <c r="L53" s="8" t="str">
        <f t="shared" si="6"/>
        <v>UT</v>
      </c>
      <c r="M53" s="8" t="s">
        <v>29</v>
      </c>
    </row>
    <row r="54" spans="1:13" x14ac:dyDescent="0.2">
      <c r="A54" s="210" t="s">
        <v>246</v>
      </c>
      <c r="B54" s="7">
        <v>949287.6298951616</v>
      </c>
      <c r="C54" s="126">
        <f t="shared" si="0"/>
        <v>1.2938098022320607E-3</v>
      </c>
      <c r="D54" s="210"/>
      <c r="E54" s="7">
        <f t="shared" si="1"/>
        <v>11144.252853660792</v>
      </c>
      <c r="F54" s="211">
        <f t="shared" si="2"/>
        <v>960431.88274882245</v>
      </c>
      <c r="G54" s="210"/>
      <c r="H54" s="7">
        <f t="shared" si="3"/>
        <v>53549.870639223984</v>
      </c>
      <c r="I54" s="211">
        <f t="shared" si="4"/>
        <v>1013981.7533880464</v>
      </c>
      <c r="K54" s="8" t="str">
        <f t="shared" si="5"/>
        <v>903</v>
      </c>
      <c r="L54" s="8" t="str">
        <f t="shared" si="6"/>
        <v>WA</v>
      </c>
      <c r="M54" s="8" t="s">
        <v>29</v>
      </c>
    </row>
    <row r="55" spans="1:13" x14ac:dyDescent="0.2">
      <c r="A55" s="210" t="s">
        <v>247</v>
      </c>
      <c r="B55" s="7">
        <v>1079248.1176637029</v>
      </c>
      <c r="C55" s="126">
        <f t="shared" si="0"/>
        <v>1.4709364682525252E-3</v>
      </c>
      <c r="D55" s="210"/>
      <c r="E55" s="7">
        <f t="shared" si="1"/>
        <v>12669.93642001851</v>
      </c>
      <c r="F55" s="211">
        <f t="shared" si="2"/>
        <v>1091918.0540837215</v>
      </c>
      <c r="G55" s="210"/>
      <c r="H55" s="7">
        <f t="shared" si="3"/>
        <v>60881.017795312415</v>
      </c>
      <c r="I55" s="211">
        <f t="shared" si="4"/>
        <v>1152799.0718790339</v>
      </c>
      <c r="K55" s="8" t="str">
        <f t="shared" si="5"/>
        <v>903</v>
      </c>
      <c r="L55" s="8" t="str">
        <f t="shared" si="6"/>
        <v>WYP</v>
      </c>
      <c r="M55" s="8" t="s">
        <v>29</v>
      </c>
    </row>
    <row r="56" spans="1:13" x14ac:dyDescent="0.2">
      <c r="A56" s="210" t="s">
        <v>248</v>
      </c>
      <c r="B56" s="7">
        <v>269302.59789847513</v>
      </c>
      <c r="C56" s="126">
        <f t="shared" si="0"/>
        <v>3.6703979906078216E-4</v>
      </c>
      <c r="D56" s="210"/>
      <c r="E56" s="7">
        <f t="shared" si="1"/>
        <v>3161.503585019635</v>
      </c>
      <c r="F56" s="211">
        <f t="shared" si="2"/>
        <v>272464.10148349474</v>
      </c>
      <c r="G56" s="210"/>
      <c r="H56" s="7">
        <f t="shared" si="3"/>
        <v>15191.517118855692</v>
      </c>
      <c r="I56" s="211">
        <f t="shared" si="4"/>
        <v>287655.61860235041</v>
      </c>
      <c r="K56" s="8" t="str">
        <f t="shared" si="5"/>
        <v>903</v>
      </c>
      <c r="L56" s="8" t="str">
        <f t="shared" si="6"/>
        <v>WYU</v>
      </c>
      <c r="M56" s="8" t="s">
        <v>29</v>
      </c>
    </row>
    <row r="57" spans="1:13" x14ac:dyDescent="0.2">
      <c r="A57" s="210" t="s">
        <v>249</v>
      </c>
      <c r="B57" s="7">
        <v>0</v>
      </c>
      <c r="C57" s="126">
        <f t="shared" si="0"/>
        <v>0</v>
      </c>
      <c r="D57" s="210"/>
      <c r="E57" s="7">
        <f t="shared" si="1"/>
        <v>0</v>
      </c>
      <c r="F57" s="211">
        <f t="shared" si="2"/>
        <v>0</v>
      </c>
      <c r="G57" s="210"/>
      <c r="H57" s="7">
        <f t="shared" si="3"/>
        <v>0</v>
      </c>
      <c r="I57" s="211">
        <f t="shared" si="4"/>
        <v>0</v>
      </c>
      <c r="K57" s="8" t="str">
        <f t="shared" si="5"/>
        <v>908</v>
      </c>
      <c r="L57" s="8" t="str">
        <f t="shared" si="6"/>
        <v>CA</v>
      </c>
      <c r="M57" s="8" t="s">
        <v>29</v>
      </c>
    </row>
    <row r="58" spans="1:13" x14ac:dyDescent="0.2">
      <c r="A58" s="210" t="s">
        <v>250</v>
      </c>
      <c r="B58" s="7">
        <v>3578076.6079802918</v>
      </c>
      <c r="C58" s="126">
        <f t="shared" si="0"/>
        <v>4.8766574458085007E-3</v>
      </c>
      <c r="D58" s="210"/>
      <c r="E58" s="7">
        <f t="shared" si="1"/>
        <v>42005.172292727599</v>
      </c>
      <c r="F58" s="211">
        <f t="shared" si="2"/>
        <v>3620081.7802730193</v>
      </c>
      <c r="G58" s="210"/>
      <c r="H58" s="7">
        <f t="shared" si="3"/>
        <v>201841.39502137902</v>
      </c>
      <c r="I58" s="211">
        <f t="shared" si="4"/>
        <v>3821923.1752943983</v>
      </c>
      <c r="K58" s="8" t="str">
        <f t="shared" si="5"/>
        <v>908</v>
      </c>
      <c r="L58" s="8" t="str">
        <f t="shared" si="6"/>
        <v>CN</v>
      </c>
      <c r="M58" s="8" t="s">
        <v>281</v>
      </c>
    </row>
    <row r="59" spans="1:13" x14ac:dyDescent="0.2">
      <c r="A59" s="210" t="s">
        <v>251</v>
      </c>
      <c r="B59" s="7">
        <v>1069.1741130562029</v>
      </c>
      <c r="C59" s="126">
        <f t="shared" si="0"/>
        <v>1.4572063347308718E-6</v>
      </c>
      <c r="D59" s="210"/>
      <c r="E59" s="7">
        <f t="shared" si="1"/>
        <v>12.551671680165823</v>
      </c>
      <c r="F59" s="211">
        <f t="shared" si="2"/>
        <v>1081.7257847363687</v>
      </c>
      <c r="G59" s="210"/>
      <c r="H59" s="7">
        <f t="shared" si="3"/>
        <v>60.312737301011488</v>
      </c>
      <c r="I59" s="211">
        <f t="shared" si="4"/>
        <v>1142.0385220373803</v>
      </c>
      <c r="K59" s="8" t="str">
        <f t="shared" si="5"/>
        <v>908</v>
      </c>
      <c r="L59" s="8" t="str">
        <f t="shared" si="6"/>
        <v>ID</v>
      </c>
      <c r="M59" s="8" t="s">
        <v>29</v>
      </c>
    </row>
    <row r="60" spans="1:13" x14ac:dyDescent="0.2">
      <c r="A60" s="210" t="s">
        <v>252</v>
      </c>
      <c r="B60" s="7">
        <v>2217431.6591205802</v>
      </c>
      <c r="C60" s="126">
        <f t="shared" si="0"/>
        <v>3.022197620616578E-3</v>
      </c>
      <c r="D60" s="210"/>
      <c r="E60" s="7">
        <f t="shared" si="1"/>
        <v>26031.750880058804</v>
      </c>
      <c r="F60" s="211">
        <f t="shared" si="2"/>
        <v>2243463.410000639</v>
      </c>
      <c r="G60" s="210"/>
      <c r="H60" s="7">
        <f t="shared" si="3"/>
        <v>125086.617330451</v>
      </c>
      <c r="I60" s="211">
        <f t="shared" si="4"/>
        <v>2368550.0273310901</v>
      </c>
      <c r="K60" s="8" t="str">
        <f t="shared" si="5"/>
        <v>908</v>
      </c>
      <c r="L60" s="8" t="str">
        <f t="shared" si="6"/>
        <v>OR</v>
      </c>
      <c r="M60" s="8" t="s">
        <v>29</v>
      </c>
    </row>
    <row r="61" spans="1:13" x14ac:dyDescent="0.2">
      <c r="A61" s="210" t="s">
        <v>253</v>
      </c>
      <c r="B61" s="7">
        <v>36828.153361676508</v>
      </c>
      <c r="C61" s="126">
        <f t="shared" si="0"/>
        <v>5.0194086930959956E-5</v>
      </c>
      <c r="D61" s="210"/>
      <c r="E61" s="7">
        <f t="shared" si="1"/>
        <v>432.34762602062699</v>
      </c>
      <c r="F61" s="211">
        <f t="shared" si="2"/>
        <v>37260.500987697138</v>
      </c>
      <c r="G61" s="210"/>
      <c r="H61" s="7">
        <f t="shared" si="3"/>
        <v>2077.4976796201172</v>
      </c>
      <c r="I61" s="211">
        <f t="shared" si="4"/>
        <v>39337.998667317253</v>
      </c>
      <c r="K61" s="8" t="str">
        <f t="shared" si="5"/>
        <v>908</v>
      </c>
      <c r="L61" s="8" t="str">
        <f>MID(A61,4,5)</f>
        <v>OTHER</v>
      </c>
      <c r="M61" s="8" t="s">
        <v>29</v>
      </c>
    </row>
    <row r="62" spans="1:13" x14ac:dyDescent="0.2">
      <c r="A62" s="210" t="s">
        <v>254</v>
      </c>
      <c r="B62" s="7">
        <v>3019303.1077760565</v>
      </c>
      <c r="C62" s="126">
        <f t="shared" si="0"/>
        <v>4.115089919776797E-3</v>
      </c>
      <c r="D62" s="210"/>
      <c r="E62" s="7">
        <f t="shared" si="1"/>
        <v>35445.397385633536</v>
      </c>
      <c r="F62" s="211">
        <f t="shared" si="2"/>
        <v>3054748.5051616901</v>
      </c>
      <c r="G62" s="210"/>
      <c r="H62" s="7">
        <f t="shared" si="3"/>
        <v>170320.65493139412</v>
      </c>
      <c r="I62" s="211">
        <f t="shared" si="4"/>
        <v>3225069.160093084</v>
      </c>
      <c r="K62" s="8" t="str">
        <f t="shared" si="5"/>
        <v>908</v>
      </c>
      <c r="L62" s="8" t="str">
        <f t="shared" si="6"/>
        <v>UT</v>
      </c>
      <c r="M62" s="8" t="s">
        <v>29</v>
      </c>
    </row>
    <row r="63" spans="1:13" x14ac:dyDescent="0.2">
      <c r="A63" s="210" t="s">
        <v>255</v>
      </c>
      <c r="B63" s="7">
        <v>164914.74338517644</v>
      </c>
      <c r="C63" s="126">
        <f t="shared" si="0"/>
        <v>2.2476676699968202E-4</v>
      </c>
      <c r="D63" s="210"/>
      <c r="E63" s="7">
        <f t="shared" si="1"/>
        <v>1936.0323907138243</v>
      </c>
      <c r="F63" s="211">
        <f t="shared" si="2"/>
        <v>166850.77577589027</v>
      </c>
      <c r="G63" s="210"/>
      <c r="H63" s="7">
        <f t="shared" si="3"/>
        <v>9302.9371674761242</v>
      </c>
      <c r="I63" s="211">
        <f t="shared" si="4"/>
        <v>176153.71294336641</v>
      </c>
      <c r="K63" s="8" t="str">
        <f t="shared" si="5"/>
        <v>908</v>
      </c>
      <c r="L63" s="8" t="str">
        <f t="shared" si="6"/>
        <v>WA</v>
      </c>
      <c r="M63" s="8" t="s">
        <v>29</v>
      </c>
    </row>
    <row r="64" spans="1:13" x14ac:dyDescent="0.2">
      <c r="A64" s="210" t="s">
        <v>256</v>
      </c>
      <c r="B64" s="7">
        <v>980697.20999374159</v>
      </c>
      <c r="C64" s="126">
        <f t="shared" si="0"/>
        <v>1.3366187690148934E-3</v>
      </c>
      <c r="D64" s="210"/>
      <c r="E64" s="7">
        <f t="shared" si="1"/>
        <v>11512.988621011458</v>
      </c>
      <c r="F64" s="211">
        <f t="shared" si="2"/>
        <v>992210.19861475308</v>
      </c>
      <c r="G64" s="210"/>
      <c r="H64" s="7">
        <f t="shared" si="3"/>
        <v>55321.70343061626</v>
      </c>
      <c r="I64" s="211">
        <f t="shared" si="4"/>
        <v>1047531.9020453694</v>
      </c>
      <c r="K64" s="8" t="str">
        <f t="shared" si="5"/>
        <v>908</v>
      </c>
      <c r="L64" s="8" t="str">
        <f t="shared" si="6"/>
        <v>WYP</v>
      </c>
      <c r="M64" s="8" t="s">
        <v>29</v>
      </c>
    </row>
    <row r="65" spans="1:13" x14ac:dyDescent="0.2">
      <c r="A65" s="210" t="s">
        <v>257</v>
      </c>
      <c r="B65" s="7">
        <v>120041.24456260313</v>
      </c>
      <c r="C65" s="126">
        <f t="shared" si="0"/>
        <v>1.6360746100145044E-4</v>
      </c>
      <c r="D65" s="210"/>
      <c r="E65" s="7">
        <f t="shared" si="1"/>
        <v>1409.2356627690649</v>
      </c>
      <c r="F65" s="211">
        <f t="shared" si="2"/>
        <v>121450.48022537219</v>
      </c>
      <c r="G65" s="210"/>
      <c r="H65" s="7">
        <f t="shared" si="3"/>
        <v>6771.5968430019147</v>
      </c>
      <c r="I65" s="211">
        <f t="shared" si="4"/>
        <v>128222.0770683741</v>
      </c>
      <c r="K65" s="8" t="str">
        <f t="shared" si="5"/>
        <v>920</v>
      </c>
      <c r="L65" s="8" t="str">
        <f t="shared" si="6"/>
        <v>CA</v>
      </c>
      <c r="M65" s="8" t="s">
        <v>29</v>
      </c>
    </row>
    <row r="66" spans="1:13" x14ac:dyDescent="0.2">
      <c r="A66" s="210" t="s">
        <v>258</v>
      </c>
      <c r="B66" s="7">
        <v>291601.95003730425</v>
      </c>
      <c r="C66" s="126">
        <f t="shared" si="0"/>
        <v>3.9743218959875632E-4</v>
      </c>
      <c r="D66" s="210"/>
      <c r="E66" s="7">
        <f t="shared" si="1"/>
        <v>3423.2889605810747</v>
      </c>
      <c r="F66" s="211">
        <f t="shared" si="2"/>
        <v>295025.23899788532</v>
      </c>
      <c r="G66" s="210"/>
      <c r="H66" s="7">
        <f t="shared" si="3"/>
        <v>16449.436620561075</v>
      </c>
      <c r="I66" s="211">
        <f t="shared" si="4"/>
        <v>311474.67561844637</v>
      </c>
      <c r="K66" s="8" t="str">
        <f t="shared" si="5"/>
        <v>920</v>
      </c>
      <c r="L66" s="8" t="str">
        <f t="shared" si="6"/>
        <v>ID</v>
      </c>
      <c r="M66" s="8" t="s">
        <v>29</v>
      </c>
    </row>
    <row r="67" spans="1:13" x14ac:dyDescent="0.2">
      <c r="A67" s="210" t="s">
        <v>259</v>
      </c>
      <c r="B67" s="7">
        <v>295009.17585788318</v>
      </c>
      <c r="C67" s="126">
        <f t="shared" si="0"/>
        <v>4.0207598988252279E-4</v>
      </c>
      <c r="D67" s="210"/>
      <c r="E67" s="7">
        <f t="shared" si="1"/>
        <v>3463.288413727058</v>
      </c>
      <c r="F67" s="211">
        <f t="shared" si="2"/>
        <v>298472.46427161025</v>
      </c>
      <c r="G67" s="210"/>
      <c r="H67" s="7">
        <f t="shared" si="3"/>
        <v>16641.640222698788</v>
      </c>
      <c r="I67" s="211">
        <f t="shared" si="4"/>
        <v>315114.10449430905</v>
      </c>
      <c r="K67" s="8" t="str">
        <f t="shared" si="5"/>
        <v>920</v>
      </c>
      <c r="L67" s="8" t="str">
        <f t="shared" si="6"/>
        <v>OR</v>
      </c>
      <c r="M67" s="8" t="s">
        <v>29</v>
      </c>
    </row>
    <row r="68" spans="1:13" x14ac:dyDescent="0.2">
      <c r="A68" s="210" t="s">
        <v>260</v>
      </c>
      <c r="B68" s="7">
        <v>31279474.645907979</v>
      </c>
      <c r="C68" s="126">
        <f t="shared" si="0"/>
        <v>4.2631642540221865E-2</v>
      </c>
      <c r="D68" s="210"/>
      <c r="E68" s="7">
        <f t="shared" si="1"/>
        <v>367208.38195496966</v>
      </c>
      <c r="F68" s="211">
        <f t="shared" si="2"/>
        <v>31646683.027862947</v>
      </c>
      <c r="G68" s="210"/>
      <c r="H68" s="7">
        <f t="shared" si="3"/>
        <v>1764493.4666811631</v>
      </c>
      <c r="I68" s="211">
        <f t="shared" si="4"/>
        <v>33411176.494544111</v>
      </c>
      <c r="K68" s="8" t="str">
        <f t="shared" si="5"/>
        <v>920</v>
      </c>
      <c r="L68" s="8" t="str">
        <f t="shared" si="6"/>
        <v>SO</v>
      </c>
      <c r="M68" s="8" t="s">
        <v>281</v>
      </c>
    </row>
    <row r="69" spans="1:13" x14ac:dyDescent="0.2">
      <c r="A69" s="210" t="s">
        <v>261</v>
      </c>
      <c r="B69" s="7">
        <v>-18154.076358402992</v>
      </c>
      <c r="C69" s="126">
        <f t="shared" si="0"/>
        <v>-2.4742681989404082E-5</v>
      </c>
      <c r="D69" s="210"/>
      <c r="E69" s="7">
        <f t="shared" si="1"/>
        <v>-213.12151437710378</v>
      </c>
      <c r="F69" s="211">
        <f t="shared" si="2"/>
        <v>-18367.197872780096</v>
      </c>
      <c r="G69" s="210"/>
      <c r="H69" s="7">
        <f t="shared" si="3"/>
        <v>-1024.0820694929289</v>
      </c>
      <c r="I69" s="211">
        <f t="shared" si="4"/>
        <v>-19391.279942273024</v>
      </c>
      <c r="K69" s="8" t="str">
        <f t="shared" si="5"/>
        <v>920</v>
      </c>
      <c r="L69" s="8" t="str">
        <f t="shared" si="6"/>
        <v>UT</v>
      </c>
      <c r="M69" s="8" t="s">
        <v>29</v>
      </c>
    </row>
    <row r="70" spans="1:13" x14ac:dyDescent="0.2">
      <c r="A70" s="210" t="s">
        <v>262</v>
      </c>
      <c r="B70" s="7">
        <v>-8011.0185079128905</v>
      </c>
      <c r="C70" s="126">
        <f t="shared" si="0"/>
        <v>-1.0918433934027799E-5</v>
      </c>
      <c r="D70" s="210"/>
      <c r="E70" s="7">
        <f t="shared" si="1"/>
        <v>-94.046117378983737</v>
      </c>
      <c r="F70" s="211">
        <f t="shared" si="2"/>
        <v>-8105.0646252918741</v>
      </c>
      <c r="G70" s="210"/>
      <c r="H70" s="7">
        <f t="shared" si="3"/>
        <v>-451.90624135125569</v>
      </c>
      <c r="I70" s="211">
        <f t="shared" si="4"/>
        <v>-8556.9708666431306</v>
      </c>
      <c r="K70" s="8" t="str">
        <f t="shared" si="5"/>
        <v>920</v>
      </c>
      <c r="L70" s="8" t="str">
        <f t="shared" si="6"/>
        <v>WA</v>
      </c>
      <c r="M70" s="8" t="s">
        <v>29</v>
      </c>
    </row>
    <row r="71" spans="1:13" x14ac:dyDescent="0.2">
      <c r="A71" s="210" t="s">
        <v>263</v>
      </c>
      <c r="B71" s="7">
        <v>16804.159959542958</v>
      </c>
      <c r="C71" s="126">
        <f t="shared" si="0"/>
        <v>2.2902844395363379E-5</v>
      </c>
      <c r="D71" s="210"/>
      <c r="E71" s="7">
        <f t="shared" si="1"/>
        <v>197.27404180247342</v>
      </c>
      <c r="F71" s="211">
        <f t="shared" si="2"/>
        <v>17001.434001345431</v>
      </c>
      <c r="G71" s="210"/>
      <c r="H71" s="7">
        <f t="shared" si="3"/>
        <v>947.93249558485502</v>
      </c>
      <c r="I71" s="211">
        <f t="shared" si="4"/>
        <v>17949.366496930284</v>
      </c>
      <c r="K71" s="8" t="str">
        <f t="shared" si="5"/>
        <v>920</v>
      </c>
      <c r="L71" s="8" t="str">
        <f t="shared" si="6"/>
        <v>WYP</v>
      </c>
      <c r="M71" s="8" t="s">
        <v>29</v>
      </c>
    </row>
    <row r="72" spans="1:13" x14ac:dyDescent="0.2">
      <c r="A72" s="210" t="s">
        <v>264</v>
      </c>
      <c r="B72" s="7">
        <v>7521.0524071757036</v>
      </c>
      <c r="C72" s="126">
        <f t="shared" ref="C72:C75" si="7">B72/B$81</f>
        <v>1.0250645874927942E-5</v>
      </c>
      <c r="D72" s="210"/>
      <c r="E72" s="7">
        <f t="shared" ref="E72:E75" si="8">$C72*E$81</f>
        <v>88.294113513790137</v>
      </c>
      <c r="F72" s="211">
        <f t="shared" ref="F72:F75" si="9">B72+E72</f>
        <v>7609.3465206894934</v>
      </c>
      <c r="G72" s="210"/>
      <c r="H72" s="7">
        <f t="shared" ref="H72:H75" si="10">$C72*H$81</f>
        <v>424.26696692504311</v>
      </c>
      <c r="I72" s="211">
        <f t="shared" ref="I72:I75" si="11">F72+H72</f>
        <v>8033.613487614537</v>
      </c>
      <c r="K72" s="8" t="str">
        <f t="shared" si="5"/>
        <v>935</v>
      </c>
      <c r="L72" s="8" t="str">
        <f t="shared" si="6"/>
        <v>CA</v>
      </c>
      <c r="M72" s="8" t="s">
        <v>29</v>
      </c>
    </row>
    <row r="73" spans="1:13" x14ac:dyDescent="0.2">
      <c r="A73" s="210" t="s">
        <v>265</v>
      </c>
      <c r="B73" s="7">
        <v>9081.0677755929755</v>
      </c>
      <c r="C73" s="126">
        <f t="shared" si="7"/>
        <v>1.2376833040680678E-5</v>
      </c>
      <c r="D73" s="210"/>
      <c r="E73" s="7">
        <f t="shared" si="8"/>
        <v>106.60806302049433</v>
      </c>
      <c r="F73" s="211">
        <f t="shared" si="9"/>
        <v>9187.6758386134698</v>
      </c>
      <c r="G73" s="210"/>
      <c r="H73" s="7">
        <f t="shared" si="10"/>
        <v>512.26834663666136</v>
      </c>
      <c r="I73" s="211">
        <f t="shared" si="11"/>
        <v>9699.9441852501313</v>
      </c>
      <c r="K73" s="8" t="str">
        <f t="shared" ref="K73:K75" si="12">LEFT(A73,3)</f>
        <v>935</v>
      </c>
      <c r="L73" s="8" t="str">
        <f t="shared" ref="L73:L75" si="13">MID(A73,4,4)</f>
        <v>OR</v>
      </c>
      <c r="M73" s="8" t="s">
        <v>29</v>
      </c>
    </row>
    <row r="74" spans="1:13" x14ac:dyDescent="0.2">
      <c r="A74" s="210" t="s">
        <v>266</v>
      </c>
      <c r="B74" s="7">
        <v>2306308.4333935385</v>
      </c>
      <c r="C74" s="126">
        <f t="shared" si="7"/>
        <v>3.1433301816274268E-3</v>
      </c>
      <c r="D74" s="210"/>
      <c r="E74" s="7">
        <f t="shared" si="8"/>
        <v>27075.128265504107</v>
      </c>
      <c r="F74" s="211">
        <f t="shared" si="9"/>
        <v>2333383.5616590427</v>
      </c>
      <c r="G74" s="210"/>
      <c r="H74" s="7">
        <f t="shared" si="10"/>
        <v>130100.20816979866</v>
      </c>
      <c r="I74" s="211">
        <f t="shared" si="11"/>
        <v>2463483.7698288416</v>
      </c>
      <c r="K74" s="8" t="str">
        <f t="shared" si="12"/>
        <v>935</v>
      </c>
      <c r="L74" s="8" t="str">
        <f t="shared" si="13"/>
        <v>SO</v>
      </c>
      <c r="M74" s="8" t="s">
        <v>281</v>
      </c>
    </row>
    <row r="75" spans="1:13" x14ac:dyDescent="0.2">
      <c r="A75" s="210" t="s">
        <v>267</v>
      </c>
      <c r="B75" s="7">
        <v>521.82980795335072</v>
      </c>
      <c r="C75" s="126">
        <f t="shared" si="7"/>
        <v>7.1121596802170657E-7</v>
      </c>
      <c r="D75" s="210"/>
      <c r="E75" s="7">
        <f t="shared" si="8"/>
        <v>6.1260709012416381</v>
      </c>
      <c r="F75" s="211">
        <f t="shared" si="9"/>
        <v>527.95587885459236</v>
      </c>
      <c r="G75" s="210"/>
      <c r="H75" s="7">
        <f t="shared" si="10"/>
        <v>29.436724794021725</v>
      </c>
      <c r="I75" s="211">
        <f t="shared" si="11"/>
        <v>557.39260364861411</v>
      </c>
      <c r="K75" s="8" t="str">
        <f t="shared" si="12"/>
        <v>935</v>
      </c>
      <c r="L75" s="8" t="str">
        <f t="shared" si="13"/>
        <v>WA</v>
      </c>
      <c r="M75" s="8" t="s">
        <v>29</v>
      </c>
    </row>
    <row r="77" spans="1:13" x14ac:dyDescent="0.2">
      <c r="A77" s="127" t="s">
        <v>268</v>
      </c>
      <c r="B77" s="128">
        <f>SUM(B8:B75)</f>
        <v>473245116.77242875</v>
      </c>
      <c r="C77" s="129">
        <f>SUM(C8:C75)</f>
        <v>0.64499857751885503</v>
      </c>
      <c r="D77" s="127"/>
      <c r="E77" s="128">
        <f>SUM(E8:E75)</f>
        <v>5555706.2759309579</v>
      </c>
      <c r="F77" s="128">
        <f>SUM(F8:F75)</f>
        <v>478800823.04835987</v>
      </c>
      <c r="G77" s="127"/>
      <c r="H77" s="128">
        <f>SUM(H8:H75)</f>
        <v>26696033.937160626</v>
      </c>
      <c r="I77" s="128">
        <f>SUM(I8:I75)</f>
        <v>505496856.98552048</v>
      </c>
    </row>
    <row r="78" spans="1:13" x14ac:dyDescent="0.2">
      <c r="C78" s="130"/>
    </row>
    <row r="79" spans="1:13" x14ac:dyDescent="0.2">
      <c r="A79" s="3" t="s">
        <v>269</v>
      </c>
      <c r="B79" s="131">
        <f>'4.3.2'!B31</f>
        <v>260469860.69757122</v>
      </c>
      <c r="C79" s="132">
        <f>B79/B81</f>
        <v>0.35500142248114491</v>
      </c>
      <c r="E79" s="7">
        <f>$C79*E$81</f>
        <v>3057810.8225134173</v>
      </c>
      <c r="F79" s="24">
        <f>B79+E79</f>
        <v>263527671.52008465</v>
      </c>
      <c r="H79" s="7">
        <f>$C79*H$81</f>
        <v>14693257.245237723</v>
      </c>
      <c r="I79" s="24">
        <f>F79+H79</f>
        <v>278220928.76532239</v>
      </c>
    </row>
    <row r="80" spans="1:13" x14ac:dyDescent="0.2">
      <c r="C80" s="130"/>
    </row>
    <row r="81" spans="1:9" x14ac:dyDescent="0.2">
      <c r="A81" s="127" t="s">
        <v>91</v>
      </c>
      <c r="B81" s="128">
        <f>B77+B79</f>
        <v>733714977.47000003</v>
      </c>
      <c r="C81" s="129">
        <f>C77+C79</f>
        <v>1</v>
      </c>
      <c r="D81" s="127"/>
      <c r="E81" s="133">
        <f>'4.3.2'!E29</f>
        <v>8613517.0984443761</v>
      </c>
      <c r="F81" s="128">
        <f>B81+E81</f>
        <v>742328494.56844437</v>
      </c>
      <c r="G81" s="127"/>
      <c r="H81" s="133">
        <f>'4.3.2'!H29</f>
        <v>41389291.182398349</v>
      </c>
      <c r="I81" s="128">
        <f>F81+H81</f>
        <v>783717785.75084269</v>
      </c>
    </row>
  </sheetData>
  <pageMargins left="0.7" right="0.7" top="0.75" bottom="0.75" header="0.3" footer="0.3"/>
  <pageSetup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8723-6262-48A7-B9E1-E1089524FAAB}">
  <sheetPr>
    <pageSetUpPr fitToPage="1"/>
  </sheetPr>
  <dimension ref="A1:J82"/>
  <sheetViews>
    <sheetView view="pageBreakPreview" zoomScale="80" zoomScaleNormal="100" zoomScaleSheetLayoutView="80" workbookViewId="0"/>
  </sheetViews>
  <sheetFormatPr defaultRowHeight="12.75" x14ac:dyDescent="0.2"/>
  <cols>
    <col min="1" max="1" width="20.42578125" style="3" customWidth="1"/>
    <col min="2" max="2" width="11.140625" style="3" bestFit="1" customWidth="1"/>
    <col min="3" max="3" width="20.7109375" style="3" customWidth="1"/>
    <col min="4" max="4" width="12.85546875" style="3" customWidth="1"/>
    <col min="5" max="5" width="3.5703125" style="3" customWidth="1"/>
    <col min="6" max="6" width="16.85546875" style="3" customWidth="1"/>
    <col min="7" max="7" width="18.140625" style="3" customWidth="1"/>
    <col min="8" max="8" width="3.5703125" style="3" customWidth="1"/>
    <col min="9" max="9" width="17.85546875" style="3" customWidth="1"/>
    <col min="10" max="10" width="18.85546875" style="3" customWidth="1"/>
    <col min="11" max="16384" width="9.140625" style="8"/>
  </cols>
  <sheetData>
    <row r="1" spans="1:10" x14ac:dyDescent="0.2">
      <c r="A1" s="2" t="s">
        <v>0</v>
      </c>
      <c r="G1" s="209"/>
      <c r="I1" s="4"/>
      <c r="J1" s="209" t="s">
        <v>288</v>
      </c>
    </row>
    <row r="2" spans="1:10" x14ac:dyDescent="0.2">
      <c r="A2" s="2" t="s">
        <v>45</v>
      </c>
    </row>
    <row r="3" spans="1:10" x14ac:dyDescent="0.2">
      <c r="A3" s="2" t="s">
        <v>46</v>
      </c>
    </row>
    <row r="4" spans="1:10" x14ac:dyDescent="0.2">
      <c r="A4" s="2" t="s">
        <v>284</v>
      </c>
    </row>
    <row r="6" spans="1:10" x14ac:dyDescent="0.2">
      <c r="A6" s="119" t="s">
        <v>270</v>
      </c>
      <c r="B6" s="119"/>
      <c r="C6" s="119"/>
      <c r="D6" s="119"/>
      <c r="E6" s="119"/>
      <c r="F6" s="119"/>
      <c r="G6" s="119"/>
      <c r="H6" s="119"/>
      <c r="I6" s="119"/>
      <c r="J6" s="119"/>
    </row>
    <row r="7" spans="1:10" ht="38.25" x14ac:dyDescent="0.2">
      <c r="A7" s="120" t="s">
        <v>191</v>
      </c>
      <c r="B7" s="134" t="s">
        <v>271</v>
      </c>
      <c r="C7" s="121" t="s">
        <v>192</v>
      </c>
      <c r="D7" s="135" t="s">
        <v>193</v>
      </c>
      <c r="E7" s="136" t="s">
        <v>194</v>
      </c>
      <c r="F7" s="124" t="s">
        <v>195</v>
      </c>
      <c r="G7" s="121" t="s">
        <v>196</v>
      </c>
      <c r="H7" s="136" t="s">
        <v>197</v>
      </c>
      <c r="I7" s="124" t="s">
        <v>198</v>
      </c>
      <c r="J7" s="121" t="s">
        <v>199</v>
      </c>
    </row>
    <row r="8" spans="1:10" x14ac:dyDescent="0.2">
      <c r="A8" s="210" t="s">
        <v>200</v>
      </c>
      <c r="B8" s="149">
        <v>0</v>
      </c>
      <c r="C8" s="7">
        <f>'4.3.8'!B8*B8</f>
        <v>0</v>
      </c>
      <c r="D8" s="138">
        <f t="shared" ref="D8:D71" si="0">C8/C$82</f>
        <v>0</v>
      </c>
      <c r="F8" s="7">
        <f>B8*'4.3.8'!E8</f>
        <v>0</v>
      </c>
      <c r="G8" s="24">
        <f>C8+F8</f>
        <v>0</v>
      </c>
      <c r="I8" s="7">
        <f>B8*'4.3.8'!H8</f>
        <v>0</v>
      </c>
      <c r="J8" s="24">
        <f>G8+I8</f>
        <v>0</v>
      </c>
    </row>
    <row r="9" spans="1:10" x14ac:dyDescent="0.2">
      <c r="A9" s="210" t="s">
        <v>201</v>
      </c>
      <c r="B9" s="149">
        <v>0.22162982918040364</v>
      </c>
      <c r="C9" s="7">
        <f>'4.3.8'!B9*B9</f>
        <v>159.18063712650326</v>
      </c>
      <c r="D9" s="138">
        <f t="shared" si="0"/>
        <v>3.2050558099332488E-6</v>
      </c>
      <c r="F9" s="7">
        <f>B9*'4.3.8'!E9</f>
        <v>1.8687163022871054</v>
      </c>
      <c r="G9" s="24">
        <f t="shared" ref="G9:G72" si="1">C9+F9</f>
        <v>161.04935342879037</v>
      </c>
      <c r="I9" s="7">
        <f>B9*'4.3.8'!H9</f>
        <v>8.9794728783465718</v>
      </c>
      <c r="J9" s="24">
        <f t="shared" ref="J9:J72" si="2">G9+I9</f>
        <v>170.02882630713694</v>
      </c>
    </row>
    <row r="10" spans="1:10" x14ac:dyDescent="0.2">
      <c r="A10" s="210" t="s">
        <v>202</v>
      </c>
      <c r="B10" s="149">
        <v>0.22162982918040364</v>
      </c>
      <c r="C10" s="7">
        <f>'4.3.8'!B10*B10</f>
        <v>1666267.1155039798</v>
      </c>
      <c r="D10" s="138">
        <f t="shared" si="0"/>
        <v>3.3549803517890095E-2</v>
      </c>
      <c r="F10" s="7">
        <f>B10*'4.3.8'!E10</f>
        <v>19561.302046005945</v>
      </c>
      <c r="G10" s="24">
        <f t="shared" si="1"/>
        <v>1685828.4175499857</v>
      </c>
      <c r="I10" s="7">
        <f>B10*'4.3.8'!H10</f>
        <v>93995.102933644361</v>
      </c>
      <c r="J10" s="24">
        <f t="shared" si="2"/>
        <v>1779823.52048363</v>
      </c>
    </row>
    <row r="11" spans="1:10" x14ac:dyDescent="0.2">
      <c r="A11" s="210" t="s">
        <v>203</v>
      </c>
      <c r="B11" s="149">
        <v>7.9787774498314715E-2</v>
      </c>
      <c r="C11" s="7">
        <f>'4.3.8'!B11*B11</f>
        <v>200936.19170270686</v>
      </c>
      <c r="D11" s="126">
        <f t="shared" si="0"/>
        <v>4.0457917512342649E-3</v>
      </c>
      <c r="F11" s="7">
        <f>B11*'4.3.8'!E11</f>
        <v>2358.9096257726724</v>
      </c>
      <c r="G11" s="24">
        <f t="shared" si="1"/>
        <v>203295.10132847953</v>
      </c>
      <c r="I11" s="7">
        <f>B11*'4.3.8'!H11</f>
        <v>11334.92814354549</v>
      </c>
      <c r="J11" s="24">
        <f t="shared" si="2"/>
        <v>214630.02947202502</v>
      </c>
    </row>
    <row r="12" spans="1:10" x14ac:dyDescent="0.2">
      <c r="A12" s="210" t="s">
        <v>204</v>
      </c>
      <c r="B12" s="149">
        <v>7.6163640476536676E-2</v>
      </c>
      <c r="C12" s="7">
        <f>'4.3.8'!B12*B12</f>
        <v>7179.9336055773329</v>
      </c>
      <c r="D12" s="138">
        <f t="shared" si="0"/>
        <v>1.4456587392097542E-4</v>
      </c>
      <c r="F12" s="7">
        <f>B12*'4.3.8'!E12</f>
        <v>84.289516742030003</v>
      </c>
      <c r="G12" s="24">
        <f t="shared" si="1"/>
        <v>7264.223122319363</v>
      </c>
      <c r="I12" s="7">
        <f>B12*'4.3.8'!H12</f>
        <v>405.02425573516143</v>
      </c>
      <c r="J12" s="24">
        <f t="shared" si="2"/>
        <v>7669.2473780545242</v>
      </c>
    </row>
    <row r="13" spans="1:10" x14ac:dyDescent="0.2">
      <c r="A13" s="210" t="s">
        <v>205</v>
      </c>
      <c r="B13" s="149">
        <v>0</v>
      </c>
      <c r="C13" s="7">
        <f>'4.3.8'!B13*B13</f>
        <v>0</v>
      </c>
      <c r="D13" s="138">
        <f t="shared" si="0"/>
        <v>0</v>
      </c>
      <c r="F13" s="7">
        <f>B13*'4.3.8'!E13</f>
        <v>0</v>
      </c>
      <c r="G13" s="24">
        <f t="shared" si="1"/>
        <v>0</v>
      </c>
      <c r="I13" s="7">
        <f>B13*'4.3.8'!H13</f>
        <v>0</v>
      </c>
      <c r="J13" s="24">
        <f t="shared" si="2"/>
        <v>0</v>
      </c>
    </row>
    <row r="14" spans="1:10" x14ac:dyDescent="0.2">
      <c r="A14" s="210" t="s">
        <v>206</v>
      </c>
      <c r="B14" s="149">
        <v>0.22162982918040364</v>
      </c>
      <c r="C14" s="7">
        <f>'4.3.8'!B14*B14</f>
        <v>3574077.6158757317</v>
      </c>
      <c r="D14" s="138">
        <f t="shared" si="0"/>
        <v>7.1963012805454044E-2</v>
      </c>
      <c r="F14" s="7">
        <f>B14*'4.3.8'!E14</f>
        <v>41958.225742736278</v>
      </c>
      <c r="G14" s="24">
        <f t="shared" si="1"/>
        <v>3616035.8416184681</v>
      </c>
      <c r="I14" s="7">
        <f>B14*'4.3.8'!H14</f>
        <v>201615.80953691408</v>
      </c>
      <c r="J14" s="24">
        <f t="shared" si="2"/>
        <v>3817651.6511553819</v>
      </c>
    </row>
    <row r="15" spans="1:10" x14ac:dyDescent="0.2">
      <c r="A15" s="210" t="s">
        <v>207</v>
      </c>
      <c r="B15" s="149">
        <v>7.9787774498314715E-2</v>
      </c>
      <c r="C15" s="7">
        <f>'4.3.8'!B15*B15</f>
        <v>17165.437048860851</v>
      </c>
      <c r="D15" s="138">
        <f t="shared" si="0"/>
        <v>3.456210801554508E-4</v>
      </c>
      <c r="F15" s="7">
        <f>B15*'4.3.8'!E15</f>
        <v>201.51528871942509</v>
      </c>
      <c r="G15" s="24">
        <f t="shared" si="1"/>
        <v>17366.952337580275</v>
      </c>
      <c r="I15" s="7">
        <f>B15*'4.3.8'!H15</f>
        <v>968.3123475797928</v>
      </c>
      <c r="J15" s="24">
        <f t="shared" si="2"/>
        <v>18335.264685160066</v>
      </c>
    </row>
    <row r="16" spans="1:10" x14ac:dyDescent="0.2">
      <c r="A16" s="210" t="s">
        <v>208</v>
      </c>
      <c r="B16" s="149">
        <v>7.9787774498314715E-2</v>
      </c>
      <c r="C16" s="7">
        <f>'4.3.8'!B16*B16</f>
        <v>1041577.6376859195</v>
      </c>
      <c r="D16" s="138">
        <f t="shared" si="0"/>
        <v>2.0971862655058956E-2</v>
      </c>
      <c r="F16" s="7">
        <f>B16*'4.3.8'!E16</f>
        <v>12227.700220187749</v>
      </c>
      <c r="G16" s="24">
        <f t="shared" si="1"/>
        <v>1053805.3379061073</v>
      </c>
      <c r="I16" s="7">
        <f>B16*'4.3.8'!H16</f>
        <v>58756.003978424727</v>
      </c>
      <c r="J16" s="24">
        <f t="shared" si="2"/>
        <v>1112561.341884532</v>
      </c>
    </row>
    <row r="17" spans="1:10" x14ac:dyDescent="0.2">
      <c r="A17" s="210" t="s">
        <v>209</v>
      </c>
      <c r="B17" s="149">
        <v>7.9787774498314715E-2</v>
      </c>
      <c r="C17" s="7">
        <f>'4.3.8'!B17*B17</f>
        <v>698743.84904791194</v>
      </c>
      <c r="D17" s="138">
        <f t="shared" si="0"/>
        <v>1.4069004079097612E-2</v>
      </c>
      <c r="F17" s="7">
        <f>B17*'4.3.8'!E17</f>
        <v>8202.9701941761359</v>
      </c>
      <c r="G17" s="24">
        <f t="shared" si="1"/>
        <v>706946.81924208812</v>
      </c>
      <c r="I17" s="7">
        <f>B17*'4.3.8'!H17</f>
        <v>39416.549366182626</v>
      </c>
      <c r="J17" s="24">
        <f t="shared" si="2"/>
        <v>746363.36860827077</v>
      </c>
    </row>
    <row r="18" spans="1:10" x14ac:dyDescent="0.2">
      <c r="A18" s="210" t="s">
        <v>210</v>
      </c>
      <c r="B18" s="149">
        <v>7.9787774498314715E-2</v>
      </c>
      <c r="C18" s="7">
        <f>'4.3.8'!B18*B18</f>
        <v>179895.52825436991</v>
      </c>
      <c r="D18" s="138">
        <f t="shared" si="0"/>
        <v>3.6221441151442694E-3</v>
      </c>
      <c r="F18" s="7">
        <f>B18*'4.3.8'!E18</f>
        <v>2111.9007463849348</v>
      </c>
      <c r="G18" s="24">
        <f t="shared" si="1"/>
        <v>182007.42900075484</v>
      </c>
      <c r="I18" s="7">
        <f>B18*'4.3.8'!H18</f>
        <v>10148.012007340993</v>
      </c>
      <c r="J18" s="24">
        <f t="shared" si="2"/>
        <v>192155.44100809583</v>
      </c>
    </row>
    <row r="19" spans="1:10" x14ac:dyDescent="0.2">
      <c r="A19" s="210" t="s">
        <v>211</v>
      </c>
      <c r="B19" s="149">
        <v>7.9787774498314715E-2</v>
      </c>
      <c r="C19" s="7">
        <f>'4.3.8'!B19*B19</f>
        <v>35212.336467980153</v>
      </c>
      <c r="D19" s="138">
        <f t="shared" si="0"/>
        <v>7.0899014864687741E-4</v>
      </c>
      <c r="F19" s="7">
        <f>B19*'4.3.8'!E19</f>
        <v>413.3785891750108</v>
      </c>
      <c r="G19" s="24">
        <f t="shared" si="1"/>
        <v>35625.715057155161</v>
      </c>
      <c r="I19" s="7">
        <f>B19*'4.3.8'!H19</f>
        <v>1986.3485032175251</v>
      </c>
      <c r="J19" s="24">
        <f t="shared" si="2"/>
        <v>37612.063560372684</v>
      </c>
    </row>
    <row r="20" spans="1:10" x14ac:dyDescent="0.2">
      <c r="A20" s="210" t="s">
        <v>212</v>
      </c>
      <c r="B20" s="149">
        <v>0</v>
      </c>
      <c r="C20" s="7">
        <f>'4.3.8'!B20*B20</f>
        <v>0</v>
      </c>
      <c r="D20" s="138">
        <f t="shared" si="0"/>
        <v>0</v>
      </c>
      <c r="F20" s="7">
        <f>B20*'4.3.8'!E20</f>
        <v>0</v>
      </c>
      <c r="G20" s="24">
        <f t="shared" si="1"/>
        <v>0</v>
      </c>
      <c r="I20" s="7">
        <f>B20*'4.3.8'!H20</f>
        <v>0</v>
      </c>
      <c r="J20" s="24">
        <f t="shared" si="2"/>
        <v>0</v>
      </c>
    </row>
    <row r="21" spans="1:10" x14ac:dyDescent="0.2">
      <c r="A21" s="210" t="s">
        <v>213</v>
      </c>
      <c r="B21" s="149">
        <v>0.22162982918040364</v>
      </c>
      <c r="C21" s="7">
        <f>'4.3.8'!B21*B21</f>
        <v>486064.17786123586</v>
      </c>
      <c r="D21" s="138">
        <f t="shared" si="0"/>
        <v>9.7867607855880411E-3</v>
      </c>
      <c r="F21" s="7">
        <f>B21*'4.3.8'!E21</f>
        <v>5706.1968686883574</v>
      </c>
      <c r="G21" s="24">
        <f t="shared" si="1"/>
        <v>491770.37472992419</v>
      </c>
      <c r="I21" s="7">
        <f>B21*'4.3.8'!H21</f>
        <v>27419.164673729621</v>
      </c>
      <c r="J21" s="24">
        <f t="shared" si="2"/>
        <v>519189.53940365382</v>
      </c>
    </row>
    <row r="22" spans="1:10" x14ac:dyDescent="0.2">
      <c r="A22" s="210" t="s">
        <v>214</v>
      </c>
      <c r="B22" s="149">
        <v>7.9787774498314715E-2</v>
      </c>
      <c r="C22" s="7">
        <f>'4.3.8'!B22*B22</f>
        <v>250926.93774780017</v>
      </c>
      <c r="D22" s="138">
        <f t="shared" si="0"/>
        <v>5.0523408764736122E-3</v>
      </c>
      <c r="F22" s="7">
        <f>B22*'4.3.8'!E22</f>
        <v>2945.7807665366045</v>
      </c>
      <c r="G22" s="24">
        <f t="shared" si="1"/>
        <v>253872.71851433677</v>
      </c>
      <c r="I22" s="7">
        <f>B22*'4.3.8'!H22</f>
        <v>14154.935377990007</v>
      </c>
      <c r="J22" s="24">
        <f t="shared" si="2"/>
        <v>268027.65389232675</v>
      </c>
    </row>
    <row r="23" spans="1:10" x14ac:dyDescent="0.2">
      <c r="A23" s="210" t="s">
        <v>215</v>
      </c>
      <c r="B23" s="149">
        <v>0</v>
      </c>
      <c r="C23" s="7">
        <f>'4.3.8'!B23*B23</f>
        <v>0</v>
      </c>
      <c r="D23" s="138">
        <f t="shared" si="0"/>
        <v>0</v>
      </c>
      <c r="F23" s="7">
        <f>B23*'4.3.8'!E23</f>
        <v>0</v>
      </c>
      <c r="G23" s="24">
        <f t="shared" si="1"/>
        <v>0</v>
      </c>
      <c r="I23" s="7">
        <f>B23*'4.3.8'!H23</f>
        <v>0</v>
      </c>
      <c r="J23" s="24">
        <f t="shared" si="2"/>
        <v>0</v>
      </c>
    </row>
    <row r="24" spans="1:10" x14ac:dyDescent="0.2">
      <c r="A24" s="210" t="s">
        <v>216</v>
      </c>
      <c r="B24" s="149">
        <v>0</v>
      </c>
      <c r="C24" s="7">
        <f>'4.3.8'!B24*B24</f>
        <v>0</v>
      </c>
      <c r="D24" s="138">
        <f t="shared" si="0"/>
        <v>0</v>
      </c>
      <c r="F24" s="7">
        <f>B24*'4.3.8'!E24</f>
        <v>0</v>
      </c>
      <c r="G24" s="24">
        <f t="shared" si="1"/>
        <v>0</v>
      </c>
      <c r="I24" s="7">
        <f>B24*'4.3.8'!H24</f>
        <v>0</v>
      </c>
      <c r="J24" s="24">
        <f t="shared" si="2"/>
        <v>0</v>
      </c>
    </row>
    <row r="25" spans="1:10" x14ac:dyDescent="0.2">
      <c r="A25" s="210" t="s">
        <v>217</v>
      </c>
      <c r="B25" s="149">
        <v>0.22162982918040364</v>
      </c>
      <c r="C25" s="7">
        <f>'4.3.8'!B25*B25</f>
        <v>164445.09686262609</v>
      </c>
      <c r="D25" s="138">
        <f t="shared" si="0"/>
        <v>3.3110541748600768E-3</v>
      </c>
      <c r="F25" s="7">
        <f>B25*'4.3.8'!E25</f>
        <v>1930.5189304786775</v>
      </c>
      <c r="G25" s="24">
        <f t="shared" si="1"/>
        <v>166375.61579310478</v>
      </c>
      <c r="I25" s="7">
        <f>B25*'4.3.8'!H25</f>
        <v>9276.4441323446008</v>
      </c>
      <c r="J25" s="24">
        <f t="shared" si="2"/>
        <v>175652.05992544937</v>
      </c>
    </row>
    <row r="26" spans="1:10" x14ac:dyDescent="0.2">
      <c r="A26" s="210" t="s">
        <v>218</v>
      </c>
      <c r="B26" s="149">
        <v>7.9787774498314715E-2</v>
      </c>
      <c r="C26" s="7">
        <f>'4.3.8'!B26*B26</f>
        <v>30227.37588335844</v>
      </c>
      <c r="D26" s="138">
        <f t="shared" si="0"/>
        <v>6.0861941780646219E-4</v>
      </c>
      <c r="F26" s="7">
        <f>B26*'4.3.8'!E26</f>
        <v>354.85716798395163</v>
      </c>
      <c r="G26" s="24">
        <f t="shared" si="1"/>
        <v>30582.233051342391</v>
      </c>
      <c r="I26" s="7">
        <f>B26*'4.3.8'!H26</f>
        <v>1705.1439598931756</v>
      </c>
      <c r="J26" s="24">
        <f t="shared" si="2"/>
        <v>32287.377011235567</v>
      </c>
    </row>
    <row r="27" spans="1:10" x14ac:dyDescent="0.2">
      <c r="A27" s="210" t="s">
        <v>219</v>
      </c>
      <c r="B27" s="149">
        <v>0</v>
      </c>
      <c r="C27" s="7">
        <f>'4.3.8'!B27*B27</f>
        <v>0</v>
      </c>
      <c r="D27" s="138">
        <f t="shared" si="0"/>
        <v>0</v>
      </c>
      <c r="F27" s="7">
        <f>B27*'4.3.8'!E27</f>
        <v>0</v>
      </c>
      <c r="G27" s="24">
        <f t="shared" si="1"/>
        <v>0</v>
      </c>
      <c r="I27" s="7">
        <f>B27*'4.3.8'!H27</f>
        <v>0</v>
      </c>
      <c r="J27" s="24">
        <f t="shared" si="2"/>
        <v>0</v>
      </c>
    </row>
    <row r="28" spans="1:10" x14ac:dyDescent="0.2">
      <c r="A28" s="210" t="s">
        <v>220</v>
      </c>
      <c r="B28" s="149">
        <v>0</v>
      </c>
      <c r="C28" s="7">
        <f>'4.3.8'!B28*B28</f>
        <v>0</v>
      </c>
      <c r="D28" s="138">
        <f t="shared" si="0"/>
        <v>0</v>
      </c>
      <c r="F28" s="7">
        <f>B28*'4.3.8'!E28</f>
        <v>0</v>
      </c>
      <c r="G28" s="24">
        <f t="shared" si="1"/>
        <v>0</v>
      </c>
      <c r="I28" s="7">
        <f>B28*'4.3.8'!H28</f>
        <v>0</v>
      </c>
      <c r="J28" s="24">
        <f t="shared" si="2"/>
        <v>0</v>
      </c>
    </row>
    <row r="29" spans="1:10" x14ac:dyDescent="0.2">
      <c r="A29" s="210" t="s">
        <v>221</v>
      </c>
      <c r="B29" s="149">
        <v>0</v>
      </c>
      <c r="C29" s="7">
        <f>'4.3.8'!B29*B29</f>
        <v>0</v>
      </c>
      <c r="D29" s="138">
        <f t="shared" si="0"/>
        <v>0</v>
      </c>
      <c r="F29" s="7">
        <f>B29*'4.3.8'!E29</f>
        <v>0</v>
      </c>
      <c r="G29" s="24">
        <f t="shared" si="1"/>
        <v>0</v>
      </c>
      <c r="I29" s="7">
        <f>B29*'4.3.8'!H29</f>
        <v>0</v>
      </c>
      <c r="J29" s="24">
        <f t="shared" si="2"/>
        <v>0</v>
      </c>
    </row>
    <row r="30" spans="1:10" x14ac:dyDescent="0.2">
      <c r="A30" s="210" t="s">
        <v>222</v>
      </c>
      <c r="B30" s="149">
        <v>7.9787774498314715E-2</v>
      </c>
      <c r="C30" s="7">
        <f>'4.3.8'!B30*B30</f>
        <v>2327394.1329466989</v>
      </c>
      <c r="D30" s="138">
        <f t="shared" si="0"/>
        <v>4.6861403638416482E-2</v>
      </c>
      <c r="F30" s="7">
        <f>B30*'4.3.8'!E30</f>
        <v>27322.665850548477</v>
      </c>
      <c r="G30" s="24">
        <f t="shared" si="1"/>
        <v>2354716.7987972475</v>
      </c>
      <c r="I30" s="7">
        <f>B30*'4.3.8'!H30</f>
        <v>131289.6648190273</v>
      </c>
      <c r="J30" s="24">
        <f t="shared" si="2"/>
        <v>2486006.4636162748</v>
      </c>
    </row>
    <row r="31" spans="1:10" x14ac:dyDescent="0.2">
      <c r="A31" s="210" t="s">
        <v>223</v>
      </c>
      <c r="B31" s="149">
        <v>7.9787774498314715E-2</v>
      </c>
      <c r="C31" s="7">
        <f>'4.3.8'!B31*B31</f>
        <v>1894047.7334286254</v>
      </c>
      <c r="D31" s="138">
        <f t="shared" si="0"/>
        <v>3.8136099979873654E-2</v>
      </c>
      <c r="F31" s="7">
        <f>B31*'4.3.8'!E31</f>
        <v>22235.354378907086</v>
      </c>
      <c r="G31" s="24">
        <f t="shared" si="1"/>
        <v>1916283.0878075324</v>
      </c>
      <c r="I31" s="7">
        <f>B31*'4.3.8'!H31</f>
        <v>106844.34086728768</v>
      </c>
      <c r="J31" s="24">
        <f t="shared" si="2"/>
        <v>2023127.4286748201</v>
      </c>
    </row>
    <row r="32" spans="1:10" x14ac:dyDescent="0.2">
      <c r="A32" s="210" t="s">
        <v>224</v>
      </c>
      <c r="B32" s="149">
        <v>7.9787774498314715E-2</v>
      </c>
      <c r="C32" s="7">
        <f>'4.3.8'!B32*B32</f>
        <v>1265106.015163793</v>
      </c>
      <c r="D32" s="138">
        <f t="shared" si="0"/>
        <v>2.547254149296975E-2</v>
      </c>
      <c r="F32" s="7">
        <f>B32*'4.3.8'!E32</f>
        <v>14851.832969981473</v>
      </c>
      <c r="G32" s="24">
        <f t="shared" si="1"/>
        <v>1279957.8481337745</v>
      </c>
      <c r="I32" s="7">
        <f>B32*'4.3.8'!H32</f>
        <v>71365.370540441014</v>
      </c>
      <c r="J32" s="24">
        <f t="shared" si="2"/>
        <v>1351323.2186742155</v>
      </c>
    </row>
    <row r="33" spans="1:10" x14ac:dyDescent="0.2">
      <c r="A33" s="210" t="s">
        <v>225</v>
      </c>
      <c r="B33" s="149">
        <v>0</v>
      </c>
      <c r="C33" s="7">
        <f>'4.3.8'!B33*B33</f>
        <v>0</v>
      </c>
      <c r="D33" s="138">
        <f t="shared" si="0"/>
        <v>0</v>
      </c>
      <c r="F33" s="7">
        <f>B33*'4.3.8'!E33</f>
        <v>0</v>
      </c>
      <c r="G33" s="24">
        <f t="shared" si="1"/>
        <v>0</v>
      </c>
      <c r="I33" s="7">
        <f>B33*'4.3.8'!H33</f>
        <v>0</v>
      </c>
      <c r="J33" s="24">
        <f t="shared" si="2"/>
        <v>0</v>
      </c>
    </row>
    <row r="34" spans="1:10" x14ac:dyDescent="0.2">
      <c r="A34" s="210" t="s">
        <v>226</v>
      </c>
      <c r="B34" s="149">
        <v>0</v>
      </c>
      <c r="C34" s="7">
        <f>'4.3.8'!B34*B34</f>
        <v>0</v>
      </c>
      <c r="D34" s="138">
        <f t="shared" si="0"/>
        <v>0</v>
      </c>
      <c r="F34" s="7">
        <f>B34*'4.3.8'!E34</f>
        <v>0</v>
      </c>
      <c r="G34" s="24">
        <f t="shared" si="1"/>
        <v>0</v>
      </c>
      <c r="I34" s="7">
        <f>B34*'4.3.8'!H34</f>
        <v>0</v>
      </c>
      <c r="J34" s="24">
        <f t="shared" si="2"/>
        <v>0</v>
      </c>
    </row>
    <row r="35" spans="1:10" x14ac:dyDescent="0.2">
      <c r="A35" s="210" t="s">
        <v>227</v>
      </c>
      <c r="B35" s="149">
        <v>0</v>
      </c>
      <c r="C35" s="7">
        <f>'4.3.8'!B35*B35</f>
        <v>0</v>
      </c>
      <c r="D35" s="138">
        <f t="shared" si="0"/>
        <v>0</v>
      </c>
      <c r="F35" s="7">
        <f>B35*'4.3.8'!E35</f>
        <v>0</v>
      </c>
      <c r="G35" s="24">
        <f t="shared" si="1"/>
        <v>0</v>
      </c>
      <c r="I35" s="7">
        <f>B35*'4.3.8'!H35</f>
        <v>0</v>
      </c>
      <c r="J35" s="24">
        <f t="shared" si="2"/>
        <v>0</v>
      </c>
    </row>
    <row r="36" spans="1:10" x14ac:dyDescent="0.2">
      <c r="A36" s="210" t="s">
        <v>228</v>
      </c>
      <c r="B36" s="149">
        <v>6.264027551852748E-2</v>
      </c>
      <c r="C36" s="7">
        <f>'4.3.8'!B36*B36</f>
        <v>2542849.502315199</v>
      </c>
      <c r="D36" s="138">
        <f t="shared" si="0"/>
        <v>5.1199534807140457E-2</v>
      </c>
      <c r="F36" s="7">
        <f>B36*'4.3.8'!E36</f>
        <v>29852.024750112585</v>
      </c>
      <c r="G36" s="24">
        <f t="shared" si="1"/>
        <v>2572701.5270653116</v>
      </c>
      <c r="I36" s="7">
        <f>B36*'4.3.8'!H36</f>
        <v>143443.62827000325</v>
      </c>
      <c r="J36" s="24">
        <f t="shared" si="2"/>
        <v>2716145.1553353146</v>
      </c>
    </row>
    <row r="37" spans="1:10" x14ac:dyDescent="0.2">
      <c r="A37" s="210" t="s">
        <v>229</v>
      </c>
      <c r="B37" s="149">
        <v>0</v>
      </c>
      <c r="C37" s="7">
        <f>'4.3.8'!B37*B37</f>
        <v>0</v>
      </c>
      <c r="D37" s="138">
        <f t="shared" si="0"/>
        <v>0</v>
      </c>
      <c r="F37" s="7">
        <f>B37*'4.3.8'!E37</f>
        <v>0</v>
      </c>
      <c r="G37" s="24">
        <f t="shared" si="1"/>
        <v>0</v>
      </c>
      <c r="I37" s="7">
        <f>B37*'4.3.8'!H37</f>
        <v>0</v>
      </c>
      <c r="J37" s="24">
        <f t="shared" si="2"/>
        <v>0</v>
      </c>
    </row>
    <row r="38" spans="1:10" x14ac:dyDescent="0.2">
      <c r="A38" s="210" t="s">
        <v>230</v>
      </c>
      <c r="B38" s="149">
        <v>1</v>
      </c>
      <c r="C38" s="7">
        <f>'4.3.8'!B38*B38</f>
        <v>1910542.8851008278</v>
      </c>
      <c r="D38" s="138">
        <f t="shared" si="0"/>
        <v>3.8468225059010687E-2</v>
      </c>
      <c r="F38" s="7">
        <f>B38*'4.3.8'!E38</f>
        <v>22429.000788388705</v>
      </c>
      <c r="G38" s="24">
        <f t="shared" si="1"/>
        <v>1932971.8858892166</v>
      </c>
      <c r="I38" s="7">
        <f>B38*'4.3.8'!H38</f>
        <v>107774.8420245801</v>
      </c>
      <c r="J38" s="24">
        <f t="shared" si="2"/>
        <v>2040746.7279137967</v>
      </c>
    </row>
    <row r="39" spans="1:10" x14ac:dyDescent="0.2">
      <c r="A39" s="210" t="s">
        <v>231</v>
      </c>
      <c r="B39" s="149">
        <v>0</v>
      </c>
      <c r="C39" s="7">
        <f>'4.3.8'!B39*B39</f>
        <v>0</v>
      </c>
      <c r="D39" s="138">
        <f t="shared" si="0"/>
        <v>0</v>
      </c>
      <c r="F39" s="7">
        <f>B39*'4.3.8'!E39</f>
        <v>0</v>
      </c>
      <c r="G39" s="24">
        <f t="shared" si="1"/>
        <v>0</v>
      </c>
      <c r="I39" s="7">
        <f>B39*'4.3.8'!H39</f>
        <v>0</v>
      </c>
      <c r="J39" s="24">
        <f t="shared" si="2"/>
        <v>0</v>
      </c>
    </row>
    <row r="40" spans="1:10" x14ac:dyDescent="0.2">
      <c r="A40" s="210" t="s">
        <v>232</v>
      </c>
      <c r="B40" s="149">
        <v>0</v>
      </c>
      <c r="C40" s="7">
        <f>'4.3.8'!B40*B40</f>
        <v>0</v>
      </c>
      <c r="D40" s="138">
        <f t="shared" si="0"/>
        <v>0</v>
      </c>
      <c r="F40" s="7">
        <f>B40*'4.3.8'!E40</f>
        <v>0</v>
      </c>
      <c r="G40" s="24">
        <f t="shared" si="1"/>
        <v>0</v>
      </c>
      <c r="I40" s="7">
        <f>B40*'4.3.8'!H40</f>
        <v>0</v>
      </c>
      <c r="J40" s="24">
        <f t="shared" si="2"/>
        <v>0</v>
      </c>
    </row>
    <row r="41" spans="1:10" x14ac:dyDescent="0.2">
      <c r="A41" s="210" t="s">
        <v>233</v>
      </c>
      <c r="B41" s="149">
        <v>0</v>
      </c>
      <c r="C41" s="7">
        <f>'4.3.8'!B41*B41</f>
        <v>0</v>
      </c>
      <c r="D41" s="138">
        <f t="shared" si="0"/>
        <v>0</v>
      </c>
      <c r="F41" s="7">
        <f>B41*'4.3.8'!E41</f>
        <v>0</v>
      </c>
      <c r="G41" s="24">
        <f t="shared" si="1"/>
        <v>0</v>
      </c>
      <c r="I41" s="7">
        <f>B41*'4.3.8'!H41</f>
        <v>0</v>
      </c>
      <c r="J41" s="24">
        <f t="shared" si="2"/>
        <v>0</v>
      </c>
    </row>
    <row r="42" spans="1:10" x14ac:dyDescent="0.2">
      <c r="A42" s="210" t="s">
        <v>234</v>
      </c>
      <c r="B42" s="149">
        <v>0</v>
      </c>
      <c r="C42" s="7">
        <f>'4.3.8'!B42*B42</f>
        <v>0</v>
      </c>
      <c r="D42" s="138">
        <f t="shared" si="0"/>
        <v>0</v>
      </c>
      <c r="F42" s="7">
        <f>B42*'4.3.8'!E42</f>
        <v>0</v>
      </c>
      <c r="G42" s="24">
        <f t="shared" si="1"/>
        <v>0</v>
      </c>
      <c r="I42" s="7">
        <f>B42*'4.3.8'!H42</f>
        <v>0</v>
      </c>
      <c r="J42" s="24">
        <f t="shared" si="2"/>
        <v>0</v>
      </c>
    </row>
    <row r="43" spans="1:10" x14ac:dyDescent="0.2">
      <c r="A43" s="210" t="s">
        <v>235</v>
      </c>
      <c r="B43" s="149">
        <v>0</v>
      </c>
      <c r="C43" s="7">
        <f>'4.3.8'!B43*B43</f>
        <v>0</v>
      </c>
      <c r="D43" s="138">
        <f t="shared" si="0"/>
        <v>0</v>
      </c>
      <c r="F43" s="7">
        <f>B43*'4.3.8'!E43</f>
        <v>0</v>
      </c>
      <c r="G43" s="24">
        <f t="shared" si="1"/>
        <v>0</v>
      </c>
      <c r="I43" s="7">
        <f>B43*'4.3.8'!H43</f>
        <v>0</v>
      </c>
      <c r="J43" s="24">
        <f t="shared" si="2"/>
        <v>0</v>
      </c>
    </row>
    <row r="44" spans="1:10" x14ac:dyDescent="0.2">
      <c r="A44" s="210" t="s">
        <v>236</v>
      </c>
      <c r="B44" s="149">
        <v>6.264027551852748E-2</v>
      </c>
      <c r="C44" s="7">
        <f>'4.3.8'!B44*B44</f>
        <v>1182291.0636164576</v>
      </c>
      <c r="D44" s="138">
        <f t="shared" si="0"/>
        <v>2.3805086541176905E-2</v>
      </c>
      <c r="F44" s="7">
        <f>B44*'4.3.8'!E44</f>
        <v>13879.618931746198</v>
      </c>
      <c r="G44" s="24">
        <f t="shared" si="1"/>
        <v>1196170.6825482037</v>
      </c>
      <c r="I44" s="7">
        <f>B44*'4.3.8'!H44</f>
        <v>66693.730667873446</v>
      </c>
      <c r="J44" s="24">
        <f t="shared" si="2"/>
        <v>1262864.4132160773</v>
      </c>
    </row>
    <row r="45" spans="1:10" x14ac:dyDescent="0.2">
      <c r="A45" s="210" t="s">
        <v>237</v>
      </c>
      <c r="B45" s="149">
        <v>0</v>
      </c>
      <c r="C45" s="7">
        <f>'4.3.8'!B45*B45</f>
        <v>0</v>
      </c>
      <c r="D45" s="138">
        <f t="shared" si="0"/>
        <v>0</v>
      </c>
      <c r="F45" s="7">
        <f>B45*'4.3.8'!E45</f>
        <v>0</v>
      </c>
      <c r="G45" s="24">
        <f t="shared" si="1"/>
        <v>0</v>
      </c>
      <c r="I45" s="7">
        <f>B45*'4.3.8'!H45</f>
        <v>0</v>
      </c>
      <c r="J45" s="24">
        <f t="shared" si="2"/>
        <v>0</v>
      </c>
    </row>
    <row r="46" spans="1:10" x14ac:dyDescent="0.2">
      <c r="A46" s="210" t="s">
        <v>238</v>
      </c>
      <c r="B46" s="149">
        <v>1</v>
      </c>
      <c r="C46" s="7">
        <f>'4.3.8'!B46*B46</f>
        <v>7083374.569807644</v>
      </c>
      <c r="D46" s="138">
        <f t="shared" si="0"/>
        <v>0.14262168583263873</v>
      </c>
      <c r="F46" s="7">
        <f>B46*'4.3.8'!E46</f>
        <v>83155.95271355749</v>
      </c>
      <c r="G46" s="24">
        <f t="shared" si="1"/>
        <v>7166530.5225212015</v>
      </c>
      <c r="I46" s="7">
        <f>B46*'4.3.8'!H46</f>
        <v>399577.304029822</v>
      </c>
      <c r="J46" s="24">
        <f t="shared" si="2"/>
        <v>7566107.8265510239</v>
      </c>
    </row>
    <row r="47" spans="1:10" x14ac:dyDescent="0.2">
      <c r="A47" s="210" t="s">
        <v>239</v>
      </c>
      <c r="B47" s="149">
        <v>0</v>
      </c>
      <c r="C47" s="7">
        <f>'4.3.8'!B47*B47</f>
        <v>0</v>
      </c>
      <c r="D47" s="138">
        <f t="shared" si="0"/>
        <v>0</v>
      </c>
      <c r="F47" s="7">
        <f>B47*'4.3.8'!E47</f>
        <v>0</v>
      </c>
      <c r="G47" s="24">
        <f t="shared" si="1"/>
        <v>0</v>
      </c>
      <c r="I47" s="7">
        <f>B47*'4.3.8'!H47</f>
        <v>0</v>
      </c>
      <c r="J47" s="24">
        <f t="shared" si="2"/>
        <v>0</v>
      </c>
    </row>
    <row r="48" spans="1:10" x14ac:dyDescent="0.2">
      <c r="A48" s="210" t="s">
        <v>240</v>
      </c>
      <c r="B48" s="149">
        <v>0</v>
      </c>
      <c r="C48" s="7">
        <f>'4.3.8'!B48*B48</f>
        <v>0</v>
      </c>
      <c r="D48" s="138">
        <f t="shared" si="0"/>
        <v>0</v>
      </c>
      <c r="F48" s="7">
        <f>B48*'4.3.8'!E48</f>
        <v>0</v>
      </c>
      <c r="G48" s="24">
        <f t="shared" si="1"/>
        <v>0</v>
      </c>
      <c r="I48" s="7">
        <f>B48*'4.3.8'!H48</f>
        <v>0</v>
      </c>
      <c r="J48" s="24">
        <f t="shared" si="2"/>
        <v>0</v>
      </c>
    </row>
    <row r="49" spans="1:10" x14ac:dyDescent="0.2">
      <c r="A49" s="210" t="s">
        <v>241</v>
      </c>
      <c r="B49" s="149">
        <v>0</v>
      </c>
      <c r="C49" s="7">
        <f>'4.3.8'!B49*B49</f>
        <v>0</v>
      </c>
      <c r="D49" s="138">
        <f t="shared" si="0"/>
        <v>0</v>
      </c>
      <c r="F49" s="7">
        <f>B49*'4.3.8'!E49</f>
        <v>0</v>
      </c>
      <c r="G49" s="24">
        <f t="shared" si="1"/>
        <v>0</v>
      </c>
      <c r="I49" s="7">
        <f>B49*'4.3.8'!H49</f>
        <v>0</v>
      </c>
      <c r="J49" s="24">
        <f t="shared" si="2"/>
        <v>0</v>
      </c>
    </row>
    <row r="50" spans="1:10" x14ac:dyDescent="0.2">
      <c r="A50" s="210" t="s">
        <v>242</v>
      </c>
      <c r="B50" s="149">
        <v>6.742981175467383E-2</v>
      </c>
      <c r="C50" s="7">
        <f>'4.3.8'!B50*B50</f>
        <v>1748285.7859487382</v>
      </c>
      <c r="D50" s="138">
        <f t="shared" si="0"/>
        <v>3.5201225581385567E-2</v>
      </c>
      <c r="F50" s="7">
        <f>B50*'4.3.8'!E50</f>
        <v>20524.16806613771</v>
      </c>
      <c r="G50" s="24">
        <f t="shared" si="1"/>
        <v>1768809.9540148759</v>
      </c>
      <c r="I50" s="7">
        <f>B50*'4.3.8'!H50</f>
        <v>98621.82412330425</v>
      </c>
      <c r="J50" s="24">
        <f t="shared" si="2"/>
        <v>1867431.7781381803</v>
      </c>
    </row>
    <row r="51" spans="1:10" x14ac:dyDescent="0.2">
      <c r="A51" s="210" t="s">
        <v>243</v>
      </c>
      <c r="B51" s="149">
        <v>0</v>
      </c>
      <c r="C51" s="7">
        <f>'4.3.8'!B51*B51</f>
        <v>0</v>
      </c>
      <c r="D51" s="138">
        <f t="shared" si="0"/>
        <v>0</v>
      </c>
      <c r="F51" s="7">
        <f>B51*'4.3.8'!E51</f>
        <v>0</v>
      </c>
      <c r="G51" s="24">
        <f t="shared" si="1"/>
        <v>0</v>
      </c>
      <c r="I51" s="7">
        <f>B51*'4.3.8'!H51</f>
        <v>0</v>
      </c>
      <c r="J51" s="24">
        <f t="shared" si="2"/>
        <v>0</v>
      </c>
    </row>
    <row r="52" spans="1:10" x14ac:dyDescent="0.2">
      <c r="A52" s="210" t="s">
        <v>244</v>
      </c>
      <c r="B52" s="149">
        <v>0</v>
      </c>
      <c r="C52" s="7">
        <f>'4.3.8'!B52*B52</f>
        <v>0</v>
      </c>
      <c r="D52" s="138">
        <f t="shared" si="0"/>
        <v>0</v>
      </c>
      <c r="F52" s="7">
        <f>B52*'4.3.8'!E52</f>
        <v>0</v>
      </c>
      <c r="G52" s="24">
        <f t="shared" si="1"/>
        <v>0</v>
      </c>
      <c r="I52" s="7">
        <f>B52*'4.3.8'!H52</f>
        <v>0</v>
      </c>
      <c r="J52" s="24">
        <f t="shared" si="2"/>
        <v>0</v>
      </c>
    </row>
    <row r="53" spans="1:10" x14ac:dyDescent="0.2">
      <c r="A53" s="210" t="s">
        <v>245</v>
      </c>
      <c r="B53" s="149">
        <v>0</v>
      </c>
      <c r="C53" s="7">
        <f>'4.3.8'!B53*B53</f>
        <v>0</v>
      </c>
      <c r="D53" s="138">
        <f t="shared" si="0"/>
        <v>0</v>
      </c>
      <c r="F53" s="7">
        <f>B53*'4.3.8'!E53</f>
        <v>0</v>
      </c>
      <c r="G53" s="24">
        <f t="shared" si="1"/>
        <v>0</v>
      </c>
      <c r="I53" s="7">
        <f>B53*'4.3.8'!H53</f>
        <v>0</v>
      </c>
      <c r="J53" s="24">
        <f t="shared" si="2"/>
        <v>0</v>
      </c>
    </row>
    <row r="54" spans="1:10" x14ac:dyDescent="0.2">
      <c r="A54" s="210" t="s">
        <v>246</v>
      </c>
      <c r="B54" s="149">
        <v>1</v>
      </c>
      <c r="C54" s="7">
        <f>'4.3.8'!B54*B54</f>
        <v>949287.6298951616</v>
      </c>
      <c r="D54" s="138">
        <f t="shared" si="0"/>
        <v>1.9113630202870182E-2</v>
      </c>
      <c r="F54" s="7">
        <f>B54*'4.3.8'!E54</f>
        <v>11144.252853660792</v>
      </c>
      <c r="G54" s="24">
        <f t="shared" si="1"/>
        <v>960431.88274882245</v>
      </c>
      <c r="I54" s="7">
        <f>B54*'4.3.8'!H54</f>
        <v>53549.870639223984</v>
      </c>
      <c r="J54" s="24">
        <f t="shared" si="2"/>
        <v>1013981.7533880464</v>
      </c>
    </row>
    <row r="55" spans="1:10" x14ac:dyDescent="0.2">
      <c r="A55" s="210" t="s">
        <v>247</v>
      </c>
      <c r="B55" s="149">
        <v>0</v>
      </c>
      <c r="C55" s="7">
        <f>'4.3.8'!B55*B55</f>
        <v>0</v>
      </c>
      <c r="D55" s="138">
        <f t="shared" si="0"/>
        <v>0</v>
      </c>
      <c r="F55" s="7">
        <f>B55*'4.3.8'!E55</f>
        <v>0</v>
      </c>
      <c r="G55" s="24">
        <f t="shared" si="1"/>
        <v>0</v>
      </c>
      <c r="I55" s="7">
        <f>B55*'4.3.8'!H55</f>
        <v>0</v>
      </c>
      <c r="J55" s="24">
        <f t="shared" si="2"/>
        <v>0</v>
      </c>
    </row>
    <row r="56" spans="1:10" x14ac:dyDescent="0.2">
      <c r="A56" s="210" t="s">
        <v>248</v>
      </c>
      <c r="B56" s="149">
        <v>0</v>
      </c>
      <c r="C56" s="7">
        <f>'4.3.8'!B56*B56</f>
        <v>0</v>
      </c>
      <c r="D56" s="138">
        <f t="shared" si="0"/>
        <v>0</v>
      </c>
      <c r="F56" s="7">
        <f>B56*'4.3.8'!E56</f>
        <v>0</v>
      </c>
      <c r="G56" s="24">
        <f t="shared" si="1"/>
        <v>0</v>
      </c>
      <c r="I56" s="7">
        <f>B56*'4.3.8'!H56</f>
        <v>0</v>
      </c>
      <c r="J56" s="24">
        <f t="shared" si="2"/>
        <v>0</v>
      </c>
    </row>
    <row r="57" spans="1:10" x14ac:dyDescent="0.2">
      <c r="A57" s="210" t="s">
        <v>249</v>
      </c>
      <c r="B57" s="149">
        <v>0</v>
      </c>
      <c r="C57" s="7">
        <f>'4.3.8'!B57*B57</f>
        <v>0</v>
      </c>
      <c r="D57" s="138">
        <f t="shared" si="0"/>
        <v>0</v>
      </c>
      <c r="F57" s="7">
        <f>B57*'4.3.8'!E57</f>
        <v>0</v>
      </c>
      <c r="G57" s="24">
        <f t="shared" si="1"/>
        <v>0</v>
      </c>
      <c r="I57" s="7">
        <f>B57*'4.3.8'!H57</f>
        <v>0</v>
      </c>
      <c r="J57" s="24">
        <f t="shared" si="2"/>
        <v>0</v>
      </c>
    </row>
    <row r="58" spans="1:10" x14ac:dyDescent="0.2">
      <c r="A58" s="210" t="s">
        <v>250</v>
      </c>
      <c r="B58" s="149">
        <v>6.742981175467383E-2</v>
      </c>
      <c r="C58" s="7">
        <f>'4.3.8'!B58*B58</f>
        <v>241269.03211991294</v>
      </c>
      <c r="D58" s="138">
        <f t="shared" si="0"/>
        <v>4.8578817569272618E-3</v>
      </c>
      <c r="F58" s="7">
        <f>B58*'4.3.8'!E58</f>
        <v>2832.4008604212627</v>
      </c>
      <c r="G58" s="24">
        <f t="shared" si="1"/>
        <v>244101.43298033421</v>
      </c>
      <c r="I58" s="7">
        <f>B58*'4.3.8'!H58</f>
        <v>13610.127270592347</v>
      </c>
      <c r="J58" s="24">
        <f t="shared" si="2"/>
        <v>257711.56025092656</v>
      </c>
    </row>
    <row r="59" spans="1:10" x14ac:dyDescent="0.2">
      <c r="A59" s="210" t="s">
        <v>251</v>
      </c>
      <c r="B59" s="149">
        <v>0</v>
      </c>
      <c r="C59" s="7">
        <f>'4.3.8'!B59*B59</f>
        <v>0</v>
      </c>
      <c r="D59" s="138">
        <f t="shared" si="0"/>
        <v>0</v>
      </c>
      <c r="F59" s="7">
        <f>B59*'4.3.8'!E59</f>
        <v>0</v>
      </c>
      <c r="G59" s="24">
        <f t="shared" si="1"/>
        <v>0</v>
      </c>
      <c r="I59" s="7">
        <f>B59*'4.3.8'!H59</f>
        <v>0</v>
      </c>
      <c r="J59" s="24">
        <f t="shared" si="2"/>
        <v>0</v>
      </c>
    </row>
    <row r="60" spans="1:10" x14ac:dyDescent="0.2">
      <c r="A60" s="210" t="s">
        <v>252</v>
      </c>
      <c r="B60" s="149">
        <v>0</v>
      </c>
      <c r="C60" s="7">
        <f>'4.3.8'!B60*B60</f>
        <v>0</v>
      </c>
      <c r="D60" s="138">
        <f t="shared" si="0"/>
        <v>0</v>
      </c>
      <c r="F60" s="7">
        <f>B60*'4.3.8'!E60</f>
        <v>0</v>
      </c>
      <c r="G60" s="24">
        <f t="shared" si="1"/>
        <v>0</v>
      </c>
      <c r="I60" s="7">
        <f>B60*'4.3.8'!H60</f>
        <v>0</v>
      </c>
      <c r="J60" s="24">
        <f t="shared" si="2"/>
        <v>0</v>
      </c>
    </row>
    <row r="61" spans="1:10" x14ac:dyDescent="0.2">
      <c r="A61" s="210" t="s">
        <v>253</v>
      </c>
      <c r="B61" s="149">
        <v>0</v>
      </c>
      <c r="C61" s="7">
        <f>'4.3.8'!B61*B61</f>
        <v>0</v>
      </c>
      <c r="D61" s="126">
        <f t="shared" si="0"/>
        <v>0</v>
      </c>
      <c r="F61" s="7">
        <f>B61*'4.3.8'!E61</f>
        <v>0</v>
      </c>
      <c r="G61" s="24">
        <f t="shared" si="1"/>
        <v>0</v>
      </c>
      <c r="I61" s="7">
        <f>B61*'4.3.8'!H61</f>
        <v>0</v>
      </c>
      <c r="J61" s="24">
        <f t="shared" si="2"/>
        <v>0</v>
      </c>
    </row>
    <row r="62" spans="1:10" x14ac:dyDescent="0.2">
      <c r="A62" s="210" t="s">
        <v>254</v>
      </c>
      <c r="B62" s="149">
        <v>0</v>
      </c>
      <c r="C62" s="7">
        <f>'4.3.8'!B62*B62</f>
        <v>0</v>
      </c>
      <c r="D62" s="126">
        <f t="shared" si="0"/>
        <v>0</v>
      </c>
      <c r="F62" s="7">
        <f>B62*'4.3.8'!E62</f>
        <v>0</v>
      </c>
      <c r="G62" s="24">
        <f t="shared" si="1"/>
        <v>0</v>
      </c>
      <c r="I62" s="7">
        <f>B62*'4.3.8'!H62</f>
        <v>0</v>
      </c>
      <c r="J62" s="24">
        <f t="shared" si="2"/>
        <v>0</v>
      </c>
    </row>
    <row r="63" spans="1:10" x14ac:dyDescent="0.2">
      <c r="A63" s="210" t="s">
        <v>255</v>
      </c>
      <c r="B63" s="149">
        <v>1</v>
      </c>
      <c r="C63" s="7">
        <f>'4.3.8'!B63*B63</f>
        <v>164914.74338517644</v>
      </c>
      <c r="D63" s="126">
        <f t="shared" si="0"/>
        <v>3.320510370933213E-3</v>
      </c>
      <c r="F63" s="7">
        <f>B63*'4.3.8'!E63</f>
        <v>1936.0323907138243</v>
      </c>
      <c r="G63" s="24">
        <f t="shared" si="1"/>
        <v>166850.77577589027</v>
      </c>
      <c r="I63" s="7">
        <f>B63*'4.3.8'!H63</f>
        <v>9302.9371674761242</v>
      </c>
      <c r="J63" s="24">
        <f t="shared" si="2"/>
        <v>176153.71294336641</v>
      </c>
    </row>
    <row r="64" spans="1:10" x14ac:dyDescent="0.2">
      <c r="A64" s="210" t="s">
        <v>256</v>
      </c>
      <c r="B64" s="149">
        <v>0</v>
      </c>
      <c r="C64" s="7">
        <f>'4.3.8'!B64*B64</f>
        <v>0</v>
      </c>
      <c r="D64" s="126">
        <f t="shared" si="0"/>
        <v>0</v>
      </c>
      <c r="F64" s="7">
        <f>B64*'4.3.8'!E64</f>
        <v>0</v>
      </c>
      <c r="G64" s="24">
        <f t="shared" si="1"/>
        <v>0</v>
      </c>
      <c r="I64" s="7">
        <f>B64*'4.3.8'!H64</f>
        <v>0</v>
      </c>
      <c r="J64" s="24">
        <f t="shared" si="2"/>
        <v>0</v>
      </c>
    </row>
    <row r="65" spans="1:10" x14ac:dyDescent="0.2">
      <c r="A65" s="210" t="s">
        <v>257</v>
      </c>
      <c r="B65" s="149">
        <v>0</v>
      </c>
      <c r="C65" s="7">
        <f>'4.3.8'!B65*B65</f>
        <v>0</v>
      </c>
      <c r="D65" s="138">
        <f t="shared" si="0"/>
        <v>0</v>
      </c>
      <c r="F65" s="7">
        <f>B65*'4.3.8'!E65</f>
        <v>0</v>
      </c>
      <c r="G65" s="24">
        <f t="shared" si="1"/>
        <v>0</v>
      </c>
      <c r="I65" s="7">
        <f>B65*'4.3.8'!H65</f>
        <v>0</v>
      </c>
      <c r="J65" s="24">
        <f t="shared" si="2"/>
        <v>0</v>
      </c>
    </row>
    <row r="66" spans="1:10" x14ac:dyDescent="0.2">
      <c r="A66" s="210" t="s">
        <v>258</v>
      </c>
      <c r="B66" s="149">
        <v>0</v>
      </c>
      <c r="C66" s="7">
        <f>'4.3.8'!B66*B66</f>
        <v>0</v>
      </c>
      <c r="D66" s="126">
        <f t="shared" si="0"/>
        <v>0</v>
      </c>
      <c r="F66" s="7">
        <f>B66*'4.3.8'!E66</f>
        <v>0</v>
      </c>
      <c r="G66" s="24">
        <f t="shared" si="1"/>
        <v>0</v>
      </c>
      <c r="I66" s="7">
        <f>B66*'4.3.8'!H66</f>
        <v>0</v>
      </c>
      <c r="J66" s="24">
        <f t="shared" si="2"/>
        <v>0</v>
      </c>
    </row>
    <row r="67" spans="1:10" x14ac:dyDescent="0.2">
      <c r="A67" s="210" t="s">
        <v>259</v>
      </c>
      <c r="B67" s="149">
        <v>0</v>
      </c>
      <c r="C67" s="7">
        <f>'4.3.8'!B67*B67</f>
        <v>0</v>
      </c>
      <c r="D67" s="138">
        <f t="shared" si="0"/>
        <v>0</v>
      </c>
      <c r="F67" s="7">
        <f>B67*'4.3.8'!E67</f>
        <v>0</v>
      </c>
      <c r="G67" s="24">
        <f t="shared" si="1"/>
        <v>0</v>
      </c>
      <c r="I67" s="7">
        <f>B67*'4.3.8'!H67</f>
        <v>0</v>
      </c>
      <c r="J67" s="24">
        <f t="shared" si="2"/>
        <v>0</v>
      </c>
    </row>
    <row r="68" spans="1:10" x14ac:dyDescent="0.2">
      <c r="A68" s="210" t="s">
        <v>260</v>
      </c>
      <c r="B68" s="149">
        <v>7.0845810240555085E-2</v>
      </c>
      <c r="C68" s="7">
        <f>'4.3.8'!B68*B68</f>
        <v>2216019.7251882507</v>
      </c>
      <c r="D68" s="138">
        <f t="shared" si="0"/>
        <v>4.4618912346084193E-2</v>
      </c>
      <c r="F68" s="7">
        <f>B68*'4.3.8'!E68</f>
        <v>26015.175346723052</v>
      </c>
      <c r="G68" s="24">
        <f t="shared" si="1"/>
        <v>2242034.9005349735</v>
      </c>
      <c r="I68" s="7">
        <f>B68*'4.3.8'!H68</f>
        <v>125006.96931119288</v>
      </c>
      <c r="J68" s="24">
        <f t="shared" si="2"/>
        <v>2367041.8698461666</v>
      </c>
    </row>
    <row r="69" spans="1:10" x14ac:dyDescent="0.2">
      <c r="A69" s="210" t="s">
        <v>261</v>
      </c>
      <c r="B69" s="149">
        <v>0</v>
      </c>
      <c r="C69" s="7">
        <f>'4.3.8'!B69*B69</f>
        <v>0</v>
      </c>
      <c r="D69" s="138">
        <f t="shared" si="0"/>
        <v>0</v>
      </c>
      <c r="F69" s="7">
        <f>B69*'4.3.8'!E69</f>
        <v>0</v>
      </c>
      <c r="G69" s="24">
        <f t="shared" si="1"/>
        <v>0</v>
      </c>
      <c r="I69" s="7">
        <f>B69*'4.3.8'!H69</f>
        <v>0</v>
      </c>
      <c r="J69" s="24">
        <f t="shared" si="2"/>
        <v>0</v>
      </c>
    </row>
    <row r="70" spans="1:10" x14ac:dyDescent="0.2">
      <c r="A70" s="210" t="s">
        <v>262</v>
      </c>
      <c r="B70" s="149">
        <v>1</v>
      </c>
      <c r="C70" s="7">
        <f>'4.3.8'!B70*B70</f>
        <v>-8011.0185079128905</v>
      </c>
      <c r="D70" s="138">
        <f t="shared" si="0"/>
        <v>-1.6129952659923129E-4</v>
      </c>
      <c r="F70" s="7">
        <f>B70*'4.3.8'!E70</f>
        <v>-94.046117378983737</v>
      </c>
      <c r="G70" s="24">
        <f t="shared" si="1"/>
        <v>-8105.0646252918741</v>
      </c>
      <c r="I70" s="7">
        <f>B70*'4.3.8'!H70</f>
        <v>-451.90624135125569</v>
      </c>
      <c r="J70" s="24">
        <f t="shared" si="2"/>
        <v>-8556.9708666431306</v>
      </c>
    </row>
    <row r="71" spans="1:10" x14ac:dyDescent="0.2">
      <c r="A71" s="210" t="s">
        <v>263</v>
      </c>
      <c r="B71" s="149">
        <v>0</v>
      </c>
      <c r="C71" s="7">
        <f>'4.3.8'!B71*B71</f>
        <v>0</v>
      </c>
      <c r="D71" s="138">
        <f t="shared" si="0"/>
        <v>0</v>
      </c>
      <c r="F71" s="7">
        <f>B71*'4.3.8'!E71</f>
        <v>0</v>
      </c>
      <c r="G71" s="24">
        <f t="shared" si="1"/>
        <v>0</v>
      </c>
      <c r="I71" s="7">
        <f>B71*'4.3.8'!H71</f>
        <v>0</v>
      </c>
      <c r="J71" s="24">
        <f t="shared" si="2"/>
        <v>0</v>
      </c>
    </row>
    <row r="72" spans="1:10" x14ac:dyDescent="0.2">
      <c r="A72" s="210" t="s">
        <v>264</v>
      </c>
      <c r="B72" s="149">
        <v>0</v>
      </c>
      <c r="C72" s="7">
        <f>'4.3.8'!B72*B72</f>
        <v>0</v>
      </c>
      <c r="D72" s="138">
        <f t="shared" ref="D72:D75" si="3">C72/C$82</f>
        <v>0</v>
      </c>
      <c r="F72" s="7">
        <f>B72*'4.3.8'!E72</f>
        <v>0</v>
      </c>
      <c r="G72" s="24">
        <f t="shared" si="1"/>
        <v>0</v>
      </c>
      <c r="I72" s="7">
        <f>B72*'4.3.8'!H72</f>
        <v>0</v>
      </c>
      <c r="J72" s="24">
        <f t="shared" si="2"/>
        <v>0</v>
      </c>
    </row>
    <row r="73" spans="1:10" x14ac:dyDescent="0.2">
      <c r="A73" s="210" t="s">
        <v>265</v>
      </c>
      <c r="B73" s="149">
        <v>0</v>
      </c>
      <c r="C73" s="7">
        <f>'4.3.8'!B73*B73</f>
        <v>0</v>
      </c>
      <c r="D73" s="138">
        <f t="shared" si="3"/>
        <v>0</v>
      </c>
      <c r="F73" s="7">
        <f>B73*'4.3.8'!E73</f>
        <v>0</v>
      </c>
      <c r="G73" s="24">
        <f t="shared" ref="G73:G75" si="4">C73+F73</f>
        <v>0</v>
      </c>
      <c r="I73" s="7">
        <f>B73*'4.3.8'!H73</f>
        <v>0</v>
      </c>
      <c r="J73" s="24">
        <f t="shared" ref="J73:J75" si="5">G73+I73</f>
        <v>0</v>
      </c>
    </row>
    <row r="74" spans="1:10" x14ac:dyDescent="0.2">
      <c r="A74" s="210" t="s">
        <v>266</v>
      </c>
      <c r="B74" s="149">
        <v>7.0845810240555085E-2</v>
      </c>
      <c r="C74" s="7">
        <f>'4.3.8'!B74*B74</f>
        <v>163392.28962839051</v>
      </c>
      <c r="D74" s="138">
        <f t="shared" si="3"/>
        <v>3.2898562075460948E-3</v>
      </c>
      <c r="F74" s="7">
        <f>B74*'4.3.8'!E74</f>
        <v>1918.1593993365932</v>
      </c>
      <c r="G74" s="24">
        <f t="shared" si="4"/>
        <v>165310.4490277271</v>
      </c>
      <c r="I74" s="7">
        <f>B74*'4.3.8'!H74</f>
        <v>9217.0546602542709</v>
      </c>
      <c r="J74" s="24">
        <f t="shared" si="5"/>
        <v>174527.50368798137</v>
      </c>
    </row>
    <row r="75" spans="1:10" x14ac:dyDescent="0.2">
      <c r="A75" s="210" t="s">
        <v>267</v>
      </c>
      <c r="B75" s="149">
        <v>1</v>
      </c>
      <c r="C75" s="7">
        <f>'4.3.8'!B75*B75</f>
        <v>521.82980795335072</v>
      </c>
      <c r="D75" s="138">
        <f t="shared" si="3"/>
        <v>1.0506891340358702E-5</v>
      </c>
      <c r="F75" s="7">
        <f>B75*'4.3.8'!E75</f>
        <v>6.1260709012416381</v>
      </c>
      <c r="G75" s="24">
        <f t="shared" si="4"/>
        <v>527.95587885459236</v>
      </c>
      <c r="I75" s="7">
        <f>B75*'4.3.8'!H75</f>
        <v>29.436724794021725</v>
      </c>
      <c r="J75" s="24">
        <f t="shared" si="5"/>
        <v>557.39260364861411</v>
      </c>
    </row>
    <row r="76" spans="1:10" x14ac:dyDescent="0.2">
      <c r="A76" s="139"/>
      <c r="B76" s="137"/>
      <c r="C76" s="7"/>
      <c r="D76" s="138"/>
      <c r="F76" s="7"/>
      <c r="G76" s="24"/>
      <c r="I76" s="7"/>
      <c r="J76" s="24"/>
    </row>
    <row r="77" spans="1:10" x14ac:dyDescent="0.2">
      <c r="B77" s="137"/>
      <c r="C77" s="7"/>
      <c r="D77" s="138"/>
      <c r="F77" s="7"/>
      <c r="G77" s="24"/>
      <c r="I77" s="7"/>
      <c r="J77" s="24"/>
    </row>
    <row r="78" spans="1:10" x14ac:dyDescent="0.2">
      <c r="A78" s="127" t="s">
        <v>268</v>
      </c>
      <c r="B78" s="140"/>
      <c r="C78" s="128">
        <f>SUM(C8:C75)</f>
        <v>32034164.334030103</v>
      </c>
      <c r="D78" s="157">
        <f>SUM(D8:D75)</f>
        <v>0.64499857751885492</v>
      </c>
      <c r="E78" s="127"/>
      <c r="F78" s="128">
        <f>SUM(F8:F75)</f>
        <v>376068.13367364759</v>
      </c>
      <c r="G78" s="128">
        <f>SUM(G8:G75)</f>
        <v>32410232.467703748</v>
      </c>
      <c r="H78" s="127"/>
      <c r="I78" s="128">
        <f>SUM(I8:I75)</f>
        <v>1807065.9535639421</v>
      </c>
      <c r="J78" s="128">
        <f>SUM(J8:J75)</f>
        <v>34217298.421267696</v>
      </c>
    </row>
    <row r="79" spans="1:10" x14ac:dyDescent="0.2">
      <c r="B79" s="141"/>
      <c r="D79" s="130"/>
    </row>
    <row r="80" spans="1:10" x14ac:dyDescent="0.2">
      <c r="A80" s="3" t="s">
        <v>269</v>
      </c>
      <c r="B80" s="142"/>
      <c r="C80" s="131">
        <f>+C78*('4.3.8'!B79/'4.3.8'!B77)</f>
        <v>17631316.258589745</v>
      </c>
      <c r="D80" s="156">
        <f>C80/C82</f>
        <v>0.35500142248114491</v>
      </c>
      <c r="F80" s="131">
        <f>+F78*('4.3.8'!E79/'4.3.8'!E77)</f>
        <v>206984.52222566574</v>
      </c>
      <c r="G80" s="24">
        <f>C80+F80</f>
        <v>17838300.780815411</v>
      </c>
      <c r="I80" s="131">
        <f>+I78*('4.3.8'!H79/'4.3.8'!H77)</f>
        <v>994592.86639076797</v>
      </c>
      <c r="J80" s="24">
        <f>G80+I80</f>
        <v>18832893.64720618</v>
      </c>
    </row>
    <row r="81" spans="1:10" x14ac:dyDescent="0.2">
      <c r="B81" s="141"/>
      <c r="D81" s="130"/>
    </row>
    <row r="82" spans="1:10" x14ac:dyDescent="0.2">
      <c r="A82" s="127" t="s">
        <v>91</v>
      </c>
      <c r="B82" s="127"/>
      <c r="C82" s="128">
        <f>C78+C80</f>
        <v>49665480.592619851</v>
      </c>
      <c r="D82" s="129">
        <f>D78+D80</f>
        <v>0.99999999999999978</v>
      </c>
      <c r="E82" s="127"/>
      <c r="F82" s="133">
        <f>F78+F80</f>
        <v>583052.65589931328</v>
      </c>
      <c r="G82" s="133">
        <f>G78+G80</f>
        <v>50248533.24851916</v>
      </c>
      <c r="H82" s="127"/>
      <c r="I82" s="133">
        <f>I78+I80</f>
        <v>2801658.8199547101</v>
      </c>
      <c r="J82" s="133">
        <f>J78+J80</f>
        <v>53050192.068473876</v>
      </c>
    </row>
  </sheetData>
  <pageMargins left="0.7" right="0.7"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11C3D-0F4D-42E1-A56C-F25B474B4ECD}">
  <sheetPr>
    <pageSetUpPr fitToPage="1"/>
  </sheetPr>
  <dimension ref="A2:J61"/>
  <sheetViews>
    <sheetView view="pageBreakPreview" zoomScale="80" zoomScaleNormal="100" zoomScaleSheetLayoutView="80" workbookViewId="0"/>
  </sheetViews>
  <sheetFormatPr defaultRowHeight="12.75" x14ac:dyDescent="0.2"/>
  <cols>
    <col min="1" max="1" width="2.42578125" style="174" customWidth="1"/>
    <col min="2" max="2" width="3.85546875" style="174" customWidth="1"/>
    <col min="3" max="3" width="32.7109375" style="174" customWidth="1"/>
    <col min="4" max="4" width="10.140625" style="174" bestFit="1" customWidth="1"/>
    <col min="5" max="5" width="5.5703125" style="174" bestFit="1" customWidth="1"/>
    <col min="6" max="6" width="12.28515625" style="174" bestFit="1" customWidth="1"/>
    <col min="7" max="7" width="8.7109375" style="174" bestFit="1" customWidth="1"/>
    <col min="8" max="8" width="11" style="174" bestFit="1" customWidth="1"/>
    <col min="9" max="9" width="15.28515625" style="174" bestFit="1" customWidth="1"/>
    <col min="10" max="10" width="5.7109375" style="174" bestFit="1" customWidth="1"/>
    <col min="11" max="16384" width="9.140625" style="174"/>
  </cols>
  <sheetData>
    <row r="2" spans="2:10" x14ac:dyDescent="0.2">
      <c r="B2" s="2" t="s">
        <v>0</v>
      </c>
      <c r="C2" s="3"/>
      <c r="D2" s="3"/>
      <c r="E2" s="3"/>
      <c r="F2" s="3"/>
      <c r="G2" s="4"/>
      <c r="H2" s="5"/>
      <c r="I2" s="4" t="s">
        <v>1</v>
      </c>
      <c r="J2" s="6">
        <v>4.3</v>
      </c>
    </row>
    <row r="3" spans="2:10" x14ac:dyDescent="0.2">
      <c r="B3" s="2" t="s">
        <v>2</v>
      </c>
      <c r="C3" s="3"/>
      <c r="D3" s="3"/>
      <c r="E3" s="3"/>
      <c r="F3" s="3"/>
      <c r="G3" s="3"/>
      <c r="H3" s="3"/>
      <c r="I3" s="7"/>
      <c r="J3" s="7"/>
    </row>
    <row r="4" spans="2:10" x14ac:dyDescent="0.2">
      <c r="B4" s="2" t="s">
        <v>3</v>
      </c>
      <c r="C4" s="3"/>
      <c r="D4" s="3"/>
      <c r="E4" s="3"/>
      <c r="F4" s="3"/>
      <c r="G4" s="3"/>
      <c r="H4" s="3"/>
      <c r="I4" s="7"/>
      <c r="J4" s="7"/>
    </row>
    <row r="5" spans="2:10" x14ac:dyDescent="0.2">
      <c r="B5" s="3"/>
      <c r="C5" s="3"/>
      <c r="D5" s="3"/>
      <c r="E5" s="3"/>
      <c r="F5" s="3"/>
      <c r="G5" s="3"/>
    </row>
    <row r="6" spans="2:10" x14ac:dyDescent="0.2">
      <c r="B6" s="3"/>
      <c r="C6" s="3"/>
      <c r="D6" s="3"/>
      <c r="E6" s="3"/>
      <c r="F6" s="3"/>
      <c r="G6" s="3"/>
    </row>
    <row r="7" spans="2:10" x14ac:dyDescent="0.2">
      <c r="B7" s="9"/>
      <c r="C7" s="9"/>
      <c r="D7" s="10"/>
      <c r="E7" s="10"/>
      <c r="F7" s="11" t="s">
        <v>4</v>
      </c>
      <c r="G7" s="10"/>
      <c r="H7" s="10"/>
      <c r="I7" s="12" t="s">
        <v>5</v>
      </c>
      <c r="J7" s="10"/>
    </row>
    <row r="8" spans="2:10" x14ac:dyDescent="0.2">
      <c r="B8" s="9"/>
      <c r="C8" s="9"/>
      <c r="D8" s="13" t="s">
        <v>6</v>
      </c>
      <c r="E8" s="13" t="s">
        <v>7</v>
      </c>
      <c r="F8" s="14" t="s">
        <v>8</v>
      </c>
      <c r="G8" s="13" t="s">
        <v>9</v>
      </c>
      <c r="H8" s="15" t="s">
        <v>10</v>
      </c>
      <c r="I8" s="16" t="s">
        <v>11</v>
      </c>
      <c r="J8" s="13" t="s">
        <v>12</v>
      </c>
    </row>
    <row r="9" spans="2:10" x14ac:dyDescent="0.2">
      <c r="B9" s="17" t="s">
        <v>13</v>
      </c>
      <c r="C9" s="18"/>
      <c r="D9" s="19"/>
      <c r="E9" s="19"/>
      <c r="F9" s="19"/>
      <c r="G9" s="19"/>
      <c r="H9" s="20"/>
      <c r="I9" s="21"/>
      <c r="J9" s="22"/>
    </row>
    <row r="10" spans="2:10" x14ac:dyDescent="0.2">
      <c r="B10" s="3"/>
      <c r="C10" s="3" t="s">
        <v>14</v>
      </c>
      <c r="D10" s="23">
        <v>500</v>
      </c>
      <c r="E10" s="23" t="s">
        <v>15</v>
      </c>
      <c r="F10" s="24">
        <f>IF(H10="Situs",SUMIFS('4.3.8'!H:H,'4.3.8'!K:K,D10,'4.3.8'!M:M,H10),SUMIFS('4.3.8'!H:H,'4.3.8'!K:K,D10,'4.3.8'!L:L,G10))</f>
        <v>2956138.1916046003</v>
      </c>
      <c r="G10" s="23" t="s">
        <v>16</v>
      </c>
      <c r="H10" s="25">
        <v>0</v>
      </c>
      <c r="I10" s="24">
        <f>IF(H10="Situs",SUMIFS('4.3.8'!H:H,'4.3.8'!K:K,D10,'4.3.8'!L:L,G10),F10*H10)</f>
        <v>0</v>
      </c>
    </row>
    <row r="11" spans="2:10" x14ac:dyDescent="0.2">
      <c r="B11" s="3"/>
      <c r="C11" s="3" t="s">
        <v>14</v>
      </c>
      <c r="D11" s="23">
        <v>500</v>
      </c>
      <c r="E11" s="23" t="s">
        <v>15</v>
      </c>
      <c r="F11" s="24">
        <f>IF(H11="Situs",SUMIFS('4.3.8'!H:H,'4.3.8'!K:K,D11,'4.3.8'!M:M,H11),SUMIFS('4.3.8'!H:H,'4.3.8'!K:K,D11,'4.3.8'!L:L,G11))</f>
        <v>40.515633259083572</v>
      </c>
      <c r="G11" s="23" t="s">
        <v>17</v>
      </c>
      <c r="H11" s="25">
        <v>0.22162982918040364</v>
      </c>
      <c r="I11" s="24">
        <f>IF(H11="Situs",SUMIFS('4.3.8'!H:H,'4.3.8'!K:K,D11,'4.3.8'!L:L,G11),F11*H11)</f>
        <v>8.9794728783465718</v>
      </c>
    </row>
    <row r="12" spans="2:10" x14ac:dyDescent="0.2">
      <c r="B12" s="3"/>
      <c r="C12" s="3" t="s">
        <v>14</v>
      </c>
      <c r="D12" s="23">
        <v>500</v>
      </c>
      <c r="E12" s="23" t="s">
        <v>15</v>
      </c>
      <c r="F12" s="24">
        <f>IF(H12="Situs",SUMIFS('4.3.8'!H:H,'4.3.8'!K:K,D12,'4.3.8'!M:M,H12),SUMIFS('4.3.8'!H:H,'4.3.8'!K:K,D12,'4.3.8'!L:L,G12))</f>
        <v>424108.53846362728</v>
      </c>
      <c r="G12" s="23" t="s">
        <v>18</v>
      </c>
      <c r="H12" s="25">
        <v>0.22162982918040364</v>
      </c>
      <c r="I12" s="24">
        <f>IF(H12="Situs",SUMIFS('4.3.8'!H:H,'4.3.8'!K:K,D12,'4.3.8'!L:L,G12),F12*H12)</f>
        <v>93995.102933644361</v>
      </c>
    </row>
    <row r="13" spans="2:10" x14ac:dyDescent="0.2">
      <c r="B13" s="3"/>
      <c r="C13" s="3" t="s">
        <v>14</v>
      </c>
      <c r="D13" s="23">
        <v>500</v>
      </c>
      <c r="E13" s="23" t="s">
        <v>15</v>
      </c>
      <c r="F13" s="24">
        <f>IF(H13="Situs",SUMIFS('4.3.8'!H:H,'4.3.8'!K:K,D13,'4.3.8'!M:M,H13),SUMIFS('4.3.8'!H:H,'4.3.8'!K:K,D13,'4.3.8'!L:L,G13))</f>
        <v>142063.47043537238</v>
      </c>
      <c r="G13" s="23" t="s">
        <v>19</v>
      </c>
      <c r="H13" s="25">
        <v>7.9787774498314715E-2</v>
      </c>
      <c r="I13" s="24">
        <f>IF(H13="Situs",SUMIFS('4.3.8'!H:H,'4.3.8'!K:K,D13,'4.3.8'!L:L,G13),F13*H13)</f>
        <v>11334.92814354549</v>
      </c>
    </row>
    <row r="14" spans="2:10" x14ac:dyDescent="0.2">
      <c r="B14" s="3"/>
      <c r="C14" s="3" t="s">
        <v>20</v>
      </c>
      <c r="D14" s="23">
        <v>501</v>
      </c>
      <c r="E14" s="23" t="s">
        <v>15</v>
      </c>
      <c r="F14" s="24">
        <f>IF(H14="Situs",SUMIFS('4.3.8'!H:H,'4.3.8'!K:K,D14,'4.3.8'!M:M,H14),SUMIFS('4.3.8'!H:H,'4.3.8'!K:K,D14,'4.3.8'!L:L,G14))</f>
        <v>5317.8163911418478</v>
      </c>
      <c r="G14" s="23" t="s">
        <v>21</v>
      </c>
      <c r="H14" s="25">
        <v>7.6163640476536676E-2</v>
      </c>
      <c r="I14" s="24">
        <f>IF(H14="Situs",SUMIFS('4.3.8'!H:H,'4.3.8'!K:K,D14,'4.3.8'!L:L,G14),F14*H14)</f>
        <v>405.02425573516143</v>
      </c>
    </row>
    <row r="15" spans="2:10" x14ac:dyDescent="0.2">
      <c r="B15" s="3"/>
      <c r="C15" s="3" t="s">
        <v>22</v>
      </c>
      <c r="D15" s="23">
        <v>512</v>
      </c>
      <c r="E15" s="23" t="s">
        <v>15</v>
      </c>
      <c r="F15" s="24">
        <f>IF(H15="Situs",SUMIFS('4.3.8'!H:H,'4.3.8'!K:K,D15,'4.3.8'!M:M,H15),SUMIFS('4.3.8'!H:H,'4.3.8'!K:K,D15,'4.3.8'!L:L,G15))</f>
        <v>1788967.8338186666</v>
      </c>
      <c r="G15" s="23" t="s">
        <v>16</v>
      </c>
      <c r="H15" s="25">
        <v>0</v>
      </c>
      <c r="I15" s="24">
        <f>IF(H15="Situs",SUMIFS('4.3.8'!H:H,'4.3.8'!K:K,D15,'4.3.8'!L:L,G15),F15*H15)</f>
        <v>0</v>
      </c>
    </row>
    <row r="16" spans="2:10" x14ac:dyDescent="0.2">
      <c r="B16" s="3"/>
      <c r="C16" s="3" t="s">
        <v>22</v>
      </c>
      <c r="D16" s="23">
        <v>512</v>
      </c>
      <c r="E16" s="23" t="s">
        <v>15</v>
      </c>
      <c r="F16" s="24">
        <f>IF(H16="Situs",SUMIFS('4.3.8'!H:H,'4.3.8'!K:K,D16,'4.3.8'!M:M,H16),SUMIFS('4.3.8'!H:H,'4.3.8'!K:K,D16,'4.3.8'!L:L,G16))</f>
        <v>909696.18251522258</v>
      </c>
      <c r="G16" s="23" t="s">
        <v>18</v>
      </c>
      <c r="H16" s="25">
        <v>0.22162982918040364</v>
      </c>
      <c r="I16" s="24">
        <f>IF(H16="Situs",SUMIFS('4.3.8'!H:H,'4.3.8'!K:K,D16,'4.3.8'!L:L,G16),F16*H16)</f>
        <v>201615.80953691408</v>
      </c>
    </row>
    <row r="17" spans="2:9" x14ac:dyDescent="0.2">
      <c r="B17" s="3"/>
      <c r="C17" s="3" t="s">
        <v>22</v>
      </c>
      <c r="D17" s="23">
        <v>512</v>
      </c>
      <c r="E17" s="23" t="s">
        <v>15</v>
      </c>
      <c r="F17" s="24">
        <f>IF(H17="Situs",SUMIFS('4.3.8'!H:H,'4.3.8'!K:K,D17,'4.3.8'!M:M,H17),SUMIFS('4.3.8'!H:H,'4.3.8'!K:K,D17,'4.3.8'!L:L,G17))</f>
        <v>12136.099216556611</v>
      </c>
      <c r="G17" s="23" t="s">
        <v>19</v>
      </c>
      <c r="H17" s="25">
        <v>7.9787774498314715E-2</v>
      </c>
      <c r="I17" s="24">
        <f>IF(H17="Situs",SUMIFS('4.3.8'!H:H,'4.3.8'!K:K,D17,'4.3.8'!L:L,G17),F17*H17)</f>
        <v>968.3123475797928</v>
      </c>
    </row>
    <row r="18" spans="2:9" x14ac:dyDescent="0.2">
      <c r="B18" s="3"/>
      <c r="C18" s="3" t="s">
        <v>23</v>
      </c>
      <c r="D18" s="23">
        <v>535</v>
      </c>
      <c r="E18" s="23" t="s">
        <v>15</v>
      </c>
      <c r="F18" s="24">
        <f>IF(H18="Situs",SUMIFS('4.3.8'!H:H,'4.3.8'!K:K,D18,'4.3.8'!M:M,H18),SUMIFS('4.3.8'!H:H,'4.3.8'!K:K,D18,'4.3.8'!L:L,G18))</f>
        <v>736403.59501023276</v>
      </c>
      <c r="G18" s="23" t="s">
        <v>24</v>
      </c>
      <c r="H18" s="25">
        <v>7.9787774498314715E-2</v>
      </c>
      <c r="I18" s="24">
        <f>IF(H18="Situs",SUMIFS('4.3.8'!H:H,'4.3.8'!K:K,D18,'4.3.8'!L:L,G18),F18*H18)</f>
        <v>58756.003978424727</v>
      </c>
    </row>
    <row r="19" spans="2:9" x14ac:dyDescent="0.2">
      <c r="B19" s="3"/>
      <c r="C19" s="3" t="s">
        <v>23</v>
      </c>
      <c r="D19" s="23">
        <v>535</v>
      </c>
      <c r="E19" s="23" t="s">
        <v>15</v>
      </c>
      <c r="F19" s="24">
        <f>IF(H19="Situs",SUMIFS('4.3.8'!H:H,'4.3.8'!K:K,D19,'4.3.8'!M:M,H19),SUMIFS('4.3.8'!H:H,'4.3.8'!K:K,D19,'4.3.8'!L:L,G19))</f>
        <v>494017.4057244219</v>
      </c>
      <c r="G19" s="23" t="s">
        <v>25</v>
      </c>
      <c r="H19" s="25">
        <v>7.9787774498314715E-2</v>
      </c>
      <c r="I19" s="24">
        <f>IF(H19="Situs",SUMIFS('4.3.8'!H:H,'4.3.8'!K:K,D19,'4.3.8'!L:L,G19),F19*H19)</f>
        <v>39416.549366182626</v>
      </c>
    </row>
    <row r="20" spans="2:9" x14ac:dyDescent="0.2">
      <c r="B20" s="3"/>
      <c r="C20" s="3" t="s">
        <v>26</v>
      </c>
      <c r="D20" s="23">
        <v>545</v>
      </c>
      <c r="E20" s="23" t="s">
        <v>15</v>
      </c>
      <c r="F20" s="24">
        <f>IF(H20="Situs",SUMIFS('4.3.8'!H:H,'4.3.8'!K:K,D20,'4.3.8'!M:M,H20),SUMIFS('4.3.8'!H:H,'4.3.8'!K:K,D20,'4.3.8'!L:L,G20))</f>
        <v>127187.55562677512</v>
      </c>
      <c r="G20" s="23" t="s">
        <v>24</v>
      </c>
      <c r="H20" s="25">
        <v>7.9787774498314715E-2</v>
      </c>
      <c r="I20" s="24">
        <f>IF(H20="Situs",SUMIFS('4.3.8'!H:H,'4.3.8'!K:K,D20,'4.3.8'!L:L,G20),F20*H20)</f>
        <v>10148.012007340993</v>
      </c>
    </row>
    <row r="21" spans="2:9" x14ac:dyDescent="0.2">
      <c r="B21" s="3"/>
      <c r="C21" s="3" t="s">
        <v>26</v>
      </c>
      <c r="D21" s="23">
        <v>545</v>
      </c>
      <c r="E21" s="23" t="s">
        <v>15</v>
      </c>
      <c r="F21" s="24">
        <f>IF(H21="Situs",SUMIFS('4.3.8'!H:H,'4.3.8'!K:K,D21,'4.3.8'!M:M,H21),SUMIFS('4.3.8'!H:H,'4.3.8'!K:K,D21,'4.3.8'!L:L,G21))</f>
        <v>24895.399272722927</v>
      </c>
      <c r="G21" s="23" t="s">
        <v>25</v>
      </c>
      <c r="H21" s="25">
        <v>7.9787774498314715E-2</v>
      </c>
      <c r="I21" s="24">
        <f>IF(H21="Situs",SUMIFS('4.3.8'!H:H,'4.3.8'!K:K,D21,'4.3.8'!L:L,G21),F21*H21)</f>
        <v>1986.3485032175251</v>
      </c>
    </row>
    <row r="22" spans="2:9" x14ac:dyDescent="0.2">
      <c r="B22" s="3"/>
      <c r="C22" s="3" t="s">
        <v>27</v>
      </c>
      <c r="D22" s="23">
        <v>548</v>
      </c>
      <c r="E22" s="23" t="s">
        <v>15</v>
      </c>
      <c r="F22" s="24">
        <f>IF(H22="Situs",SUMIFS('4.3.8'!H:H,'4.3.8'!K:K,D22,'4.3.8'!M:M,H22),SUMIFS('4.3.8'!H:H,'4.3.8'!K:K,D22,'4.3.8'!L:L,G22))</f>
        <v>328042.70251834986</v>
      </c>
      <c r="G22" s="23" t="s">
        <v>16</v>
      </c>
      <c r="H22" s="25">
        <v>0</v>
      </c>
      <c r="I22" s="24">
        <f>IF(H22="Situs",SUMIFS('4.3.8'!H:H,'4.3.8'!K:K,D22,'4.3.8'!L:L,G22),F22*H22)</f>
        <v>0</v>
      </c>
    </row>
    <row r="23" spans="2:9" x14ac:dyDescent="0.2">
      <c r="B23" s="3"/>
      <c r="C23" s="3" t="s">
        <v>27</v>
      </c>
      <c r="D23" s="23">
        <v>548</v>
      </c>
      <c r="E23" s="23" t="s">
        <v>15</v>
      </c>
      <c r="F23" s="24">
        <f>IF(H23="Situs",SUMIFS('4.3.8'!H:H,'4.3.8'!K:K,D23,'4.3.8'!M:M,H23),SUMIFS('4.3.8'!H:H,'4.3.8'!K:K,D23,'4.3.8'!L:L,G23))</f>
        <v>123716.03937577734</v>
      </c>
      <c r="G23" s="23" t="s">
        <v>17</v>
      </c>
      <c r="H23" s="25">
        <v>0.22162982918040364</v>
      </c>
      <c r="I23" s="24">
        <f>IF(H23="Situs",SUMIFS('4.3.8'!H:H,'4.3.8'!K:K,D23,'4.3.8'!L:L,G23),F23*H23)</f>
        <v>27419.164673729621</v>
      </c>
    </row>
    <row r="24" spans="2:9" x14ac:dyDescent="0.2">
      <c r="B24" s="3"/>
      <c r="C24" s="3" t="s">
        <v>27</v>
      </c>
      <c r="D24" s="23">
        <v>548</v>
      </c>
      <c r="E24" s="23" t="s">
        <v>15</v>
      </c>
      <c r="F24" s="24">
        <f>IF(H24="Situs",SUMIFS('4.3.8'!H:H,'4.3.8'!K:K,D24,'4.3.8'!M:M,H24),SUMIFS('4.3.8'!H:H,'4.3.8'!K:K,D24,'4.3.8'!L:L,G24))</f>
        <v>177407.3216980001</v>
      </c>
      <c r="G24" s="23" t="s">
        <v>19</v>
      </c>
      <c r="H24" s="25">
        <v>7.9787774498314715E-2</v>
      </c>
      <c r="I24" s="24">
        <f>IF(H24="Situs",SUMIFS('4.3.8'!H:H,'4.3.8'!K:K,D24,'4.3.8'!L:L,G24),F24*H24)</f>
        <v>14154.935377990007</v>
      </c>
    </row>
    <row r="25" spans="2:9" x14ac:dyDescent="0.2">
      <c r="B25" s="3"/>
      <c r="C25" s="3" t="s">
        <v>27</v>
      </c>
      <c r="D25" s="23">
        <v>549</v>
      </c>
      <c r="E25" s="23" t="s">
        <v>15</v>
      </c>
      <c r="F25" s="24">
        <f>IF(H25="Situs",SUMIFS('4.3.8'!H:H,'4.3.8'!K:K,D25,'4.3.8'!M:M,H25),SUMIFS('4.3.8'!H:H,'4.3.8'!K:K,D25,'4.3.8'!L:L,G25))</f>
        <v>1393.4415061255379</v>
      </c>
      <c r="G25" s="23" t="s">
        <v>28</v>
      </c>
      <c r="H25" s="25" t="s">
        <v>29</v>
      </c>
      <c r="I25" s="24">
        <f>IF(H25="Situs",SUMIFS('4.3.8'!H:H,'4.3.8'!K:K,D25,'4.3.8'!L:L,G25),F25*H25)</f>
        <v>0</v>
      </c>
    </row>
    <row r="26" spans="2:9" x14ac:dyDescent="0.2">
      <c r="B26" s="3"/>
      <c r="C26" s="3" t="s">
        <v>30</v>
      </c>
      <c r="D26" s="23">
        <v>553</v>
      </c>
      <c r="E26" s="23" t="s">
        <v>15</v>
      </c>
      <c r="F26" s="24">
        <f>IF(H26="Situs",SUMIFS('4.3.8'!H:H,'4.3.8'!K:K,D26,'4.3.8'!M:M,H26),SUMIFS('4.3.8'!H:H,'4.3.8'!K:K,D26,'4.3.8'!L:L,G26))</f>
        <v>120033.34884542282</v>
      </c>
      <c r="G26" s="23" t="s">
        <v>16</v>
      </c>
      <c r="H26" s="25">
        <v>0</v>
      </c>
      <c r="I26" s="24">
        <f>IF(H26="Situs",SUMIFS('4.3.8'!H:H,'4.3.8'!K:K,D26,'4.3.8'!L:L,G26),F26*H26)</f>
        <v>0</v>
      </c>
    </row>
    <row r="27" spans="2:9" x14ac:dyDescent="0.2">
      <c r="B27" s="3"/>
      <c r="C27" s="3" t="s">
        <v>30</v>
      </c>
      <c r="D27" s="23">
        <v>553</v>
      </c>
      <c r="E27" s="23" t="s">
        <v>15</v>
      </c>
      <c r="F27" s="24">
        <f>IF(H27="Situs",SUMIFS('4.3.8'!H:H,'4.3.8'!K:K,D27,'4.3.8'!M:M,H27),SUMIFS('4.3.8'!H:H,'4.3.8'!K:K,D27,'4.3.8'!L:L,G27))</f>
        <v>41855.575879155251</v>
      </c>
      <c r="G27" s="23" t="s">
        <v>17</v>
      </c>
      <c r="H27" s="25">
        <v>0.22162982918040364</v>
      </c>
      <c r="I27" s="24">
        <f>IF(H27="Situs",SUMIFS('4.3.8'!H:H,'4.3.8'!K:K,D27,'4.3.8'!L:L,G27),F27*H27)</f>
        <v>9276.4441323446008</v>
      </c>
    </row>
    <row r="28" spans="2:9" x14ac:dyDescent="0.2">
      <c r="B28" s="3"/>
      <c r="C28" s="3" t="s">
        <v>30</v>
      </c>
      <c r="D28" s="23">
        <v>553</v>
      </c>
      <c r="E28" s="23" t="s">
        <v>15</v>
      </c>
      <c r="F28" s="24">
        <f>IF(H28="Situs",SUMIFS('4.3.8'!H:H,'4.3.8'!K:K,D28,'4.3.8'!M:M,H28),SUMIFS('4.3.8'!H:H,'4.3.8'!K:K,D28,'4.3.8'!L:L,G28))</f>
        <v>21370.992869705769</v>
      </c>
      <c r="G28" s="23" t="s">
        <v>19</v>
      </c>
      <c r="H28" s="25">
        <v>7.9787774498314715E-2</v>
      </c>
      <c r="I28" s="24">
        <f>IF(H28="Situs",SUMIFS('4.3.8'!H:H,'4.3.8'!K:K,D28,'4.3.8'!L:L,G28),F28*H28)</f>
        <v>1705.1439598931756</v>
      </c>
    </row>
    <row r="29" spans="2:9" x14ac:dyDescent="0.2">
      <c r="B29" s="3"/>
      <c r="C29" s="3" t="s">
        <v>31</v>
      </c>
      <c r="D29" s="23">
        <v>557</v>
      </c>
      <c r="E29" s="23" t="s">
        <v>15</v>
      </c>
      <c r="F29" s="24">
        <f>IF(H29="Situs",SUMIFS('4.3.8'!H:H,'4.3.8'!K:K,D29,'4.3.8'!M:M,H29),SUMIFS('4.3.8'!H:H,'4.3.8'!K:K,D29,'4.3.8'!L:L,G29))</f>
        <v>14532.689487091322</v>
      </c>
      <c r="G29" s="23" t="s">
        <v>16</v>
      </c>
      <c r="H29" s="25">
        <v>0</v>
      </c>
      <c r="I29" s="24">
        <f>IF(H29="Situs",SUMIFS('4.3.8'!H:H,'4.3.8'!K:K,D29,'4.3.8'!L:L,G29),F29*H29)</f>
        <v>0</v>
      </c>
    </row>
    <row r="30" spans="2:9" x14ac:dyDescent="0.2">
      <c r="B30" s="3"/>
      <c r="C30" s="3" t="s">
        <v>31</v>
      </c>
      <c r="D30" s="23">
        <v>557</v>
      </c>
      <c r="E30" s="23" t="s">
        <v>15</v>
      </c>
      <c r="F30" s="24">
        <f>IF(H30="Situs",SUMIFS('4.3.8'!H:H,'4.3.8'!K:K,D30,'4.3.8'!M:M,H30),SUMIFS('4.3.8'!H:H,'4.3.8'!K:K,D30,'4.3.8'!L:L,G30))</f>
        <v>1645485.9863499564</v>
      </c>
      <c r="G30" s="23" t="s">
        <v>19</v>
      </c>
      <c r="H30" s="25">
        <v>7.9787774498314715E-2</v>
      </c>
      <c r="I30" s="24">
        <f>IF(H30="Situs",SUMIFS('4.3.8'!H:H,'4.3.8'!K:K,D30,'4.3.8'!L:L,G30),F30*H30)</f>
        <v>131289.6648190273</v>
      </c>
    </row>
    <row r="31" spans="2:9" x14ac:dyDescent="0.2">
      <c r="B31" s="3"/>
      <c r="C31" s="3" t="s">
        <v>31</v>
      </c>
      <c r="D31" s="23">
        <v>557</v>
      </c>
      <c r="E31" s="23" t="s">
        <v>15</v>
      </c>
      <c r="F31" s="24">
        <f>IF(H31="Situs",SUMIFS('4.3.8'!H:H,'4.3.8'!K:K,D31,'4.3.8'!M:M,H31),SUMIFS('4.3.8'!H:H,'4.3.8'!K:K,D31,'4.3.8'!L:L,G31))</f>
        <v>3980.9104331236745</v>
      </c>
      <c r="G31" s="23" t="s">
        <v>28</v>
      </c>
      <c r="H31" s="25" t="s">
        <v>29</v>
      </c>
      <c r="I31" s="24">
        <f>IF(H31="Situs",SUMIFS('4.3.8'!H:H,'4.3.8'!K:K,D31,'4.3.8'!L:L,G31),F31*H31)</f>
        <v>0</v>
      </c>
    </row>
    <row r="32" spans="2:9" x14ac:dyDescent="0.2">
      <c r="B32" s="3"/>
      <c r="C32" s="3" t="s">
        <v>32</v>
      </c>
      <c r="D32" s="23">
        <v>560</v>
      </c>
      <c r="E32" s="23" t="s">
        <v>15</v>
      </c>
      <c r="F32" s="24">
        <f>IF(H32="Situs",SUMIFS('4.3.8'!H:H,'4.3.8'!K:K,D32,'4.3.8'!M:M,H32),SUMIFS('4.3.8'!H:H,'4.3.8'!K:K,D32,'4.3.8'!L:L,G32))</f>
        <v>1339106.6681468156</v>
      </c>
      <c r="G32" s="23" t="s">
        <v>19</v>
      </c>
      <c r="H32" s="25">
        <v>7.9787774498314715E-2</v>
      </c>
      <c r="I32" s="24">
        <f>IF(H32="Situs",SUMIFS('4.3.8'!H:H,'4.3.8'!K:K,D32,'4.3.8'!L:L,G32),F32*H32)</f>
        <v>106844.34086728768</v>
      </c>
    </row>
    <row r="33" spans="2:10" x14ac:dyDescent="0.2">
      <c r="B33" s="3"/>
      <c r="C33" s="3" t="s">
        <v>33</v>
      </c>
      <c r="D33" s="23">
        <v>571</v>
      </c>
      <c r="E33" s="23" t="s">
        <v>15</v>
      </c>
      <c r="F33" s="24">
        <f>IF(H33="Situs",SUMIFS('4.3.8'!H:H,'4.3.8'!K:K,D33,'4.3.8'!M:M,H33),SUMIFS('4.3.8'!H:H,'4.3.8'!K:K,D33,'4.3.8'!L:L,G33))</f>
        <v>894439.91876159422</v>
      </c>
      <c r="G33" s="23" t="s">
        <v>19</v>
      </c>
      <c r="H33" s="25">
        <v>7.9787774498314715E-2</v>
      </c>
      <c r="I33" s="24">
        <f>IF(H33="Situs",SUMIFS('4.3.8'!H:H,'4.3.8'!K:K,D33,'4.3.8'!L:L,G33),F33*H33)</f>
        <v>71365.370540441014</v>
      </c>
    </row>
    <row r="34" spans="2:10" x14ac:dyDescent="0.2">
      <c r="B34" s="3"/>
      <c r="C34" s="3" t="s">
        <v>34</v>
      </c>
      <c r="D34" s="23">
        <v>580</v>
      </c>
      <c r="E34" s="23" t="s">
        <v>15</v>
      </c>
      <c r="F34" s="24">
        <f>IF(H34="Situs",SUMIFS('4.3.8'!H:H,'4.3.8'!K:K,D34,'4.3.8'!M:M,H34),SUMIFS('4.3.8'!H:H,'4.3.8'!K:K,D34,'4.3.8'!L:L,G34))</f>
        <v>1578754.7077432186</v>
      </c>
      <c r="G34" s="23" t="s">
        <v>28</v>
      </c>
      <c r="H34" s="25" t="s">
        <v>29</v>
      </c>
      <c r="I34" s="24">
        <f>IF(H34="Situs",SUMIFS('4.3.8'!H:H,'4.3.8'!K:K,D34,'4.3.8'!L:L,G34),F34*H34)</f>
        <v>107774.8420245801</v>
      </c>
    </row>
    <row r="35" spans="2:10" x14ac:dyDescent="0.2">
      <c r="B35" s="3"/>
      <c r="C35" s="3" t="s">
        <v>34</v>
      </c>
      <c r="D35" s="23">
        <v>580</v>
      </c>
      <c r="E35" s="23" t="s">
        <v>15</v>
      </c>
      <c r="F35" s="24">
        <f>IF(H35="Situs",SUMIFS('4.3.8'!H:H,'4.3.8'!K:K,D35,'4.3.8'!M:M,H35),SUMIFS('4.3.8'!H:H,'4.3.8'!K:K,D35,'4.3.8'!L:L,G35))</f>
        <v>2289958.4505750793</v>
      </c>
      <c r="G35" s="23" t="s">
        <v>35</v>
      </c>
      <c r="H35" s="25">
        <v>6.264027551852748E-2</v>
      </c>
      <c r="I35" s="24">
        <f>IF(H35="Situs",SUMIFS('4.3.8'!H:H,'4.3.8'!K:K,D35,'4.3.8'!L:L,G35),F35*H35)</f>
        <v>143443.62827000325</v>
      </c>
    </row>
    <row r="36" spans="2:10" x14ac:dyDescent="0.2">
      <c r="B36" s="3"/>
      <c r="C36" s="3" t="s">
        <v>36</v>
      </c>
      <c r="D36" s="23">
        <v>593</v>
      </c>
      <c r="E36" s="23" t="s">
        <v>15</v>
      </c>
      <c r="F36" s="24">
        <f>IF(H36="Situs",SUMIFS('4.3.8'!H:H,'4.3.8'!K:K,D36,'4.3.8'!M:M,H36),SUMIFS('4.3.8'!H:H,'4.3.8'!K:K,D36,'4.3.8'!L:L,G36))</f>
        <v>4772078.2514774418</v>
      </c>
      <c r="G36" s="23" t="s">
        <v>28</v>
      </c>
      <c r="H36" s="25" t="s">
        <v>29</v>
      </c>
      <c r="I36" s="24">
        <f>IF(H36="Situs",SUMIFS('4.3.8'!H:H,'4.3.8'!K:K,D36,'4.3.8'!L:L,G36),F36*H36)</f>
        <v>399577.304029822</v>
      </c>
    </row>
    <row r="37" spans="2:10" x14ac:dyDescent="0.2">
      <c r="B37" s="3"/>
      <c r="C37" s="3" t="s">
        <v>36</v>
      </c>
      <c r="D37" s="23">
        <v>593</v>
      </c>
      <c r="E37" s="23" t="s">
        <v>15</v>
      </c>
      <c r="F37" s="24">
        <f>IF(H37="Situs",SUMIFS('4.3.8'!H:H,'4.3.8'!K:K,D37,'4.3.8'!M:M,H37),SUMIFS('4.3.8'!H:H,'4.3.8'!K:K,D37,'4.3.8'!L:L,G37))</f>
        <v>1064710.0466240295</v>
      </c>
      <c r="G37" s="23" t="s">
        <v>35</v>
      </c>
      <c r="H37" s="25">
        <v>6.264027551852748E-2</v>
      </c>
      <c r="I37" s="24">
        <f>IF(H37="Situs",SUMIFS('4.3.8'!H:H,'4.3.8'!K:K,D37,'4.3.8'!L:L,G37),F37*H37)</f>
        <v>66693.730667873446</v>
      </c>
    </row>
    <row r="38" spans="2:10" x14ac:dyDescent="0.2">
      <c r="B38" s="3"/>
      <c r="C38" s="3" t="s">
        <v>37</v>
      </c>
      <c r="D38" s="23">
        <v>903</v>
      </c>
      <c r="E38" s="23" t="s">
        <v>15</v>
      </c>
      <c r="F38" s="24">
        <f>IF(H38="Situs",SUMIFS('4.3.8'!H:H,'4.3.8'!K:K,D38,'4.3.8'!M:M,H38),SUMIFS('4.3.8'!H:H,'4.3.8'!K:K,D38,'4.3.8'!L:L,G38))</f>
        <v>1462584.8946770695</v>
      </c>
      <c r="G38" s="23" t="s">
        <v>38</v>
      </c>
      <c r="H38" s="25">
        <v>6.742981175467383E-2</v>
      </c>
      <c r="I38" s="24">
        <f>IF(H38="Situs",SUMIFS('4.3.8'!H:H,'4.3.8'!K:K,D38,'4.3.8'!L:L,G38),F38*H38)</f>
        <v>98621.82412330425</v>
      </c>
    </row>
    <row r="39" spans="2:10" x14ac:dyDescent="0.2">
      <c r="B39" s="3"/>
      <c r="C39" s="3" t="s">
        <v>37</v>
      </c>
      <c r="D39" s="23">
        <v>903</v>
      </c>
      <c r="E39" s="23" t="s">
        <v>15</v>
      </c>
      <c r="F39" s="24">
        <f>IF(H39="Situs",SUMIFS('4.3.8'!H:H,'4.3.8'!K:K,D39,'4.3.8'!M:M,H39),SUMIFS('4.3.8'!H:H,'4.3.8'!K:K,D39,'4.3.8'!L:L,G39))</f>
        <v>696704.00342151453</v>
      </c>
      <c r="G39" s="23" t="s">
        <v>28</v>
      </c>
      <c r="H39" s="25" t="s">
        <v>29</v>
      </c>
      <c r="I39" s="24">
        <f>IF(H39="Situs",SUMIFS('4.3.8'!H:H,'4.3.8'!K:K,D39,'4.3.8'!L:L,G39),F39*H39)</f>
        <v>53549.870639223984</v>
      </c>
    </row>
    <row r="40" spans="2:10" x14ac:dyDescent="0.2">
      <c r="B40" s="3"/>
      <c r="C40" s="3" t="s">
        <v>39</v>
      </c>
      <c r="D40" s="23">
        <v>908</v>
      </c>
      <c r="E40" s="23" t="s">
        <v>15</v>
      </c>
      <c r="F40" s="24">
        <f>IF(H40="Situs",SUMIFS('4.3.8'!H:H,'4.3.8'!K:K,D40,'4.3.8'!M:M,H40),SUMIFS('4.3.8'!H:H,'4.3.8'!K:K,D40,'4.3.8'!L:L,G40))</f>
        <v>201841.39502137902</v>
      </c>
      <c r="G40" s="23" t="s">
        <v>38</v>
      </c>
      <c r="H40" s="25">
        <v>6.742981175467383E-2</v>
      </c>
      <c r="I40" s="24">
        <f>IF(H40="Situs",SUMIFS('4.3.8'!H:H,'4.3.8'!K:K,D40,'4.3.8'!L:L,G40),F40*H40)</f>
        <v>13610.127270592347</v>
      </c>
    </row>
    <row r="41" spans="2:10" x14ac:dyDescent="0.2">
      <c r="B41" s="3"/>
      <c r="C41" s="3" t="s">
        <v>39</v>
      </c>
      <c r="D41" s="23">
        <v>908</v>
      </c>
      <c r="E41" s="23" t="s">
        <v>15</v>
      </c>
      <c r="F41" s="24">
        <f>IF(H41="Situs",SUMIFS('4.3.8'!H:H,'4.3.8'!K:K,D41,'4.3.8'!M:M,H41),SUMIFS('4.3.8'!H:H,'4.3.8'!K:K,D41,'4.3.8'!L:L,G41))</f>
        <v>362169.72327685857</v>
      </c>
      <c r="G41" s="23" t="s">
        <v>28</v>
      </c>
      <c r="H41" s="25" t="s">
        <v>29</v>
      </c>
      <c r="I41" s="24">
        <f>IF(H41="Situs",SUMIFS('4.3.8'!H:H,'4.3.8'!K:K,D41,'4.3.8'!L:L,G41),F41*H41)</f>
        <v>9302.9371674761242</v>
      </c>
    </row>
    <row r="42" spans="2:10" x14ac:dyDescent="0.2">
      <c r="B42" s="3"/>
      <c r="C42" s="3" t="s">
        <v>40</v>
      </c>
      <c r="D42" s="23">
        <v>920</v>
      </c>
      <c r="E42" s="23" t="s">
        <v>15</v>
      </c>
      <c r="F42" s="24">
        <f>IF(H42="Situs",SUMIFS('4.3.8'!H:H,'4.3.8'!K:K,D42,'4.3.8'!M:M,H42),SUMIFS('4.3.8'!H:H,'4.3.8'!K:K,D42,'4.3.8'!L:L,G42))</f>
        <v>39334.617871002454</v>
      </c>
      <c r="G42" s="23" t="s">
        <v>28</v>
      </c>
      <c r="H42" s="25" t="s">
        <v>29</v>
      </c>
      <c r="I42" s="24">
        <f>IF(H42="Situs",SUMIFS('4.3.8'!H:H,'4.3.8'!K:K,D42,'4.3.8'!L:L,G42),F42*H42)</f>
        <v>-451.90624135125569</v>
      </c>
    </row>
    <row r="43" spans="2:10" x14ac:dyDescent="0.2">
      <c r="B43" s="3"/>
      <c r="C43" s="3" t="s">
        <v>40</v>
      </c>
      <c r="D43" s="23">
        <v>920</v>
      </c>
      <c r="E43" s="23" t="s">
        <v>15</v>
      </c>
      <c r="F43" s="24">
        <f>IF(H43="Situs",SUMIFS('4.3.8'!H:H,'4.3.8'!K:K,D43,'4.3.8'!M:M,H43),SUMIFS('4.3.8'!H:H,'4.3.8'!K:K,D43,'4.3.8'!L:L,G43))</f>
        <v>1764493.4666811631</v>
      </c>
      <c r="G43" s="23" t="s">
        <v>41</v>
      </c>
      <c r="H43" s="25">
        <v>7.0845810240555085E-2</v>
      </c>
      <c r="I43" s="24">
        <f>IF(H43="Situs",SUMIFS('4.3.8'!H:H,'4.3.8'!K:K,D43,'4.3.8'!L:L,G43),F43*H43)</f>
        <v>125006.96931119288</v>
      </c>
    </row>
    <row r="44" spans="2:10" x14ac:dyDescent="0.2">
      <c r="B44" s="3"/>
      <c r="C44" s="3" t="s">
        <v>40</v>
      </c>
      <c r="D44" s="23">
        <v>935</v>
      </c>
      <c r="E44" s="23" t="s">
        <v>15</v>
      </c>
      <c r="F44" s="24">
        <f>IF(H44="Situs",SUMIFS('4.3.8'!H:H,'4.3.8'!K:K,D44,'4.3.8'!M:M,H44),SUMIFS('4.3.8'!H:H,'4.3.8'!K:K,D44,'4.3.8'!L:L,G44))</f>
        <v>965.97203835572623</v>
      </c>
      <c r="G44" s="23" t="s">
        <v>28</v>
      </c>
      <c r="H44" s="25" t="s">
        <v>29</v>
      </c>
      <c r="I44" s="24">
        <f>IF(H44="Situs",SUMIFS('4.3.8'!H:H,'4.3.8'!K:K,D44,'4.3.8'!L:L,G44),F44*H44)</f>
        <v>29.436724794021725</v>
      </c>
    </row>
    <row r="45" spans="2:10" x14ac:dyDescent="0.2">
      <c r="B45" s="3"/>
      <c r="C45" s="3" t="s">
        <v>40</v>
      </c>
      <c r="D45" s="23">
        <v>935</v>
      </c>
      <c r="E45" s="23" t="s">
        <v>15</v>
      </c>
      <c r="F45" s="24">
        <f>IF(H45="Situs",SUMIFS('4.3.8'!H:H,'4.3.8'!K:K,D45,'4.3.8'!M:M,H45),SUMIFS('4.3.8'!H:H,'4.3.8'!K:K,D45,'4.3.8'!L:L,G45))</f>
        <v>130100.20816979866</v>
      </c>
      <c r="G45" s="23" t="s">
        <v>41</v>
      </c>
      <c r="H45" s="25">
        <v>7.0845810240555085E-2</v>
      </c>
      <c r="I45" s="24">
        <f>IF(H45="Situs",SUMIFS('4.3.8'!H:H,'4.3.8'!K:K,D45,'4.3.8'!L:L,G45),F45*H45)</f>
        <v>9217.0546602542709</v>
      </c>
    </row>
    <row r="46" spans="2:10" x14ac:dyDescent="0.2">
      <c r="B46" s="3"/>
      <c r="C46" s="3"/>
      <c r="D46" s="23"/>
      <c r="E46" s="26"/>
      <c r="F46" s="27">
        <f>SUM(F10:F45)</f>
        <v>26696033.937160626</v>
      </c>
      <c r="G46" s="23"/>
      <c r="I46" s="27">
        <f>SUM(I10:I45)</f>
        <v>1807065.9535639423</v>
      </c>
      <c r="J46" s="176" t="s">
        <v>159</v>
      </c>
    </row>
    <row r="57" spans="1:10" s="3" customFormat="1" ht="13.5" thickBot="1" x14ac:dyDescent="0.25">
      <c r="A57" s="161"/>
      <c r="B57" s="28" t="s">
        <v>42</v>
      </c>
      <c r="C57" s="160"/>
      <c r="D57" s="160"/>
      <c r="E57" s="160"/>
      <c r="F57" s="160"/>
      <c r="G57" s="160"/>
      <c r="H57" s="160"/>
      <c r="I57" s="160"/>
      <c r="J57" s="161"/>
    </row>
    <row r="58" spans="1:10" s="3" customFormat="1" ht="12.75" customHeight="1" x14ac:dyDescent="0.2">
      <c r="A58" s="29" t="s">
        <v>43</v>
      </c>
      <c r="B58" s="162" t="s">
        <v>44</v>
      </c>
      <c r="C58" s="162"/>
      <c r="D58" s="162"/>
      <c r="E58" s="162"/>
      <c r="F58" s="162"/>
      <c r="G58" s="162"/>
      <c r="H58" s="162"/>
      <c r="I58" s="162"/>
      <c r="J58" s="163"/>
    </row>
    <row r="59" spans="1:10" s="3" customFormat="1" x14ac:dyDescent="0.2">
      <c r="A59" s="30"/>
      <c r="B59" s="164"/>
      <c r="C59" s="164"/>
      <c r="D59" s="164"/>
      <c r="E59" s="164"/>
      <c r="F59" s="164"/>
      <c r="G59" s="164"/>
      <c r="H59" s="164"/>
      <c r="I59" s="164"/>
      <c r="J59" s="165"/>
    </row>
    <row r="60" spans="1:10" s="3" customFormat="1" x14ac:dyDescent="0.2">
      <c r="A60" s="31"/>
      <c r="B60" s="164"/>
      <c r="C60" s="164"/>
      <c r="D60" s="164"/>
      <c r="E60" s="164"/>
      <c r="F60" s="164"/>
      <c r="G60" s="164"/>
      <c r="H60" s="164"/>
      <c r="I60" s="164"/>
      <c r="J60" s="165"/>
    </row>
    <row r="61" spans="1:10" s="3" customFormat="1" ht="13.5" thickBot="1" x14ac:dyDescent="0.25">
      <c r="A61" s="32"/>
      <c r="B61" s="166"/>
      <c r="C61" s="166"/>
      <c r="D61" s="166"/>
      <c r="E61" s="166"/>
      <c r="F61" s="166"/>
      <c r="G61" s="166"/>
      <c r="H61" s="166"/>
      <c r="I61" s="166"/>
      <c r="J61" s="167"/>
    </row>
  </sheetData>
  <mergeCells count="1">
    <mergeCell ref="B58:J61"/>
  </mergeCells>
  <conditionalFormatting sqref="B9">
    <cfRule type="cellIs" dxfId="0" priority="1" stopIfTrue="1" operator="equal">
      <formula>"Adjustment to Income/Expense/Rate Base:"</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79280-28A5-4FC0-ACD3-1CB5A201F2C4}">
  <sheetPr>
    <pageSetUpPr fitToPage="1"/>
  </sheetPr>
  <dimension ref="A1:K26"/>
  <sheetViews>
    <sheetView view="pageBreakPreview" zoomScaleNormal="100" zoomScaleSheetLayoutView="100" workbookViewId="0"/>
  </sheetViews>
  <sheetFormatPr defaultRowHeight="12.75" x14ac:dyDescent="0.2"/>
  <cols>
    <col min="1" max="1" width="1.85546875" style="8" customWidth="1"/>
    <col min="2" max="2" width="9.140625" style="177"/>
    <col min="3" max="9" width="9.140625" style="8"/>
    <col min="10" max="10" width="9.85546875" style="8" customWidth="1"/>
    <col min="11" max="11" width="9.7109375" style="8" customWidth="1"/>
    <col min="12" max="16384" width="9.140625" style="8"/>
  </cols>
  <sheetData>
    <row r="1" spans="1:11" x14ac:dyDescent="0.2">
      <c r="A1" s="33" t="s">
        <v>0</v>
      </c>
      <c r="J1" s="143" t="s">
        <v>1</v>
      </c>
      <c r="K1" s="143" t="s">
        <v>272</v>
      </c>
    </row>
    <row r="2" spans="1:11" x14ac:dyDescent="0.2">
      <c r="A2" s="33" t="s">
        <v>45</v>
      </c>
    </row>
    <row r="3" spans="1:11" x14ac:dyDescent="0.2">
      <c r="A3" s="33" t="s">
        <v>46</v>
      </c>
    </row>
    <row r="6" spans="1:11" x14ac:dyDescent="0.2">
      <c r="B6" s="178" t="s">
        <v>278</v>
      </c>
      <c r="C6" s="178"/>
      <c r="D6" s="178"/>
      <c r="E6" s="178"/>
      <c r="F6" s="178"/>
      <c r="G6" s="178"/>
      <c r="H6" s="178"/>
      <c r="I6" s="178"/>
      <c r="J6" s="178"/>
      <c r="K6" s="178"/>
    </row>
    <row r="7" spans="1:11" x14ac:dyDescent="0.2">
      <c r="B7" s="178"/>
      <c r="C7" s="178"/>
      <c r="D7" s="178"/>
      <c r="E7" s="178"/>
      <c r="F7" s="178"/>
      <c r="G7" s="178"/>
      <c r="H7" s="178"/>
      <c r="I7" s="178"/>
      <c r="J7" s="178"/>
      <c r="K7" s="178"/>
    </row>
    <row r="9" spans="1:11" x14ac:dyDescent="0.2">
      <c r="B9" s="179" t="s">
        <v>282</v>
      </c>
      <c r="C9" s="179"/>
      <c r="D9" s="179"/>
      <c r="E9" s="179"/>
      <c r="F9" s="179"/>
      <c r="G9" s="179"/>
      <c r="H9" s="179"/>
      <c r="I9" s="179"/>
      <c r="J9" s="179"/>
      <c r="K9" s="179"/>
    </row>
    <row r="11" spans="1:11" x14ac:dyDescent="0.2">
      <c r="B11" s="178" t="s">
        <v>283</v>
      </c>
      <c r="C11" s="178"/>
      <c r="D11" s="178"/>
      <c r="E11" s="178"/>
      <c r="F11" s="178"/>
      <c r="G11" s="178"/>
      <c r="H11" s="178"/>
      <c r="I11" s="178"/>
      <c r="J11" s="178"/>
      <c r="K11" s="178"/>
    </row>
    <row r="12" spans="1:11" x14ac:dyDescent="0.2">
      <c r="B12" s="178"/>
      <c r="C12" s="178"/>
      <c r="D12" s="178"/>
      <c r="E12" s="178"/>
      <c r="F12" s="178"/>
      <c r="G12" s="178"/>
      <c r="H12" s="178"/>
      <c r="I12" s="178"/>
      <c r="J12" s="178"/>
      <c r="K12" s="178"/>
    </row>
    <row r="13" spans="1:11" x14ac:dyDescent="0.2">
      <c r="B13" s="178"/>
      <c r="C13" s="178"/>
      <c r="D13" s="178"/>
      <c r="E13" s="178"/>
      <c r="F13" s="178"/>
      <c r="G13" s="178"/>
      <c r="H13" s="178"/>
      <c r="I13" s="178"/>
      <c r="J13" s="178"/>
      <c r="K13" s="178"/>
    </row>
    <row r="15" spans="1:11" x14ac:dyDescent="0.2">
      <c r="B15" s="178" t="s">
        <v>285</v>
      </c>
      <c r="C15" s="178"/>
      <c r="D15" s="178"/>
      <c r="E15" s="178"/>
      <c r="F15" s="178"/>
      <c r="G15" s="178"/>
      <c r="H15" s="178"/>
      <c r="I15" s="178"/>
      <c r="J15" s="178"/>
      <c r="K15" s="178"/>
    </row>
    <row r="16" spans="1:11" x14ac:dyDescent="0.2">
      <c r="B16" s="178"/>
      <c r="C16" s="178"/>
      <c r="D16" s="178"/>
      <c r="E16" s="178"/>
      <c r="F16" s="178"/>
      <c r="G16" s="178"/>
      <c r="H16" s="178"/>
      <c r="I16" s="178"/>
      <c r="J16" s="178"/>
      <c r="K16" s="178"/>
    </row>
    <row r="17" spans="2:11" x14ac:dyDescent="0.2">
      <c r="B17" s="178"/>
      <c r="C17" s="178"/>
      <c r="D17" s="178"/>
      <c r="E17" s="178"/>
      <c r="F17" s="178"/>
      <c r="G17" s="178"/>
      <c r="H17" s="178"/>
      <c r="I17" s="178"/>
      <c r="J17" s="178"/>
      <c r="K17" s="178"/>
    </row>
    <row r="19" spans="2:11" x14ac:dyDescent="0.2">
      <c r="B19" s="178" t="s">
        <v>286</v>
      </c>
      <c r="C19" s="178"/>
      <c r="D19" s="178"/>
      <c r="E19" s="178"/>
      <c r="F19" s="178"/>
      <c r="G19" s="178"/>
      <c r="H19" s="178"/>
      <c r="I19" s="178"/>
      <c r="J19" s="178"/>
      <c r="K19" s="178"/>
    </row>
    <row r="20" spans="2:11" x14ac:dyDescent="0.2">
      <c r="B20" s="178"/>
      <c r="C20" s="178"/>
      <c r="D20" s="178"/>
      <c r="E20" s="178"/>
      <c r="F20" s="178"/>
      <c r="G20" s="178"/>
      <c r="H20" s="178"/>
      <c r="I20" s="178"/>
      <c r="J20" s="178"/>
      <c r="K20" s="178"/>
    </row>
    <row r="21" spans="2:11" x14ac:dyDescent="0.2">
      <c r="B21" s="178"/>
      <c r="C21" s="178"/>
      <c r="D21" s="178"/>
      <c r="E21" s="178"/>
      <c r="F21" s="178"/>
      <c r="G21" s="178"/>
      <c r="H21" s="178"/>
      <c r="I21" s="178"/>
      <c r="J21" s="178"/>
      <c r="K21" s="178"/>
    </row>
    <row r="22" spans="2:11" x14ac:dyDescent="0.2">
      <c r="B22" s="178"/>
      <c r="C22" s="178"/>
      <c r="D22" s="178"/>
      <c r="E22" s="178"/>
      <c r="F22" s="178"/>
      <c r="G22" s="178"/>
      <c r="H22" s="178"/>
      <c r="I22" s="178"/>
      <c r="J22" s="178"/>
      <c r="K22" s="178"/>
    </row>
    <row r="23" spans="2:11" x14ac:dyDescent="0.2">
      <c r="B23" s="178"/>
      <c r="C23" s="178"/>
      <c r="D23" s="178"/>
      <c r="E23" s="178"/>
      <c r="F23" s="178"/>
      <c r="G23" s="178"/>
      <c r="H23" s="178"/>
      <c r="I23" s="178"/>
      <c r="J23" s="178"/>
      <c r="K23" s="178"/>
    </row>
    <row r="25" spans="2:11" x14ac:dyDescent="0.2">
      <c r="B25" s="178" t="s">
        <v>279</v>
      </c>
      <c r="C25" s="178"/>
      <c r="D25" s="178"/>
      <c r="E25" s="178"/>
      <c r="F25" s="178"/>
      <c r="G25" s="178"/>
      <c r="H25" s="178"/>
      <c r="I25" s="178"/>
      <c r="J25" s="178"/>
      <c r="K25" s="178"/>
    </row>
    <row r="26" spans="2:11" x14ac:dyDescent="0.2">
      <c r="B26" s="178"/>
      <c r="C26" s="178"/>
      <c r="D26" s="178"/>
      <c r="E26" s="178"/>
      <c r="F26" s="178"/>
      <c r="G26" s="178"/>
      <c r="H26" s="178"/>
      <c r="I26" s="178"/>
      <c r="J26" s="178"/>
      <c r="K26" s="178"/>
    </row>
  </sheetData>
  <mergeCells count="6">
    <mergeCell ref="B25:K26"/>
    <mergeCell ref="B6:K7"/>
    <mergeCell ref="B9:K9"/>
    <mergeCell ref="B11:K13"/>
    <mergeCell ref="B15:K17"/>
    <mergeCell ref="B19:K23"/>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C407-8ED1-49D9-9073-EB95BA12E385}">
  <sheetPr>
    <pageSetUpPr fitToPage="1"/>
  </sheetPr>
  <dimension ref="A1:I34"/>
  <sheetViews>
    <sheetView view="pageBreakPreview" zoomScaleNormal="100" zoomScaleSheetLayoutView="100" workbookViewId="0"/>
  </sheetViews>
  <sheetFormatPr defaultRowHeight="12.75" x14ac:dyDescent="0.2"/>
  <cols>
    <col min="1" max="1" width="32.5703125" style="180" customWidth="1"/>
    <col min="2" max="2" width="17" style="180" bestFit="1" customWidth="1"/>
    <col min="3" max="3" width="2.7109375" style="180" customWidth="1"/>
    <col min="4" max="4" width="18" style="180" customWidth="1"/>
    <col min="5" max="5" width="11.7109375" style="180" bestFit="1" customWidth="1"/>
    <col min="6" max="6" width="2.7109375" style="180" customWidth="1"/>
    <col min="7" max="7" width="19.28515625" style="180" customWidth="1"/>
    <col min="8" max="8" width="11.7109375" style="180" bestFit="1" customWidth="1"/>
    <col min="9" max="9" width="8.42578125" style="182" customWidth="1"/>
    <col min="10" max="16384" width="9.140625" style="8"/>
  </cols>
  <sheetData>
    <row r="1" spans="1:9" x14ac:dyDescent="0.2">
      <c r="A1" s="33" t="str">
        <f>+'4.3.1'!A1</f>
        <v>PacifiCorp</v>
      </c>
      <c r="E1" s="34" t="s">
        <v>47</v>
      </c>
      <c r="H1" s="181" t="s">
        <v>1</v>
      </c>
      <c r="I1" s="182" t="s">
        <v>159</v>
      </c>
    </row>
    <row r="2" spans="1:9" x14ac:dyDescent="0.2">
      <c r="A2" s="33" t="s">
        <v>45</v>
      </c>
      <c r="B2" s="183"/>
      <c r="D2" s="35"/>
      <c r="E2" s="35"/>
      <c r="F2" s="184"/>
      <c r="G2" s="35"/>
      <c r="H2" s="35"/>
    </row>
    <row r="3" spans="1:9" x14ac:dyDescent="0.2">
      <c r="A3" s="33" t="s">
        <v>46</v>
      </c>
      <c r="E3" s="184"/>
      <c r="F3" s="184"/>
      <c r="H3" s="184"/>
    </row>
    <row r="4" spans="1:9" x14ac:dyDescent="0.2">
      <c r="A4" s="33"/>
      <c r="E4" s="184"/>
      <c r="F4" s="184"/>
      <c r="H4" s="184"/>
    </row>
    <row r="5" spans="1:9" ht="13.5" thickBot="1" x14ac:dyDescent="0.25">
      <c r="A5" s="33"/>
      <c r="E5" s="184"/>
      <c r="F5" s="184"/>
      <c r="H5" s="184"/>
    </row>
    <row r="6" spans="1:9" x14ac:dyDescent="0.2">
      <c r="B6" s="36" t="s">
        <v>48</v>
      </c>
      <c r="D6" s="37" t="s">
        <v>49</v>
      </c>
      <c r="E6" s="36"/>
      <c r="G6" s="38" t="s">
        <v>50</v>
      </c>
      <c r="H6" s="36"/>
    </row>
    <row r="7" spans="1:9" ht="25.5" x14ac:dyDescent="0.2">
      <c r="A7" s="39" t="s">
        <v>51</v>
      </c>
      <c r="B7" s="39" t="s">
        <v>52</v>
      </c>
      <c r="C7" s="39"/>
      <c r="D7" s="40" t="s">
        <v>52</v>
      </c>
      <c r="E7" s="39" t="s">
        <v>53</v>
      </c>
      <c r="F7" s="39"/>
      <c r="G7" s="40" t="s">
        <v>54</v>
      </c>
      <c r="H7" s="39" t="s">
        <v>53</v>
      </c>
      <c r="I7" s="39" t="s">
        <v>55</v>
      </c>
    </row>
    <row r="8" spans="1:9" x14ac:dyDescent="0.2">
      <c r="A8" s="180" t="s">
        <v>56</v>
      </c>
      <c r="B8" s="41">
        <v>430865222.13999999</v>
      </c>
      <c r="D8" s="42">
        <f>('4.3.4'!$O$58*($B8/$B$11))*1000</f>
        <v>437510935.91822183</v>
      </c>
      <c r="E8" s="41">
        <f>D8-B8</f>
        <v>6645713.7782218456</v>
      </c>
      <c r="G8" s="42">
        <f>('4.3.5_REDACTED'!$O$61*($B8/$B$11))*1000</f>
        <v>465794593.79437757</v>
      </c>
      <c r="H8" s="41">
        <f>G8-D8</f>
        <v>28283657.876155734</v>
      </c>
    </row>
    <row r="9" spans="1:9" x14ac:dyDescent="0.2">
      <c r="A9" s="180" t="s">
        <v>57</v>
      </c>
      <c r="B9" s="41">
        <v>76879724.969999999</v>
      </c>
      <c r="D9" s="42">
        <f>('4.3.4'!$O$58*($B9/$B$11))*1000</f>
        <v>78065526.518246159</v>
      </c>
      <c r="E9" s="41">
        <f>D9-B9</f>
        <v>1185801.5482461601</v>
      </c>
      <c r="G9" s="42">
        <f>('4.3.5_REDACTED'!$O$61*($B9/$B$11))*1000</f>
        <v>83112208.698498547</v>
      </c>
      <c r="H9" s="41">
        <f>G9-D9</f>
        <v>5046682.1802523881</v>
      </c>
    </row>
    <row r="10" spans="1:9" x14ac:dyDescent="0.2">
      <c r="A10" s="180" t="s">
        <v>58</v>
      </c>
      <c r="B10" s="41">
        <v>13956954.479999999</v>
      </c>
      <c r="D10" s="42">
        <f>('4.3.4'!$O$58*($B10/$B$11))*1000</f>
        <v>14172228.119930986</v>
      </c>
      <c r="E10" s="41">
        <f>D10-B10</f>
        <v>215273.63993098773</v>
      </c>
      <c r="G10" s="42">
        <f>('4.3.5_REDACTED'!$O$61*($B10/$B$11))*1000</f>
        <v>15088416.536217535</v>
      </c>
      <c r="H10" s="41">
        <f>G10-D10</f>
        <v>916188.4162865486</v>
      </c>
    </row>
    <row r="11" spans="1:9" x14ac:dyDescent="0.2">
      <c r="A11" s="43" t="s">
        <v>59</v>
      </c>
      <c r="B11" s="44">
        <f>SUBTOTAL(9,B8:B10)</f>
        <v>521701901.59000003</v>
      </c>
      <c r="C11" s="45"/>
      <c r="D11" s="46">
        <f>SUBTOTAL(9,D8:D10)</f>
        <v>529748690.55639899</v>
      </c>
      <c r="E11" s="44">
        <f>SUBTOTAL(9,E8:E10)</f>
        <v>8046788.9663989935</v>
      </c>
      <c r="F11" s="45"/>
      <c r="G11" s="46">
        <f>SUBTOTAL(9,G8:G10)</f>
        <v>563995219.02909362</v>
      </c>
      <c r="H11" s="44">
        <f>SUBTOTAL(9,H8:H10)</f>
        <v>34246528.472694673</v>
      </c>
      <c r="I11" s="182" t="s">
        <v>60</v>
      </c>
    </row>
    <row r="12" spans="1:9" x14ac:dyDescent="0.2">
      <c r="D12" s="185"/>
      <c r="G12" s="185"/>
    </row>
    <row r="13" spans="1:9" x14ac:dyDescent="0.2">
      <c r="A13" s="43" t="s">
        <v>61</v>
      </c>
      <c r="B13" s="44">
        <v>32713507.879999995</v>
      </c>
      <c r="C13" s="45"/>
      <c r="D13" s="46">
        <f>B13</f>
        <v>32713507.879999995</v>
      </c>
      <c r="E13" s="44">
        <f>D13-B13</f>
        <v>0</v>
      </c>
      <c r="F13" s="45"/>
      <c r="G13" s="46">
        <f>B13*(1+'4.3.3'!D15)</f>
        <v>35365525.764348164</v>
      </c>
      <c r="H13" s="44">
        <f>G13-D13</f>
        <v>2652017.884348169</v>
      </c>
    </row>
    <row r="14" spans="1:9" x14ac:dyDescent="0.2">
      <c r="D14" s="185"/>
      <c r="E14" s="47">
        <f>+E13</f>
        <v>0</v>
      </c>
      <c r="G14" s="185"/>
      <c r="H14" s="47" t="s">
        <v>47</v>
      </c>
    </row>
    <row r="15" spans="1:9" x14ac:dyDescent="0.2">
      <c r="A15" s="180" t="s">
        <v>62</v>
      </c>
      <c r="B15" s="41">
        <v>38800778.980000004</v>
      </c>
      <c r="D15" s="42">
        <f>B15+E15</f>
        <v>39367507.112045385</v>
      </c>
      <c r="E15" s="41">
        <v>566728.13204538252</v>
      </c>
      <c r="G15" s="42">
        <f>D15+H15</f>
        <v>42009990.947920814</v>
      </c>
      <c r="H15" s="41">
        <v>2642483.8358754274</v>
      </c>
      <c r="I15" s="182" t="s">
        <v>63</v>
      </c>
    </row>
    <row r="16" spans="1:9" x14ac:dyDescent="0.2">
      <c r="A16" s="180" t="s">
        <v>64</v>
      </c>
      <c r="B16" s="41">
        <v>3153346.21</v>
      </c>
      <c r="D16" s="42">
        <f>B16</f>
        <v>3153346.21</v>
      </c>
      <c r="E16" s="41">
        <f>D16-B16</f>
        <v>0</v>
      </c>
      <c r="G16" s="42">
        <f>D16</f>
        <v>3153346.21</v>
      </c>
      <c r="H16" s="41">
        <f>G16-D16</f>
        <v>0</v>
      </c>
    </row>
    <row r="17" spans="1:9" x14ac:dyDescent="0.2">
      <c r="A17" s="43" t="s">
        <v>65</v>
      </c>
      <c r="B17" s="44">
        <f>SUBTOTAL(9,B15:B16)</f>
        <v>41954125.190000005</v>
      </c>
      <c r="C17" s="45"/>
      <c r="D17" s="46">
        <f>SUBTOTAL(9,D15:D16)</f>
        <v>42520853.322045386</v>
      </c>
      <c r="E17" s="44">
        <f>SUBTOTAL(9,E15:E16)</f>
        <v>566728.13204538252</v>
      </c>
      <c r="F17" s="45"/>
      <c r="G17" s="46">
        <f>SUBTOTAL(9,G15:G16)</f>
        <v>45163337.157920815</v>
      </c>
      <c r="H17" s="44">
        <f>SUBTOTAL(9,H15:H16)</f>
        <v>2642483.8358754274</v>
      </c>
      <c r="I17" s="48"/>
    </row>
    <row r="18" spans="1:9" x14ac:dyDescent="0.2">
      <c r="D18" s="185"/>
      <c r="G18" s="185"/>
    </row>
    <row r="19" spans="1:9" x14ac:dyDescent="0.2">
      <c r="A19" s="180" t="s">
        <v>66</v>
      </c>
      <c r="B19" s="41">
        <v>0</v>
      </c>
      <c r="D19" s="186">
        <f t="shared" ref="D19:D26" si="0">$B19</f>
        <v>0</v>
      </c>
      <c r="E19" s="41">
        <f t="shared" ref="E19:E26" si="1">D19-B19</f>
        <v>0</v>
      </c>
      <c r="G19" s="42">
        <f>D19</f>
        <v>0</v>
      </c>
      <c r="H19" s="41">
        <f t="shared" ref="H19:H26" si="2">G19-D19</f>
        <v>0</v>
      </c>
    </row>
    <row r="20" spans="1:9" x14ac:dyDescent="0.2">
      <c r="A20" s="180" t="s">
        <v>68</v>
      </c>
      <c r="B20" s="41">
        <v>58024606.640000008</v>
      </c>
      <c r="D20" s="186">
        <f t="shared" si="0"/>
        <v>58024606.640000008</v>
      </c>
      <c r="E20" s="41">
        <f t="shared" si="1"/>
        <v>0</v>
      </c>
      <c r="G20" s="42">
        <f>D20</f>
        <v>58024606.640000008</v>
      </c>
      <c r="H20" s="41">
        <f t="shared" si="2"/>
        <v>0</v>
      </c>
    </row>
    <row r="21" spans="1:9" x14ac:dyDescent="0.2">
      <c r="A21" s="180" t="s">
        <v>69</v>
      </c>
      <c r="B21" s="41">
        <v>5707720.1600000001</v>
      </c>
      <c r="D21" s="186">
        <f t="shared" si="0"/>
        <v>5707720.1600000001</v>
      </c>
      <c r="E21" s="41">
        <f t="shared" si="1"/>
        <v>0</v>
      </c>
      <c r="G21" s="42">
        <f>'4.3.6'!E10</f>
        <v>9202624.0969941374</v>
      </c>
      <c r="H21" s="41">
        <f t="shared" si="2"/>
        <v>3494903.9369941372</v>
      </c>
      <c r="I21" s="182" t="s">
        <v>67</v>
      </c>
    </row>
    <row r="22" spans="1:9" x14ac:dyDescent="0.2">
      <c r="A22" s="180" t="s">
        <v>70</v>
      </c>
      <c r="B22" s="41">
        <v>836131.40000000014</v>
      </c>
      <c r="D22" s="186">
        <f t="shared" si="0"/>
        <v>836131.40000000014</v>
      </c>
      <c r="E22" s="41">
        <f t="shared" si="1"/>
        <v>0</v>
      </c>
      <c r="G22" s="42">
        <f>'4.3.6'!E11</f>
        <v>836131.4</v>
      </c>
      <c r="H22" s="41">
        <f t="shared" si="2"/>
        <v>0</v>
      </c>
      <c r="I22" s="182" t="s">
        <v>67</v>
      </c>
    </row>
    <row r="23" spans="1:9" x14ac:dyDescent="0.2">
      <c r="A23" s="180" t="s">
        <v>71</v>
      </c>
      <c r="B23" s="41">
        <v>856324.24</v>
      </c>
      <c r="D23" s="186">
        <f t="shared" si="0"/>
        <v>856324.24</v>
      </c>
      <c r="E23" s="41">
        <f t="shared" si="1"/>
        <v>0</v>
      </c>
      <c r="G23" s="42">
        <f>'4.3.6'!E12</f>
        <v>-35544.213289603606</v>
      </c>
      <c r="H23" s="41">
        <f t="shared" si="2"/>
        <v>-891868.45328960358</v>
      </c>
      <c r="I23" s="182" t="s">
        <v>67</v>
      </c>
    </row>
    <row r="24" spans="1:9" x14ac:dyDescent="0.2">
      <c r="A24" s="180" t="s">
        <v>72</v>
      </c>
      <c r="B24" s="41">
        <v>5454165.0199999996</v>
      </c>
      <c r="D24" s="186">
        <f t="shared" si="0"/>
        <v>5454165.0199999996</v>
      </c>
      <c r="E24" s="41">
        <f t="shared" si="1"/>
        <v>0</v>
      </c>
      <c r="G24" s="42">
        <f>'4.3.6'!E13</f>
        <v>4699390.5257755518</v>
      </c>
      <c r="H24" s="41">
        <f t="shared" si="2"/>
        <v>-754774.49422444776</v>
      </c>
      <c r="I24" s="182" t="s">
        <v>67</v>
      </c>
    </row>
    <row r="25" spans="1:9" x14ac:dyDescent="0.2">
      <c r="A25" s="180" t="s">
        <v>73</v>
      </c>
      <c r="B25" s="41">
        <v>40696820.050000004</v>
      </c>
      <c r="D25" s="186">
        <f t="shared" si="0"/>
        <v>40696820.050000004</v>
      </c>
      <c r="E25" s="41">
        <f t="shared" si="1"/>
        <v>0</v>
      </c>
      <c r="G25" s="42">
        <f>D25</f>
        <v>40696820.050000004</v>
      </c>
      <c r="H25" s="41">
        <f t="shared" si="2"/>
        <v>0</v>
      </c>
    </row>
    <row r="26" spans="1:9" x14ac:dyDescent="0.2">
      <c r="A26" s="180" t="s">
        <v>74</v>
      </c>
      <c r="B26" s="41">
        <v>25769675.300000001</v>
      </c>
      <c r="D26" s="186">
        <f t="shared" si="0"/>
        <v>25769675.300000001</v>
      </c>
      <c r="E26" s="41">
        <f t="shared" si="1"/>
        <v>0</v>
      </c>
      <c r="G26" s="42">
        <f>D26</f>
        <v>25769675.300000001</v>
      </c>
      <c r="H26" s="41">
        <f t="shared" si="2"/>
        <v>0</v>
      </c>
    </row>
    <row r="27" spans="1:9" x14ac:dyDescent="0.2">
      <c r="A27" s="43" t="s">
        <v>75</v>
      </c>
      <c r="B27" s="44">
        <f>SUBTOTAL(9,B21:B25)</f>
        <v>53551160.870000005</v>
      </c>
      <c r="C27" s="45"/>
      <c r="D27" s="46">
        <f>SUBTOTAL(9,D21:D25)</f>
        <v>53551160.870000005</v>
      </c>
      <c r="E27" s="44">
        <f>SUBTOTAL(9,E21:E25)</f>
        <v>0</v>
      </c>
      <c r="F27" s="45"/>
      <c r="G27" s="46">
        <f>SUBTOTAL(9,G21:G25)</f>
        <v>55399421.85948009</v>
      </c>
      <c r="H27" s="44">
        <f>SUBTOTAL(9,H21:H25)</f>
        <v>1848260.9894800857</v>
      </c>
      <c r="I27" s="48"/>
    </row>
    <row r="28" spans="1:9" x14ac:dyDescent="0.2">
      <c r="D28" s="185"/>
      <c r="G28" s="185"/>
    </row>
    <row r="29" spans="1:9" x14ac:dyDescent="0.2">
      <c r="A29" s="49" t="s">
        <v>76</v>
      </c>
      <c r="B29" s="44">
        <f>SUBTOTAL(9,B8:B28)</f>
        <v>733714977.46999991</v>
      </c>
      <c r="C29" s="45"/>
      <c r="D29" s="46">
        <f>SUBTOTAL(9,D8:D28)</f>
        <v>742328494.56844425</v>
      </c>
      <c r="E29" s="44">
        <f>SUBTOTAL(9,E8:E28)</f>
        <v>8613517.0984443761</v>
      </c>
      <c r="F29" s="45"/>
      <c r="G29" s="46">
        <f>SUBTOTAL(9,G8:G28)</f>
        <v>783717785.75084257</v>
      </c>
      <c r="H29" s="44">
        <f>SUBTOTAL(9,H8:H28)</f>
        <v>41389291.182398349</v>
      </c>
      <c r="I29" s="182" t="s">
        <v>77</v>
      </c>
    </row>
    <row r="30" spans="1:9" x14ac:dyDescent="0.2">
      <c r="B30" s="41"/>
      <c r="D30" s="185"/>
      <c r="G30" s="185"/>
    </row>
    <row r="31" spans="1:9" x14ac:dyDescent="0.2">
      <c r="A31" s="187" t="s">
        <v>78</v>
      </c>
      <c r="B31" s="41">
        <v>260469860.69757122</v>
      </c>
      <c r="D31" s="42">
        <v>263527671.52008453</v>
      </c>
      <c r="E31" s="41">
        <f>D31-B31</f>
        <v>3057810.8225133121</v>
      </c>
      <c r="G31" s="42">
        <v>278220928.76532227</v>
      </c>
      <c r="H31" s="41">
        <f>G31-D31</f>
        <v>14693257.245237738</v>
      </c>
      <c r="I31" s="182" t="s">
        <v>77</v>
      </c>
    </row>
    <row r="32" spans="1:9" x14ac:dyDescent="0.2">
      <c r="B32" s="41"/>
      <c r="D32" s="185"/>
      <c r="G32" s="185"/>
    </row>
    <row r="33" spans="1:9" ht="13.5" thickBot="1" x14ac:dyDescent="0.25">
      <c r="A33" s="49" t="s">
        <v>79</v>
      </c>
      <c r="B33" s="44">
        <f>B29-B31</f>
        <v>473245116.77242869</v>
      </c>
      <c r="C33" s="45"/>
      <c r="D33" s="50">
        <f>D29-D31</f>
        <v>478800823.04835975</v>
      </c>
      <c r="E33" s="44">
        <f>E29-E31</f>
        <v>5555706.275931064</v>
      </c>
      <c r="F33" s="45"/>
      <c r="G33" s="50">
        <f>G29-G31</f>
        <v>505496856.9855203</v>
      </c>
      <c r="H33" s="44">
        <f>H29-H31</f>
        <v>26696033.937160611</v>
      </c>
      <c r="I33" s="182" t="s">
        <v>77</v>
      </c>
    </row>
    <row r="34" spans="1:9" x14ac:dyDescent="0.2">
      <c r="B34" s="51"/>
      <c r="E34" s="52" t="s">
        <v>80</v>
      </c>
      <c r="H34" s="52" t="s">
        <v>81</v>
      </c>
      <c r="I34" s="53"/>
    </row>
  </sheetData>
  <pageMargins left="0.7" right="0.7" top="0.75" bottom="0.75" header="0.3" footer="0.3"/>
  <pageSetup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169DC-D09D-4AEE-BF46-369ACAFFEC52}">
  <sheetPr>
    <pageSetUpPr fitToPage="1"/>
  </sheetPr>
  <dimension ref="B1:E15"/>
  <sheetViews>
    <sheetView view="pageBreakPreview" zoomScaleNormal="100" zoomScaleSheetLayoutView="100" workbookViewId="0"/>
  </sheetViews>
  <sheetFormatPr defaultRowHeight="12.75" x14ac:dyDescent="0.2"/>
  <cols>
    <col min="1" max="1" width="3" style="174" customWidth="1"/>
    <col min="2" max="2" width="44.140625" style="174" customWidth="1"/>
    <col min="3" max="3" width="21.5703125" style="174" bestFit="1" customWidth="1"/>
    <col min="4" max="4" width="13.28515625" style="9" bestFit="1" customWidth="1"/>
    <col min="5" max="16384" width="9.140625" style="174"/>
  </cols>
  <sheetData>
    <row r="1" spans="2:5" x14ac:dyDescent="0.2">
      <c r="B1" s="33" t="s">
        <v>0</v>
      </c>
      <c r="D1" s="10" t="s">
        <v>1</v>
      </c>
      <c r="E1" s="176" t="s">
        <v>149</v>
      </c>
    </row>
    <row r="2" spans="2:5" x14ac:dyDescent="0.2">
      <c r="B2" s="33" t="s">
        <v>45</v>
      </c>
    </row>
    <row r="3" spans="2:5" x14ac:dyDescent="0.2">
      <c r="B3" s="33" t="s">
        <v>46</v>
      </c>
    </row>
    <row r="4" spans="2:5" x14ac:dyDescent="0.2">
      <c r="B4" s="33"/>
    </row>
    <row r="6" spans="2:5" x14ac:dyDescent="0.2">
      <c r="B6" s="54" t="s">
        <v>82</v>
      </c>
      <c r="C6" s="55"/>
      <c r="D6" s="55"/>
    </row>
    <row r="7" spans="2:5" x14ac:dyDescent="0.2">
      <c r="B7" s="55"/>
      <c r="C7" s="55"/>
      <c r="D7" s="56"/>
    </row>
    <row r="8" spans="2:5" x14ac:dyDescent="0.2">
      <c r="B8" s="55" t="s">
        <v>83</v>
      </c>
      <c r="C8" s="55"/>
      <c r="D8" s="57">
        <f>+'4.3.2'!B11</f>
        <v>521701901.59000003</v>
      </c>
      <c r="E8" s="1" t="s">
        <v>84</v>
      </c>
    </row>
    <row r="9" spans="2:5" x14ac:dyDescent="0.2">
      <c r="B9" s="55"/>
      <c r="C9" s="55"/>
      <c r="D9" s="58"/>
      <c r="E9" s="1"/>
    </row>
    <row r="10" spans="2:5" x14ac:dyDescent="0.2">
      <c r="B10" s="55" t="s">
        <v>85</v>
      </c>
      <c r="C10" s="55"/>
      <c r="D10" s="57">
        <f>+'4.3.2'!D11</f>
        <v>529748690.55639899</v>
      </c>
      <c r="E10" s="1" t="s">
        <v>84</v>
      </c>
    </row>
    <row r="11" spans="2:5" x14ac:dyDescent="0.2">
      <c r="B11" s="55"/>
      <c r="C11" s="55" t="s">
        <v>86</v>
      </c>
      <c r="D11" s="59">
        <f>D10/D8-1</f>
        <v>1.5424112777574051E-2</v>
      </c>
      <c r="E11" s="1"/>
    </row>
    <row r="12" spans="2:5" x14ac:dyDescent="0.2">
      <c r="B12" s="55"/>
      <c r="C12" s="55"/>
      <c r="D12" s="58"/>
      <c r="E12" s="1"/>
    </row>
    <row r="13" spans="2:5" x14ac:dyDescent="0.2">
      <c r="B13" s="55" t="s">
        <v>87</v>
      </c>
      <c r="C13" s="55"/>
      <c r="D13" s="57">
        <f>+'4.3.2'!G11</f>
        <v>563995219.02909362</v>
      </c>
      <c r="E13" s="1" t="s">
        <v>84</v>
      </c>
    </row>
    <row r="14" spans="2:5" x14ac:dyDescent="0.2">
      <c r="B14" s="55"/>
      <c r="C14" s="55" t="s">
        <v>88</v>
      </c>
      <c r="D14" s="59">
        <f>D13/D10-1</f>
        <v>6.4646744924891086E-2</v>
      </c>
    </row>
    <row r="15" spans="2:5" x14ac:dyDescent="0.2">
      <c r="B15" s="55"/>
      <c r="C15" s="60" t="s">
        <v>89</v>
      </c>
      <c r="D15" s="59">
        <f>D13/D8-1</f>
        <v>8.1067976386889784E-2</v>
      </c>
    </row>
  </sheetData>
  <pageMargins left="0.7" right="0.7"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CEF17-5A8B-43AB-B146-940BB368F362}">
  <sheetPr>
    <pageSetUpPr fitToPage="1"/>
  </sheetPr>
  <dimension ref="A3:P62"/>
  <sheetViews>
    <sheetView view="pageBreakPreview" zoomScale="80" zoomScaleNormal="100" zoomScaleSheetLayoutView="80" workbookViewId="0"/>
  </sheetViews>
  <sheetFormatPr defaultRowHeight="12.75" x14ac:dyDescent="0.2"/>
  <cols>
    <col min="1" max="1" width="8.85546875" style="55" customWidth="1"/>
    <col min="2" max="2" width="28.85546875" style="55" customWidth="1"/>
    <col min="3" max="3" width="13.7109375" style="62" customWidth="1"/>
    <col min="4" max="15" width="13.7109375" style="55" customWidth="1"/>
    <col min="16" max="16" width="11.5703125" style="62" bestFit="1" customWidth="1"/>
    <col min="17" max="16384" width="9.140625" style="8"/>
  </cols>
  <sheetData>
    <row r="3" spans="1:16" x14ac:dyDescent="0.2">
      <c r="A3" s="61" t="str">
        <f>"Labor ("&amp;LEFT('4.3.2'!B7,100)&amp;")"</f>
        <v>Labor (12 Months Ended June 2022)</v>
      </c>
    </row>
    <row r="4" spans="1:16" x14ac:dyDescent="0.2">
      <c r="A4" s="168" t="s">
        <v>90</v>
      </c>
      <c r="B4" s="169"/>
      <c r="C4" s="63">
        <v>44378</v>
      </c>
      <c r="D4" s="63">
        <v>44409</v>
      </c>
      <c r="E4" s="63">
        <v>44440</v>
      </c>
      <c r="F4" s="63">
        <v>44470</v>
      </c>
      <c r="G4" s="63">
        <v>44501</v>
      </c>
      <c r="H4" s="63">
        <v>44531</v>
      </c>
      <c r="I4" s="63">
        <v>44562</v>
      </c>
      <c r="J4" s="63">
        <v>44593</v>
      </c>
      <c r="K4" s="63">
        <v>44621</v>
      </c>
      <c r="L4" s="63">
        <v>44652</v>
      </c>
      <c r="M4" s="63">
        <v>44682</v>
      </c>
      <c r="N4" s="63">
        <v>44713</v>
      </c>
      <c r="O4" s="64" t="s">
        <v>91</v>
      </c>
    </row>
    <row r="5" spans="1:16" x14ac:dyDescent="0.2">
      <c r="A5" s="170" t="s">
        <v>56</v>
      </c>
      <c r="B5" s="171"/>
      <c r="C5" s="65">
        <v>36489.395840000012</v>
      </c>
      <c r="D5" s="65">
        <v>35503.309649999996</v>
      </c>
      <c r="E5" s="65">
        <v>36479.856840000008</v>
      </c>
      <c r="F5" s="65">
        <v>34160.833069999993</v>
      </c>
      <c r="G5" s="65">
        <v>35461.169710000009</v>
      </c>
      <c r="H5" s="65">
        <v>37617.063080000007</v>
      </c>
      <c r="I5" s="65">
        <v>34378.675000000003</v>
      </c>
      <c r="J5" s="65">
        <v>33129.592999999993</v>
      </c>
      <c r="K5" s="65">
        <v>39330.588950000005</v>
      </c>
      <c r="L5" s="65">
        <v>34768.175640000001</v>
      </c>
      <c r="M5" s="65">
        <v>35898.939869999995</v>
      </c>
      <c r="N5" s="65">
        <v>37647.621490000012</v>
      </c>
      <c r="O5" s="66">
        <f>SUM(C5:N5)</f>
        <v>430865.22214000003</v>
      </c>
      <c r="P5" s="67" t="s">
        <v>84</v>
      </c>
    </row>
    <row r="6" spans="1:16" x14ac:dyDescent="0.2">
      <c r="A6" s="170" t="s">
        <v>57</v>
      </c>
      <c r="B6" s="171"/>
      <c r="C6" s="65">
        <v>6892.647899999999</v>
      </c>
      <c r="D6" s="65">
        <v>6456.4444400000002</v>
      </c>
      <c r="E6" s="65">
        <v>5844.1026199999997</v>
      </c>
      <c r="F6" s="65">
        <v>5460.4611699999996</v>
      </c>
      <c r="G6" s="65">
        <v>5399.6055699999997</v>
      </c>
      <c r="H6" s="65">
        <v>7217.0492299999996</v>
      </c>
      <c r="I6" s="65">
        <v>6417.9028100000005</v>
      </c>
      <c r="J6" s="65">
        <v>4528.4144399999996</v>
      </c>
      <c r="K6" s="65">
        <v>7116.2624500000011</v>
      </c>
      <c r="L6" s="65">
        <v>7520.0697199999995</v>
      </c>
      <c r="M6" s="65">
        <v>6528.8731500000013</v>
      </c>
      <c r="N6" s="65">
        <v>7497.8914700000005</v>
      </c>
      <c r="O6" s="66">
        <f>SUM(C6:N6)</f>
        <v>76879.72497000001</v>
      </c>
      <c r="P6" s="67" t="s">
        <v>84</v>
      </c>
    </row>
    <row r="7" spans="1:16" x14ac:dyDescent="0.2">
      <c r="A7" s="170" t="s">
        <v>58</v>
      </c>
      <c r="B7" s="171"/>
      <c r="C7" s="65">
        <v>1339.7143299999998</v>
      </c>
      <c r="D7" s="65">
        <v>1262.19164</v>
      </c>
      <c r="E7" s="65">
        <v>1041.6983</v>
      </c>
      <c r="F7" s="65">
        <v>1111.3556899999999</v>
      </c>
      <c r="G7" s="65">
        <v>1208.8154100000002</v>
      </c>
      <c r="H7" s="65">
        <v>1282.1382100000001</v>
      </c>
      <c r="I7" s="65">
        <v>828.90165999999988</v>
      </c>
      <c r="J7" s="65">
        <v>860.51672999999994</v>
      </c>
      <c r="K7" s="65">
        <v>1216.9171399999998</v>
      </c>
      <c r="L7" s="65">
        <v>1306.31744</v>
      </c>
      <c r="M7" s="65">
        <v>1181.06826</v>
      </c>
      <c r="N7" s="65">
        <v>1317.3196700000001</v>
      </c>
      <c r="O7" s="66">
        <f>SUM(C7:N7)</f>
        <v>13956.95448</v>
      </c>
      <c r="P7" s="67" t="s">
        <v>84</v>
      </c>
    </row>
    <row r="8" spans="1:16" x14ac:dyDescent="0.2">
      <c r="A8" s="172" t="s">
        <v>92</v>
      </c>
      <c r="B8" s="173"/>
      <c r="C8" s="68">
        <f t="shared" ref="C8:O8" si="0">SUM(C5:C7)</f>
        <v>44721.758070000011</v>
      </c>
      <c r="D8" s="68">
        <f t="shared" si="0"/>
        <v>43221.945729999992</v>
      </c>
      <c r="E8" s="68">
        <f t="shared" si="0"/>
        <v>43365.657760000002</v>
      </c>
      <c r="F8" s="68">
        <f t="shared" si="0"/>
        <v>40732.649929999992</v>
      </c>
      <c r="G8" s="68">
        <f t="shared" si="0"/>
        <v>42069.590690000012</v>
      </c>
      <c r="H8" s="68">
        <f t="shared" si="0"/>
        <v>46116.250520000001</v>
      </c>
      <c r="I8" s="68">
        <f t="shared" si="0"/>
        <v>41625.479470000006</v>
      </c>
      <c r="J8" s="68">
        <f t="shared" si="0"/>
        <v>38518.524169999997</v>
      </c>
      <c r="K8" s="68">
        <f t="shared" si="0"/>
        <v>47663.768540000005</v>
      </c>
      <c r="L8" s="68">
        <f t="shared" si="0"/>
        <v>43594.5628</v>
      </c>
      <c r="M8" s="68">
        <f t="shared" si="0"/>
        <v>43608.881279999994</v>
      </c>
      <c r="N8" s="68">
        <f t="shared" si="0"/>
        <v>46462.832630000012</v>
      </c>
      <c r="O8" s="69">
        <f t="shared" si="0"/>
        <v>521701.90159000008</v>
      </c>
      <c r="P8" s="67" t="s">
        <v>84</v>
      </c>
    </row>
    <row r="9" spans="1:16" x14ac:dyDescent="0.2">
      <c r="C9" s="55"/>
      <c r="O9" s="70"/>
    </row>
    <row r="10" spans="1:16" x14ac:dyDescent="0.2">
      <c r="C10" s="55"/>
      <c r="O10" s="70"/>
    </row>
    <row r="11" spans="1:16" x14ac:dyDescent="0.2">
      <c r="A11" s="61" t="str">
        <f>"Labor ("&amp;LEFT('4.3.2'!B7,100)&amp;")"</f>
        <v>Labor (12 Months Ended June 2022)</v>
      </c>
      <c r="B11" s="61"/>
      <c r="F11" s="62"/>
      <c r="I11" s="62"/>
      <c r="O11" s="70"/>
    </row>
    <row r="12" spans="1:16" ht="25.5" x14ac:dyDescent="0.2">
      <c r="A12" s="71" t="s">
        <v>93</v>
      </c>
      <c r="B12" s="72" t="s">
        <v>94</v>
      </c>
      <c r="C12" s="63">
        <v>44378</v>
      </c>
      <c r="D12" s="63">
        <v>44409</v>
      </c>
      <c r="E12" s="63">
        <v>44440</v>
      </c>
      <c r="F12" s="63">
        <v>44470</v>
      </c>
      <c r="G12" s="63">
        <v>44501</v>
      </c>
      <c r="H12" s="63">
        <v>44531</v>
      </c>
      <c r="I12" s="63">
        <v>44562</v>
      </c>
      <c r="J12" s="63">
        <v>44593</v>
      </c>
      <c r="K12" s="63">
        <v>44621</v>
      </c>
      <c r="L12" s="63">
        <v>44652</v>
      </c>
      <c r="M12" s="63">
        <v>44682</v>
      </c>
      <c r="N12" s="63">
        <v>44713</v>
      </c>
      <c r="O12" s="64" t="s">
        <v>91</v>
      </c>
    </row>
    <row r="13" spans="1:16" x14ac:dyDescent="0.2">
      <c r="A13" s="73">
        <v>2</v>
      </c>
      <c r="B13" s="74" t="s">
        <v>95</v>
      </c>
      <c r="C13" s="65">
        <v>16719.174414475045</v>
      </c>
      <c r="D13" s="65">
        <v>15071.68734</v>
      </c>
      <c r="E13" s="65">
        <v>16185.917266742932</v>
      </c>
      <c r="F13" s="65">
        <v>15074.255608109142</v>
      </c>
      <c r="G13" s="65">
        <v>15222.492631144334</v>
      </c>
      <c r="H13" s="65">
        <v>17078.729658176773</v>
      </c>
      <c r="I13" s="65">
        <v>15130.526</v>
      </c>
      <c r="J13" s="65">
        <v>14099.474440000002</v>
      </c>
      <c r="K13" s="65">
        <v>18468.946820000001</v>
      </c>
      <c r="L13" s="65">
        <v>15789.31201</v>
      </c>
      <c r="M13" s="65">
        <v>16017.001039999999</v>
      </c>
      <c r="N13" s="65">
        <v>17110.135747404907</v>
      </c>
      <c r="O13" s="66">
        <f t="shared" ref="O13:O24" si="1">SUM(C13:N13)</f>
        <v>191967.65297605316</v>
      </c>
    </row>
    <row r="14" spans="1:16" x14ac:dyDescent="0.2">
      <c r="A14" s="73">
        <v>3</v>
      </c>
      <c r="B14" s="74" t="s">
        <v>96</v>
      </c>
      <c r="C14" s="65">
        <v>3688.6869107129864</v>
      </c>
      <c r="D14" s="65">
        <v>3562.5688000000005</v>
      </c>
      <c r="E14" s="65">
        <v>3547.9228603923675</v>
      </c>
      <c r="F14" s="65">
        <v>3296.3495182656202</v>
      </c>
      <c r="G14" s="65">
        <v>3413.7281403763327</v>
      </c>
      <c r="H14" s="65">
        <v>3618.6314899697927</v>
      </c>
      <c r="I14" s="65">
        <v>3616.9644499999999</v>
      </c>
      <c r="J14" s="65">
        <v>3097.5137100000002</v>
      </c>
      <c r="K14" s="65">
        <v>3962.5631800000001</v>
      </c>
      <c r="L14" s="65">
        <v>4138.3741999999993</v>
      </c>
      <c r="M14" s="65">
        <v>3682.2562699999999</v>
      </c>
      <c r="N14" s="65">
        <v>3826.7977268882505</v>
      </c>
      <c r="O14" s="66">
        <f t="shared" si="1"/>
        <v>43452.357256605355</v>
      </c>
    </row>
    <row r="15" spans="1:16" x14ac:dyDescent="0.2">
      <c r="A15" s="73">
        <v>4</v>
      </c>
      <c r="B15" s="74" t="s">
        <v>97</v>
      </c>
      <c r="C15" s="65">
        <v>4320.9927780810631</v>
      </c>
      <c r="D15" s="65">
        <v>4159.9085300000006</v>
      </c>
      <c r="E15" s="65">
        <v>4055.5714565866374</v>
      </c>
      <c r="F15" s="65">
        <v>3769.5381799572478</v>
      </c>
      <c r="G15" s="65">
        <v>3866.5675714259764</v>
      </c>
      <c r="H15" s="65">
        <v>4246.7912044471786</v>
      </c>
      <c r="I15" s="65">
        <v>4572.84202</v>
      </c>
      <c r="J15" s="65">
        <v>3431.7027199999998</v>
      </c>
      <c r="K15" s="65">
        <v>4172.5854199999994</v>
      </c>
      <c r="L15" s="65">
        <v>3694.9482200000002</v>
      </c>
      <c r="M15" s="65">
        <v>3890.2371899999998</v>
      </c>
      <c r="N15" s="65">
        <v>4180.6514338482457</v>
      </c>
      <c r="O15" s="66">
        <f t="shared" si="1"/>
        <v>48362.336724346344</v>
      </c>
    </row>
    <row r="16" spans="1:16" x14ac:dyDescent="0.2">
      <c r="A16" s="73">
        <v>5</v>
      </c>
      <c r="B16" s="74" t="s">
        <v>98</v>
      </c>
      <c r="C16" s="65">
        <v>170.16732802352865</v>
      </c>
      <c r="D16" s="65">
        <v>185.93759999999997</v>
      </c>
      <c r="E16" s="65">
        <v>222.88384089478453</v>
      </c>
      <c r="F16" s="65">
        <v>184.43781153827697</v>
      </c>
      <c r="G16" s="65">
        <v>182.19480203303095</v>
      </c>
      <c r="H16" s="65">
        <v>215.25974657234596</v>
      </c>
      <c r="I16" s="65">
        <v>271.48301000000004</v>
      </c>
      <c r="J16" s="65">
        <v>151.76791000000003</v>
      </c>
      <c r="K16" s="65">
        <v>223.30394999999999</v>
      </c>
      <c r="L16" s="65">
        <v>166.47736</v>
      </c>
      <c r="M16" s="65">
        <v>170.52800999999997</v>
      </c>
      <c r="N16" s="65">
        <v>208.63786359881885</v>
      </c>
      <c r="O16" s="66">
        <f t="shared" si="1"/>
        <v>2353.0792326607857</v>
      </c>
    </row>
    <row r="17" spans="1:16" x14ac:dyDescent="0.2">
      <c r="A17" s="73">
        <v>8</v>
      </c>
      <c r="B17" s="74" t="s">
        <v>99</v>
      </c>
      <c r="C17" s="65">
        <v>4299.3841820833259</v>
      </c>
      <c r="D17" s="65">
        <v>4018.7849999999999</v>
      </c>
      <c r="E17" s="65">
        <v>4003.218561669612</v>
      </c>
      <c r="F17" s="65">
        <v>3895.7970482618821</v>
      </c>
      <c r="G17" s="65">
        <v>4038.1472609585708</v>
      </c>
      <c r="H17" s="65">
        <v>4468.0938438759304</v>
      </c>
      <c r="I17" s="65">
        <v>3787.67652</v>
      </c>
      <c r="J17" s="65">
        <v>3516.8135400000001</v>
      </c>
      <c r="K17" s="65">
        <v>4182.3205699999999</v>
      </c>
      <c r="L17" s="65">
        <v>4321.5409300000001</v>
      </c>
      <c r="M17" s="65">
        <v>4224.9014299999999</v>
      </c>
      <c r="N17" s="65">
        <v>4335.9658156635032</v>
      </c>
      <c r="O17" s="66">
        <f t="shared" si="1"/>
        <v>49092.644702512822</v>
      </c>
    </row>
    <row r="18" spans="1:16" x14ac:dyDescent="0.2">
      <c r="A18" s="73">
        <v>9</v>
      </c>
      <c r="B18" s="188" t="s">
        <v>100</v>
      </c>
      <c r="C18" s="65">
        <v>59.81992826104424</v>
      </c>
      <c r="D18" s="65">
        <v>75.189410000000009</v>
      </c>
      <c r="E18" s="65">
        <v>56.407426774694898</v>
      </c>
      <c r="F18" s="65">
        <v>68.539371582224319</v>
      </c>
      <c r="G18" s="65">
        <v>53.073388959955416</v>
      </c>
      <c r="H18" s="65">
        <v>65.430246189496771</v>
      </c>
      <c r="I18" s="65">
        <v>69.927279999999996</v>
      </c>
      <c r="J18" s="65">
        <v>60.876249999999999</v>
      </c>
      <c r="K18" s="65">
        <v>79.242639999999994</v>
      </c>
      <c r="L18" s="65">
        <v>79.760770000000008</v>
      </c>
      <c r="M18" s="65">
        <v>81.205210000000008</v>
      </c>
      <c r="N18" s="65">
        <v>88.747990684808002</v>
      </c>
      <c r="O18" s="66">
        <f t="shared" si="1"/>
        <v>838.21991245222353</v>
      </c>
    </row>
    <row r="19" spans="1:16" x14ac:dyDescent="0.2">
      <c r="A19" s="73">
        <v>11</v>
      </c>
      <c r="B19" s="74" t="s">
        <v>101</v>
      </c>
      <c r="C19" s="65">
        <v>10105.351273724402</v>
      </c>
      <c r="D19" s="65">
        <v>10526.793700000002</v>
      </c>
      <c r="E19" s="65">
        <v>9741.3861820279089</v>
      </c>
      <c r="F19" s="65">
        <v>9421.1466512236802</v>
      </c>
      <c r="G19" s="65">
        <v>9861.6907734135875</v>
      </c>
      <c r="H19" s="65">
        <v>10441.845625099693</v>
      </c>
      <c r="I19" s="65">
        <v>8970.3116299999983</v>
      </c>
      <c r="J19" s="65">
        <v>9149.7832699999999</v>
      </c>
      <c r="K19" s="65">
        <v>10717.73669</v>
      </c>
      <c r="L19" s="65">
        <v>9828.1945999999989</v>
      </c>
      <c r="M19" s="65">
        <v>10020.17726</v>
      </c>
      <c r="N19" s="65">
        <v>11021.124670041905</v>
      </c>
      <c r="O19" s="66">
        <f t="shared" si="1"/>
        <v>119805.54232553118</v>
      </c>
    </row>
    <row r="20" spans="1:16" x14ac:dyDescent="0.2">
      <c r="A20" s="73">
        <v>12</v>
      </c>
      <c r="B20" s="74" t="s">
        <v>102</v>
      </c>
      <c r="C20" s="65">
        <v>3323.5502528227003</v>
      </c>
      <c r="D20" s="65">
        <v>3596.3035800000002</v>
      </c>
      <c r="E20" s="65">
        <v>3435.0967378719879</v>
      </c>
      <c r="F20" s="65">
        <v>3056.0540894974961</v>
      </c>
      <c r="G20" s="65">
        <v>3463.3515821950559</v>
      </c>
      <c r="H20" s="65">
        <v>3850.2211248551775</v>
      </c>
      <c r="I20" s="65">
        <v>3273.6346400000002</v>
      </c>
      <c r="J20" s="65">
        <v>3210.1797900000001</v>
      </c>
      <c r="K20" s="65">
        <v>3990.3257300000005</v>
      </c>
      <c r="L20" s="65">
        <v>3645.6511800000003</v>
      </c>
      <c r="M20" s="65">
        <v>3491.0116699999999</v>
      </c>
      <c r="N20" s="65">
        <v>3542.2243202116156</v>
      </c>
      <c r="O20" s="66">
        <f t="shared" si="1"/>
        <v>41877.60469745403</v>
      </c>
    </row>
    <row r="21" spans="1:16" x14ac:dyDescent="0.2">
      <c r="A21" s="73">
        <v>13</v>
      </c>
      <c r="B21" s="74" t="s">
        <v>103</v>
      </c>
      <c r="C21" s="65">
        <v>464.97148455735709</v>
      </c>
      <c r="D21" s="65">
        <v>492.39510999999999</v>
      </c>
      <c r="E21" s="65">
        <v>488.63087070013967</v>
      </c>
      <c r="F21" s="65">
        <v>452.52740295719155</v>
      </c>
      <c r="G21" s="65">
        <v>450.60590674722965</v>
      </c>
      <c r="H21" s="65">
        <v>462.35569551965324</v>
      </c>
      <c r="I21" s="65">
        <v>418.77424999999999</v>
      </c>
      <c r="J21" s="65">
        <v>411.72147000000001</v>
      </c>
      <c r="K21" s="65">
        <v>426.54118</v>
      </c>
      <c r="L21" s="65">
        <v>415.06626</v>
      </c>
      <c r="M21" s="65">
        <v>448.54091</v>
      </c>
      <c r="N21" s="65">
        <v>449.17025932446001</v>
      </c>
      <c r="O21" s="66">
        <f t="shared" si="1"/>
        <v>5381.3007998060302</v>
      </c>
    </row>
    <row r="22" spans="1:16" x14ac:dyDescent="0.2">
      <c r="A22" s="73">
        <v>15</v>
      </c>
      <c r="B22" s="74" t="s">
        <v>104</v>
      </c>
      <c r="C22" s="65">
        <v>330.96196986154706</v>
      </c>
      <c r="D22" s="65">
        <v>373.19134000000003</v>
      </c>
      <c r="E22" s="65">
        <v>398.61600479288109</v>
      </c>
      <c r="F22" s="65">
        <v>383.86514343129363</v>
      </c>
      <c r="G22" s="65">
        <v>343.92640351078086</v>
      </c>
      <c r="H22" s="65">
        <v>365.13862218663712</v>
      </c>
      <c r="I22" s="65">
        <v>343.93772000000001</v>
      </c>
      <c r="J22" s="65">
        <v>314.72013999999996</v>
      </c>
      <c r="K22" s="65">
        <v>357.20022999999998</v>
      </c>
      <c r="L22" s="65">
        <v>377.47976</v>
      </c>
      <c r="M22" s="65">
        <v>366.94435999999996</v>
      </c>
      <c r="N22" s="65">
        <v>364.33687163636563</v>
      </c>
      <c r="O22" s="66">
        <f t="shared" si="1"/>
        <v>4320.3185654195049</v>
      </c>
    </row>
    <row r="23" spans="1:16" x14ac:dyDescent="0.2">
      <c r="A23" s="73">
        <v>16</v>
      </c>
      <c r="B23" s="74" t="s">
        <v>105</v>
      </c>
      <c r="C23" s="65">
        <v>132.26038978486679</v>
      </c>
      <c r="D23" s="65">
        <v>124.83612000000001</v>
      </c>
      <c r="E23" s="65">
        <v>135.77272726577098</v>
      </c>
      <c r="F23" s="65">
        <v>122.18306144709567</v>
      </c>
      <c r="G23" s="65">
        <v>151.12941612204179</v>
      </c>
      <c r="H23" s="65">
        <v>137.99299437127857</v>
      </c>
      <c r="I23" s="65">
        <v>117.56354999999999</v>
      </c>
      <c r="J23" s="65">
        <v>111.16450999999999</v>
      </c>
      <c r="K23" s="65">
        <v>110.31031</v>
      </c>
      <c r="L23" s="65">
        <v>114.34332999999998</v>
      </c>
      <c r="M23" s="65">
        <v>178.09683999999999</v>
      </c>
      <c r="N23" s="65">
        <v>179.39115446943455</v>
      </c>
      <c r="O23" s="66">
        <f t="shared" si="1"/>
        <v>1615.0444034604882</v>
      </c>
    </row>
    <row r="24" spans="1:16" x14ac:dyDescent="0.2">
      <c r="A24" s="73">
        <v>18</v>
      </c>
      <c r="B24" s="74" t="s">
        <v>106</v>
      </c>
      <c r="C24" s="65">
        <v>1106.4371576121321</v>
      </c>
      <c r="D24" s="65">
        <v>1034.3491999999999</v>
      </c>
      <c r="E24" s="65">
        <v>1094.2338242802844</v>
      </c>
      <c r="F24" s="65">
        <v>1007.9560437288495</v>
      </c>
      <c r="G24" s="65">
        <v>1022.682813113104</v>
      </c>
      <c r="H24" s="65">
        <v>1165.76026873604</v>
      </c>
      <c r="I24" s="65">
        <v>1051.8384000000001</v>
      </c>
      <c r="J24" s="65">
        <v>962.80642</v>
      </c>
      <c r="K24" s="65">
        <v>972.69182000000012</v>
      </c>
      <c r="L24" s="65">
        <v>1023.4141800000001</v>
      </c>
      <c r="M24" s="65">
        <v>1037.98109</v>
      </c>
      <c r="N24" s="65">
        <v>1155.6487762276874</v>
      </c>
      <c r="O24" s="66">
        <f t="shared" si="1"/>
        <v>12635.799993698096</v>
      </c>
    </row>
    <row r="25" spans="1:16" x14ac:dyDescent="0.2">
      <c r="A25" s="75" t="s">
        <v>92</v>
      </c>
      <c r="B25" s="76"/>
      <c r="C25" s="64">
        <f t="shared" ref="C25:O25" si="2">SUM(C13:C24)</f>
        <v>44721.758069999996</v>
      </c>
      <c r="D25" s="64">
        <f t="shared" si="2"/>
        <v>43221.945729999999</v>
      </c>
      <c r="E25" s="64">
        <f t="shared" si="2"/>
        <v>43365.657759999995</v>
      </c>
      <c r="F25" s="64">
        <f t="shared" si="2"/>
        <v>40732.649930000007</v>
      </c>
      <c r="G25" s="64">
        <f t="shared" si="2"/>
        <v>42069.590690000005</v>
      </c>
      <c r="H25" s="64">
        <f t="shared" si="2"/>
        <v>46116.250519999994</v>
      </c>
      <c r="I25" s="64">
        <f t="shared" si="2"/>
        <v>41625.479470000006</v>
      </c>
      <c r="J25" s="64">
        <f t="shared" si="2"/>
        <v>38518.524170000004</v>
      </c>
      <c r="K25" s="64">
        <f t="shared" si="2"/>
        <v>47663.768540000012</v>
      </c>
      <c r="L25" s="64">
        <f t="shared" si="2"/>
        <v>43594.5628</v>
      </c>
      <c r="M25" s="64">
        <f t="shared" si="2"/>
        <v>43608.881280000009</v>
      </c>
      <c r="N25" s="64">
        <f t="shared" si="2"/>
        <v>46462.832630000004</v>
      </c>
      <c r="O25" s="64">
        <f t="shared" si="2"/>
        <v>521701.90159000002</v>
      </c>
      <c r="P25" s="67"/>
    </row>
    <row r="26" spans="1:16" x14ac:dyDescent="0.2">
      <c r="A26" s="77"/>
      <c r="B26" s="61"/>
      <c r="C26" s="78"/>
      <c r="D26" s="78"/>
      <c r="E26" s="78"/>
      <c r="F26" s="78"/>
      <c r="G26" s="78"/>
      <c r="H26" s="78"/>
      <c r="I26" s="78"/>
      <c r="J26" s="78"/>
      <c r="K26" s="78"/>
      <c r="L26" s="78"/>
      <c r="M26" s="78"/>
      <c r="N26" s="78"/>
      <c r="O26" s="78"/>
    </row>
    <row r="27" spans="1:16" x14ac:dyDescent="0.2">
      <c r="C27" s="79"/>
      <c r="D27" s="79"/>
      <c r="E27" s="79"/>
      <c r="F27" s="79"/>
      <c r="G27" s="79"/>
      <c r="H27" s="79"/>
      <c r="I27" s="79"/>
      <c r="J27" s="79"/>
      <c r="K27" s="79"/>
      <c r="O27" s="80" t="s">
        <v>47</v>
      </c>
    </row>
    <row r="28" spans="1:16" x14ac:dyDescent="0.2">
      <c r="A28" s="81" t="s">
        <v>107</v>
      </c>
      <c r="C28" s="55"/>
    </row>
    <row r="29" spans="1:16" ht="25.5" x14ac:dyDescent="0.2">
      <c r="A29" s="82" t="s">
        <v>93</v>
      </c>
      <c r="B29" s="83" t="s">
        <v>94</v>
      </c>
      <c r="C29" s="63">
        <f t="shared" ref="C29:N29" si="3">C4</f>
        <v>44378</v>
      </c>
      <c r="D29" s="63">
        <f t="shared" si="3"/>
        <v>44409</v>
      </c>
      <c r="E29" s="63">
        <f t="shared" si="3"/>
        <v>44440</v>
      </c>
      <c r="F29" s="63">
        <f t="shared" si="3"/>
        <v>44470</v>
      </c>
      <c r="G29" s="63">
        <f t="shared" si="3"/>
        <v>44501</v>
      </c>
      <c r="H29" s="63">
        <f t="shared" si="3"/>
        <v>44531</v>
      </c>
      <c r="I29" s="63">
        <f t="shared" si="3"/>
        <v>44562</v>
      </c>
      <c r="J29" s="63">
        <f t="shared" si="3"/>
        <v>44593</v>
      </c>
      <c r="K29" s="63">
        <f t="shared" si="3"/>
        <v>44621</v>
      </c>
      <c r="L29" s="63">
        <f t="shared" si="3"/>
        <v>44652</v>
      </c>
      <c r="M29" s="63">
        <f t="shared" si="3"/>
        <v>44682</v>
      </c>
      <c r="N29" s="63">
        <f t="shared" si="3"/>
        <v>44713</v>
      </c>
      <c r="O29" s="84"/>
    </row>
    <row r="30" spans="1:16" x14ac:dyDescent="0.2">
      <c r="A30" s="189">
        <v>2</v>
      </c>
      <c r="B30" s="190" t="s">
        <v>108</v>
      </c>
      <c r="C30" s="85"/>
      <c r="D30" s="85"/>
      <c r="E30" s="85"/>
      <c r="F30" s="85"/>
      <c r="G30" s="85"/>
      <c r="H30" s="85"/>
      <c r="I30" s="85">
        <v>3.5200000000000002E-2</v>
      </c>
      <c r="J30" s="85"/>
      <c r="K30" s="85"/>
      <c r="L30" s="85"/>
      <c r="M30" s="85"/>
      <c r="N30" s="85"/>
      <c r="O30" s="86" t="s">
        <v>109</v>
      </c>
    </row>
    <row r="31" spans="1:16" x14ac:dyDescent="0.2">
      <c r="A31" s="189">
        <v>3</v>
      </c>
      <c r="B31" s="190" t="s">
        <v>110</v>
      </c>
      <c r="C31" s="85"/>
      <c r="D31" s="85"/>
      <c r="E31" s="85"/>
      <c r="F31" s="85"/>
      <c r="G31" s="85"/>
      <c r="H31" s="85"/>
      <c r="I31" s="85"/>
      <c r="J31" s="85">
        <v>3.5000000000000003E-2</v>
      </c>
      <c r="K31" s="85"/>
      <c r="L31" s="85"/>
      <c r="M31" s="85"/>
      <c r="N31" s="85"/>
      <c r="O31" s="86" t="s">
        <v>109</v>
      </c>
    </row>
    <row r="32" spans="1:16" x14ac:dyDescent="0.2">
      <c r="A32" s="189">
        <v>4</v>
      </c>
      <c r="B32" s="190" t="s">
        <v>111</v>
      </c>
      <c r="C32" s="85"/>
      <c r="D32" s="85"/>
      <c r="E32" s="85"/>
      <c r="F32" s="85"/>
      <c r="G32" s="85"/>
      <c r="H32" s="85"/>
      <c r="I32" s="85"/>
      <c r="J32" s="85"/>
      <c r="K32" s="85"/>
      <c r="L32" s="85"/>
      <c r="M32" s="85">
        <v>0.02</v>
      </c>
      <c r="N32" s="85"/>
      <c r="O32" s="86" t="s">
        <v>109</v>
      </c>
    </row>
    <row r="33" spans="1:15" x14ac:dyDescent="0.2">
      <c r="A33" s="189">
        <v>5</v>
      </c>
      <c r="B33" s="190" t="s">
        <v>112</v>
      </c>
      <c r="C33" s="85"/>
      <c r="D33" s="85"/>
      <c r="E33" s="85"/>
      <c r="F33" s="85"/>
      <c r="G33" s="85"/>
      <c r="H33" s="85"/>
      <c r="I33" s="85"/>
      <c r="J33" s="85"/>
      <c r="K33" s="85"/>
      <c r="L33" s="85"/>
      <c r="M33" s="85"/>
      <c r="N33" s="85">
        <v>2.5000000000000001E-2</v>
      </c>
      <c r="O33" s="87" t="s">
        <v>109</v>
      </c>
    </row>
    <row r="34" spans="1:15" x14ac:dyDescent="0.2">
      <c r="A34" s="189">
        <v>8</v>
      </c>
      <c r="B34" s="190" t="s">
        <v>113</v>
      </c>
      <c r="C34" s="85"/>
      <c r="D34" s="85"/>
      <c r="E34" s="85"/>
      <c r="F34" s="85">
        <v>0.02</v>
      </c>
      <c r="G34" s="85"/>
      <c r="H34" s="85"/>
      <c r="I34" s="85"/>
      <c r="J34" s="85"/>
      <c r="K34" s="85"/>
      <c r="L34" s="85"/>
      <c r="M34" s="85"/>
      <c r="N34" s="85"/>
      <c r="O34" s="86" t="s">
        <v>109</v>
      </c>
    </row>
    <row r="35" spans="1:15" x14ac:dyDescent="0.2">
      <c r="A35" s="189">
        <v>9</v>
      </c>
      <c r="B35" s="190" t="s">
        <v>114</v>
      </c>
      <c r="C35" s="85">
        <v>2.5000000000000001E-2</v>
      </c>
      <c r="D35" s="85"/>
      <c r="E35" s="85"/>
      <c r="F35" s="85"/>
      <c r="G35" s="85"/>
      <c r="H35" s="85"/>
      <c r="I35" s="85"/>
      <c r="J35" s="85"/>
      <c r="K35" s="85"/>
      <c r="L35" s="85"/>
      <c r="M35" s="85"/>
      <c r="N35" s="85"/>
      <c r="O35" s="86" t="s">
        <v>109</v>
      </c>
    </row>
    <row r="36" spans="1:15" x14ac:dyDescent="0.2">
      <c r="A36" s="189">
        <v>11</v>
      </c>
      <c r="B36" s="190" t="s">
        <v>115</v>
      </c>
      <c r="C36" s="85"/>
      <c r="D36" s="85"/>
      <c r="E36" s="85"/>
      <c r="F36" s="85"/>
      <c r="G36" s="85"/>
      <c r="H36" s="85"/>
      <c r="I36" s="85"/>
      <c r="J36" s="85">
        <v>2.5000000000000001E-2</v>
      </c>
      <c r="K36" s="85"/>
      <c r="L36" s="85"/>
      <c r="M36" s="85"/>
      <c r="N36" s="85"/>
      <c r="O36" s="86" t="s">
        <v>109</v>
      </c>
    </row>
    <row r="37" spans="1:15" x14ac:dyDescent="0.2">
      <c r="A37" s="189">
        <v>12</v>
      </c>
      <c r="B37" s="190" t="s">
        <v>116</v>
      </c>
      <c r="C37" s="85"/>
      <c r="D37" s="85"/>
      <c r="E37" s="85"/>
      <c r="F37" s="85"/>
      <c r="G37" s="85"/>
      <c r="H37" s="85"/>
      <c r="I37" s="85"/>
      <c r="J37" s="85">
        <v>2.5000000000000001E-2</v>
      </c>
      <c r="K37" s="85"/>
      <c r="L37" s="85"/>
      <c r="M37" s="85"/>
      <c r="N37" s="85"/>
      <c r="O37" s="86" t="s">
        <v>109</v>
      </c>
    </row>
    <row r="38" spans="1:15" x14ac:dyDescent="0.2">
      <c r="A38" s="189">
        <v>13</v>
      </c>
      <c r="B38" s="190" t="s">
        <v>103</v>
      </c>
      <c r="C38" s="85"/>
      <c r="D38" s="85"/>
      <c r="E38" s="85"/>
      <c r="F38" s="85"/>
      <c r="G38" s="85"/>
      <c r="H38" s="85"/>
      <c r="I38" s="85">
        <v>3.0700000000000002E-2</v>
      </c>
      <c r="J38" s="85"/>
      <c r="K38" s="85"/>
      <c r="L38" s="85"/>
      <c r="M38" s="85"/>
      <c r="N38" s="85"/>
      <c r="O38" s="86" t="s">
        <v>109</v>
      </c>
    </row>
    <row r="39" spans="1:15" x14ac:dyDescent="0.2">
      <c r="A39" s="189">
        <v>15</v>
      </c>
      <c r="B39" s="190" t="s">
        <v>104</v>
      </c>
      <c r="C39" s="85"/>
      <c r="D39" s="85"/>
      <c r="E39" s="85"/>
      <c r="F39" s="85"/>
      <c r="G39" s="85"/>
      <c r="H39" s="85"/>
      <c r="I39" s="85"/>
      <c r="J39" s="85">
        <v>2.5000000000000001E-2</v>
      </c>
      <c r="K39" s="85"/>
      <c r="L39" s="85"/>
      <c r="M39" s="85"/>
      <c r="N39" s="85"/>
      <c r="O39" s="86" t="s">
        <v>109</v>
      </c>
    </row>
    <row r="40" spans="1:15" x14ac:dyDescent="0.2">
      <c r="A40" s="73">
        <v>16</v>
      </c>
      <c r="B40" s="74" t="s">
        <v>105</v>
      </c>
      <c r="C40" s="85"/>
      <c r="D40" s="85"/>
      <c r="E40" s="85"/>
      <c r="F40" s="85"/>
      <c r="G40" s="85"/>
      <c r="H40" s="85"/>
      <c r="I40" s="85"/>
      <c r="J40" s="85">
        <v>2.2499999999999999E-2</v>
      </c>
      <c r="K40" s="85"/>
      <c r="L40" s="85"/>
      <c r="M40" s="85"/>
      <c r="N40" s="85"/>
      <c r="O40" s="86" t="s">
        <v>109</v>
      </c>
    </row>
    <row r="41" spans="1:15" x14ac:dyDescent="0.2">
      <c r="A41" s="189">
        <v>18</v>
      </c>
      <c r="B41" s="190" t="s">
        <v>117</v>
      </c>
      <c r="C41" s="85"/>
      <c r="D41" s="85"/>
      <c r="E41" s="85"/>
      <c r="F41" s="85"/>
      <c r="G41" s="85"/>
      <c r="H41" s="85"/>
      <c r="I41" s="85">
        <v>3.44E-2</v>
      </c>
      <c r="J41" s="85"/>
      <c r="K41" s="85"/>
      <c r="L41" s="85"/>
      <c r="M41" s="85"/>
      <c r="N41" s="85"/>
      <c r="O41" s="86" t="s">
        <v>109</v>
      </c>
    </row>
    <row r="42" spans="1:15" x14ac:dyDescent="0.2">
      <c r="C42" s="55"/>
      <c r="N42" s="88" t="s">
        <v>47</v>
      </c>
    </row>
    <row r="43" spans="1:15" x14ac:dyDescent="0.2">
      <c r="C43" s="55"/>
    </row>
    <row r="44" spans="1:15" x14ac:dyDescent="0.2">
      <c r="A44" s="81" t="s">
        <v>118</v>
      </c>
      <c r="C44" s="55"/>
    </row>
    <row r="45" spans="1:15" ht="25.5" x14ac:dyDescent="0.2">
      <c r="A45" s="89" t="s">
        <v>93</v>
      </c>
      <c r="B45" s="90" t="s">
        <v>94</v>
      </c>
      <c r="C45" s="63">
        <f t="shared" ref="C45:N45" si="4">C4</f>
        <v>44378</v>
      </c>
      <c r="D45" s="63">
        <f t="shared" si="4"/>
        <v>44409</v>
      </c>
      <c r="E45" s="63">
        <f t="shared" si="4"/>
        <v>44440</v>
      </c>
      <c r="F45" s="63">
        <f t="shared" si="4"/>
        <v>44470</v>
      </c>
      <c r="G45" s="63">
        <f t="shared" si="4"/>
        <v>44501</v>
      </c>
      <c r="H45" s="63">
        <f t="shared" si="4"/>
        <v>44531</v>
      </c>
      <c r="I45" s="63">
        <f t="shared" si="4"/>
        <v>44562</v>
      </c>
      <c r="J45" s="63">
        <f t="shared" si="4"/>
        <v>44593</v>
      </c>
      <c r="K45" s="63">
        <f t="shared" si="4"/>
        <v>44621</v>
      </c>
      <c r="L45" s="63">
        <f t="shared" si="4"/>
        <v>44652</v>
      </c>
      <c r="M45" s="63">
        <f t="shared" si="4"/>
        <v>44682</v>
      </c>
      <c r="N45" s="63">
        <f t="shared" si="4"/>
        <v>44713</v>
      </c>
      <c r="O45" s="91" t="str">
        <f>O12</f>
        <v>Total</v>
      </c>
    </row>
    <row r="46" spans="1:15" x14ac:dyDescent="0.2">
      <c r="A46" s="189">
        <v>2</v>
      </c>
      <c r="B46" s="190" t="s">
        <v>108</v>
      </c>
      <c r="C46" s="92">
        <f t="shared" ref="C46:C57" si="5">IF(OR($D30&gt;0,$E30,$F30&gt;0,$G30&gt;0,$H30&gt;0,$I30&gt;0,$J30&gt;0,$K30&gt;0,$L30&gt;0,$M30&gt;0,$N30&gt;0),(1+$D30+$E30+$F30+$G30+$H30+$I30+$J30+$K30+$L30+$M30+$N30),1)*C13</f>
        <v>17307.689353864564</v>
      </c>
      <c r="D46" s="92">
        <f t="shared" ref="D46:D57" si="6">IF(OR($E30,$F30&gt;0,$G30&gt;0,$H30&gt;0,$I30&gt;0,$J30&gt;0,$K30&gt;0,$L30&gt;0,$M30&gt;0,$N30&gt;0),(1+$E30+$F30+$G30+$H30+$I30+$J30+$K30+$L30+$M30+$N30),1)*D13</f>
        <v>15602.210734367998</v>
      </c>
      <c r="E46" s="92">
        <f t="shared" ref="E46:E57" si="7">IF(OR($F30&gt;0,$G30&gt;0,$H30&gt;0,$I30&gt;0,$J30&gt;0,$K30&gt;0,$L30&gt;0,$M30&gt;0,$N30&gt;0),(1+$F30+$G30+$H30+$I30+$J30+$K30+$L30+$M30+$N30),1)*E13</f>
        <v>16755.661554532282</v>
      </c>
      <c r="F46" s="92">
        <f t="shared" ref="F46:F57" si="8">IF(OR($G30&gt;0,$H30&gt;0,$I30&gt;0,$J30&gt;0,$K30&gt;0,$L30&gt;0,$M30&gt;0,$N30&gt;0),(1+$G30+$H30+$I30+$J30+$K30+$L30+$M30+$N30),1)*F13</f>
        <v>15604.869405514582</v>
      </c>
      <c r="G46" s="92">
        <f t="shared" ref="G46:G57" si="9">IF(OR($H30&gt;0,$I30&gt;0,$J30&gt;0,$K30&gt;0,$L30&gt;0,$M30&gt;0,$N30&gt;0),(1+$H30+$I30+$J30+$K30+$L30+$M30+$N30),1)*G13</f>
        <v>15758.324371760613</v>
      </c>
      <c r="H46" s="92">
        <f t="shared" ref="H46:H57" si="10">IF(OR($I30&gt;0,$J30&gt;0,$K30&gt;0,$L30&gt;0,$M30&gt;0,$N30&gt;0),(1+$I30+$J30+$K30+$L30+$M30+$N30),1)*H13</f>
        <v>17679.900942144595</v>
      </c>
      <c r="I46" s="92">
        <f t="shared" ref="I46:I57" si="11">IF(OR($J30&gt;0,$K30&gt;0,$L30&gt;0,$M30&gt;0,$N30&gt;0),(1+$J30+$K30+$L30+$M30+$N30),1)*I13</f>
        <v>15130.526</v>
      </c>
      <c r="J46" s="92">
        <f t="shared" ref="J46:J57" si="12">IF(OR($K30&gt;0,$L30&gt;0,$M30&gt;0,$N30&gt;0),(1+$K30+$L30+$M30+$N30),1)*J13</f>
        <v>14099.474440000002</v>
      </c>
      <c r="K46" s="92">
        <f t="shared" ref="K46:K57" si="13">IF(OR($L30&gt;0,$M30&gt;0,$N30&gt;0),(1+$L30+$M30+$N30),1)*K13</f>
        <v>18468.946820000001</v>
      </c>
      <c r="L46" s="92">
        <f t="shared" ref="L46:L57" si="14">IF(OR($M30&gt;0,$N30&gt;0),(1+$M30+$N30),1)*L13</f>
        <v>15789.31201</v>
      </c>
      <c r="M46" s="92">
        <f t="shared" ref="M46:M57" si="15">IF(OR($N30&gt;0),(1+$N30),1)*M13</f>
        <v>16017.001039999999</v>
      </c>
      <c r="N46" s="65">
        <f t="shared" ref="N46:N57" si="16">N13</f>
        <v>17110.135747404907</v>
      </c>
      <c r="O46" s="66">
        <f t="shared" ref="O46:O57" si="17">SUM(C46:N46)</f>
        <v>195324.05241958957</v>
      </c>
    </row>
    <row r="47" spans="1:15" x14ac:dyDescent="0.2">
      <c r="A47" s="189">
        <v>3</v>
      </c>
      <c r="B47" s="190" t="s">
        <v>110</v>
      </c>
      <c r="C47" s="92">
        <f t="shared" si="5"/>
        <v>3817.7909525879409</v>
      </c>
      <c r="D47" s="92">
        <f t="shared" si="6"/>
        <v>3687.2587080000003</v>
      </c>
      <c r="E47" s="92">
        <f t="shared" si="7"/>
        <v>3672.1001605061001</v>
      </c>
      <c r="F47" s="92">
        <f t="shared" si="8"/>
        <v>3411.7217514049166</v>
      </c>
      <c r="G47" s="92">
        <f t="shared" si="9"/>
        <v>3533.2086252895042</v>
      </c>
      <c r="H47" s="92">
        <f t="shared" si="10"/>
        <v>3745.2835921187352</v>
      </c>
      <c r="I47" s="92">
        <f t="shared" si="11"/>
        <v>3743.5582057499996</v>
      </c>
      <c r="J47" s="92">
        <f t="shared" si="12"/>
        <v>3097.5137100000002</v>
      </c>
      <c r="K47" s="92">
        <f t="shared" si="13"/>
        <v>3962.5631800000001</v>
      </c>
      <c r="L47" s="92">
        <f t="shared" si="14"/>
        <v>4138.3741999999993</v>
      </c>
      <c r="M47" s="92">
        <f t="shared" si="15"/>
        <v>3682.2562699999999</v>
      </c>
      <c r="N47" s="65">
        <f t="shared" si="16"/>
        <v>3826.7977268882505</v>
      </c>
      <c r="O47" s="66">
        <f t="shared" si="17"/>
        <v>44318.427082545451</v>
      </c>
    </row>
    <row r="48" spans="1:15" x14ac:dyDescent="0.2">
      <c r="A48" s="189">
        <v>4</v>
      </c>
      <c r="B48" s="190" t="s">
        <v>111</v>
      </c>
      <c r="C48" s="92">
        <f t="shared" si="5"/>
        <v>4407.4126336426843</v>
      </c>
      <c r="D48" s="92">
        <f t="shared" si="6"/>
        <v>4243.1067006000003</v>
      </c>
      <c r="E48" s="92">
        <f t="shared" si="7"/>
        <v>4136.68288571837</v>
      </c>
      <c r="F48" s="92">
        <f t="shared" si="8"/>
        <v>3844.9289435563928</v>
      </c>
      <c r="G48" s="92">
        <f t="shared" si="9"/>
        <v>3943.898922854496</v>
      </c>
      <c r="H48" s="92">
        <f t="shared" si="10"/>
        <v>4331.7270285361219</v>
      </c>
      <c r="I48" s="92">
        <f t="shared" si="11"/>
        <v>4664.2988604000002</v>
      </c>
      <c r="J48" s="92">
        <f t="shared" si="12"/>
        <v>3500.3367743999997</v>
      </c>
      <c r="K48" s="92">
        <f t="shared" si="13"/>
        <v>4256.0371283999993</v>
      </c>
      <c r="L48" s="92">
        <f t="shared" si="14"/>
        <v>3768.8471844000005</v>
      </c>
      <c r="M48" s="92">
        <f t="shared" si="15"/>
        <v>3890.2371899999998</v>
      </c>
      <c r="N48" s="65">
        <f t="shared" si="16"/>
        <v>4180.6514338482457</v>
      </c>
      <c r="O48" s="66">
        <f t="shared" si="17"/>
        <v>49168.165686356311</v>
      </c>
    </row>
    <row r="49" spans="1:16" x14ac:dyDescent="0.2">
      <c r="A49" s="189">
        <v>5</v>
      </c>
      <c r="B49" s="190" t="s">
        <v>112</v>
      </c>
      <c r="C49" s="92">
        <f t="shared" si="5"/>
        <v>174.42151122411684</v>
      </c>
      <c r="D49" s="92">
        <f t="shared" si="6"/>
        <v>190.58603999999997</v>
      </c>
      <c r="E49" s="92">
        <f t="shared" si="7"/>
        <v>228.45593691715413</v>
      </c>
      <c r="F49" s="92">
        <f t="shared" si="8"/>
        <v>189.04875682673389</v>
      </c>
      <c r="G49" s="92">
        <f t="shared" si="9"/>
        <v>186.74967208385672</v>
      </c>
      <c r="H49" s="92">
        <f t="shared" si="10"/>
        <v>220.6412402366546</v>
      </c>
      <c r="I49" s="92">
        <f t="shared" si="11"/>
        <v>278.27008525000002</v>
      </c>
      <c r="J49" s="92">
        <f t="shared" si="12"/>
        <v>155.56210775000002</v>
      </c>
      <c r="K49" s="92">
        <f t="shared" si="13"/>
        <v>228.88654874999997</v>
      </c>
      <c r="L49" s="92">
        <f t="shared" si="14"/>
        <v>170.63929399999998</v>
      </c>
      <c r="M49" s="92">
        <f t="shared" si="15"/>
        <v>174.79121024999995</v>
      </c>
      <c r="N49" s="65">
        <f t="shared" si="16"/>
        <v>208.63786359881885</v>
      </c>
      <c r="O49" s="66">
        <f t="shared" si="17"/>
        <v>2406.6902668873349</v>
      </c>
    </row>
    <row r="50" spans="1:16" x14ac:dyDescent="0.2">
      <c r="A50" s="189">
        <v>8</v>
      </c>
      <c r="B50" s="190" t="s">
        <v>113</v>
      </c>
      <c r="C50" s="92">
        <f t="shared" si="5"/>
        <v>4385.3718657249929</v>
      </c>
      <c r="D50" s="92">
        <f t="shared" si="6"/>
        <v>4099.1607000000004</v>
      </c>
      <c r="E50" s="92">
        <f t="shared" si="7"/>
        <v>4083.2829329030042</v>
      </c>
      <c r="F50" s="92">
        <f t="shared" si="8"/>
        <v>3895.7970482618821</v>
      </c>
      <c r="G50" s="92">
        <f t="shared" si="9"/>
        <v>4038.1472609585708</v>
      </c>
      <c r="H50" s="92">
        <f t="shared" si="10"/>
        <v>4468.0938438759304</v>
      </c>
      <c r="I50" s="92">
        <f t="shared" si="11"/>
        <v>3787.67652</v>
      </c>
      <c r="J50" s="92">
        <f t="shared" si="12"/>
        <v>3516.8135400000001</v>
      </c>
      <c r="K50" s="92">
        <f t="shared" si="13"/>
        <v>4182.3205699999999</v>
      </c>
      <c r="L50" s="92">
        <f t="shared" si="14"/>
        <v>4321.5409300000001</v>
      </c>
      <c r="M50" s="92">
        <f t="shared" si="15"/>
        <v>4224.9014299999999</v>
      </c>
      <c r="N50" s="65">
        <f t="shared" si="16"/>
        <v>4335.9658156635032</v>
      </c>
      <c r="O50" s="93">
        <f t="shared" si="17"/>
        <v>49339.072457387891</v>
      </c>
    </row>
    <row r="51" spans="1:16" x14ac:dyDescent="0.2">
      <c r="A51" s="189">
        <v>9</v>
      </c>
      <c r="B51" s="190" t="s">
        <v>114</v>
      </c>
      <c r="C51" s="92">
        <f t="shared" si="5"/>
        <v>59.81992826104424</v>
      </c>
      <c r="D51" s="92">
        <f t="shared" si="6"/>
        <v>75.189410000000009</v>
      </c>
      <c r="E51" s="92">
        <f t="shared" si="7"/>
        <v>56.407426774694898</v>
      </c>
      <c r="F51" s="92">
        <f t="shared" si="8"/>
        <v>68.539371582224319</v>
      </c>
      <c r="G51" s="92">
        <f t="shared" si="9"/>
        <v>53.073388959955416</v>
      </c>
      <c r="H51" s="92">
        <f t="shared" si="10"/>
        <v>65.430246189496771</v>
      </c>
      <c r="I51" s="92">
        <f t="shared" si="11"/>
        <v>69.927279999999996</v>
      </c>
      <c r="J51" s="92">
        <f t="shared" si="12"/>
        <v>60.876249999999999</v>
      </c>
      <c r="K51" s="92">
        <f t="shared" si="13"/>
        <v>79.242639999999994</v>
      </c>
      <c r="L51" s="92">
        <f t="shared" si="14"/>
        <v>79.760770000000008</v>
      </c>
      <c r="M51" s="92">
        <f t="shared" si="15"/>
        <v>81.205210000000008</v>
      </c>
      <c r="N51" s="65">
        <f t="shared" si="16"/>
        <v>88.747990684808002</v>
      </c>
      <c r="O51" s="93">
        <f t="shared" si="17"/>
        <v>838.21991245222353</v>
      </c>
    </row>
    <row r="52" spans="1:16" x14ac:dyDescent="0.2">
      <c r="A52" s="189">
        <v>11</v>
      </c>
      <c r="B52" s="190" t="s">
        <v>115</v>
      </c>
      <c r="C52" s="92">
        <f t="shared" si="5"/>
        <v>10357.985055567511</v>
      </c>
      <c r="D52" s="92">
        <f t="shared" si="6"/>
        <v>10789.963542500001</v>
      </c>
      <c r="E52" s="92">
        <f t="shared" si="7"/>
        <v>9984.9208365786053</v>
      </c>
      <c r="F52" s="92">
        <f t="shared" si="8"/>
        <v>9656.6753175042722</v>
      </c>
      <c r="G52" s="92">
        <f t="shared" si="9"/>
        <v>10108.233042748927</v>
      </c>
      <c r="H52" s="92">
        <f t="shared" si="10"/>
        <v>10702.891765727185</v>
      </c>
      <c r="I52" s="92">
        <f t="shared" si="11"/>
        <v>9194.5694207499982</v>
      </c>
      <c r="J52" s="92">
        <f t="shared" si="12"/>
        <v>9149.7832699999999</v>
      </c>
      <c r="K52" s="92">
        <f t="shared" si="13"/>
        <v>10717.73669</v>
      </c>
      <c r="L52" s="92">
        <f t="shared" si="14"/>
        <v>9828.1945999999989</v>
      </c>
      <c r="M52" s="92">
        <f t="shared" si="15"/>
        <v>10020.17726</v>
      </c>
      <c r="N52" s="65">
        <f t="shared" si="16"/>
        <v>11021.124670041905</v>
      </c>
      <c r="O52" s="93">
        <f t="shared" si="17"/>
        <v>121532.25547141842</v>
      </c>
    </row>
    <row r="53" spans="1:16" x14ac:dyDescent="0.2">
      <c r="A53" s="189">
        <v>12</v>
      </c>
      <c r="B53" s="190" t="s">
        <v>116</v>
      </c>
      <c r="C53" s="92">
        <f t="shared" si="5"/>
        <v>3406.6390091432677</v>
      </c>
      <c r="D53" s="92">
        <f t="shared" si="6"/>
        <v>3686.2111694999999</v>
      </c>
      <c r="E53" s="92">
        <f t="shared" si="7"/>
        <v>3520.9741563187872</v>
      </c>
      <c r="F53" s="92">
        <f t="shared" si="8"/>
        <v>3132.4554417349332</v>
      </c>
      <c r="G53" s="92">
        <f t="shared" si="9"/>
        <v>3549.9353717499321</v>
      </c>
      <c r="H53" s="92">
        <f t="shared" si="10"/>
        <v>3946.4766529765566</v>
      </c>
      <c r="I53" s="92">
        <f t="shared" si="11"/>
        <v>3355.4755059999998</v>
      </c>
      <c r="J53" s="92">
        <f t="shared" si="12"/>
        <v>3210.1797900000001</v>
      </c>
      <c r="K53" s="92">
        <f t="shared" si="13"/>
        <v>3990.3257300000005</v>
      </c>
      <c r="L53" s="92">
        <f t="shared" si="14"/>
        <v>3645.6511800000003</v>
      </c>
      <c r="M53" s="92">
        <f t="shared" si="15"/>
        <v>3491.0116699999999</v>
      </c>
      <c r="N53" s="65">
        <f t="shared" si="16"/>
        <v>3542.2243202116156</v>
      </c>
      <c r="O53" s="93">
        <f t="shared" si="17"/>
        <v>42477.559997635086</v>
      </c>
    </row>
    <row r="54" spans="1:16" x14ac:dyDescent="0.2">
      <c r="A54" s="189">
        <v>13</v>
      </c>
      <c r="B54" s="190" t="s">
        <v>103</v>
      </c>
      <c r="C54" s="92">
        <f t="shared" si="5"/>
        <v>479.24610913326791</v>
      </c>
      <c r="D54" s="92">
        <f t="shared" si="6"/>
        <v>507.51163987699994</v>
      </c>
      <c r="E54" s="92">
        <f t="shared" si="7"/>
        <v>503.63183843063393</v>
      </c>
      <c r="F54" s="92">
        <f t="shared" si="8"/>
        <v>466.41999422797733</v>
      </c>
      <c r="G54" s="92">
        <f t="shared" si="9"/>
        <v>464.43950808436961</v>
      </c>
      <c r="H54" s="92">
        <f t="shared" si="10"/>
        <v>476.55001537210654</v>
      </c>
      <c r="I54" s="92">
        <f t="shared" si="11"/>
        <v>418.77424999999999</v>
      </c>
      <c r="J54" s="92">
        <f t="shared" si="12"/>
        <v>411.72147000000001</v>
      </c>
      <c r="K54" s="92">
        <f t="shared" si="13"/>
        <v>426.54118</v>
      </c>
      <c r="L54" s="92">
        <f t="shared" si="14"/>
        <v>415.06626</v>
      </c>
      <c r="M54" s="92">
        <f t="shared" si="15"/>
        <v>448.54091</v>
      </c>
      <c r="N54" s="65">
        <f t="shared" si="16"/>
        <v>449.17025932446001</v>
      </c>
      <c r="O54" s="93">
        <f t="shared" si="17"/>
        <v>5467.6134344498141</v>
      </c>
    </row>
    <row r="55" spans="1:16" x14ac:dyDescent="0.2">
      <c r="A55" s="189">
        <v>15</v>
      </c>
      <c r="B55" s="190" t="s">
        <v>104</v>
      </c>
      <c r="C55" s="92">
        <f t="shared" si="5"/>
        <v>339.23601910808571</v>
      </c>
      <c r="D55" s="92">
        <f t="shared" si="6"/>
        <v>382.52112349999999</v>
      </c>
      <c r="E55" s="92">
        <f t="shared" si="7"/>
        <v>408.58140491270308</v>
      </c>
      <c r="F55" s="92">
        <f t="shared" si="8"/>
        <v>393.46177201707593</v>
      </c>
      <c r="G55" s="92">
        <f t="shared" si="9"/>
        <v>352.52456359855034</v>
      </c>
      <c r="H55" s="92">
        <f t="shared" si="10"/>
        <v>374.26708774130304</v>
      </c>
      <c r="I55" s="92">
        <f t="shared" si="11"/>
        <v>352.53616299999999</v>
      </c>
      <c r="J55" s="92">
        <f t="shared" si="12"/>
        <v>314.72013999999996</v>
      </c>
      <c r="K55" s="92">
        <f t="shared" si="13"/>
        <v>357.20022999999998</v>
      </c>
      <c r="L55" s="92">
        <f t="shared" si="14"/>
        <v>377.47976</v>
      </c>
      <c r="M55" s="92">
        <f t="shared" si="15"/>
        <v>366.94435999999996</v>
      </c>
      <c r="N55" s="65">
        <f t="shared" si="16"/>
        <v>364.33687163636563</v>
      </c>
      <c r="O55" s="93">
        <f t="shared" si="17"/>
        <v>4383.8094955140832</v>
      </c>
    </row>
    <row r="56" spans="1:16" x14ac:dyDescent="0.2">
      <c r="A56" s="73">
        <v>16</v>
      </c>
      <c r="B56" s="74" t="s">
        <v>105</v>
      </c>
      <c r="C56" s="92">
        <f t="shared" si="5"/>
        <v>135.23624855502629</v>
      </c>
      <c r="D56" s="92">
        <f t="shared" si="6"/>
        <v>127.6449327</v>
      </c>
      <c r="E56" s="92">
        <f t="shared" si="7"/>
        <v>138.82761362925083</v>
      </c>
      <c r="F56" s="92">
        <f t="shared" si="8"/>
        <v>124.93218032965531</v>
      </c>
      <c r="G56" s="92">
        <f t="shared" si="9"/>
        <v>154.52982798478772</v>
      </c>
      <c r="H56" s="92">
        <f t="shared" si="10"/>
        <v>141.09783674463233</v>
      </c>
      <c r="I56" s="92">
        <f t="shared" si="11"/>
        <v>120.20872987499999</v>
      </c>
      <c r="J56" s="92">
        <f t="shared" si="12"/>
        <v>111.16450999999999</v>
      </c>
      <c r="K56" s="92">
        <f t="shared" si="13"/>
        <v>110.31031</v>
      </c>
      <c r="L56" s="92">
        <f t="shared" si="14"/>
        <v>114.34332999999998</v>
      </c>
      <c r="M56" s="92">
        <f t="shared" si="15"/>
        <v>178.09683999999999</v>
      </c>
      <c r="N56" s="65">
        <f t="shared" si="16"/>
        <v>179.39115446943455</v>
      </c>
      <c r="O56" s="93">
        <f t="shared" si="17"/>
        <v>1635.7835142877868</v>
      </c>
    </row>
    <row r="57" spans="1:16" x14ac:dyDescent="0.2">
      <c r="A57" s="189">
        <v>18</v>
      </c>
      <c r="B57" s="190" t="s">
        <v>117</v>
      </c>
      <c r="C57" s="92">
        <f t="shared" si="5"/>
        <v>1144.4985958339894</v>
      </c>
      <c r="D57" s="92">
        <f t="shared" si="6"/>
        <v>1069.9308124799998</v>
      </c>
      <c r="E57" s="92">
        <f t="shared" si="7"/>
        <v>1131.875467835526</v>
      </c>
      <c r="F57" s="92">
        <f t="shared" si="8"/>
        <v>1042.629731633122</v>
      </c>
      <c r="G57" s="92">
        <f t="shared" si="9"/>
        <v>1057.8631018841947</v>
      </c>
      <c r="H57" s="92">
        <f t="shared" si="10"/>
        <v>1205.8624219805597</v>
      </c>
      <c r="I57" s="92">
        <f t="shared" si="11"/>
        <v>1051.8384000000001</v>
      </c>
      <c r="J57" s="92">
        <f t="shared" si="12"/>
        <v>962.80642</v>
      </c>
      <c r="K57" s="92">
        <f t="shared" si="13"/>
        <v>972.69182000000012</v>
      </c>
      <c r="L57" s="92">
        <f t="shared" si="14"/>
        <v>1023.4141800000001</v>
      </c>
      <c r="M57" s="92">
        <f t="shared" si="15"/>
        <v>1037.98109</v>
      </c>
      <c r="N57" s="65">
        <f t="shared" si="16"/>
        <v>1155.6487762276874</v>
      </c>
      <c r="O57" s="93">
        <f t="shared" si="17"/>
        <v>12857.04081787508</v>
      </c>
    </row>
    <row r="58" spans="1:16" x14ac:dyDescent="0.2">
      <c r="A58" s="94" t="s">
        <v>92</v>
      </c>
      <c r="B58" s="191"/>
      <c r="C58" s="64">
        <f t="shared" ref="C58:O58" si="18">SUM(C46:C57)</f>
        <v>46015.347282646493</v>
      </c>
      <c r="D58" s="64">
        <f t="shared" si="18"/>
        <v>44461.295513524994</v>
      </c>
      <c r="E58" s="64">
        <f t="shared" si="18"/>
        <v>44621.402215057104</v>
      </c>
      <c r="F58" s="64">
        <f t="shared" si="18"/>
        <v>41831.479714593763</v>
      </c>
      <c r="G58" s="64">
        <f t="shared" si="18"/>
        <v>43200.927657957749</v>
      </c>
      <c r="H58" s="64">
        <f t="shared" si="18"/>
        <v>47358.222673643875</v>
      </c>
      <c r="I58" s="64">
        <f t="shared" si="18"/>
        <v>42167.659421024997</v>
      </c>
      <c r="J58" s="64">
        <f t="shared" si="18"/>
        <v>38590.952422150003</v>
      </c>
      <c r="K58" s="64">
        <f t="shared" si="18"/>
        <v>47752.802847150007</v>
      </c>
      <c r="L58" s="64">
        <f t="shared" si="18"/>
        <v>43672.623698400006</v>
      </c>
      <c r="M58" s="64">
        <f t="shared" si="18"/>
        <v>43613.144480250012</v>
      </c>
      <c r="N58" s="64">
        <f t="shared" si="18"/>
        <v>46462.832630000004</v>
      </c>
      <c r="O58" s="64">
        <f t="shared" si="18"/>
        <v>529748.69055639906</v>
      </c>
      <c r="P58" s="67" t="s">
        <v>84</v>
      </c>
    </row>
    <row r="60" spans="1:16" x14ac:dyDescent="0.2">
      <c r="A60" s="192" t="s">
        <v>109</v>
      </c>
      <c r="B60" s="193" t="s">
        <v>135</v>
      </c>
    </row>
    <row r="61" spans="1:16" x14ac:dyDescent="0.2">
      <c r="A61" s="192" t="s">
        <v>133</v>
      </c>
      <c r="B61" s="193" t="s">
        <v>136</v>
      </c>
    </row>
    <row r="62" spans="1:16" x14ac:dyDescent="0.2">
      <c r="A62" s="192" t="s">
        <v>137</v>
      </c>
      <c r="B62" s="193" t="s">
        <v>138</v>
      </c>
    </row>
  </sheetData>
  <mergeCells count="5">
    <mergeCell ref="A4:B4"/>
    <mergeCell ref="A5:B5"/>
    <mergeCell ref="A6:B6"/>
    <mergeCell ref="A7:B7"/>
    <mergeCell ref="A8:B8"/>
  </mergeCells>
  <pageMargins left="0.7" right="0.7" top="0.75" bottom="0.75" header="0.3" footer="0.3"/>
  <pageSetup scale="53" fitToHeight="0" orientation="landscape" r:id="rId1"/>
  <headerFooter>
    <oddHeader>&amp;L&amp;"Arial,Bold"PacifiCorp
Washington 2023 General Rate Case
Escalation of Regular. Overtime, and Premium Labor
(Figures are in thousands)</oddHeader>
    <oddFooter>&amp;CPage 4.3.4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0FBA-E71F-4DA8-AEBC-C21A577E11C7}">
  <sheetPr>
    <pageSetUpPr fitToPage="1"/>
  </sheetPr>
  <dimension ref="A1:O66"/>
  <sheetViews>
    <sheetView view="pageBreakPreview" zoomScale="80" zoomScaleNormal="100" zoomScaleSheetLayoutView="80" workbookViewId="0"/>
  </sheetViews>
  <sheetFormatPr defaultRowHeight="12.75" x14ac:dyDescent="0.2"/>
  <cols>
    <col min="1" max="1" width="8.85546875" style="8" customWidth="1"/>
    <col min="2" max="2" width="28.85546875" style="8" customWidth="1"/>
    <col min="3" max="14" width="13.7109375" style="8" customWidth="1"/>
    <col min="15" max="15" width="17" style="8" bestFit="1" customWidth="1"/>
    <col min="16" max="16384" width="9.140625" style="8"/>
  </cols>
  <sheetData>
    <row r="1" spans="1:15" x14ac:dyDescent="0.2">
      <c r="A1" s="55"/>
      <c r="B1" s="55"/>
      <c r="C1" s="55"/>
      <c r="D1" s="55"/>
      <c r="E1" s="55"/>
      <c r="F1" s="55"/>
      <c r="G1" s="55"/>
      <c r="H1" s="55"/>
      <c r="I1" s="55"/>
      <c r="J1" s="55"/>
      <c r="K1" s="55"/>
      <c r="L1" s="55"/>
      <c r="M1" s="55"/>
      <c r="N1" s="55"/>
      <c r="O1" s="79"/>
    </row>
    <row r="2" spans="1:15" x14ac:dyDescent="0.2">
      <c r="A2" s="55"/>
      <c r="B2" s="55"/>
      <c r="C2" s="55"/>
      <c r="D2" s="55"/>
      <c r="E2" s="55"/>
      <c r="F2" s="55"/>
      <c r="G2" s="55"/>
      <c r="H2" s="55"/>
      <c r="I2" s="55"/>
      <c r="J2" s="55"/>
      <c r="K2" s="55"/>
      <c r="L2" s="55"/>
      <c r="M2" s="55"/>
      <c r="N2" s="55"/>
      <c r="O2" s="79"/>
    </row>
    <row r="3" spans="1:15" x14ac:dyDescent="0.2">
      <c r="A3" s="81" t="s">
        <v>277</v>
      </c>
      <c r="B3" s="55"/>
      <c r="C3" s="55"/>
      <c r="D3" s="55"/>
      <c r="E3" s="55"/>
      <c r="F3" s="55"/>
      <c r="G3" s="55"/>
      <c r="H3" s="55"/>
      <c r="I3" s="55"/>
      <c r="J3" s="55"/>
      <c r="K3" s="55"/>
      <c r="L3" s="55"/>
      <c r="M3" s="55"/>
      <c r="N3" s="55"/>
      <c r="O3" s="79" t="s">
        <v>47</v>
      </c>
    </row>
    <row r="4" spans="1:15" x14ac:dyDescent="0.2">
      <c r="A4" s="81" t="s">
        <v>119</v>
      </c>
      <c r="B4" s="55"/>
      <c r="C4" s="55"/>
      <c r="D4" s="55"/>
      <c r="E4" s="55"/>
      <c r="F4" s="55"/>
      <c r="G4" s="55"/>
      <c r="H4" s="55"/>
      <c r="I4" s="55"/>
      <c r="J4" s="55"/>
      <c r="K4" s="55"/>
      <c r="L4" s="55"/>
      <c r="M4" s="55"/>
      <c r="N4" s="55"/>
      <c r="O4" s="95" t="s">
        <v>47</v>
      </c>
    </row>
    <row r="5" spans="1:15" x14ac:dyDescent="0.2">
      <c r="A5" s="81" t="s">
        <v>120</v>
      </c>
      <c r="B5" s="55"/>
      <c r="C5" s="55"/>
      <c r="D5" s="55"/>
      <c r="E5" s="55"/>
      <c r="F5" s="55"/>
      <c r="G5" s="55"/>
      <c r="H5" s="55"/>
      <c r="I5" s="55"/>
      <c r="J5" s="55"/>
      <c r="K5" s="55"/>
      <c r="L5" s="55"/>
      <c r="M5" s="55"/>
      <c r="N5" s="55"/>
      <c r="O5" s="95"/>
    </row>
    <row r="6" spans="1:15" ht="25.5" x14ac:dyDescent="0.2">
      <c r="A6" s="89" t="s">
        <v>93</v>
      </c>
      <c r="B6" s="90" t="s">
        <v>94</v>
      </c>
      <c r="C6" s="63" t="s">
        <v>121</v>
      </c>
      <c r="D6" s="63" t="s">
        <v>122</v>
      </c>
      <c r="E6" s="63" t="s">
        <v>123</v>
      </c>
      <c r="F6" s="63" t="s">
        <v>124</v>
      </c>
      <c r="G6" s="63" t="s">
        <v>125</v>
      </c>
      <c r="H6" s="63" t="s">
        <v>126</v>
      </c>
      <c r="I6" s="63" t="s">
        <v>127</v>
      </c>
      <c r="J6" s="63" t="s">
        <v>128</v>
      </c>
      <c r="K6" s="63" t="s">
        <v>129</v>
      </c>
      <c r="L6" s="63" t="s">
        <v>130</v>
      </c>
      <c r="M6" s="63" t="s">
        <v>131</v>
      </c>
      <c r="N6" s="63" t="s">
        <v>132</v>
      </c>
      <c r="O6" s="96"/>
    </row>
    <row r="7" spans="1:15" x14ac:dyDescent="0.2">
      <c r="A7" s="189">
        <v>2</v>
      </c>
      <c r="B7" s="188" t="s">
        <v>108</v>
      </c>
      <c r="C7" s="85"/>
      <c r="D7" s="85"/>
      <c r="E7" s="85"/>
      <c r="F7" s="85"/>
      <c r="G7" s="85"/>
      <c r="H7" s="85"/>
      <c r="I7" s="85"/>
      <c r="J7" s="85"/>
      <c r="K7" s="85"/>
      <c r="L7" s="85"/>
      <c r="M7" s="85"/>
      <c r="N7" s="85"/>
      <c r="O7" s="55"/>
    </row>
    <row r="8" spans="1:15" x14ac:dyDescent="0.2">
      <c r="A8" s="189"/>
      <c r="B8" s="194">
        <v>44921</v>
      </c>
      <c r="C8" s="85">
        <v>3.5000000000000003E-2</v>
      </c>
      <c r="D8" s="85"/>
      <c r="E8" s="85"/>
      <c r="F8" s="85"/>
      <c r="G8" s="85"/>
      <c r="H8" s="85"/>
      <c r="I8" s="85"/>
      <c r="J8" s="85"/>
      <c r="K8" s="85"/>
      <c r="L8" s="85"/>
      <c r="M8" s="85"/>
      <c r="N8" s="85"/>
      <c r="O8" s="192" t="s">
        <v>109</v>
      </c>
    </row>
    <row r="9" spans="1:15" x14ac:dyDescent="0.2">
      <c r="A9" s="189"/>
      <c r="B9" s="194">
        <v>45286</v>
      </c>
      <c r="C9" s="85">
        <v>3.5000000000000003E-2</v>
      </c>
      <c r="D9" s="85"/>
      <c r="E9" s="85"/>
      <c r="F9" s="85"/>
      <c r="G9" s="85"/>
      <c r="H9" s="85"/>
      <c r="I9" s="85"/>
      <c r="J9" s="85"/>
      <c r="K9" s="85"/>
      <c r="L9" s="85"/>
      <c r="M9" s="85"/>
      <c r="N9" s="85"/>
      <c r="O9" s="192" t="s">
        <v>133</v>
      </c>
    </row>
    <row r="10" spans="1:15" x14ac:dyDescent="0.2">
      <c r="A10" s="189">
        <v>3</v>
      </c>
      <c r="B10" s="188" t="s">
        <v>110</v>
      </c>
      <c r="C10" s="85"/>
      <c r="D10" s="85"/>
      <c r="E10" s="85"/>
      <c r="F10" s="85"/>
      <c r="G10" s="85"/>
      <c r="H10" s="85"/>
      <c r="I10" s="85"/>
      <c r="J10" s="85"/>
      <c r="K10" s="85"/>
      <c r="L10" s="85"/>
      <c r="M10" s="85"/>
      <c r="N10" s="85"/>
      <c r="O10" s="192"/>
    </row>
    <row r="11" spans="1:15" x14ac:dyDescent="0.2">
      <c r="A11" s="189"/>
      <c r="B11" s="194">
        <v>44952</v>
      </c>
      <c r="C11" s="85"/>
      <c r="D11" s="85">
        <v>4.4999999999999998E-2</v>
      </c>
      <c r="E11" s="85"/>
      <c r="F11" s="85"/>
      <c r="G11" s="85"/>
      <c r="H11" s="85"/>
      <c r="I11" s="85"/>
      <c r="J11" s="85"/>
      <c r="K11" s="85"/>
      <c r="L11" s="85"/>
      <c r="M11" s="85"/>
      <c r="N11" s="85"/>
      <c r="O11" s="192" t="s">
        <v>133</v>
      </c>
    </row>
    <row r="12" spans="1:15" x14ac:dyDescent="0.2">
      <c r="A12" s="189"/>
      <c r="B12" s="194">
        <v>45317</v>
      </c>
      <c r="C12" s="85"/>
      <c r="D12" s="85">
        <v>2.5000000000000001E-2</v>
      </c>
      <c r="E12" s="85"/>
      <c r="F12" s="85"/>
      <c r="G12" s="85"/>
      <c r="H12" s="85"/>
      <c r="I12" s="85"/>
      <c r="J12" s="85"/>
      <c r="K12" s="85"/>
      <c r="L12" s="85"/>
      <c r="M12" s="85"/>
      <c r="N12" s="85"/>
      <c r="O12" s="192" t="s">
        <v>133</v>
      </c>
    </row>
    <row r="13" spans="1:15" x14ac:dyDescent="0.2">
      <c r="A13" s="189">
        <v>4</v>
      </c>
      <c r="B13" s="188" t="s">
        <v>111</v>
      </c>
      <c r="C13" s="85"/>
      <c r="D13" s="85"/>
      <c r="E13" s="85"/>
      <c r="F13" s="85"/>
      <c r="G13" s="85"/>
      <c r="H13" s="85"/>
      <c r="I13" s="85"/>
      <c r="J13" s="85"/>
      <c r="K13" s="85"/>
      <c r="L13" s="85"/>
      <c r="M13" s="85"/>
      <c r="N13" s="85"/>
      <c r="O13" s="192"/>
    </row>
    <row r="14" spans="1:15" x14ac:dyDescent="0.2">
      <c r="A14" s="189"/>
      <c r="B14" s="194">
        <v>44738</v>
      </c>
      <c r="C14" s="85"/>
      <c r="D14" s="85"/>
      <c r="E14" s="85"/>
      <c r="F14" s="85"/>
      <c r="G14" s="85"/>
      <c r="H14" s="85"/>
      <c r="I14" s="85">
        <v>1.4999999999999999E-2</v>
      </c>
      <c r="J14" s="85"/>
      <c r="K14" s="85"/>
      <c r="L14" s="85"/>
      <c r="M14" s="85"/>
      <c r="N14" s="85"/>
      <c r="O14" s="192" t="s">
        <v>109</v>
      </c>
    </row>
    <row r="15" spans="1:15" x14ac:dyDescent="0.2">
      <c r="A15" s="189"/>
      <c r="B15" s="194">
        <v>45042</v>
      </c>
      <c r="C15" s="85"/>
      <c r="D15" s="85"/>
      <c r="E15" s="85"/>
      <c r="F15" s="85"/>
      <c r="G15" s="85">
        <v>0.02</v>
      </c>
      <c r="H15" s="85"/>
      <c r="I15" s="85"/>
      <c r="J15" s="85"/>
      <c r="K15" s="85"/>
      <c r="L15" s="85"/>
      <c r="M15" s="85"/>
      <c r="N15" s="85"/>
      <c r="O15" s="192" t="s">
        <v>133</v>
      </c>
    </row>
    <row r="16" spans="1:15" x14ac:dyDescent="0.2">
      <c r="A16" s="189">
        <v>5</v>
      </c>
      <c r="B16" s="188" t="s">
        <v>112</v>
      </c>
      <c r="C16" s="85"/>
      <c r="D16" s="85"/>
      <c r="E16" s="85"/>
      <c r="F16" s="85"/>
      <c r="G16" s="85"/>
      <c r="H16" s="85"/>
      <c r="I16" s="85"/>
      <c r="J16" s="85"/>
      <c r="K16" s="85"/>
      <c r="L16" s="85"/>
      <c r="M16" s="85"/>
      <c r="N16" s="85"/>
      <c r="O16" s="192"/>
    </row>
    <row r="17" spans="1:15" x14ac:dyDescent="0.2">
      <c r="A17" s="189"/>
      <c r="B17" s="194">
        <v>45072</v>
      </c>
      <c r="C17" s="85"/>
      <c r="D17" s="85"/>
      <c r="E17" s="85"/>
      <c r="F17" s="85"/>
      <c r="G17" s="85"/>
      <c r="H17" s="85">
        <v>4.4999999999999998E-2</v>
      </c>
      <c r="I17" s="85"/>
      <c r="J17" s="85"/>
      <c r="K17" s="85"/>
      <c r="L17" s="85"/>
      <c r="M17" s="85"/>
      <c r="N17" s="85"/>
      <c r="O17" s="192" t="s">
        <v>133</v>
      </c>
    </row>
    <row r="18" spans="1:15" x14ac:dyDescent="0.2">
      <c r="A18" s="189"/>
      <c r="B18" s="194">
        <v>45438</v>
      </c>
      <c r="C18" s="85"/>
      <c r="D18" s="85"/>
      <c r="E18" s="85"/>
      <c r="F18" s="85"/>
      <c r="G18" s="85"/>
      <c r="H18" s="85">
        <v>2.5000000000000001E-2</v>
      </c>
      <c r="I18" s="85"/>
      <c r="J18" s="85"/>
      <c r="K18" s="85"/>
      <c r="L18" s="85"/>
      <c r="M18" s="85"/>
      <c r="N18" s="85"/>
      <c r="O18" s="192" t="s">
        <v>133</v>
      </c>
    </row>
    <row r="19" spans="1:15" x14ac:dyDescent="0.2">
      <c r="A19" s="189">
        <v>8</v>
      </c>
      <c r="B19" s="188" t="s">
        <v>113</v>
      </c>
      <c r="C19" s="85"/>
      <c r="D19" s="85"/>
      <c r="E19" s="85"/>
      <c r="F19" s="85"/>
      <c r="G19" s="85"/>
      <c r="H19" s="85"/>
      <c r="I19" s="85"/>
      <c r="J19" s="85"/>
      <c r="K19" s="85"/>
      <c r="L19" s="85"/>
      <c r="M19" s="85"/>
      <c r="N19" s="85"/>
      <c r="O19" s="192"/>
    </row>
    <row r="20" spans="1:15" x14ac:dyDescent="0.2">
      <c r="A20" s="189"/>
      <c r="B20" s="194">
        <v>44830</v>
      </c>
      <c r="C20" s="85"/>
      <c r="D20" s="85"/>
      <c r="E20" s="85"/>
      <c r="F20" s="85"/>
      <c r="G20" s="85"/>
      <c r="H20" s="85"/>
      <c r="I20" s="85"/>
      <c r="J20" s="85"/>
      <c r="K20" s="85"/>
      <c r="L20" s="85">
        <v>2.2499999999999999E-2</v>
      </c>
      <c r="M20" s="85"/>
      <c r="N20" s="85"/>
      <c r="O20" s="192" t="s">
        <v>109</v>
      </c>
    </row>
    <row r="21" spans="1:15" x14ac:dyDescent="0.2">
      <c r="A21" s="189"/>
      <c r="B21" s="194">
        <v>45195</v>
      </c>
      <c r="C21" s="85"/>
      <c r="D21" s="85"/>
      <c r="E21" s="85"/>
      <c r="F21" s="85"/>
      <c r="G21" s="85"/>
      <c r="H21" s="85"/>
      <c r="I21" s="85"/>
      <c r="J21" s="85"/>
      <c r="K21" s="85"/>
      <c r="L21" s="85">
        <v>2.2499999999999999E-2</v>
      </c>
      <c r="M21" s="85"/>
      <c r="N21" s="85"/>
      <c r="O21" s="192" t="s">
        <v>133</v>
      </c>
    </row>
    <row r="22" spans="1:15" x14ac:dyDescent="0.2">
      <c r="A22" s="189"/>
      <c r="B22" s="194">
        <v>45561</v>
      </c>
      <c r="C22" s="85"/>
      <c r="D22" s="85"/>
      <c r="E22" s="85"/>
      <c r="F22" s="85"/>
      <c r="G22" s="85"/>
      <c r="H22" s="85"/>
      <c r="I22" s="85"/>
      <c r="J22" s="85"/>
      <c r="K22" s="85"/>
      <c r="L22" s="85">
        <v>2.5000000000000001E-2</v>
      </c>
      <c r="M22" s="85"/>
      <c r="N22" s="85"/>
      <c r="O22" s="192" t="s">
        <v>133</v>
      </c>
    </row>
    <row r="23" spans="1:15" x14ac:dyDescent="0.2">
      <c r="A23" s="189">
        <v>9</v>
      </c>
      <c r="B23" s="188" t="s">
        <v>100</v>
      </c>
      <c r="C23" s="85"/>
      <c r="D23" s="85"/>
      <c r="E23" s="85"/>
      <c r="F23" s="85"/>
      <c r="G23" s="85"/>
      <c r="H23" s="85"/>
      <c r="I23" s="85"/>
      <c r="J23" s="85"/>
      <c r="K23" s="85"/>
      <c r="L23" s="85"/>
      <c r="M23" s="85"/>
      <c r="N23" s="85"/>
      <c r="O23" s="192"/>
    </row>
    <row r="24" spans="1:15" x14ac:dyDescent="0.2">
      <c r="A24" s="189"/>
      <c r="B24" s="194">
        <v>44738</v>
      </c>
      <c r="C24" s="85"/>
      <c r="D24" s="85"/>
      <c r="E24" s="85"/>
      <c r="F24" s="85"/>
      <c r="G24" s="85"/>
      <c r="H24" s="85"/>
      <c r="I24" s="85">
        <v>2.5000000000000001E-2</v>
      </c>
      <c r="J24" s="85"/>
      <c r="K24" s="85"/>
      <c r="L24" s="85"/>
      <c r="M24" s="85"/>
      <c r="N24" s="85"/>
      <c r="O24" s="192" t="s">
        <v>109</v>
      </c>
    </row>
    <row r="25" spans="1:15" x14ac:dyDescent="0.2">
      <c r="A25" s="195"/>
      <c r="B25" s="196"/>
      <c r="C25" s="155"/>
      <c r="D25" s="155"/>
      <c r="E25" s="155"/>
      <c r="F25" s="155"/>
      <c r="G25" s="155"/>
      <c r="H25" s="155"/>
      <c r="I25" s="155"/>
      <c r="J25" s="155"/>
      <c r="K25" s="155"/>
      <c r="L25" s="155"/>
      <c r="M25" s="155"/>
      <c r="N25" s="155"/>
      <c r="O25" s="192" t="s">
        <v>276</v>
      </c>
    </row>
    <row r="26" spans="1:15" x14ac:dyDescent="0.2">
      <c r="A26" s="195"/>
      <c r="B26" s="196"/>
      <c r="C26" s="155"/>
      <c r="D26" s="155"/>
      <c r="E26" s="155"/>
      <c r="F26" s="155"/>
      <c r="G26" s="155"/>
      <c r="H26" s="155"/>
      <c r="I26" s="155"/>
      <c r="J26" s="155"/>
      <c r="K26" s="155"/>
      <c r="L26" s="155"/>
      <c r="M26" s="155"/>
      <c r="N26" s="155"/>
      <c r="O26" s="192" t="s">
        <v>276</v>
      </c>
    </row>
    <row r="27" spans="1:15" x14ac:dyDescent="0.2">
      <c r="A27" s="195">
        <v>11</v>
      </c>
      <c r="B27" s="188" t="s">
        <v>115</v>
      </c>
      <c r="C27" s="85"/>
      <c r="D27" s="85"/>
      <c r="E27" s="85"/>
      <c r="F27" s="85"/>
      <c r="G27" s="85"/>
      <c r="H27" s="85"/>
      <c r="I27" s="85"/>
      <c r="J27" s="85"/>
      <c r="K27" s="85"/>
      <c r="L27" s="85"/>
      <c r="M27" s="85"/>
      <c r="N27" s="85"/>
      <c r="O27" s="192"/>
    </row>
    <row r="28" spans="1:15" x14ac:dyDescent="0.2">
      <c r="A28" s="195"/>
      <c r="B28" s="194">
        <v>44921</v>
      </c>
      <c r="C28" s="85">
        <v>0.04</v>
      </c>
      <c r="D28" s="85"/>
      <c r="E28" s="85"/>
      <c r="F28" s="85"/>
      <c r="G28" s="85"/>
      <c r="H28" s="85"/>
      <c r="I28" s="85"/>
      <c r="J28" s="85"/>
      <c r="K28" s="85"/>
      <c r="L28" s="85"/>
      <c r="M28" s="85"/>
      <c r="N28" s="85"/>
      <c r="O28" s="192" t="s">
        <v>133</v>
      </c>
    </row>
    <row r="29" spans="1:15" x14ac:dyDescent="0.2">
      <c r="A29" s="195"/>
      <c r="B29" s="194">
        <v>45286</v>
      </c>
      <c r="C29" s="85">
        <v>4.4999999999999998E-2</v>
      </c>
      <c r="D29" s="85"/>
      <c r="E29" s="85"/>
      <c r="F29" s="85"/>
      <c r="G29" s="85"/>
      <c r="H29" s="85"/>
      <c r="I29" s="85"/>
      <c r="J29" s="85"/>
      <c r="K29" s="85"/>
      <c r="L29" s="85"/>
      <c r="M29" s="85"/>
      <c r="N29" s="85"/>
      <c r="O29" s="192" t="s">
        <v>133</v>
      </c>
    </row>
    <row r="30" spans="1:15" x14ac:dyDescent="0.2">
      <c r="A30" s="195">
        <v>12</v>
      </c>
      <c r="B30" s="188" t="s">
        <v>116</v>
      </c>
      <c r="C30" s="85"/>
      <c r="D30" s="85"/>
      <c r="E30" s="85"/>
      <c r="F30" s="85"/>
      <c r="G30" s="85"/>
      <c r="H30" s="85"/>
      <c r="I30" s="85"/>
      <c r="J30" s="85"/>
      <c r="K30" s="85"/>
      <c r="L30" s="85"/>
      <c r="M30" s="85"/>
      <c r="N30" s="85"/>
      <c r="O30" s="192"/>
    </row>
    <row r="31" spans="1:15" x14ac:dyDescent="0.2">
      <c r="A31" s="195"/>
      <c r="B31" s="194">
        <v>44921</v>
      </c>
      <c r="C31" s="85">
        <v>0.04</v>
      </c>
      <c r="D31" s="85"/>
      <c r="E31" s="85"/>
      <c r="F31" s="85"/>
      <c r="G31" s="85"/>
      <c r="H31" s="85"/>
      <c r="I31" s="85"/>
      <c r="J31" s="85"/>
      <c r="K31" s="85"/>
      <c r="L31" s="85"/>
      <c r="M31" s="85"/>
      <c r="N31" s="85"/>
      <c r="O31" s="192" t="s">
        <v>133</v>
      </c>
    </row>
    <row r="32" spans="1:15" x14ac:dyDescent="0.2">
      <c r="A32" s="195"/>
      <c r="B32" s="194">
        <v>45286</v>
      </c>
      <c r="C32" s="85">
        <v>4.4999999999999998E-2</v>
      </c>
      <c r="D32" s="85"/>
      <c r="E32" s="85"/>
      <c r="F32" s="85"/>
      <c r="G32" s="85"/>
      <c r="H32" s="85"/>
      <c r="I32" s="85"/>
      <c r="J32" s="85"/>
      <c r="K32" s="85"/>
      <c r="L32" s="85"/>
      <c r="M32" s="85"/>
      <c r="N32" s="85"/>
      <c r="O32" s="192" t="s">
        <v>133</v>
      </c>
    </row>
    <row r="33" spans="1:15" x14ac:dyDescent="0.2">
      <c r="A33" s="195">
        <v>13</v>
      </c>
      <c r="B33" s="188" t="s">
        <v>103</v>
      </c>
      <c r="C33" s="85"/>
      <c r="D33" s="85"/>
      <c r="E33" s="85"/>
      <c r="F33" s="85"/>
      <c r="G33" s="85"/>
      <c r="H33" s="85"/>
      <c r="I33" s="85"/>
      <c r="J33" s="85"/>
      <c r="K33" s="85"/>
      <c r="L33" s="85"/>
      <c r="M33" s="85"/>
      <c r="N33" s="85"/>
      <c r="O33" s="192"/>
    </row>
    <row r="34" spans="1:15" x14ac:dyDescent="0.2">
      <c r="A34" s="195"/>
      <c r="B34" s="194">
        <v>44921</v>
      </c>
      <c r="C34" s="85">
        <v>3.5000000000000003E-2</v>
      </c>
      <c r="D34" s="85"/>
      <c r="E34" s="85"/>
      <c r="F34" s="85"/>
      <c r="G34" s="85"/>
      <c r="H34" s="85"/>
      <c r="I34" s="85"/>
      <c r="J34" s="85"/>
      <c r="K34" s="85"/>
      <c r="L34" s="85"/>
      <c r="M34" s="85"/>
      <c r="N34" s="85"/>
      <c r="O34" s="192" t="s">
        <v>109</v>
      </c>
    </row>
    <row r="35" spans="1:15" x14ac:dyDescent="0.2">
      <c r="A35" s="195"/>
      <c r="B35" s="194">
        <v>45286</v>
      </c>
      <c r="C35" s="85">
        <v>3.5000000000000003E-2</v>
      </c>
      <c r="D35" s="85"/>
      <c r="E35" s="85"/>
      <c r="F35" s="85"/>
      <c r="G35" s="85"/>
      <c r="H35" s="85"/>
      <c r="I35" s="85"/>
      <c r="J35" s="85"/>
      <c r="K35" s="85"/>
      <c r="L35" s="85"/>
      <c r="M35" s="85"/>
      <c r="N35" s="85"/>
      <c r="O35" s="192" t="s">
        <v>133</v>
      </c>
    </row>
    <row r="36" spans="1:15" x14ac:dyDescent="0.2">
      <c r="A36" s="195">
        <v>15</v>
      </c>
      <c r="B36" s="188" t="s">
        <v>104</v>
      </c>
      <c r="C36" s="85"/>
      <c r="D36" s="85"/>
      <c r="E36" s="85"/>
      <c r="F36" s="85"/>
      <c r="G36" s="85"/>
      <c r="H36" s="85"/>
      <c r="I36" s="85"/>
      <c r="J36" s="85"/>
      <c r="K36" s="85"/>
      <c r="L36" s="85"/>
      <c r="M36" s="85"/>
      <c r="N36" s="85"/>
      <c r="O36" s="192"/>
    </row>
    <row r="37" spans="1:15" x14ac:dyDescent="0.2">
      <c r="A37" s="195"/>
      <c r="B37" s="194">
        <v>44921</v>
      </c>
      <c r="C37" s="85">
        <v>0.04</v>
      </c>
      <c r="D37" s="85"/>
      <c r="E37" s="85"/>
      <c r="F37" s="85"/>
      <c r="G37" s="85"/>
      <c r="H37" s="85"/>
      <c r="I37" s="85"/>
      <c r="J37" s="85"/>
      <c r="K37" s="85"/>
      <c r="L37" s="85"/>
      <c r="M37" s="85"/>
      <c r="N37" s="85"/>
      <c r="O37" s="192" t="s">
        <v>133</v>
      </c>
    </row>
    <row r="38" spans="1:15" x14ac:dyDescent="0.2">
      <c r="A38" s="195"/>
      <c r="B38" s="194">
        <v>45286</v>
      </c>
      <c r="C38" s="85">
        <v>4.4999999999999998E-2</v>
      </c>
      <c r="D38" s="85"/>
      <c r="E38" s="85"/>
      <c r="F38" s="85"/>
      <c r="G38" s="85"/>
      <c r="H38" s="85"/>
      <c r="I38" s="85"/>
      <c r="J38" s="85"/>
      <c r="K38" s="85"/>
      <c r="L38" s="85"/>
      <c r="M38" s="85"/>
      <c r="N38" s="85"/>
      <c r="O38" s="192" t="s">
        <v>133</v>
      </c>
    </row>
    <row r="39" spans="1:15" x14ac:dyDescent="0.2">
      <c r="A39" s="150">
        <v>16</v>
      </c>
      <c r="B39" s="74" t="s">
        <v>105</v>
      </c>
      <c r="C39" s="85"/>
      <c r="D39" s="85"/>
      <c r="E39" s="85"/>
      <c r="F39" s="85"/>
      <c r="G39" s="85"/>
      <c r="H39" s="85"/>
      <c r="I39" s="85"/>
      <c r="J39" s="85"/>
      <c r="K39" s="85"/>
      <c r="L39" s="85"/>
      <c r="M39" s="85"/>
      <c r="N39" s="85"/>
      <c r="O39" s="192"/>
    </row>
    <row r="40" spans="1:15" x14ac:dyDescent="0.2">
      <c r="A40" s="150"/>
      <c r="B40" s="97">
        <v>44952</v>
      </c>
      <c r="C40" s="85"/>
      <c r="D40" s="85">
        <v>0.02</v>
      </c>
      <c r="E40" s="85"/>
      <c r="F40" s="85"/>
      <c r="G40" s="85"/>
      <c r="H40" s="85"/>
      <c r="I40" s="85"/>
      <c r="J40" s="85"/>
      <c r="K40" s="85"/>
      <c r="L40" s="85"/>
      <c r="M40" s="85"/>
      <c r="N40" s="85"/>
      <c r="O40" s="192" t="s">
        <v>109</v>
      </c>
    </row>
    <row r="41" spans="1:15" x14ac:dyDescent="0.2">
      <c r="A41" s="150"/>
      <c r="B41" s="154"/>
      <c r="C41" s="155"/>
      <c r="D41" s="155"/>
      <c r="E41" s="155"/>
      <c r="F41" s="155"/>
      <c r="G41" s="155"/>
      <c r="H41" s="155"/>
      <c r="I41" s="155"/>
      <c r="J41" s="155"/>
      <c r="K41" s="155"/>
      <c r="L41" s="155"/>
      <c r="M41" s="155"/>
      <c r="N41" s="155"/>
      <c r="O41" s="192" t="s">
        <v>276</v>
      </c>
    </row>
    <row r="42" spans="1:15" x14ac:dyDescent="0.2">
      <c r="A42" s="189">
        <v>18</v>
      </c>
      <c r="B42" s="188" t="s">
        <v>117</v>
      </c>
      <c r="C42" s="85"/>
      <c r="D42" s="85"/>
      <c r="E42" s="85"/>
      <c r="F42" s="85"/>
      <c r="G42" s="85"/>
      <c r="H42" s="85"/>
      <c r="I42" s="85"/>
      <c r="J42" s="85"/>
      <c r="K42" s="85"/>
      <c r="L42" s="85"/>
      <c r="M42" s="85"/>
      <c r="N42" s="85"/>
      <c r="O42" s="192"/>
    </row>
    <row r="43" spans="1:15" x14ac:dyDescent="0.2">
      <c r="A43" s="73"/>
      <c r="B43" s="97">
        <v>44921</v>
      </c>
      <c r="C43" s="85">
        <v>3.5000000000000003E-2</v>
      </c>
      <c r="D43" s="85"/>
      <c r="E43" s="85"/>
      <c r="F43" s="85"/>
      <c r="G43" s="85"/>
      <c r="H43" s="85"/>
      <c r="I43" s="85"/>
      <c r="J43" s="85"/>
      <c r="K43" s="85"/>
      <c r="L43" s="85"/>
      <c r="M43" s="85"/>
      <c r="N43" s="85"/>
      <c r="O43" s="192" t="s">
        <v>109</v>
      </c>
    </row>
    <row r="44" spans="1:15" x14ac:dyDescent="0.2">
      <c r="A44" s="73"/>
      <c r="B44" s="97">
        <v>45286</v>
      </c>
      <c r="C44" s="85">
        <v>3.5000000000000003E-2</v>
      </c>
      <c r="D44" s="85"/>
      <c r="E44" s="85"/>
      <c r="F44" s="85"/>
      <c r="G44" s="85"/>
      <c r="H44" s="85"/>
      <c r="I44" s="85"/>
      <c r="J44" s="85"/>
      <c r="K44" s="85"/>
      <c r="L44" s="85"/>
      <c r="M44" s="85"/>
      <c r="N44" s="85"/>
      <c r="O44" s="192" t="s">
        <v>133</v>
      </c>
    </row>
    <row r="45" spans="1:15" x14ac:dyDescent="0.2">
      <c r="A45" s="55"/>
      <c r="B45" s="55"/>
      <c r="C45" s="55"/>
      <c r="D45" s="55"/>
      <c r="E45" s="55"/>
      <c r="F45" s="55"/>
      <c r="G45" s="55"/>
      <c r="H45" s="55"/>
      <c r="I45" s="55"/>
      <c r="J45" s="55"/>
      <c r="K45" s="55"/>
      <c r="L45" s="55"/>
      <c r="M45" s="55"/>
      <c r="N45" s="88"/>
      <c r="O45" s="98"/>
    </row>
    <row r="46" spans="1:15" x14ac:dyDescent="0.2">
      <c r="A46" s="55"/>
      <c r="B46" s="55"/>
      <c r="C46" s="55"/>
      <c r="D46" s="99"/>
      <c r="E46" s="55"/>
      <c r="F46" s="55"/>
      <c r="G46" s="55"/>
      <c r="H46" s="55"/>
      <c r="I46" s="55"/>
      <c r="J46" s="55" t="s">
        <v>47</v>
      </c>
      <c r="K46" s="55"/>
      <c r="L46" s="55"/>
      <c r="M46" s="55"/>
      <c r="N46" s="55"/>
      <c r="O46" s="98"/>
    </row>
    <row r="47" spans="1:15" x14ac:dyDescent="0.2">
      <c r="A47" s="81" t="s">
        <v>134</v>
      </c>
      <c r="B47" s="55"/>
      <c r="C47" s="55"/>
      <c r="D47" s="55"/>
      <c r="E47" s="55"/>
      <c r="F47" s="55"/>
      <c r="G47" s="55"/>
      <c r="H47" s="55"/>
      <c r="I47" s="55"/>
      <c r="J47" s="55"/>
      <c r="K47" s="55"/>
      <c r="L47" s="55"/>
      <c r="M47" s="55"/>
      <c r="N47" s="55"/>
      <c r="O47" s="98"/>
    </row>
    <row r="48" spans="1:15" ht="25.5" x14ac:dyDescent="0.2">
      <c r="A48" s="89" t="s">
        <v>93</v>
      </c>
      <c r="B48" s="90" t="s">
        <v>94</v>
      </c>
      <c r="C48" s="63" t="str">
        <f t="shared" ref="C48:N48" si="0">+C6</f>
        <v>Jan</v>
      </c>
      <c r="D48" s="63" t="str">
        <f t="shared" si="0"/>
        <v>Feb</v>
      </c>
      <c r="E48" s="63" t="str">
        <f t="shared" si="0"/>
        <v>Mar</v>
      </c>
      <c r="F48" s="63" t="str">
        <f t="shared" si="0"/>
        <v>Apr</v>
      </c>
      <c r="G48" s="63" t="str">
        <f t="shared" si="0"/>
        <v>May</v>
      </c>
      <c r="H48" s="63" t="str">
        <f t="shared" si="0"/>
        <v>Jun</v>
      </c>
      <c r="I48" s="63" t="str">
        <f t="shared" si="0"/>
        <v>Jul</v>
      </c>
      <c r="J48" s="63" t="str">
        <f t="shared" si="0"/>
        <v>Aug</v>
      </c>
      <c r="K48" s="63" t="str">
        <f t="shared" si="0"/>
        <v>Sep</v>
      </c>
      <c r="L48" s="63" t="str">
        <f t="shared" si="0"/>
        <v>Oct</v>
      </c>
      <c r="M48" s="63" t="str">
        <f t="shared" si="0"/>
        <v>Nov</v>
      </c>
      <c r="N48" s="63" t="str">
        <f t="shared" si="0"/>
        <v>Dec</v>
      </c>
      <c r="O48" s="100" t="s">
        <v>91</v>
      </c>
    </row>
    <row r="49" spans="1:15" x14ac:dyDescent="0.2">
      <c r="A49" s="189">
        <v>2</v>
      </c>
      <c r="B49" s="188" t="s">
        <v>108</v>
      </c>
      <c r="C49" s="92">
        <f>IF(OR(SUM($C8:$C9)&gt;0),1+SUM($C8:$C9),1)*'4.3.4'!C46</f>
        <v>18519.227608635083</v>
      </c>
      <c r="D49" s="92">
        <f>IF(OR(SUM($C8:$D9)&gt;0),1+SUM($C8:$D9),1)*'4.3.4'!D46</f>
        <v>16694.36548577376</v>
      </c>
      <c r="E49" s="92">
        <f>IF(OR(SUM($C8:$E9)&gt;0),1+SUM($C8:$E9),1)*'4.3.4'!E46</f>
        <v>17928.557863349542</v>
      </c>
      <c r="F49" s="92">
        <f>IF(OR(SUM($C8:$F9)&gt;0),1+SUM($C8:$F9),1)*'4.3.4'!F46</f>
        <v>16697.210263900604</v>
      </c>
      <c r="G49" s="92">
        <f>IF(OR(SUM($C8:$G9)&gt;0),1+SUM($C8:$G9),1)*'4.3.4'!G46</f>
        <v>16861.407077783857</v>
      </c>
      <c r="H49" s="92">
        <f>IF(OR(SUM($C8:$H9)&gt;0),1+SUM($C8:$H9),1)*'4.3.4'!H46</f>
        <v>18917.49400809472</v>
      </c>
      <c r="I49" s="92">
        <f>IF(OR(SUM($C8:$I9)&gt;0),1+SUM($C8:$I9),1)*'4.3.4'!I46</f>
        <v>16189.662820000001</v>
      </c>
      <c r="J49" s="92">
        <f>IF(OR(SUM($C8:$J9)&gt;0),1+SUM($C8:$J9),1)*'4.3.4'!J46</f>
        <v>15086.437650800002</v>
      </c>
      <c r="K49" s="92">
        <f>IF(OR(SUM($C8:$K9)&gt;0),1+SUM($C8:$K9),1)*'4.3.4'!K46</f>
        <v>19761.773097400001</v>
      </c>
      <c r="L49" s="92">
        <f>IF(OR(SUM($C8:$L9)&gt;0),1+SUM($C8:$L9),1)*'4.3.4'!L46</f>
        <v>16894.5638507</v>
      </c>
      <c r="M49" s="92">
        <f>IF(OR(SUM($C8:$M9)&gt;0),1+SUM($C8:$M9),1)*'4.3.4'!M46</f>
        <v>17138.191112799999</v>
      </c>
      <c r="N49" s="92">
        <f>IF(OR(SUM($C8:$N9)&gt;0),1+SUM($C8:$N9),1)*'4.3.4'!N46</f>
        <v>18307.84524972325</v>
      </c>
      <c r="O49" s="93">
        <f t="shared" ref="O49:O60" si="1">SUM(C49:N49)</f>
        <v>208996.73608896084</v>
      </c>
    </row>
    <row r="50" spans="1:15" x14ac:dyDescent="0.2">
      <c r="A50" s="189">
        <v>3</v>
      </c>
      <c r="B50" s="188" t="s">
        <v>110</v>
      </c>
      <c r="C50" s="92">
        <f>IF(OR(SUM($C11:$C12)&gt;0),1+SUM($C11:$C12),1)*'4.3.4'!C47</f>
        <v>3817.7909525879409</v>
      </c>
      <c r="D50" s="92">
        <f>IF(OR(SUM($C11:$D12)&gt;0),1+SUM($C11:$D12),1)*'4.3.4'!D47</f>
        <v>3945.3668175600005</v>
      </c>
      <c r="E50" s="92">
        <f>IF(OR(SUM($C11:$E12)&gt;0),1+SUM($C11:$E12),1)*'4.3.4'!E47</f>
        <v>3929.1471717415275</v>
      </c>
      <c r="F50" s="92">
        <f>IF(OR(SUM($C11:$F12)&gt;0),1+SUM($C11:$F12),1)*'4.3.4'!F47</f>
        <v>3650.5422740032609</v>
      </c>
      <c r="G50" s="92">
        <f>IF(OR(SUM($C11:$G12)&gt;0),1+SUM($C11:$G12),1)*'4.3.4'!G47</f>
        <v>3780.5332290597698</v>
      </c>
      <c r="H50" s="92">
        <f>IF(OR(SUM($C11:$H12)&gt;0),1+SUM($C11:$H12),1)*'4.3.4'!H47</f>
        <v>4007.4534435670471</v>
      </c>
      <c r="I50" s="92">
        <f>IF(OR(SUM($C11:$I12)&gt;0),1+SUM($C11:$I12),1)*'4.3.4'!I47</f>
        <v>4005.6072801524997</v>
      </c>
      <c r="J50" s="92">
        <f>IF(OR(SUM($C11:$J12)&gt;0),1+SUM($C11:$J12),1)*'4.3.4'!J47</f>
        <v>3314.3396697000003</v>
      </c>
      <c r="K50" s="92">
        <f>IF(OR(SUM($C11:$K12)&gt;0),1+SUM($C11:$K12),1)*'4.3.4'!K47</f>
        <v>4239.9426026000001</v>
      </c>
      <c r="L50" s="92">
        <f>IF(OR(SUM($C11:$L12)&gt;0),1+SUM($C11:$L12),1)*'4.3.4'!L47</f>
        <v>4428.0603939999992</v>
      </c>
      <c r="M50" s="92">
        <f>IF(OR(SUM($C11:$M12)&gt;0),1+SUM($C11:$M12),1)*'4.3.4'!M47</f>
        <v>3940.0142089000001</v>
      </c>
      <c r="N50" s="92">
        <f>IF(OR(SUM($C11:$N12)&gt;0),1+SUM($C11:$N12),1)*'4.3.4'!N47</f>
        <v>4094.6735677704282</v>
      </c>
      <c r="O50" s="93">
        <f t="shared" si="1"/>
        <v>47153.471611642475</v>
      </c>
    </row>
    <row r="51" spans="1:15" x14ac:dyDescent="0.2">
      <c r="A51" s="189">
        <v>4</v>
      </c>
      <c r="B51" s="188" t="s">
        <v>111</v>
      </c>
      <c r="C51" s="92">
        <f>IF(OR(SUM($C14:$C15)&gt;0),1+SUM($C14:$C15),1)*'4.3.4'!C48</f>
        <v>4407.4126336426843</v>
      </c>
      <c r="D51" s="92">
        <f>IF(OR(SUM($C14:$D15)&gt;0),1+SUM($C14:$D15),1)*'4.3.4'!D48</f>
        <v>4243.1067006000003</v>
      </c>
      <c r="E51" s="92">
        <f>IF(OR(SUM($C14:$E15)&gt;0),1+SUM($C14:$E15),1)*'4.3.4'!E48</f>
        <v>4136.68288571837</v>
      </c>
      <c r="F51" s="92">
        <f>IF(OR(SUM($C14:$F15)&gt;0),1+SUM($C14:$F15),1)*'4.3.4'!F48</f>
        <v>3844.9289435563928</v>
      </c>
      <c r="G51" s="92">
        <f>IF(OR(SUM($C14:$G15)&gt;0),1+SUM($C14:$G15),1)*'4.3.4'!G48</f>
        <v>4022.7769013115862</v>
      </c>
      <c r="H51" s="92">
        <f>IF(OR(SUM($C14:$H15)&gt;0),1+SUM($C14:$H15),1)*'4.3.4'!H48</f>
        <v>4418.3615691068444</v>
      </c>
      <c r="I51" s="92">
        <f>IF(OR(SUM($C14:$I15)&gt;0),1+SUM($C14:$I15),1)*'4.3.4'!I48</f>
        <v>4827.5493205140001</v>
      </c>
      <c r="J51" s="92">
        <f>IF(OR(SUM($C14:$J15)&gt;0),1+SUM($C14:$J15),1)*'4.3.4'!J48</f>
        <v>3622.8485615039995</v>
      </c>
      <c r="K51" s="92">
        <f>IF(OR(SUM($C14:$K15)&gt;0),1+SUM($C14:$K15),1)*'4.3.4'!K48</f>
        <v>4404.9984278939992</v>
      </c>
      <c r="L51" s="92">
        <f>IF(OR(SUM($C14:$L15)&gt;0),1+SUM($C14:$L15),1)*'4.3.4'!L48</f>
        <v>3900.7568358540002</v>
      </c>
      <c r="M51" s="92">
        <f>IF(OR(SUM($C14:$M15)&gt;0),1+SUM($C14:$M15),1)*'4.3.4'!M48</f>
        <v>4026.3954916499997</v>
      </c>
      <c r="N51" s="92">
        <f>IF(OR(SUM($C14:$N15)&gt;0),1+SUM($C14:$N15),1)*'4.3.4'!N48</f>
        <v>4326.974234032934</v>
      </c>
      <c r="O51" s="93">
        <f t="shared" si="1"/>
        <v>50182.792505384816</v>
      </c>
    </row>
    <row r="52" spans="1:15" x14ac:dyDescent="0.2">
      <c r="A52" s="189">
        <v>5</v>
      </c>
      <c r="B52" s="188" t="s">
        <v>112</v>
      </c>
      <c r="C52" s="92">
        <f>IF(OR(SUM($C17:$C18)&gt;0),1+SUM($C17:$C18),1)*'4.3.4'!C49</f>
        <v>174.42151122411684</v>
      </c>
      <c r="D52" s="92">
        <f>IF(OR(SUM($C17:$D18)&gt;0),1+SUM($C17:$D18),1)*'4.3.4'!D49</f>
        <v>190.58603999999997</v>
      </c>
      <c r="E52" s="92">
        <f>IF(OR(SUM($C17:$E18)&gt;0),1+SUM($C17:$E18),1)*'4.3.4'!E49</f>
        <v>228.45593691715413</v>
      </c>
      <c r="F52" s="92">
        <f>IF(OR(SUM($C17:$F18)&gt;0),1+SUM($C17:$F18),1)*'4.3.4'!F49</f>
        <v>189.04875682673389</v>
      </c>
      <c r="G52" s="92">
        <f>IF(OR(SUM($C17:$G18)&gt;0),1+SUM($C17:$G18),1)*'4.3.4'!G49</f>
        <v>186.74967208385672</v>
      </c>
      <c r="H52" s="92">
        <f>IF(OR(SUM($C17:$H18)&gt;0),1+SUM($C17:$H18),1)*'4.3.4'!H49</f>
        <v>236.08612705322042</v>
      </c>
      <c r="I52" s="92">
        <f>IF(OR(SUM($C17:$I18)&gt;0),1+SUM($C17:$I18),1)*'4.3.4'!I49</f>
        <v>297.74899121750002</v>
      </c>
      <c r="J52" s="92">
        <f>IF(OR(SUM($C17:$J18)&gt;0),1+SUM($C17:$J18),1)*'4.3.4'!J49</f>
        <v>166.45145529250004</v>
      </c>
      <c r="K52" s="92">
        <f>IF(OR(SUM($C17:$K18)&gt;0),1+SUM($C17:$K18),1)*'4.3.4'!K49</f>
        <v>244.90860716249998</v>
      </c>
      <c r="L52" s="92">
        <f>IF(OR(SUM($C17:$L18)&gt;0),1+SUM($C17:$L18),1)*'4.3.4'!L49</f>
        <v>182.58404457999998</v>
      </c>
      <c r="M52" s="92">
        <f>IF(OR(SUM($C17:$M18)&gt;0),1+SUM($C17:$M18),1)*'4.3.4'!M49</f>
        <v>187.02659496749996</v>
      </c>
      <c r="N52" s="92">
        <f>IF(OR(SUM($C17:$N18)&gt;0),1+SUM($C17:$N18),1)*'4.3.4'!N49</f>
        <v>223.24251405073619</v>
      </c>
      <c r="O52" s="93">
        <f t="shared" si="1"/>
        <v>2507.3102513758181</v>
      </c>
    </row>
    <row r="53" spans="1:15" x14ac:dyDescent="0.2">
      <c r="A53" s="189">
        <v>8</v>
      </c>
      <c r="B53" s="188" t="s">
        <v>99</v>
      </c>
      <c r="C53" s="92">
        <f>IF(OR(SUM($C20:$C22)&gt;0),1+SUM($C20:$C22),1)*'4.3.4'!C50</f>
        <v>4385.3718657249929</v>
      </c>
      <c r="D53" s="92">
        <f>IF(OR(SUM($C20:$D22)&gt;0),1+SUM($C20:$D22),1)*'4.3.4'!D50</f>
        <v>4099.1607000000004</v>
      </c>
      <c r="E53" s="92">
        <f>IF(OR(SUM($C20:$E22)&gt;0),1+SUM($C20:$E22),1)*'4.3.4'!E50</f>
        <v>4083.2829329030042</v>
      </c>
      <c r="F53" s="92">
        <f>IF(OR(SUM($C20:$F22)&gt;0),1+SUM($C20:$F22),1)*'4.3.4'!F50</f>
        <v>3895.7970482618821</v>
      </c>
      <c r="G53" s="92">
        <f>IF(OR(SUM($C20:$G22)&gt;0),1+SUM($C20:$G22),1)*'4.3.4'!G50</f>
        <v>4038.1472609585708</v>
      </c>
      <c r="H53" s="92">
        <f>IF(OR(SUM($C20:$H22)&gt;0),1+SUM($C20:$H22),1)*'4.3.4'!H50</f>
        <v>4468.0938438759304</v>
      </c>
      <c r="I53" s="92">
        <f>IF(OR(SUM($C20:$I22)&gt;0),1+SUM($C20:$I22),1)*'4.3.4'!I50</f>
        <v>3787.67652</v>
      </c>
      <c r="J53" s="92">
        <f>IF(OR(SUM($C20:$J22)&gt;0),1+SUM($C20:$J22),1)*'4.3.4'!J50</f>
        <v>3516.8135400000001</v>
      </c>
      <c r="K53" s="92">
        <f>IF(OR(SUM($C20:$K22)&gt;0),1+SUM($C20:$K22),1)*'4.3.4'!K50</f>
        <v>4182.3205699999999</v>
      </c>
      <c r="L53" s="92">
        <f>IF(OR(SUM($C20:$L22)&gt;0),1+SUM($C20:$L22),1)*'4.3.4'!L50</f>
        <v>4624.0487951000005</v>
      </c>
      <c r="M53" s="92">
        <f>IF(OR(SUM($C20:$M22)&gt;0),1+SUM($C20:$M22),1)*'4.3.4'!M50</f>
        <v>4520.6445301000003</v>
      </c>
      <c r="N53" s="92">
        <f>IF(OR(SUM($C20:$N22)&gt;0),1+SUM($C20:$N22),1)*'4.3.4'!N50</f>
        <v>4639.4834227599486</v>
      </c>
      <c r="O53" s="93">
        <f t="shared" si="1"/>
        <v>50240.841029684336</v>
      </c>
    </row>
    <row r="54" spans="1:15" x14ac:dyDescent="0.2">
      <c r="A54" s="195">
        <v>9</v>
      </c>
      <c r="B54" s="197" t="s">
        <v>114</v>
      </c>
      <c r="C54" s="152"/>
      <c r="D54" s="152"/>
      <c r="E54" s="152"/>
      <c r="F54" s="152"/>
      <c r="G54" s="152"/>
      <c r="H54" s="152"/>
      <c r="I54" s="152"/>
      <c r="J54" s="152"/>
      <c r="K54" s="152"/>
      <c r="L54" s="152"/>
      <c r="M54" s="152"/>
      <c r="N54" s="152"/>
      <c r="O54" s="153"/>
    </row>
    <row r="55" spans="1:15" x14ac:dyDescent="0.2">
      <c r="A55" s="195">
        <v>11</v>
      </c>
      <c r="B55" s="197" t="s">
        <v>115</v>
      </c>
      <c r="C55" s="92">
        <f>IF(OR(SUM($C28:$C29)&gt;0),1+SUM($C28:$C29),1)*'4.3.4'!C52</f>
        <v>11238.41378529075</v>
      </c>
      <c r="D55" s="92">
        <f>IF(OR(SUM($C28:$D29)&gt;0),1+SUM($C28:$D29),1)*'4.3.4'!D52</f>
        <v>11707.110443612501</v>
      </c>
      <c r="E55" s="92">
        <f>IF(OR(SUM($C28:$E29)&gt;0),1+SUM($C28:$E29),1)*'4.3.4'!E52</f>
        <v>10833.639107687786</v>
      </c>
      <c r="F55" s="92">
        <f>IF(OR(SUM($C28:$F29)&gt;0),1+SUM($C28:$F29),1)*'4.3.4'!F52</f>
        <v>10477.492719492135</v>
      </c>
      <c r="G55" s="92">
        <f>IF(OR(SUM($C28:$G29)&gt;0),1+SUM($C28:$G29),1)*'4.3.4'!G52</f>
        <v>10967.432851382586</v>
      </c>
      <c r="H55" s="92">
        <f>IF(OR(SUM($C28:$H29)&gt;0),1+SUM($C28:$H29),1)*'4.3.4'!H52</f>
        <v>11612.637565813995</v>
      </c>
      <c r="I55" s="92">
        <f>IF(OR(SUM($C28:$I29)&gt;0),1+SUM($C28:$I29),1)*'4.3.4'!I52</f>
        <v>9976.1078215137477</v>
      </c>
      <c r="J55" s="92">
        <f>IF(OR(SUM($C28:$J29)&gt;0),1+SUM($C28:$J29),1)*'4.3.4'!J52</f>
        <v>9927.5148479500003</v>
      </c>
      <c r="K55" s="92">
        <f>IF(OR(SUM($C28:$K29)&gt;0),1+SUM($C28:$K29),1)*'4.3.4'!K52</f>
        <v>11628.744308649999</v>
      </c>
      <c r="L55" s="92">
        <f>IF(OR(SUM($C28:$L29)&gt;0),1+SUM($C28:$L29),1)*'4.3.4'!L52</f>
        <v>10663.591140999999</v>
      </c>
      <c r="M55" s="92">
        <f>IF(OR(SUM($C28:$M29)&gt;0),1+SUM($C28:$M29),1)*'4.3.4'!M52</f>
        <v>10871.8923271</v>
      </c>
      <c r="N55" s="92">
        <f>IF(OR(SUM($C28:$N29)&gt;0),1+SUM($C28:$N29),1)*'4.3.4'!N52</f>
        <v>11957.920266995467</v>
      </c>
      <c r="O55" s="93">
        <f t="shared" si="1"/>
        <v>131862.49718648897</v>
      </c>
    </row>
    <row r="56" spans="1:15" x14ac:dyDescent="0.2">
      <c r="A56" s="195">
        <v>12</v>
      </c>
      <c r="B56" s="197" t="s">
        <v>116</v>
      </c>
      <c r="C56" s="92">
        <f>IF(OR(SUM($C31:$C32)&gt;0),1+SUM($C31:$C32),1)*'4.3.4'!C53</f>
        <v>3696.2033249204455</v>
      </c>
      <c r="D56" s="92">
        <f>IF(OR(SUM($C31:$D32)&gt;0),1+SUM($C31:$D32),1)*'4.3.4'!D53</f>
        <v>3999.5391189074999</v>
      </c>
      <c r="E56" s="92">
        <f>IF(OR(SUM($C31:$E32)&gt;0),1+SUM($C31:$E32),1)*'4.3.4'!E53</f>
        <v>3820.2569596058838</v>
      </c>
      <c r="F56" s="92">
        <f>IF(OR(SUM($C31:$F32)&gt;0),1+SUM($C31:$F32),1)*'4.3.4'!F53</f>
        <v>3398.7141542824024</v>
      </c>
      <c r="G56" s="92">
        <f>IF(OR(SUM($C31:$G32)&gt;0),1+SUM($C31:$G32),1)*'4.3.4'!G53</f>
        <v>3851.6798783486761</v>
      </c>
      <c r="H56" s="92">
        <f>IF(OR(SUM($C31:$H32)&gt;0),1+SUM($C31:$H32),1)*'4.3.4'!H53</f>
        <v>4281.927168479564</v>
      </c>
      <c r="I56" s="92">
        <f>IF(OR(SUM($C31:$I32)&gt;0),1+SUM($C31:$I32),1)*'4.3.4'!I53</f>
        <v>3640.6909240099994</v>
      </c>
      <c r="J56" s="92">
        <f>IF(OR(SUM($C31:$J32)&gt;0),1+SUM($C31:$J32),1)*'4.3.4'!J53</f>
        <v>3483.0450721500001</v>
      </c>
      <c r="K56" s="92">
        <f>IF(OR(SUM($C31:$K32)&gt;0),1+SUM($C31:$K32),1)*'4.3.4'!K53</f>
        <v>4329.5034170500003</v>
      </c>
      <c r="L56" s="92">
        <f>IF(OR(SUM($C31:$L32)&gt;0),1+SUM($C31:$L32),1)*'4.3.4'!L53</f>
        <v>3955.5315303000002</v>
      </c>
      <c r="M56" s="92">
        <f>IF(OR(SUM($C31:$M32)&gt;0),1+SUM($C31:$M32),1)*'4.3.4'!M53</f>
        <v>3787.7476619499998</v>
      </c>
      <c r="N56" s="92">
        <f>IF(OR(SUM($C31:$N32)&gt;0),1+SUM($C31:$N32),1)*'4.3.4'!N53</f>
        <v>3843.3133874296027</v>
      </c>
      <c r="O56" s="93">
        <f t="shared" si="1"/>
        <v>46088.152597434077</v>
      </c>
    </row>
    <row r="57" spans="1:15" x14ac:dyDescent="0.2">
      <c r="A57" s="195">
        <v>13</v>
      </c>
      <c r="B57" s="197" t="s">
        <v>103</v>
      </c>
      <c r="C57" s="92">
        <f>IF(OR(SUM($C34:$C35)&gt;0),1+SUM($C34:$C35),1)*'4.3.4'!C54</f>
        <v>512.79333677259672</v>
      </c>
      <c r="D57" s="92">
        <f>IF(OR(SUM($C34:$D35)&gt;0),1+SUM($C34:$D35),1)*'4.3.4'!D54</f>
        <v>543.03745466838996</v>
      </c>
      <c r="E57" s="92">
        <f>IF(OR(SUM($C34:$E35)&gt;0),1+SUM($C34:$E35),1)*'4.3.4'!E54</f>
        <v>538.88606712077831</v>
      </c>
      <c r="F57" s="92">
        <f>IF(OR(SUM($C34:$F35)&gt;0),1+SUM($C34:$F35),1)*'4.3.4'!F54</f>
        <v>499.06939382393574</v>
      </c>
      <c r="G57" s="92">
        <f>IF(OR(SUM($C34:$G35)&gt;0),1+SUM($C34:$G35),1)*'4.3.4'!G54</f>
        <v>496.95027365027551</v>
      </c>
      <c r="H57" s="92">
        <f>IF(OR(SUM($C34:$H35)&gt;0),1+SUM($C34:$H35),1)*'4.3.4'!H54</f>
        <v>509.90851644815405</v>
      </c>
      <c r="I57" s="92">
        <f>IF(OR(SUM($C34:$I35)&gt;0),1+SUM($C34:$I35),1)*'4.3.4'!I54</f>
        <v>448.08844750000003</v>
      </c>
      <c r="J57" s="92">
        <f>IF(OR(SUM($C34:$J35)&gt;0),1+SUM($C34:$J35),1)*'4.3.4'!J54</f>
        <v>440.54197290000002</v>
      </c>
      <c r="K57" s="92">
        <f>IF(OR(SUM($C34:$K35)&gt;0),1+SUM($C34:$K35),1)*'4.3.4'!K54</f>
        <v>456.39906260000004</v>
      </c>
      <c r="L57" s="92">
        <f>IF(OR(SUM($C34:$L35)&gt;0),1+SUM($C34:$L35),1)*'4.3.4'!L54</f>
        <v>444.1208982</v>
      </c>
      <c r="M57" s="92">
        <f>IF(OR(SUM($C34:$M35)&gt;0),1+SUM($C34:$M35),1)*'4.3.4'!M54</f>
        <v>479.93877370000001</v>
      </c>
      <c r="N57" s="92">
        <f>IF(OR(SUM($C34:$N35)&gt;0),1+SUM($C34:$N35),1)*'4.3.4'!N54</f>
        <v>480.61217747717222</v>
      </c>
      <c r="O57" s="93">
        <f t="shared" si="1"/>
        <v>5850.3463748613012</v>
      </c>
    </row>
    <row r="58" spans="1:15" x14ac:dyDescent="0.2">
      <c r="A58" s="195">
        <v>15</v>
      </c>
      <c r="B58" s="197" t="s">
        <v>104</v>
      </c>
      <c r="C58" s="92">
        <f>IF(OR(SUM($C37:$C38)&gt;0),1+SUM($C37:$C38),1)*'4.3.4'!C55</f>
        <v>368.071080732273</v>
      </c>
      <c r="D58" s="92">
        <f>IF(OR(SUM($C37:$D38)&gt;0),1+SUM($C37:$D38),1)*'4.3.4'!D55</f>
        <v>415.03541899749996</v>
      </c>
      <c r="E58" s="92">
        <f>IF(OR(SUM($C37:$E38)&gt;0),1+SUM($C37:$E38),1)*'4.3.4'!E55</f>
        <v>443.3108243302828</v>
      </c>
      <c r="F58" s="92">
        <f>IF(OR(SUM($C37:$F38)&gt;0),1+SUM($C37:$F38),1)*'4.3.4'!F55</f>
        <v>426.90602263852736</v>
      </c>
      <c r="G58" s="92">
        <f>IF(OR(SUM($C37:$G38)&gt;0),1+SUM($C37:$G38),1)*'4.3.4'!G55</f>
        <v>382.48915150442713</v>
      </c>
      <c r="H58" s="92">
        <f>IF(OR(SUM($C37:$H38)&gt;0),1+SUM($C37:$H38),1)*'4.3.4'!H55</f>
        <v>406.07979019931378</v>
      </c>
      <c r="I58" s="92">
        <f>IF(OR(SUM($C37:$I38)&gt;0),1+SUM($C37:$I38),1)*'4.3.4'!I55</f>
        <v>382.50173685499999</v>
      </c>
      <c r="J58" s="92">
        <f>IF(OR(SUM($C37:$J38)&gt;0),1+SUM($C37:$J38),1)*'4.3.4'!J55</f>
        <v>341.47135189999995</v>
      </c>
      <c r="K58" s="92">
        <f>IF(OR(SUM($C37:$K38)&gt;0),1+SUM($C37:$K38),1)*'4.3.4'!K55</f>
        <v>387.56224954999999</v>
      </c>
      <c r="L58" s="92">
        <f>IF(OR(SUM($C37:$L38)&gt;0),1+SUM($C37:$L38),1)*'4.3.4'!L55</f>
        <v>409.56553959999997</v>
      </c>
      <c r="M58" s="92">
        <f>IF(OR(SUM($C37:$M38)&gt;0),1+SUM($C37:$M38),1)*'4.3.4'!M55</f>
        <v>398.13463059999992</v>
      </c>
      <c r="N58" s="92">
        <f>IF(OR(SUM($C37:$N38)&gt;0),1+SUM($C37:$N38),1)*'4.3.4'!N55</f>
        <v>395.30550572545667</v>
      </c>
      <c r="O58" s="93">
        <f t="shared" si="1"/>
        <v>4756.4333026327804</v>
      </c>
    </row>
    <row r="59" spans="1:15" x14ac:dyDescent="0.2">
      <c r="A59" s="150">
        <v>16</v>
      </c>
      <c r="B59" s="151" t="s">
        <v>105</v>
      </c>
      <c r="C59" s="152"/>
      <c r="D59" s="152"/>
      <c r="E59" s="152"/>
      <c r="F59" s="152"/>
      <c r="G59" s="152"/>
      <c r="H59" s="152"/>
      <c r="I59" s="152"/>
      <c r="J59" s="152"/>
      <c r="K59" s="152"/>
      <c r="L59" s="152"/>
      <c r="M59" s="152"/>
      <c r="N59" s="152"/>
      <c r="O59" s="153"/>
    </row>
    <row r="60" spans="1:15" x14ac:dyDescent="0.2">
      <c r="A60" s="189">
        <v>18</v>
      </c>
      <c r="B60" s="188" t="s">
        <v>117</v>
      </c>
      <c r="C60" s="92">
        <f>IF(OR(SUM($C43:$C44)&gt;0),1+SUM($C43:$C44),1)*'4.3.4'!C57</f>
        <v>1224.6134975423688</v>
      </c>
      <c r="D60" s="92">
        <f>IF(OR(SUM($C43:$D44)&gt;0),1+SUM($C43:$D44),1)*'4.3.4'!D57</f>
        <v>1144.8259693535997</v>
      </c>
      <c r="E60" s="92">
        <f>IF(OR(SUM($C43:$E44)&gt;0),1+SUM($C43:$E44),1)*'4.3.4'!E57</f>
        <v>1211.1067505840128</v>
      </c>
      <c r="F60" s="92">
        <f>IF(OR(SUM($C43:$F44)&gt;0),1+SUM($C43:$F44),1)*'4.3.4'!F57</f>
        <v>1115.6138128474406</v>
      </c>
      <c r="G60" s="92">
        <f>IF(OR(SUM($C43:$G44)&gt;0),1+SUM($C43:$G44),1)*'4.3.4'!G57</f>
        <v>1131.9135190160885</v>
      </c>
      <c r="H60" s="92">
        <f>IF(OR(SUM($C43:$H44)&gt;0),1+SUM($C43:$H44),1)*'4.3.4'!H57</f>
        <v>1290.272791519199</v>
      </c>
      <c r="I60" s="92">
        <f>IF(OR(SUM($C43:$I44)&gt;0),1+SUM($C43:$I44),1)*'4.3.4'!I57</f>
        <v>1125.4670880000001</v>
      </c>
      <c r="J60" s="92">
        <f>IF(OR(SUM($C43:$J44)&gt;0),1+SUM($C43:$J44),1)*'4.3.4'!J57</f>
        <v>1030.2028694000001</v>
      </c>
      <c r="K60" s="92">
        <f>IF(OR(SUM($C43:$K44)&gt;0),1+SUM($C43:$K44),1)*'4.3.4'!K57</f>
        <v>1040.7802474000002</v>
      </c>
      <c r="L60" s="92">
        <f>IF(OR(SUM($C43:$L44)&gt;0),1+SUM($C43:$L44),1)*'4.3.4'!L57</f>
        <v>1095.0531726000002</v>
      </c>
      <c r="M60" s="92">
        <f>IF(OR(SUM($C43:$M44)&gt;0),1+SUM($C43:$M44),1)*'4.3.4'!M57</f>
        <v>1110.6397663</v>
      </c>
      <c r="N60" s="92">
        <f>IF(OR(SUM($C43:$N44)&gt;0),1+SUM($C43:$N44),1)*'4.3.4'!N57</f>
        <v>1236.5441905636255</v>
      </c>
      <c r="O60" s="93">
        <f t="shared" si="1"/>
        <v>13757.033675126337</v>
      </c>
    </row>
    <row r="61" spans="1:15" x14ac:dyDescent="0.2">
      <c r="A61" s="94" t="s">
        <v>92</v>
      </c>
      <c r="B61" s="191"/>
      <c r="C61" s="64">
        <v>48539.375773889333</v>
      </c>
      <c r="D61" s="64">
        <v>47191.350738808243</v>
      </c>
      <c r="E61" s="64">
        <v>47355.502921043742</v>
      </c>
      <c r="F61" s="64">
        <v>44395.041550561677</v>
      </c>
      <c r="G61" s="64">
        <v>45935.409523443675</v>
      </c>
      <c r="H61" s="64">
        <v>50361.897798929356</v>
      </c>
      <c r="I61" s="64">
        <v>44884.939396931499</v>
      </c>
      <c r="J61" s="64">
        <v>41113.962364596504</v>
      </c>
      <c r="K61" s="64">
        <v>50880.717746206494</v>
      </c>
      <c r="L61" s="64">
        <v>46806.471153134</v>
      </c>
      <c r="M61" s="64">
        <v>46737.764563167504</v>
      </c>
      <c r="N61" s="64">
        <v>49792.785498381665</v>
      </c>
      <c r="O61" s="64">
        <v>563995.21902909374</v>
      </c>
    </row>
    <row r="62" spans="1:15" x14ac:dyDescent="0.2">
      <c r="A62" s="55"/>
      <c r="B62" s="55"/>
      <c r="C62" s="62"/>
      <c r="D62" s="55"/>
      <c r="E62" s="55"/>
      <c r="F62" s="55"/>
      <c r="G62" s="55"/>
      <c r="H62" s="55"/>
      <c r="I62" s="55"/>
      <c r="J62" s="55"/>
      <c r="K62" s="55"/>
      <c r="L62" s="55"/>
      <c r="M62" s="55"/>
      <c r="N62" s="55"/>
      <c r="O62" s="101"/>
    </row>
    <row r="63" spans="1:15" x14ac:dyDescent="0.2">
      <c r="A63" s="192" t="s">
        <v>109</v>
      </c>
      <c r="B63" s="193" t="s">
        <v>135</v>
      </c>
      <c r="C63" s="86"/>
      <c r="D63" s="55"/>
      <c r="E63" s="55"/>
      <c r="F63" s="55"/>
      <c r="G63" s="55"/>
      <c r="H63" s="55"/>
      <c r="I63" s="55"/>
      <c r="J63" s="55"/>
      <c r="K63" s="55"/>
      <c r="L63" s="55"/>
      <c r="M63" s="55"/>
      <c r="N63" s="55"/>
      <c r="O63" s="101"/>
    </row>
    <row r="64" spans="1:15" x14ac:dyDescent="0.2">
      <c r="A64" s="192" t="s">
        <v>133</v>
      </c>
      <c r="B64" s="193" t="s">
        <v>136</v>
      </c>
      <c r="C64" s="86"/>
      <c r="D64" s="55"/>
      <c r="E64" s="55"/>
      <c r="F64" s="55"/>
      <c r="G64" s="55"/>
      <c r="H64" s="55"/>
      <c r="I64" s="55"/>
      <c r="J64" s="55"/>
      <c r="K64" s="55"/>
      <c r="L64" s="55"/>
      <c r="M64" s="55"/>
      <c r="N64" s="55"/>
      <c r="O64" s="102"/>
    </row>
    <row r="65" spans="1:15" x14ac:dyDescent="0.2">
      <c r="A65" s="192" t="s">
        <v>137</v>
      </c>
      <c r="B65" s="193" t="s">
        <v>138</v>
      </c>
      <c r="C65" s="86"/>
      <c r="D65" s="55"/>
      <c r="E65" s="55"/>
      <c r="F65" s="55"/>
      <c r="G65" s="55"/>
      <c r="H65" s="55"/>
      <c r="I65" s="55"/>
      <c r="J65" s="55"/>
      <c r="K65" s="55"/>
      <c r="L65" s="55"/>
      <c r="M65" s="55"/>
      <c r="N65" s="55"/>
      <c r="O65" s="70"/>
    </row>
    <row r="66" spans="1:15" x14ac:dyDescent="0.2">
      <c r="A66" s="55"/>
      <c r="B66" s="55"/>
      <c r="C66" s="62"/>
      <c r="D66" s="55"/>
      <c r="E66" s="55"/>
      <c r="F66" s="55"/>
      <c r="G66" s="55"/>
      <c r="H66" s="55"/>
      <c r="I66" s="55"/>
      <c r="J66" s="55"/>
      <c r="K66" s="55"/>
      <c r="L66" s="55"/>
      <c r="M66" s="55"/>
      <c r="N66" s="55"/>
      <c r="O66" s="55"/>
    </row>
  </sheetData>
  <pageMargins left="0.7" right="0.7" top="0.75" bottom="0.75" header="0.3" footer="0.3"/>
  <pageSetup scale="55" fitToHeight="0" orientation="landscape" r:id="rId1"/>
  <headerFooter>
    <oddHeader>&amp;L&amp;"Arial,Bold"PacifiCorp
Washington 2023 General Rate Case
Escalation of Regular. Overtime, and Premium Labor
(Figures are in thousands)</oddHeader>
    <oddFooter>&amp;CPage 4.3.5_REDACTED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42A04-34A0-4E96-ABF2-E44D9A3E0FD6}">
  <sheetPr>
    <pageSetUpPr fitToPage="1"/>
  </sheetPr>
  <dimension ref="A1:I15"/>
  <sheetViews>
    <sheetView view="pageBreakPreview" zoomScaleNormal="100" zoomScaleSheetLayoutView="100" workbookViewId="0"/>
  </sheetViews>
  <sheetFormatPr defaultRowHeight="12.75" x14ac:dyDescent="0.2"/>
  <cols>
    <col min="1" max="1" width="24.7109375" style="198" customWidth="1"/>
    <col min="2" max="2" width="19.28515625" style="198" bestFit="1" customWidth="1"/>
    <col min="3" max="3" width="15.85546875" style="198" customWidth="1"/>
    <col min="4" max="4" width="15" style="198" bestFit="1" customWidth="1"/>
    <col min="5" max="5" width="15" style="198" customWidth="1"/>
    <col min="6" max="6" width="1.5703125" style="198" customWidth="1"/>
    <col min="7" max="7" width="14" style="198" bestFit="1" customWidth="1"/>
    <col min="8" max="8" width="1.5703125" style="198" customWidth="1"/>
    <col min="9" max="9" width="5.42578125" style="198" bestFit="1" customWidth="1"/>
    <col min="10" max="16384" width="9.140625" style="8"/>
  </cols>
  <sheetData>
    <row r="1" spans="1:9" x14ac:dyDescent="0.2">
      <c r="A1" s="103" t="s">
        <v>0</v>
      </c>
      <c r="H1" s="199" t="s">
        <v>1</v>
      </c>
      <c r="I1" s="198" t="s">
        <v>67</v>
      </c>
    </row>
    <row r="2" spans="1:9" x14ac:dyDescent="0.2">
      <c r="A2" s="103" t="s">
        <v>45</v>
      </c>
    </row>
    <row r="3" spans="1:9" x14ac:dyDescent="0.2">
      <c r="A3" s="103" t="s">
        <v>46</v>
      </c>
    </row>
    <row r="5" spans="1:9" x14ac:dyDescent="0.2">
      <c r="B5" s="200" t="s">
        <v>47</v>
      </c>
      <c r="C5" s="200" t="s">
        <v>47</v>
      </c>
      <c r="D5" s="200" t="s">
        <v>47</v>
      </c>
    </row>
    <row r="6" spans="1:9" x14ac:dyDescent="0.2">
      <c r="A6" s="108"/>
      <c r="B6" s="200" t="s">
        <v>139</v>
      </c>
      <c r="C6" s="200" t="s">
        <v>140</v>
      </c>
      <c r="D6" s="200" t="s">
        <v>141</v>
      </c>
      <c r="E6" s="200" t="s">
        <v>142</v>
      </c>
      <c r="F6" s="200"/>
      <c r="G6" s="200" t="s">
        <v>143</v>
      </c>
      <c r="H6" s="200"/>
    </row>
    <row r="7" spans="1:9" ht="51" x14ac:dyDescent="0.2">
      <c r="A7" s="104" t="s">
        <v>51</v>
      </c>
      <c r="B7" s="105" t="s">
        <v>144</v>
      </c>
      <c r="C7" s="106" t="s">
        <v>145</v>
      </c>
      <c r="D7" s="106" t="s">
        <v>146</v>
      </c>
      <c r="E7" s="106" t="s">
        <v>147</v>
      </c>
      <c r="F7" s="107"/>
      <c r="G7" s="105" t="s">
        <v>148</v>
      </c>
      <c r="H7" s="107"/>
      <c r="I7" s="105" t="s">
        <v>55</v>
      </c>
    </row>
    <row r="8" spans="1:9" x14ac:dyDescent="0.2">
      <c r="A8" s="108"/>
      <c r="B8" s="70"/>
      <c r="C8" s="70"/>
      <c r="D8" s="70"/>
      <c r="E8" s="70"/>
      <c r="F8" s="107"/>
      <c r="G8" s="70"/>
      <c r="H8" s="58"/>
    </row>
    <row r="9" spans="1:9" x14ac:dyDescent="0.2">
      <c r="A9" s="108"/>
      <c r="B9" s="70"/>
      <c r="C9" s="70"/>
      <c r="D9" s="70"/>
      <c r="E9" s="70"/>
      <c r="F9" s="107"/>
      <c r="G9" s="70"/>
      <c r="H9" s="58"/>
    </row>
    <row r="10" spans="1:9" x14ac:dyDescent="0.2">
      <c r="A10" s="201" t="s">
        <v>69</v>
      </c>
      <c r="B10" s="70">
        <v>5707720.1600000001</v>
      </c>
      <c r="C10" s="70">
        <v>5802830.1199999973</v>
      </c>
      <c r="D10" s="70">
        <v>9355971</v>
      </c>
      <c r="E10" s="70">
        <f>D10*B10/C10</f>
        <v>9202624.0969941374</v>
      </c>
      <c r="F10" s="107"/>
      <c r="G10" s="70">
        <f>E10-B10</f>
        <v>3494903.9369941372</v>
      </c>
      <c r="H10" s="58"/>
      <c r="I10" s="200" t="s">
        <v>159</v>
      </c>
    </row>
    <row r="11" spans="1:9" x14ac:dyDescent="0.2">
      <c r="A11" s="201" t="s">
        <v>70</v>
      </c>
      <c r="B11" s="70">
        <v>836131.40000000014</v>
      </c>
      <c r="C11" s="70">
        <v>861180.4099999998</v>
      </c>
      <c r="D11" s="70">
        <f>C11</f>
        <v>861180.4099999998</v>
      </c>
      <c r="E11" s="70">
        <f>D11*B11/C11</f>
        <v>836131.4</v>
      </c>
      <c r="F11" s="107"/>
      <c r="G11" s="70">
        <f>E11-B11</f>
        <v>0</v>
      </c>
      <c r="H11" s="58"/>
      <c r="I11" s="200" t="s">
        <v>159</v>
      </c>
    </row>
    <row r="12" spans="1:9" x14ac:dyDescent="0.2">
      <c r="A12" s="201" t="s">
        <v>71</v>
      </c>
      <c r="B12" s="70">
        <v>856324.24</v>
      </c>
      <c r="C12" s="70">
        <v>905562.75000000035</v>
      </c>
      <c r="D12" s="70">
        <v>-37588</v>
      </c>
      <c r="E12" s="70">
        <f>D12*B12/C12</f>
        <v>-35544.213289603606</v>
      </c>
      <c r="F12" s="107"/>
      <c r="G12" s="70">
        <f>E12-B12</f>
        <v>-891868.45328960358</v>
      </c>
      <c r="H12" s="58"/>
      <c r="I12" s="200" t="s">
        <v>159</v>
      </c>
    </row>
    <row r="13" spans="1:9" x14ac:dyDescent="0.2">
      <c r="A13" s="201" t="s">
        <v>72</v>
      </c>
      <c r="B13" s="70">
        <v>5454165.0199999996</v>
      </c>
      <c r="C13" s="109">
        <v>5620428.9199999999</v>
      </c>
      <c r="D13" s="109">
        <v>4842646</v>
      </c>
      <c r="E13" s="109">
        <f>D13*B13/C13</f>
        <v>4699390.5257755518</v>
      </c>
      <c r="F13" s="107"/>
      <c r="G13" s="109">
        <f>E13-B13</f>
        <v>-754774.49422444776</v>
      </c>
      <c r="H13" s="58"/>
      <c r="I13" s="200" t="s">
        <v>159</v>
      </c>
    </row>
    <row r="14" spans="1:9" x14ac:dyDescent="0.2">
      <c r="A14" s="201" t="s">
        <v>91</v>
      </c>
      <c r="B14" s="110">
        <f>SUM(B10:B13)</f>
        <v>12854340.82</v>
      </c>
      <c r="C14" s="110">
        <f>SUM(C10:C13)</f>
        <v>13190002.199999997</v>
      </c>
      <c r="D14" s="110">
        <f>SUM(D10:D13)</f>
        <v>15022209.41</v>
      </c>
      <c r="E14" s="110">
        <f>SUM(E10:E13)</f>
        <v>14702601.809480086</v>
      </c>
      <c r="F14" s="111"/>
      <c r="G14" s="110">
        <f>SUM(G10:G13)</f>
        <v>1848260.9894800857</v>
      </c>
      <c r="I14" s="200" t="s">
        <v>159</v>
      </c>
    </row>
    <row r="15" spans="1:9" x14ac:dyDescent="0.2">
      <c r="B15" s="112" t="s">
        <v>84</v>
      </c>
      <c r="E15" s="112" t="s">
        <v>84</v>
      </c>
      <c r="F15" s="112"/>
      <c r="G15" s="112" t="s">
        <v>84</v>
      </c>
    </row>
  </sheetData>
  <pageMargins left="0.7" right="0.7" top="0.75" bottom="0.75" header="0.3" footer="0.3"/>
  <pageSetup scale="8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1F275-A210-418A-87FC-6CD0BDBC7741}">
  <sheetPr>
    <pageSetUpPr fitToPage="1"/>
  </sheetPr>
  <dimension ref="A1:I35"/>
  <sheetViews>
    <sheetView view="pageBreakPreview" zoomScaleNormal="100" zoomScaleSheetLayoutView="100" workbookViewId="0"/>
  </sheetViews>
  <sheetFormatPr defaultRowHeight="12.75" x14ac:dyDescent="0.2"/>
  <cols>
    <col min="1" max="1" width="6.5703125" style="202" customWidth="1"/>
    <col min="2" max="2" width="5.85546875" style="202" customWidth="1"/>
    <col min="3" max="3" width="41" style="202" customWidth="1"/>
    <col min="4" max="5" width="7.7109375" style="202" customWidth="1"/>
    <col min="6" max="6" width="15.28515625" style="202" bestFit="1" customWidth="1"/>
    <col min="7" max="7" width="15.28515625" style="202" customWidth="1"/>
    <col min="8" max="8" width="13" style="202" customWidth="1"/>
    <col min="9" max="9" width="6.28515625" style="144" customWidth="1"/>
    <col min="10" max="16384" width="9.140625" style="8"/>
  </cols>
  <sheetData>
    <row r="1" spans="1:9" x14ac:dyDescent="0.2">
      <c r="A1" s="113" t="s">
        <v>0</v>
      </c>
      <c r="H1" s="208" t="s">
        <v>1</v>
      </c>
      <c r="I1" s="144" t="s">
        <v>63</v>
      </c>
    </row>
    <row r="2" spans="1:9" x14ac:dyDescent="0.2">
      <c r="A2" s="113" t="s">
        <v>45</v>
      </c>
      <c r="I2" s="114"/>
    </row>
    <row r="3" spans="1:9" x14ac:dyDescent="0.2">
      <c r="A3" s="113" t="s">
        <v>150</v>
      </c>
      <c r="I3" s="114"/>
    </row>
    <row r="4" spans="1:9" x14ac:dyDescent="0.2">
      <c r="A4" s="113" t="s">
        <v>151</v>
      </c>
      <c r="I4" s="114"/>
    </row>
    <row r="5" spans="1:9" x14ac:dyDescent="0.2">
      <c r="A5" s="113"/>
      <c r="I5" s="114"/>
    </row>
    <row r="6" spans="1:9" ht="25.5" x14ac:dyDescent="0.2">
      <c r="D6" s="115" t="s">
        <v>152</v>
      </c>
      <c r="E6" s="115" t="s">
        <v>55</v>
      </c>
      <c r="F6" s="115" t="s">
        <v>153</v>
      </c>
      <c r="G6" s="115" t="s">
        <v>154</v>
      </c>
      <c r="H6" s="145" t="s">
        <v>155</v>
      </c>
      <c r="I6" s="115" t="s">
        <v>55</v>
      </c>
    </row>
    <row r="7" spans="1:9" x14ac:dyDescent="0.2">
      <c r="A7" s="113" t="s">
        <v>156</v>
      </c>
    </row>
    <row r="8" spans="1:9" x14ac:dyDescent="0.2">
      <c r="B8" s="202" t="s">
        <v>157</v>
      </c>
      <c r="D8" s="144" t="s">
        <v>158</v>
      </c>
      <c r="E8" s="144"/>
      <c r="F8" s="203">
        <f>'4.3.2'!$E$11</f>
        <v>8046788.9663989935</v>
      </c>
      <c r="G8" s="203">
        <f>F8</f>
        <v>8046788.9663989935</v>
      </c>
      <c r="H8" s="203"/>
      <c r="I8" s="114" t="s">
        <v>159</v>
      </c>
    </row>
    <row r="9" spans="1:9" x14ac:dyDescent="0.2">
      <c r="B9" s="202" t="s">
        <v>160</v>
      </c>
      <c r="D9" s="144" t="s">
        <v>161</v>
      </c>
      <c r="E9" s="144"/>
      <c r="F9" s="204">
        <f>'4.3.2'!$E$13</f>
        <v>0</v>
      </c>
      <c r="G9" s="204">
        <f>F9</f>
        <v>0</v>
      </c>
      <c r="H9" s="203"/>
      <c r="I9" s="114" t="s">
        <v>159</v>
      </c>
    </row>
    <row r="10" spans="1:9" x14ac:dyDescent="0.2">
      <c r="D10" s="144" t="s">
        <v>162</v>
      </c>
      <c r="E10" s="144" t="s">
        <v>163</v>
      </c>
      <c r="F10" s="203">
        <f>SUM(F8:F9)</f>
        <v>8046788.9663989935</v>
      </c>
      <c r="G10" s="203">
        <f>SUM(G8:G9)</f>
        <v>8046788.9663989935</v>
      </c>
      <c r="H10" s="203"/>
      <c r="I10" s="114"/>
    </row>
    <row r="11" spans="1:9" x14ac:dyDescent="0.2">
      <c r="D11" s="144"/>
      <c r="E11" s="144"/>
      <c r="F11" s="203"/>
      <c r="G11" s="203"/>
      <c r="H11" s="203"/>
      <c r="I11" s="114"/>
    </row>
    <row r="12" spans="1:9" x14ac:dyDescent="0.2">
      <c r="B12" s="202" t="s">
        <v>164</v>
      </c>
      <c r="D12" s="144" t="s">
        <v>165</v>
      </c>
      <c r="E12" s="144"/>
      <c r="F12" s="205">
        <v>0.90208231268853134</v>
      </c>
      <c r="G12" s="205">
        <v>1</v>
      </c>
      <c r="H12" s="59"/>
      <c r="I12" s="114"/>
    </row>
    <row r="13" spans="1:9" x14ac:dyDescent="0.2">
      <c r="B13" s="202" t="s">
        <v>166</v>
      </c>
      <c r="D13" s="144" t="s">
        <v>167</v>
      </c>
      <c r="E13" s="144" t="s">
        <v>168</v>
      </c>
      <c r="F13" s="203">
        <f>F10*F12</f>
        <v>7258866.0005257605</v>
      </c>
      <c r="G13" s="203">
        <f>G10*G12</f>
        <v>8046788.9663989935</v>
      </c>
      <c r="H13" s="203"/>
      <c r="I13" s="114"/>
    </row>
    <row r="14" spans="1:9" x14ac:dyDescent="0.2">
      <c r="B14" s="202" t="s">
        <v>169</v>
      </c>
      <c r="D14" s="144" t="s">
        <v>170</v>
      </c>
      <c r="E14" s="144"/>
      <c r="F14" s="116">
        <v>6.2E-2</v>
      </c>
      <c r="G14" s="116">
        <v>1.4500000000000001E-2</v>
      </c>
      <c r="H14" s="206"/>
      <c r="I14" s="114"/>
    </row>
    <row r="15" spans="1:9" x14ac:dyDescent="0.2">
      <c r="B15" s="202" t="s">
        <v>171</v>
      </c>
      <c r="D15" s="144" t="s">
        <v>172</v>
      </c>
      <c r="E15" s="144" t="s">
        <v>173</v>
      </c>
      <c r="F15" s="207">
        <f>F13*F14</f>
        <v>450049.69203259714</v>
      </c>
      <c r="G15" s="207">
        <f>G13*G14</f>
        <v>116678.44001278542</v>
      </c>
      <c r="H15" s="203"/>
      <c r="I15" s="114"/>
    </row>
    <row r="16" spans="1:9" x14ac:dyDescent="0.2">
      <c r="D16" s="144"/>
      <c r="E16" s="144"/>
      <c r="F16" s="203"/>
      <c r="G16" s="203"/>
      <c r="H16" s="203"/>
      <c r="I16" s="114"/>
    </row>
    <row r="17" spans="1:9" x14ac:dyDescent="0.2">
      <c r="C17" s="113" t="s">
        <v>174</v>
      </c>
      <c r="D17" s="114"/>
      <c r="E17" s="144" t="s">
        <v>172</v>
      </c>
      <c r="F17" s="117">
        <f>F15</f>
        <v>450049.69203259714</v>
      </c>
      <c r="G17" s="117">
        <f>G15</f>
        <v>116678.44001278542</v>
      </c>
      <c r="H17" s="117">
        <f>G17+F17</f>
        <v>566728.13204538252</v>
      </c>
      <c r="I17" s="114" t="s">
        <v>159</v>
      </c>
    </row>
    <row r="18" spans="1:9" x14ac:dyDescent="0.2">
      <c r="D18" s="144"/>
      <c r="E18" s="144"/>
      <c r="I18" s="114"/>
    </row>
    <row r="19" spans="1:9" x14ac:dyDescent="0.2">
      <c r="D19" s="144"/>
      <c r="E19" s="144"/>
      <c r="I19" s="114"/>
    </row>
    <row r="20" spans="1:9" x14ac:dyDescent="0.2">
      <c r="A20" s="113" t="s">
        <v>175</v>
      </c>
      <c r="D20" s="144"/>
      <c r="E20" s="144"/>
      <c r="I20" s="114"/>
    </row>
    <row r="21" spans="1:9" x14ac:dyDescent="0.2">
      <c r="B21" s="202" t="s">
        <v>176</v>
      </c>
      <c r="D21" s="144" t="s">
        <v>177</v>
      </c>
      <c r="E21" s="144"/>
      <c r="F21" s="70">
        <f>'4.3.2'!$H$11</f>
        <v>34246528.472694673</v>
      </c>
      <c r="G21" s="70">
        <f>F21</f>
        <v>34246528.472694673</v>
      </c>
      <c r="H21" s="70"/>
      <c r="I21" s="114" t="s">
        <v>159</v>
      </c>
    </row>
    <row r="22" spans="1:9" x14ac:dyDescent="0.2">
      <c r="B22" s="202" t="s">
        <v>178</v>
      </c>
      <c r="D22" s="144" t="s">
        <v>179</v>
      </c>
      <c r="E22" s="144"/>
      <c r="F22" s="109">
        <f>'4.3.2'!$H$13</f>
        <v>2652017.884348169</v>
      </c>
      <c r="G22" s="204">
        <f>F22</f>
        <v>2652017.884348169</v>
      </c>
      <c r="H22" s="203"/>
      <c r="I22" s="114" t="s">
        <v>159</v>
      </c>
    </row>
    <row r="23" spans="1:9" x14ac:dyDescent="0.2">
      <c r="D23" s="144" t="s">
        <v>180</v>
      </c>
      <c r="E23" s="144" t="s">
        <v>181</v>
      </c>
      <c r="F23" s="203">
        <f>SUM(F21:F22)</f>
        <v>36898546.357042842</v>
      </c>
      <c r="G23" s="203">
        <f>SUM(G21:G22)</f>
        <v>36898546.357042842</v>
      </c>
      <c r="H23" s="203"/>
      <c r="I23" s="114"/>
    </row>
    <row r="24" spans="1:9" x14ac:dyDescent="0.2">
      <c r="D24" s="144"/>
      <c r="E24" s="144"/>
      <c r="F24" s="203"/>
      <c r="G24" s="203"/>
      <c r="H24" s="203"/>
      <c r="I24" s="114"/>
    </row>
    <row r="25" spans="1:9" x14ac:dyDescent="0.2">
      <c r="B25" s="202" t="s">
        <v>164</v>
      </c>
      <c r="D25" s="144" t="s">
        <v>182</v>
      </c>
      <c r="E25" s="144"/>
      <c r="F25" s="205">
        <v>0.92120724639247553</v>
      </c>
      <c r="G25" s="205">
        <v>1</v>
      </c>
      <c r="H25" s="70" t="s">
        <v>47</v>
      </c>
      <c r="I25" s="114"/>
    </row>
    <row r="26" spans="1:9" x14ac:dyDescent="0.2">
      <c r="B26" s="202" t="s">
        <v>166</v>
      </c>
      <c r="D26" s="144" t="s">
        <v>183</v>
      </c>
      <c r="E26" s="144" t="s">
        <v>184</v>
      </c>
      <c r="F26" s="203">
        <f>F23*F25</f>
        <v>33991208.285456546</v>
      </c>
      <c r="G26" s="203">
        <f>G23*G25</f>
        <v>36898546.357042842</v>
      </c>
      <c r="H26" s="70"/>
      <c r="I26" s="114"/>
    </row>
    <row r="27" spans="1:9" x14ac:dyDescent="0.2">
      <c r="B27" s="202" t="s">
        <v>169</v>
      </c>
      <c r="D27" s="144" t="s">
        <v>185</v>
      </c>
      <c r="E27" s="144"/>
      <c r="F27" s="116">
        <v>6.2E-2</v>
      </c>
      <c r="G27" s="116">
        <v>1.4500000000000001E-2</v>
      </c>
      <c r="H27" s="203"/>
      <c r="I27" s="114"/>
    </row>
    <row r="28" spans="1:9" x14ac:dyDescent="0.2">
      <c r="B28" s="202" t="s">
        <v>171</v>
      </c>
      <c r="D28" s="144" t="s">
        <v>186</v>
      </c>
      <c r="E28" s="144" t="s">
        <v>187</v>
      </c>
      <c r="F28" s="207">
        <f>F26*F27</f>
        <v>2107454.9136983058</v>
      </c>
      <c r="G28" s="207">
        <f>G26*G27</f>
        <v>535028.92217712128</v>
      </c>
      <c r="I28" s="114"/>
    </row>
    <row r="29" spans="1:9" x14ac:dyDescent="0.2">
      <c r="D29" s="144"/>
      <c r="E29" s="144"/>
      <c r="F29" s="203"/>
      <c r="G29" s="203"/>
      <c r="H29" s="59"/>
      <c r="I29" s="114"/>
    </row>
    <row r="30" spans="1:9" x14ac:dyDescent="0.2">
      <c r="C30" s="113" t="s">
        <v>188</v>
      </c>
      <c r="E30" s="144" t="s">
        <v>186</v>
      </c>
      <c r="F30" s="117">
        <f>F28</f>
        <v>2107454.9136983058</v>
      </c>
      <c r="G30" s="117">
        <f>G28</f>
        <v>535028.92217712128</v>
      </c>
      <c r="H30" s="117">
        <f>G30+F30</f>
        <v>2642483.8358754274</v>
      </c>
      <c r="I30" s="114" t="s">
        <v>159</v>
      </c>
    </row>
    <row r="31" spans="1:9" x14ac:dyDescent="0.2">
      <c r="C31" s="113"/>
      <c r="D31" s="113"/>
      <c r="E31" s="113"/>
      <c r="F31" s="57"/>
      <c r="G31" s="57"/>
      <c r="H31" s="57"/>
    </row>
    <row r="32" spans="1:9" x14ac:dyDescent="0.2">
      <c r="F32" s="58"/>
      <c r="G32" s="58"/>
      <c r="H32" s="58"/>
      <c r="I32" s="118"/>
    </row>
    <row r="33" spans="6:9" x14ac:dyDescent="0.2">
      <c r="F33" s="58"/>
      <c r="G33" s="58"/>
      <c r="H33" s="58"/>
      <c r="I33" s="118"/>
    </row>
    <row r="34" spans="6:9" x14ac:dyDescent="0.2">
      <c r="I34" s="118"/>
    </row>
    <row r="35" spans="6:9" x14ac:dyDescent="0.2">
      <c r="H35" s="202" t="s">
        <v>47</v>
      </c>
    </row>
  </sheetData>
  <pageMargins left="0.7" right="0.7" top="0.75" bottom="0.75" header="0.3" footer="0.3"/>
  <pageSetup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2C7E4C72-A490-478F-A6A5-948C70E86F07}"/>
</file>

<file path=customXml/itemProps2.xml><?xml version="1.0" encoding="utf-8"?>
<ds:datastoreItem xmlns:ds="http://schemas.openxmlformats.org/officeDocument/2006/customXml" ds:itemID="{CF78E27F-0FD4-4608-9593-C4DF96EC87D1}"/>
</file>

<file path=customXml/itemProps3.xml><?xml version="1.0" encoding="utf-8"?>
<ds:datastoreItem xmlns:ds="http://schemas.openxmlformats.org/officeDocument/2006/customXml" ds:itemID="{865BCF2B-A03B-45ED-AACC-46D14EC0A90D}"/>
</file>

<file path=customXml/itemProps4.xml><?xml version="1.0" encoding="utf-8"?>
<ds:datastoreItem xmlns:ds="http://schemas.openxmlformats.org/officeDocument/2006/customXml" ds:itemID="{A155648A-CC01-470D-A1CF-B9184A1A31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4.2</vt:lpstr>
      <vt:lpstr>4.3</vt:lpstr>
      <vt:lpstr>4.3.1</vt:lpstr>
      <vt:lpstr>4.3.2</vt:lpstr>
      <vt:lpstr>4.3.3</vt:lpstr>
      <vt:lpstr>4.3.4</vt:lpstr>
      <vt:lpstr>4.3.5_REDACTED</vt:lpstr>
      <vt:lpstr>4.3.6</vt:lpstr>
      <vt:lpstr>4.3.7</vt:lpstr>
      <vt:lpstr>4.3.8</vt:lpstr>
      <vt:lpstr>4.3.9</vt:lpstr>
      <vt:lpstr>'4.3.1'!Print_Area</vt:lpstr>
      <vt:lpstr>'4.3.4'!Print_Area</vt:lpstr>
      <vt:lpstr>'4.3.8'!Print_Area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2023-03-03T18:45:31Z</dcterms:created>
  <dcterms:modified xsi:type="dcterms:W3CDTF">2023-03-07T18:01:19Z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