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rk\30_ava\3046-7 - UE-150204 2015 GRC\remand\dir\_wps\"/>
    </mc:Choice>
  </mc:AlternateContent>
  <xr:revisionPtr revIDLastSave="0" documentId="13_ncr:1_{FBAB49E2-B4FF-4C05-BDFF-ECA171502605}" xr6:coauthVersionLast="44" xr6:coauthVersionMax="44" xr10:uidLastSave="{00000000-0000-0000-0000-000000000000}"/>
  <bookViews>
    <workbookView xWindow="-120" yWindow="-120" windowWidth="29040" windowHeight="13995" xr2:uid="{7A32447E-579E-4E2E-8FEB-306FE1A8FDA4}"/>
  </bookViews>
  <sheets>
    <sheet name="Table 1 - AWEC Recommendation" sheetId="1" r:id="rId1"/>
    <sheet name="Tables 2 and 3 - Rate Base Comp" sheetId="5" r:id="rId2"/>
    <sheet name="Table 4 - Interest Rates" sheetId="2" r:id="rId3"/>
    <sheet name="Electric Interest Calculation" sheetId="3" r:id="rId4"/>
    <sheet name="Gas Interest Calculation" sheetId="4" r:id="rId5"/>
  </sheets>
  <externalReferences>
    <externalReference r:id="rId6"/>
    <externalReference r:id="rId7"/>
    <externalReference r:id="rId8"/>
    <externalReference r:id="rId9"/>
  </externalReferences>
  <definedNames>
    <definedName name="Base1_Billing2">'[1]Pres &amp; Prop Rev'!$N$8</definedName>
    <definedName name="SL_RateIncr">'[1]St Lts'!$AD$1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5" l="1"/>
  <c r="G8" i="5"/>
  <c r="I8" i="5" s="1"/>
  <c r="E9" i="5"/>
  <c r="E10" i="5" s="1"/>
  <c r="G9" i="5"/>
  <c r="E12" i="5"/>
  <c r="G12" i="5"/>
  <c r="E16" i="5"/>
  <c r="G16" i="5"/>
  <c r="E17" i="5"/>
  <c r="G17" i="5"/>
  <c r="E28" i="5"/>
  <c r="G28" i="5"/>
  <c r="L28" i="5"/>
  <c r="E29" i="5"/>
  <c r="G29" i="5"/>
  <c r="L29" i="5"/>
  <c r="E32" i="5"/>
  <c r="G32" i="5"/>
  <c r="L32" i="5"/>
  <c r="E36" i="5"/>
  <c r="G36" i="5"/>
  <c r="L36" i="5"/>
  <c r="P36" i="5" s="1"/>
  <c r="E37" i="5"/>
  <c r="G37" i="5"/>
  <c r="L37" i="5"/>
  <c r="P37" i="5" s="1"/>
  <c r="E38" i="5"/>
  <c r="G38" i="5"/>
  <c r="L38" i="5"/>
  <c r="P38" i="5" s="1"/>
  <c r="G4" i="4"/>
  <c r="G5" i="4" s="1"/>
  <c r="K4" i="4"/>
  <c r="K5" i="4" s="1"/>
  <c r="O5" i="4"/>
  <c r="D7" i="4"/>
  <c r="K7" i="4" s="1"/>
  <c r="J23" i="1" s="1"/>
  <c r="Q23" i="1" s="1"/>
  <c r="D8" i="4"/>
  <c r="B17" i="4"/>
  <c r="G4" i="3"/>
  <c r="K4" i="3"/>
  <c r="G5" i="3"/>
  <c r="K5" i="3"/>
  <c r="O5" i="3"/>
  <c r="D7" i="3"/>
  <c r="O7" i="3" s="1"/>
  <c r="L8" i="1" s="1"/>
  <c r="G7" i="3"/>
  <c r="D8" i="3"/>
  <c r="D9" i="3"/>
  <c r="O9" i="3"/>
  <c r="L12" i="1" s="1"/>
  <c r="B18" i="3"/>
  <c r="I10" i="2"/>
  <c r="N10" i="2" s="1"/>
  <c r="E12" i="2"/>
  <c r="E14" i="2" s="1"/>
  <c r="I19" i="2"/>
  <c r="S19" i="2" s="1"/>
  <c r="I21" i="2"/>
  <c r="S21" i="2" s="1"/>
  <c r="I23" i="2"/>
  <c r="S23" i="2" s="1"/>
  <c r="E25" i="2"/>
  <c r="H8" i="1"/>
  <c r="K8" i="4" l="1"/>
  <c r="J25" i="1" s="1"/>
  <c r="Q25" i="1" s="1"/>
  <c r="O7" i="4"/>
  <c r="L23" i="1" s="1"/>
  <c r="K7" i="3"/>
  <c r="J8" i="1" s="1"/>
  <c r="L30" i="5"/>
  <c r="L34" i="5" s="1"/>
  <c r="G8" i="4"/>
  <c r="H25" i="1" s="1"/>
  <c r="I38" i="5"/>
  <c r="S38" i="5" s="1"/>
  <c r="O8" i="4"/>
  <c r="L25" i="1" s="1"/>
  <c r="N25" i="1" s="1"/>
  <c r="S25" i="1" s="1"/>
  <c r="I36" i="5"/>
  <c r="S36" i="5" s="1"/>
  <c r="I12" i="2"/>
  <c r="S25" i="2"/>
  <c r="D44" i="4" s="1"/>
  <c r="I17" i="5"/>
  <c r="G10" i="5"/>
  <c r="I10" i="5" s="1"/>
  <c r="I29" i="5"/>
  <c r="I12" i="5"/>
  <c r="I37" i="5"/>
  <c r="S37" i="5" s="1"/>
  <c r="G30" i="5"/>
  <c r="G34" i="5" s="1"/>
  <c r="G40" i="5" s="1"/>
  <c r="I32" i="5"/>
  <c r="I28" i="5"/>
  <c r="I16" i="5"/>
  <c r="E14" i="5"/>
  <c r="I9" i="5"/>
  <c r="E30" i="5"/>
  <c r="I14" i="2"/>
  <c r="S10" i="2"/>
  <c r="K8" i="3"/>
  <c r="J10" i="1" s="1"/>
  <c r="Q10" i="1" s="1"/>
  <c r="O8" i="3"/>
  <c r="L10" i="1" s="1"/>
  <c r="L14" i="1" s="1"/>
  <c r="N8" i="1"/>
  <c r="S8" i="1" s="1"/>
  <c r="N12" i="2"/>
  <c r="N14" i="2" s="1"/>
  <c r="S12" i="2"/>
  <c r="Q8" i="1"/>
  <c r="I25" i="2"/>
  <c r="G8" i="3"/>
  <c r="G9" i="3"/>
  <c r="K9" i="3"/>
  <c r="J12" i="1" s="1"/>
  <c r="Q12" i="1" s="1"/>
  <c r="S7" i="3"/>
  <c r="G17" i="3"/>
  <c r="B19" i="3"/>
  <c r="D10" i="3"/>
  <c r="L28" i="1"/>
  <c r="G7" i="4"/>
  <c r="J28" i="1"/>
  <c r="B18" i="4"/>
  <c r="D9" i="4"/>
  <c r="G16" i="4" s="1"/>
  <c r="G14" i="5" l="1"/>
  <c r="G19" i="5" s="1"/>
  <c r="S8" i="4"/>
  <c r="D45" i="3"/>
  <c r="I14" i="5"/>
  <c r="E19" i="5"/>
  <c r="I19" i="5" s="1"/>
  <c r="L40" i="5"/>
  <c r="I30" i="5"/>
  <c r="E34" i="5"/>
  <c r="D16" i="4"/>
  <c r="D17" i="3"/>
  <c r="G9" i="4"/>
  <c r="K9" i="4"/>
  <c r="O9" i="4"/>
  <c r="G10" i="3"/>
  <c r="K10" i="3"/>
  <c r="O10" i="3"/>
  <c r="S14" i="2"/>
  <c r="G19" i="3"/>
  <c r="B20" i="3"/>
  <c r="E45" i="3"/>
  <c r="D46" i="3"/>
  <c r="H16" i="4"/>
  <c r="H17" i="3"/>
  <c r="S8" i="3"/>
  <c r="H10" i="1"/>
  <c r="S7" i="4"/>
  <c r="H23" i="1"/>
  <c r="G18" i="3"/>
  <c r="J14" i="1"/>
  <c r="G18" i="4"/>
  <c r="B19" i="4"/>
  <c r="G17" i="4"/>
  <c r="H12" i="1"/>
  <c r="N12" i="1" s="1"/>
  <c r="S12" i="1" s="1"/>
  <c r="S9" i="3"/>
  <c r="E44" i="4"/>
  <c r="D45" i="4"/>
  <c r="S10" i="3" l="1"/>
  <c r="I34" i="5"/>
  <c r="E40" i="5"/>
  <c r="I40" i="5" s="1"/>
  <c r="G19" i="4"/>
  <c r="B20" i="4"/>
  <c r="S17" i="3"/>
  <c r="D47" i="3"/>
  <c r="E46" i="3"/>
  <c r="D40" i="4"/>
  <c r="D41" i="3"/>
  <c r="E17" i="3"/>
  <c r="I17" i="3" s="1"/>
  <c r="D18" i="3"/>
  <c r="D46" i="4"/>
  <c r="E45" i="4"/>
  <c r="N10" i="1"/>
  <c r="S10" i="1" s="1"/>
  <c r="H14" i="1"/>
  <c r="S16" i="4"/>
  <c r="E16" i="4"/>
  <c r="I16" i="4" s="1"/>
  <c r="D17" i="4"/>
  <c r="N23" i="1"/>
  <c r="S23" i="1" s="1"/>
  <c r="H28" i="1"/>
  <c r="B21" i="3"/>
  <c r="G20" i="3"/>
  <c r="S9" i="4"/>
  <c r="H17" i="4" l="1"/>
  <c r="G20" i="4"/>
  <c r="B21" i="4"/>
  <c r="E46" i="4"/>
  <c r="D47" i="4"/>
  <c r="D19" i="3"/>
  <c r="E18" i="3"/>
  <c r="I18" i="3" s="1"/>
  <c r="H18" i="3"/>
  <c r="G21" i="3"/>
  <c r="B22" i="3"/>
  <c r="E41" i="3"/>
  <c r="D42" i="3"/>
  <c r="N28" i="1"/>
  <c r="N14" i="1"/>
  <c r="E40" i="4"/>
  <c r="D41" i="4"/>
  <c r="D18" i="4"/>
  <c r="E17" i="4"/>
  <c r="I17" i="4" s="1"/>
  <c r="E47" i="3"/>
  <c r="D48" i="3"/>
  <c r="E42" i="3" l="1"/>
  <c r="D43" i="3"/>
  <c r="H19" i="3"/>
  <c r="S18" i="3"/>
  <c r="D48" i="4"/>
  <c r="E47" i="4"/>
  <c r="E41" i="4"/>
  <c r="D42" i="4"/>
  <c r="G21" i="4"/>
  <c r="B22" i="4"/>
  <c r="H18" i="4"/>
  <c r="I18" i="4"/>
  <c r="S17" i="4"/>
  <c r="D19" i="4"/>
  <c r="E18" i="4"/>
  <c r="D49" i="3"/>
  <c r="E48" i="3"/>
  <c r="G22" i="3"/>
  <c r="B23" i="3"/>
  <c r="D20" i="3"/>
  <c r="E19" i="3"/>
  <c r="I19" i="3" s="1"/>
  <c r="E48" i="4" l="1"/>
  <c r="D49" i="4"/>
  <c r="E20" i="3"/>
  <c r="D21" i="3"/>
  <c r="B24" i="3"/>
  <c r="G23" i="3"/>
  <c r="S18" i="4"/>
  <c r="H19" i="4"/>
  <c r="D44" i="3"/>
  <c r="E44" i="3" s="1"/>
  <c r="E43" i="3"/>
  <c r="E49" i="3"/>
  <c r="D50" i="3"/>
  <c r="D43" i="4"/>
  <c r="E43" i="4" s="1"/>
  <c r="E42" i="4"/>
  <c r="E19" i="4"/>
  <c r="I19" i="4" s="1"/>
  <c r="D20" i="4"/>
  <c r="G22" i="4"/>
  <c r="B23" i="4"/>
  <c r="I20" i="3"/>
  <c r="H20" i="3"/>
  <c r="S19" i="3"/>
  <c r="S20" i="3" l="1"/>
  <c r="H21" i="3"/>
  <c r="G24" i="3"/>
  <c r="B25" i="3"/>
  <c r="E21" i="3"/>
  <c r="I21" i="3" s="1"/>
  <c r="D22" i="3"/>
  <c r="D50" i="4"/>
  <c r="E49" i="4"/>
  <c r="E20" i="4"/>
  <c r="D21" i="4"/>
  <c r="D51" i="3"/>
  <c r="E50" i="3"/>
  <c r="S19" i="4"/>
  <c r="I20" i="4"/>
  <c r="H20" i="4"/>
  <c r="B24" i="4"/>
  <c r="G23" i="4"/>
  <c r="S20" i="4" l="1"/>
  <c r="H21" i="4"/>
  <c r="I21" i="4"/>
  <c r="D22" i="4"/>
  <c r="E21" i="4"/>
  <c r="D23" i="3"/>
  <c r="E22" i="3"/>
  <c r="I22" i="3" s="1"/>
  <c r="S21" i="3"/>
  <c r="H22" i="3"/>
  <c r="E51" i="3"/>
  <c r="D52" i="3"/>
  <c r="E50" i="4"/>
  <c r="D51" i="4"/>
  <c r="G24" i="4"/>
  <c r="B25" i="4"/>
  <c r="G25" i="3"/>
  <c r="B26" i="3"/>
  <c r="G25" i="4" l="1"/>
  <c r="B26" i="4"/>
  <c r="D53" i="3"/>
  <c r="E52" i="3"/>
  <c r="G26" i="3"/>
  <c r="B27" i="3"/>
  <c r="D24" i="3"/>
  <c r="E23" i="3"/>
  <c r="I23" i="3" s="1"/>
  <c r="D23" i="4"/>
  <c r="E22" i="4"/>
  <c r="I22" i="4" s="1"/>
  <c r="E51" i="4"/>
  <c r="D52" i="4"/>
  <c r="H22" i="4"/>
  <c r="S21" i="4"/>
  <c r="H23" i="3"/>
  <c r="S22" i="3"/>
  <c r="E52" i="4" l="1"/>
  <c r="D53" i="4"/>
  <c r="E53" i="3"/>
  <c r="D54" i="3"/>
  <c r="G26" i="4"/>
  <c r="B27" i="4"/>
  <c r="I24" i="3"/>
  <c r="H24" i="3"/>
  <c r="S23" i="3"/>
  <c r="E24" i="3"/>
  <c r="D25" i="3"/>
  <c r="B28" i="3"/>
  <c r="G27" i="3"/>
  <c r="H23" i="4"/>
  <c r="S22" i="4"/>
  <c r="E23" i="4"/>
  <c r="I23" i="4" s="1"/>
  <c r="D24" i="4"/>
  <c r="E25" i="3" l="1"/>
  <c r="I25" i="3" s="1"/>
  <c r="D26" i="3"/>
  <c r="G27" i="4"/>
  <c r="G14" i="4" s="1"/>
  <c r="B28" i="4"/>
  <c r="E53" i="4"/>
  <c r="D54" i="4"/>
  <c r="B29" i="3"/>
  <c r="G28" i="3"/>
  <c r="G15" i="3" s="1"/>
  <c r="S24" i="3"/>
  <c r="H25" i="3"/>
  <c r="D55" i="3"/>
  <c r="E54" i="3"/>
  <c r="S23" i="4"/>
  <c r="H24" i="4"/>
  <c r="E24" i="4"/>
  <c r="I24" i="4" s="1"/>
  <c r="D25" i="4"/>
  <c r="K28" i="4" l="1"/>
  <c r="B29" i="4"/>
  <c r="D26" i="4"/>
  <c r="E25" i="4"/>
  <c r="I25" i="4" s="1"/>
  <c r="S25" i="3"/>
  <c r="H26" i="3"/>
  <c r="I26" i="3"/>
  <c r="E54" i="4"/>
  <c r="D55" i="4"/>
  <c r="E26" i="3"/>
  <c r="D27" i="3"/>
  <c r="S24" i="4"/>
  <c r="H25" i="4"/>
  <c r="E55" i="3"/>
  <c r="D56" i="3"/>
  <c r="K29" i="3"/>
  <c r="B30" i="3"/>
  <c r="D57" i="3" l="1"/>
  <c r="E56" i="3"/>
  <c r="K30" i="3"/>
  <c r="B31" i="3"/>
  <c r="H27" i="3"/>
  <c r="S26" i="3"/>
  <c r="K29" i="4"/>
  <c r="B30" i="4"/>
  <c r="E27" i="3"/>
  <c r="I27" i="3" s="1"/>
  <c r="D28" i="3"/>
  <c r="D27" i="4"/>
  <c r="E26" i="4"/>
  <c r="I26" i="4" s="1"/>
  <c r="L29" i="3"/>
  <c r="H26" i="4"/>
  <c r="S25" i="4"/>
  <c r="E55" i="4"/>
  <c r="D56" i="4"/>
  <c r="L28" i="4"/>
  <c r="B32" i="3" l="1"/>
  <c r="K31" i="3"/>
  <c r="D29" i="3"/>
  <c r="E28" i="3"/>
  <c r="I28" i="3" s="1"/>
  <c r="E27" i="4"/>
  <c r="D28" i="4"/>
  <c r="D57" i="4"/>
  <c r="E56" i="4"/>
  <c r="I27" i="4"/>
  <c r="H27" i="4"/>
  <c r="S26" i="4"/>
  <c r="K30" i="4"/>
  <c r="B31" i="4"/>
  <c r="H28" i="3"/>
  <c r="S27" i="3"/>
  <c r="E57" i="3"/>
  <c r="D58" i="3"/>
  <c r="E57" i="4" l="1"/>
  <c r="D58" i="4"/>
  <c r="E29" i="3"/>
  <c r="M29" i="3" s="1"/>
  <c r="D30" i="3"/>
  <c r="D59" i="3"/>
  <c r="E58" i="3"/>
  <c r="S27" i="4"/>
  <c r="H28" i="4"/>
  <c r="E28" i="4"/>
  <c r="M28" i="4" s="1"/>
  <c r="D29" i="4"/>
  <c r="B33" i="3"/>
  <c r="K32" i="3"/>
  <c r="H29" i="3"/>
  <c r="S28" i="3"/>
  <c r="K31" i="4"/>
  <c r="B32" i="4"/>
  <c r="I29" i="3" l="1"/>
  <c r="H30" i="3"/>
  <c r="S29" i="3"/>
  <c r="K33" i="3"/>
  <c r="B34" i="3"/>
  <c r="K32" i="4"/>
  <c r="B33" i="4"/>
  <c r="L29" i="4"/>
  <c r="E58" i="4"/>
  <c r="D59" i="4"/>
  <c r="I28" i="4"/>
  <c r="H29" i="4" s="1"/>
  <c r="E59" i="3"/>
  <c r="D60" i="3"/>
  <c r="S28" i="4"/>
  <c r="E30" i="3"/>
  <c r="M30" i="3" s="1"/>
  <c r="D31" i="3"/>
  <c r="E29" i="4"/>
  <c r="M29" i="4" s="1"/>
  <c r="D30" i="4"/>
  <c r="L30" i="3"/>
  <c r="E31" i="3" l="1"/>
  <c r="I31" i="3" s="1"/>
  <c r="D32" i="3"/>
  <c r="S30" i="3"/>
  <c r="L31" i="3"/>
  <c r="I29" i="4"/>
  <c r="H30" i="4" s="1"/>
  <c r="E59" i="4"/>
  <c r="D60" i="4"/>
  <c r="K33" i="4"/>
  <c r="B34" i="4"/>
  <c r="D61" i="3"/>
  <c r="E60" i="3"/>
  <c r="E30" i="4"/>
  <c r="I30" i="4" s="1"/>
  <c r="D31" i="4"/>
  <c r="S29" i="4"/>
  <c r="L30" i="4"/>
  <c r="K34" i="3"/>
  <c r="B35" i="3"/>
  <c r="I30" i="3"/>
  <c r="H31" i="3" s="1"/>
  <c r="M30" i="4" l="1"/>
  <c r="L31" i="4" s="1"/>
  <c r="S31" i="3"/>
  <c r="E31" i="4"/>
  <c r="I31" i="4" s="1"/>
  <c r="D32" i="4"/>
  <c r="D61" i="4"/>
  <c r="E60" i="4"/>
  <c r="M31" i="3"/>
  <c r="L32" i="3" s="1"/>
  <c r="H31" i="4"/>
  <c r="S30" i="4"/>
  <c r="E61" i="3"/>
  <c r="D62" i="3"/>
  <c r="K35" i="3"/>
  <c r="B36" i="3"/>
  <c r="H32" i="3"/>
  <c r="K34" i="4"/>
  <c r="B35" i="4"/>
  <c r="E32" i="3"/>
  <c r="M32" i="3" s="1"/>
  <c r="D33" i="3"/>
  <c r="M31" i="4" l="1"/>
  <c r="I32" i="3"/>
  <c r="H33" i="3" s="1"/>
  <c r="L33" i="3"/>
  <c r="S32" i="3"/>
  <c r="E61" i="4"/>
  <c r="D62" i="4"/>
  <c r="B36" i="4"/>
  <c r="K35" i="4"/>
  <c r="K36" i="3"/>
  <c r="B37" i="3"/>
  <c r="L32" i="4"/>
  <c r="S31" i="4"/>
  <c r="H32" i="4"/>
  <c r="E32" i="4"/>
  <c r="I32" i="4" s="1"/>
  <c r="D33" i="4"/>
  <c r="E33" i="3"/>
  <c r="I33" i="3" s="1"/>
  <c r="D34" i="3"/>
  <c r="D63" i="3"/>
  <c r="E62" i="3"/>
  <c r="M32" i="4" l="1"/>
  <c r="E34" i="3"/>
  <c r="I34" i="3" s="1"/>
  <c r="D35" i="3"/>
  <c r="I33" i="4"/>
  <c r="H33" i="4"/>
  <c r="L33" i="4"/>
  <c r="S32" i="4"/>
  <c r="M33" i="4"/>
  <c r="H34" i="3"/>
  <c r="K37" i="3"/>
  <c r="B38" i="3"/>
  <c r="E62" i="4"/>
  <c r="D63" i="4"/>
  <c r="E63" i="4" s="1"/>
  <c r="E33" i="4"/>
  <c r="D34" i="4"/>
  <c r="K36" i="4"/>
  <c r="B37" i="4"/>
  <c r="M33" i="3"/>
  <c r="L34" i="3" s="1"/>
  <c r="E63" i="3"/>
  <c r="D64" i="3"/>
  <c r="E64" i="3" s="1"/>
  <c r="M34" i="3"/>
  <c r="S33" i="3"/>
  <c r="K38" i="3" l="1"/>
  <c r="B39" i="3"/>
  <c r="E35" i="3"/>
  <c r="M35" i="3" s="1"/>
  <c r="D36" i="3"/>
  <c r="H34" i="4"/>
  <c r="E34" i="4"/>
  <c r="M34" i="4" s="1"/>
  <c r="D35" i="4"/>
  <c r="S34" i="3"/>
  <c r="L35" i="3"/>
  <c r="K37" i="4"/>
  <c r="B38" i="4"/>
  <c r="H35" i="3"/>
  <c r="S33" i="4"/>
  <c r="L34" i="4"/>
  <c r="I35" i="3" l="1"/>
  <c r="L36" i="3"/>
  <c r="S35" i="3"/>
  <c r="S34" i="4"/>
  <c r="L35" i="4"/>
  <c r="H36" i="3"/>
  <c r="B39" i="4"/>
  <c r="K38" i="4"/>
  <c r="I34" i="4"/>
  <c r="H35" i="4" s="1"/>
  <c r="B40" i="3"/>
  <c r="K39" i="3"/>
  <c r="E35" i="4"/>
  <c r="M35" i="4" s="1"/>
  <c r="D36" i="4"/>
  <c r="E36" i="3"/>
  <c r="M36" i="3" s="1"/>
  <c r="D37" i="3"/>
  <c r="I36" i="3" l="1"/>
  <c r="E37" i="3"/>
  <c r="I37" i="3" s="1"/>
  <c r="D38" i="3"/>
  <c r="B41" i="3"/>
  <c r="K40" i="3"/>
  <c r="K15" i="3" s="1"/>
  <c r="I35" i="4"/>
  <c r="H36" i="4" s="1"/>
  <c r="L36" i="4"/>
  <c r="S35" i="4"/>
  <c r="K39" i="4"/>
  <c r="K14" i="4" s="1"/>
  <c r="B40" i="4"/>
  <c r="H37" i="3"/>
  <c r="E36" i="4"/>
  <c r="M36" i="4" s="1"/>
  <c r="D37" i="4"/>
  <c r="L37" i="3"/>
  <c r="S36" i="3"/>
  <c r="E37" i="4" l="1"/>
  <c r="I37" i="4" s="1"/>
  <c r="D38" i="4"/>
  <c r="S36" i="4"/>
  <c r="L37" i="4"/>
  <c r="I36" i="4"/>
  <c r="H37" i="4" s="1"/>
  <c r="O40" i="4"/>
  <c r="B41" i="4"/>
  <c r="E38" i="3"/>
  <c r="I38" i="3" s="1"/>
  <c r="D39" i="3"/>
  <c r="M37" i="3"/>
  <c r="S37" i="3"/>
  <c r="L38" i="3"/>
  <c r="H38" i="3"/>
  <c r="O41" i="3"/>
  <c r="B42" i="3"/>
  <c r="M38" i="3" l="1"/>
  <c r="H38" i="4"/>
  <c r="O42" i="3"/>
  <c r="B43" i="3"/>
  <c r="E39" i="3"/>
  <c r="D40" i="3"/>
  <c r="E40" i="3" s="1"/>
  <c r="E38" i="4"/>
  <c r="I38" i="4" s="1"/>
  <c r="D39" i="4"/>
  <c r="E39" i="4" s="1"/>
  <c r="Q41" i="3"/>
  <c r="P41" i="3"/>
  <c r="S38" i="3"/>
  <c r="M39" i="3"/>
  <c r="L39" i="3"/>
  <c r="S37" i="4"/>
  <c r="M38" i="4"/>
  <c r="H39" i="3"/>
  <c r="I39" i="3"/>
  <c r="O41" i="4"/>
  <c r="B42" i="4"/>
  <c r="M37" i="4"/>
  <c r="L38" i="4" s="1"/>
  <c r="Q40" i="4"/>
  <c r="P40" i="4"/>
  <c r="S38" i="4" l="1"/>
  <c r="M39" i="4"/>
  <c r="L39" i="4"/>
  <c r="P42" i="3"/>
  <c r="Q42" i="3"/>
  <c r="H40" i="3"/>
  <c r="I40" i="3"/>
  <c r="L40" i="3"/>
  <c r="S39" i="3"/>
  <c r="M40" i="3"/>
  <c r="H39" i="4"/>
  <c r="I39" i="4"/>
  <c r="O43" i="3"/>
  <c r="B44" i="3"/>
  <c r="Q41" i="4"/>
  <c r="P41" i="4"/>
  <c r="O42" i="4"/>
  <c r="B43" i="4"/>
  <c r="L41" i="3" l="1"/>
  <c r="M41" i="3"/>
  <c r="S40" i="3"/>
  <c r="P43" i="3"/>
  <c r="Q43" i="3"/>
  <c r="I40" i="4"/>
  <c r="H40" i="4"/>
  <c r="O44" i="3"/>
  <c r="O15" i="3" s="1"/>
  <c r="B45" i="3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H41" i="3"/>
  <c r="I41" i="3"/>
  <c r="B44" i="4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O43" i="4"/>
  <c r="O14" i="4" s="1"/>
  <c r="M40" i="4"/>
  <c r="L40" i="4"/>
  <c r="S39" i="4"/>
  <c r="P42" i="4"/>
  <c r="Q42" i="4"/>
  <c r="Q43" i="4" l="1"/>
  <c r="P43" i="4"/>
  <c r="P44" i="3"/>
  <c r="Q44" i="3"/>
  <c r="H41" i="4"/>
  <c r="I41" i="4"/>
  <c r="M42" i="3"/>
  <c r="L42" i="3"/>
  <c r="S41" i="3"/>
  <c r="M41" i="4"/>
  <c r="L41" i="4"/>
  <c r="S40" i="4"/>
  <c r="H42" i="3"/>
  <c r="I42" i="3"/>
  <c r="I42" i="4" l="1"/>
  <c r="H42" i="4"/>
  <c r="M42" i="4"/>
  <c r="L42" i="4"/>
  <c r="S41" i="4"/>
  <c r="Q44" i="4"/>
  <c r="P44" i="4"/>
  <c r="L43" i="3"/>
  <c r="M43" i="3"/>
  <c r="S42" i="3"/>
  <c r="H43" i="3"/>
  <c r="I43" i="3"/>
  <c r="Q45" i="3"/>
  <c r="P45" i="3"/>
  <c r="L43" i="4" l="1"/>
  <c r="M43" i="4"/>
  <c r="S42" i="4"/>
  <c r="P46" i="3"/>
  <c r="Q46" i="3"/>
  <c r="I44" i="3"/>
  <c r="H44" i="3"/>
  <c r="Q45" i="4"/>
  <c r="P45" i="4"/>
  <c r="I43" i="4"/>
  <c r="H43" i="4"/>
  <c r="L44" i="3"/>
  <c r="M44" i="3"/>
  <c r="S43" i="3"/>
  <c r="P46" i="4" l="1"/>
  <c r="Q46" i="4"/>
  <c r="H45" i="3"/>
  <c r="I45" i="3"/>
  <c r="L45" i="3"/>
  <c r="M45" i="3"/>
  <c r="S44" i="3"/>
  <c r="H44" i="4"/>
  <c r="I44" i="4"/>
  <c r="P47" i="3"/>
  <c r="Q47" i="3"/>
  <c r="M44" i="4"/>
  <c r="L44" i="4"/>
  <c r="S43" i="4"/>
  <c r="Q47" i="4" l="1"/>
  <c r="P47" i="4"/>
  <c r="P48" i="3"/>
  <c r="Q48" i="3"/>
  <c r="H46" i="3"/>
  <c r="I46" i="3"/>
  <c r="M45" i="4"/>
  <c r="L45" i="4"/>
  <c r="S44" i="4"/>
  <c r="L46" i="3"/>
  <c r="M46" i="3"/>
  <c r="S45" i="3"/>
  <c r="I45" i="4"/>
  <c r="H45" i="4"/>
  <c r="I46" i="4" l="1"/>
  <c r="H46" i="4"/>
  <c r="H47" i="3"/>
  <c r="I47" i="3"/>
  <c r="M46" i="4"/>
  <c r="L46" i="4"/>
  <c r="S45" i="4"/>
  <c r="L47" i="3"/>
  <c r="M47" i="3"/>
  <c r="S46" i="3"/>
  <c r="Q48" i="4"/>
  <c r="P48" i="4"/>
  <c r="P49" i="3"/>
  <c r="Q49" i="3"/>
  <c r="L48" i="3" l="1"/>
  <c r="M48" i="3"/>
  <c r="S47" i="3"/>
  <c r="P50" i="3"/>
  <c r="Q50" i="3"/>
  <c r="L47" i="4"/>
  <c r="M47" i="4"/>
  <c r="S46" i="4"/>
  <c r="I47" i="4"/>
  <c r="H47" i="4"/>
  <c r="H48" i="3"/>
  <c r="I48" i="3"/>
  <c r="Q49" i="4"/>
  <c r="P49" i="4"/>
  <c r="H49" i="3" l="1"/>
  <c r="I49" i="3"/>
  <c r="M48" i="4"/>
  <c r="L48" i="4"/>
  <c r="S47" i="4"/>
  <c r="P50" i="4"/>
  <c r="Q50" i="4"/>
  <c r="H48" i="4"/>
  <c r="I48" i="4"/>
  <c r="P51" i="3"/>
  <c r="Q51" i="3"/>
  <c r="L49" i="3"/>
  <c r="M49" i="3"/>
  <c r="S48" i="3"/>
  <c r="P51" i="4" l="1"/>
  <c r="Q51" i="4"/>
  <c r="M50" i="3"/>
  <c r="L50" i="3"/>
  <c r="S49" i="3"/>
  <c r="P52" i="3"/>
  <c r="Q52" i="3"/>
  <c r="M49" i="4"/>
  <c r="L49" i="4"/>
  <c r="S48" i="4"/>
  <c r="I49" i="4"/>
  <c r="H49" i="4"/>
  <c r="H50" i="3"/>
  <c r="I50" i="3"/>
  <c r="H51" i="3" l="1"/>
  <c r="I51" i="3"/>
  <c r="I50" i="4"/>
  <c r="H50" i="4"/>
  <c r="Q53" i="3"/>
  <c r="P53" i="3"/>
  <c r="M50" i="4"/>
  <c r="L50" i="4"/>
  <c r="S49" i="4"/>
  <c r="L51" i="3"/>
  <c r="M51" i="3"/>
  <c r="S50" i="3"/>
  <c r="Q52" i="4"/>
  <c r="P52" i="4"/>
  <c r="I51" i="4" l="1"/>
  <c r="H51" i="4"/>
  <c r="L52" i="3"/>
  <c r="M52" i="3"/>
  <c r="S51" i="3"/>
  <c r="P53" i="4"/>
  <c r="Q53" i="4"/>
  <c r="P54" i="3"/>
  <c r="Q54" i="3"/>
  <c r="M51" i="4"/>
  <c r="L51" i="4"/>
  <c r="S50" i="4"/>
  <c r="H52" i="3"/>
  <c r="I52" i="3"/>
  <c r="H53" i="3" l="1"/>
  <c r="I53" i="3"/>
  <c r="Q54" i="4"/>
  <c r="P54" i="4"/>
  <c r="L53" i="3"/>
  <c r="M53" i="3"/>
  <c r="S52" i="3"/>
  <c r="P55" i="3"/>
  <c r="Q55" i="3"/>
  <c r="I52" i="4"/>
  <c r="H52" i="4"/>
  <c r="L52" i="4"/>
  <c r="M52" i="4"/>
  <c r="S51" i="4"/>
  <c r="L54" i="3" l="1"/>
  <c r="M54" i="3"/>
  <c r="S53" i="3"/>
  <c r="P55" i="4"/>
  <c r="Q55" i="4"/>
  <c r="M53" i="4"/>
  <c r="L53" i="4"/>
  <c r="S52" i="4"/>
  <c r="P56" i="3"/>
  <c r="Q56" i="3"/>
  <c r="H53" i="4"/>
  <c r="I53" i="4"/>
  <c r="H54" i="3"/>
  <c r="I54" i="3"/>
  <c r="P57" i="3" l="1"/>
  <c r="Q57" i="3"/>
  <c r="L54" i="4"/>
  <c r="M54" i="4"/>
  <c r="S53" i="4"/>
  <c r="H55" i="3"/>
  <c r="I55" i="3"/>
  <c r="I54" i="4"/>
  <c r="H54" i="4"/>
  <c r="Q56" i="4"/>
  <c r="P56" i="4"/>
  <c r="L55" i="3"/>
  <c r="M55" i="3"/>
  <c r="S54" i="3"/>
  <c r="H56" i="3" l="1"/>
  <c r="I56" i="3"/>
  <c r="L56" i="3"/>
  <c r="M56" i="3"/>
  <c r="S55" i="3"/>
  <c r="P58" i="3"/>
  <c r="Q58" i="3"/>
  <c r="M55" i="4"/>
  <c r="L55" i="4"/>
  <c r="S54" i="4"/>
  <c r="H55" i="4"/>
  <c r="I55" i="4"/>
  <c r="P57" i="4"/>
  <c r="Q57" i="4"/>
  <c r="I56" i="4" l="1"/>
  <c r="H56" i="4"/>
  <c r="Q58" i="4"/>
  <c r="P58" i="4"/>
  <c r="P59" i="3"/>
  <c r="Q59" i="3"/>
  <c r="L57" i="3"/>
  <c r="M57" i="3"/>
  <c r="S56" i="3"/>
  <c r="L56" i="4"/>
  <c r="M56" i="4"/>
  <c r="S55" i="4"/>
  <c r="H57" i="3"/>
  <c r="I57" i="3"/>
  <c r="H58" i="3" l="1"/>
  <c r="I58" i="3"/>
  <c r="P60" i="3"/>
  <c r="Q60" i="3"/>
  <c r="H57" i="4"/>
  <c r="I57" i="4"/>
  <c r="M57" i="4"/>
  <c r="L57" i="4"/>
  <c r="S56" i="4"/>
  <c r="L58" i="3"/>
  <c r="M58" i="3"/>
  <c r="S57" i="3"/>
  <c r="P59" i="4"/>
  <c r="Q59" i="4"/>
  <c r="P61" i="3" l="1"/>
  <c r="Q61" i="3"/>
  <c r="L59" i="3"/>
  <c r="M59" i="3"/>
  <c r="S58" i="3"/>
  <c r="Q60" i="4"/>
  <c r="P60" i="4"/>
  <c r="I58" i="4"/>
  <c r="H58" i="4"/>
  <c r="L58" i="4"/>
  <c r="M58" i="4"/>
  <c r="S57" i="4"/>
  <c r="H59" i="3"/>
  <c r="I59" i="3"/>
  <c r="M59" i="4" l="1"/>
  <c r="L59" i="4"/>
  <c r="S58" i="4"/>
  <c r="L60" i="3"/>
  <c r="M60" i="3"/>
  <c r="S59" i="3"/>
  <c r="H59" i="4"/>
  <c r="I59" i="4"/>
  <c r="P62" i="3"/>
  <c r="Q62" i="3"/>
  <c r="H60" i="3"/>
  <c r="I60" i="3"/>
  <c r="P61" i="4"/>
  <c r="Q61" i="4"/>
  <c r="H61" i="3" l="1"/>
  <c r="I61" i="3"/>
  <c r="L61" i="3"/>
  <c r="M61" i="3"/>
  <c r="S60" i="3"/>
  <c r="I60" i="4"/>
  <c r="H60" i="4"/>
  <c r="P63" i="3"/>
  <c r="Q63" i="3"/>
  <c r="L60" i="4"/>
  <c r="M60" i="4"/>
  <c r="S59" i="4"/>
  <c r="Q62" i="4"/>
  <c r="P62" i="4"/>
  <c r="P63" i="4" l="1"/>
  <c r="Q63" i="4"/>
  <c r="Q14" i="4" s="1"/>
  <c r="L30" i="1" s="1"/>
  <c r="L32" i="1" s="1"/>
  <c r="L62" i="3"/>
  <c r="M62" i="3"/>
  <c r="S61" i="3"/>
  <c r="M61" i="4"/>
  <c r="L61" i="4"/>
  <c r="S60" i="4"/>
  <c r="H61" i="4"/>
  <c r="I61" i="4"/>
  <c r="P64" i="3"/>
  <c r="Q64" i="3"/>
  <c r="Q15" i="3" s="1"/>
  <c r="L16" i="1" s="1"/>
  <c r="L18" i="1" s="1"/>
  <c r="H62" i="3"/>
  <c r="I62" i="3"/>
  <c r="L63" i="3" l="1"/>
  <c r="M63" i="3"/>
  <c r="S62" i="3"/>
  <c r="P14" i="4"/>
  <c r="L62" i="4"/>
  <c r="M62" i="4"/>
  <c r="S61" i="4"/>
  <c r="H63" i="3"/>
  <c r="I63" i="3"/>
  <c r="I62" i="4"/>
  <c r="H62" i="4"/>
  <c r="P15" i="3"/>
  <c r="M63" i="4" l="1"/>
  <c r="M14" i="4" s="1"/>
  <c r="J30" i="1" s="1"/>
  <c r="J32" i="1" s="1"/>
  <c r="L63" i="4"/>
  <c r="S62" i="4"/>
  <c r="H63" i="4"/>
  <c r="H14" i="4" s="1"/>
  <c r="I63" i="4"/>
  <c r="I14" i="4" s="1"/>
  <c r="H30" i="1" s="1"/>
  <c r="H64" i="3"/>
  <c r="H15" i="3" s="1"/>
  <c r="I64" i="3"/>
  <c r="I15" i="3" s="1"/>
  <c r="H16" i="1" s="1"/>
  <c r="L64" i="3"/>
  <c r="M64" i="3"/>
  <c r="M15" i="3" s="1"/>
  <c r="J16" i="1" s="1"/>
  <c r="J18" i="1" s="1"/>
  <c r="S63" i="3"/>
  <c r="L15" i="3" l="1"/>
  <c r="S15" i="3" s="1"/>
  <c r="S64" i="3"/>
  <c r="L14" i="4"/>
  <c r="S14" i="4" s="1"/>
  <c r="S63" i="4"/>
  <c r="N16" i="1"/>
  <c r="S16" i="1" s="1"/>
  <c r="H18" i="1"/>
  <c r="N18" i="1" s="1"/>
  <c r="N30" i="1"/>
  <c r="S30" i="1" s="1"/>
  <c r="H32" i="1"/>
  <c r="N32" i="1" s="1"/>
  <c r="Q18" i="1" l="1"/>
  <c r="Q32" i="1"/>
  <c r="N32" i="5" l="1"/>
  <c r="P32" i="5" s="1"/>
  <c r="S32" i="5" s="1"/>
  <c r="N29" i="5" l="1"/>
  <c r="P29" i="5" s="1"/>
  <c r="S29" i="5" s="1"/>
  <c r="N28" i="5" l="1"/>
  <c r="N30" i="5" l="1"/>
  <c r="P28" i="5"/>
  <c r="S28" i="5" s="1"/>
  <c r="N34" i="5" l="1"/>
  <c r="P30" i="5"/>
  <c r="S30" i="5" s="1"/>
  <c r="N40" i="5" l="1"/>
  <c r="P40" i="5" s="1"/>
  <c r="S40" i="5" s="1"/>
  <c r="P34" i="5"/>
  <c r="S34" i="5" s="1"/>
  <c r="L17" i="5" l="1"/>
  <c r="P17" i="5" s="1"/>
  <c r="S17" i="5" s="1"/>
  <c r="L16" i="5"/>
  <c r="P16" i="5" s="1"/>
  <c r="S16" i="5" s="1"/>
  <c r="L12" i="5"/>
  <c r="L9" i="5" l="1"/>
  <c r="L8" i="5"/>
  <c r="L10" i="5" l="1"/>
  <c r="L14" i="5" l="1"/>
  <c r="L19" i="5" l="1"/>
  <c r="N9" i="5" l="1"/>
  <c r="P9" i="5" s="1"/>
  <c r="S9" i="5" s="1"/>
  <c r="N12" i="5" l="1"/>
  <c r="P12" i="5" s="1"/>
  <c r="S12" i="5" s="1"/>
  <c r="N8" i="5" l="1"/>
  <c r="N10" i="5" l="1"/>
  <c r="P8" i="5"/>
  <c r="S8" i="5" s="1"/>
  <c r="N14" i="5" l="1"/>
  <c r="P10" i="5"/>
  <c r="S10" i="5" s="1"/>
  <c r="N19" i="5" l="1"/>
  <c r="P19" i="5" s="1"/>
  <c r="S19" i="5" s="1"/>
  <c r="P14" i="5"/>
  <c r="S14" i="5" s="1"/>
</calcChain>
</file>

<file path=xl/sharedStrings.xml><?xml version="1.0" encoding="utf-8"?>
<sst xmlns="http://schemas.openxmlformats.org/spreadsheetml/2006/main" count="171" uniqueCount="62">
  <si>
    <t>Total Refund</t>
  </si>
  <si>
    <t>-</t>
  </si>
  <si>
    <t xml:space="preserve">Interest </t>
  </si>
  <si>
    <t>Total Before Interest</t>
  </si>
  <si>
    <t>Return of Rate Base</t>
  </si>
  <si>
    <t>Return on Rate Base</t>
  </si>
  <si>
    <t>Natural Gas</t>
  </si>
  <si>
    <t>Power Costs</t>
  </si>
  <si>
    <t>Electric</t>
  </si>
  <si>
    <t>Refund</t>
  </si>
  <si>
    <t>To</t>
  </si>
  <si>
    <t xml:space="preserve">Total </t>
  </si>
  <si>
    <t>From</t>
  </si>
  <si>
    <t>Rate Adjustment Period</t>
  </si>
  <si>
    <t>Weighted</t>
  </si>
  <si>
    <t>Equity</t>
  </si>
  <si>
    <t>Debt LT</t>
  </si>
  <si>
    <t>Debt ST</t>
  </si>
  <si>
    <t>UE-170485/86</t>
  </si>
  <si>
    <t>Debt</t>
  </si>
  <si>
    <t>UE-150204/05</t>
  </si>
  <si>
    <t>ROR</t>
  </si>
  <si>
    <t>Rate</t>
  </si>
  <si>
    <t xml:space="preserve"> ROR</t>
  </si>
  <si>
    <t>Weight</t>
  </si>
  <si>
    <t>Pre-tax</t>
  </si>
  <si>
    <t>Tax</t>
  </si>
  <si>
    <t>Post-Tax</t>
  </si>
  <si>
    <t>Post-TCJA</t>
  </si>
  <si>
    <t>Pre-TCJA</t>
  </si>
  <si>
    <t>Total</t>
  </si>
  <si>
    <t>Month</t>
  </si>
  <si>
    <t>Interest</t>
  </si>
  <si>
    <t>Balance</t>
  </si>
  <si>
    <t>Accrued</t>
  </si>
  <si>
    <t xml:space="preserve">Monthly </t>
  </si>
  <si>
    <t xml:space="preserve">Annual </t>
  </si>
  <si>
    <t>Rate Impact</t>
  </si>
  <si>
    <t>Days</t>
  </si>
  <si>
    <t xml:space="preserve">Appeals </t>
  </si>
  <si>
    <t>BGM-11</t>
  </si>
  <si>
    <t>Rate Base</t>
  </si>
  <si>
    <t>Other</t>
  </si>
  <si>
    <t>Working Capital</t>
  </si>
  <si>
    <t>Gas Inv.</t>
  </si>
  <si>
    <t>Net Plant w/ DIT</t>
  </si>
  <si>
    <t>Def. Tax</t>
  </si>
  <si>
    <t>Net Plant</t>
  </si>
  <si>
    <t xml:space="preserve">Accum. Dep. </t>
  </si>
  <si>
    <t>Gross Plant</t>
  </si>
  <si>
    <t>Delta</t>
  </si>
  <si>
    <t>Post Attr. Adj.</t>
  </si>
  <si>
    <t xml:space="preserve">Results  </t>
  </si>
  <si>
    <t>Adj.</t>
  </si>
  <si>
    <t xml:space="preserve">Attrition </t>
  </si>
  <si>
    <t>Escalation /</t>
  </si>
  <si>
    <t>Dec 31, 2014</t>
  </si>
  <si>
    <t>Pro Forma</t>
  </si>
  <si>
    <t>Attrition Study</t>
  </si>
  <si>
    <t>Pro Forma Study</t>
  </si>
  <si>
    <t>Def. Dr./Cr.</t>
  </si>
  <si>
    <t>BGM-12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</si>
</sst>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1" fontId="1" fillId="0" borderId="0" xfId="0" applyNumberFormat="1" applyFont="1"/>
    <xf numFmtId="0" fontId="1" fillId="2" borderId="4" xfId="0" applyFont="1" applyFill="1" applyBorder="1"/>
    <xf numFmtId="41" fontId="2" fillId="2" borderId="0" xfId="0" applyNumberFormat="1" applyFont="1" applyFill="1"/>
    <xf numFmtId="0" fontId="2" fillId="2" borderId="0" xfId="0" applyFont="1" applyFill="1"/>
    <xf numFmtId="0" fontId="1" fillId="2" borderId="5" xfId="0" applyFont="1" applyFill="1" applyBorder="1"/>
    <xf numFmtId="0" fontId="1" fillId="2" borderId="4" xfId="0" applyFont="1" applyFill="1" applyBorder="1" applyAlignment="1">
      <alignment vertical="center"/>
    </xf>
    <xf numFmtId="0" fontId="1" fillId="2" borderId="0" xfId="0" applyFont="1" applyFill="1" applyAlignment="1">
      <alignment horizontal="fill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5" xfId="0" applyFont="1" applyFill="1" applyBorder="1" applyAlignment="1">
      <alignment vertical="center"/>
    </xf>
    <xf numFmtId="41" fontId="1" fillId="2" borderId="0" xfId="0" applyNumberFormat="1" applyFont="1" applyFill="1"/>
    <xf numFmtId="0" fontId="1" fillId="2" borderId="0" xfId="0" applyFont="1" applyFill="1"/>
    <xf numFmtId="0" fontId="1" fillId="2" borderId="0" xfId="0" applyFont="1" applyFill="1" applyAlignment="1">
      <alignment horizontal="left" indent="1"/>
    </xf>
    <xf numFmtId="41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left" vertical="center" indent="1"/>
    </xf>
    <xf numFmtId="0" fontId="3" fillId="2" borderId="0" xfId="0" applyFont="1" applyFill="1"/>
    <xf numFmtId="0" fontId="2" fillId="2" borderId="2" xfId="0" applyFont="1" applyFill="1" applyBorder="1" applyAlignment="1">
      <alignment horizontal="center"/>
    </xf>
    <xf numFmtId="15" fontId="1" fillId="2" borderId="2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 indent="1"/>
    </xf>
    <xf numFmtId="0" fontId="2" fillId="2" borderId="0" xfId="0" applyFont="1" applyFill="1" applyAlignment="1">
      <alignment horizontal="center"/>
    </xf>
    <xf numFmtId="15" fontId="1" fillId="2" borderId="0" xfId="0" applyNumberFormat="1" applyFont="1" applyFill="1" applyAlignment="1">
      <alignment horizontal="center"/>
    </xf>
    <xf numFmtId="0" fontId="2" fillId="2" borderId="2" xfId="0" applyFont="1" applyFill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0" fontId="2" fillId="2" borderId="0" xfId="0" applyNumberFormat="1" applyFont="1" applyFill="1"/>
    <xf numFmtId="10" fontId="1" fillId="2" borderId="0" xfId="0" applyNumberFormat="1" applyFont="1" applyFill="1"/>
    <xf numFmtId="10" fontId="1" fillId="2" borderId="2" xfId="0" applyNumberFormat="1" applyFont="1" applyFill="1" applyBorder="1"/>
    <xf numFmtId="9" fontId="1" fillId="2" borderId="0" xfId="0" applyNumberFormat="1" applyFont="1" applyFill="1"/>
    <xf numFmtId="10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Continuous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10" fontId="1" fillId="0" borderId="0" xfId="0" applyNumberFormat="1" applyFont="1"/>
    <xf numFmtId="14" fontId="1" fillId="0" borderId="0" xfId="0" applyNumberFormat="1" applyFont="1"/>
    <xf numFmtId="41" fontId="1" fillId="0" borderId="9" xfId="0" applyNumberFormat="1" applyFont="1" applyBorder="1"/>
    <xf numFmtId="0" fontId="1" fillId="0" borderId="3" xfId="0" applyFont="1" applyBorder="1"/>
    <xf numFmtId="41" fontId="1" fillId="0" borderId="1" xfId="0" applyNumberFormat="1" applyFont="1" applyBorder="1"/>
    <xf numFmtId="41" fontId="1" fillId="0" borderId="2" xfId="0" applyNumberFormat="1" applyFont="1" applyBorder="1"/>
    <xf numFmtId="0" fontId="1" fillId="0" borderId="2" xfId="0" applyFont="1" applyBorder="1"/>
    <xf numFmtId="10" fontId="1" fillId="0" borderId="1" xfId="0" applyNumberFormat="1" applyFont="1" applyBorder="1"/>
    <xf numFmtId="10" fontId="1" fillId="0" borderId="3" xfId="0" applyNumberFormat="1" applyFont="1" applyBorder="1"/>
    <xf numFmtId="0" fontId="1" fillId="0" borderId="1" xfId="0" applyFont="1" applyBorder="1"/>
    <xf numFmtId="14" fontId="1" fillId="0" borderId="3" xfId="0" applyNumberFormat="1" applyFont="1" applyBorder="1"/>
    <xf numFmtId="41" fontId="1" fillId="0" borderId="10" xfId="0" applyNumberFormat="1" applyFont="1" applyBorder="1"/>
    <xf numFmtId="0" fontId="1" fillId="0" borderId="5" xfId="0" applyFont="1" applyBorder="1"/>
    <xf numFmtId="41" fontId="1" fillId="0" borderId="4" xfId="0" applyNumberFormat="1" applyFont="1" applyBorder="1"/>
    <xf numFmtId="10" fontId="1" fillId="0" borderId="4" xfId="0" applyNumberFormat="1" applyFont="1" applyBorder="1"/>
    <xf numFmtId="10" fontId="1" fillId="0" borderId="5" xfId="0" applyNumberFormat="1" applyFont="1" applyBorder="1"/>
    <xf numFmtId="0" fontId="1" fillId="0" borderId="4" xfId="0" applyFont="1" applyBorder="1"/>
    <xf numFmtId="14" fontId="1" fillId="0" borderId="5" xfId="0" applyNumberFormat="1" applyFont="1" applyBorder="1"/>
    <xf numFmtId="41" fontId="1" fillId="0" borderId="5" xfId="0" applyNumberFormat="1" applyFont="1" applyBorder="1"/>
    <xf numFmtId="0" fontId="1" fillId="0" borderId="10" xfId="0" applyFont="1" applyBorder="1"/>
    <xf numFmtId="43" fontId="1" fillId="0" borderId="4" xfId="0" applyNumberFormat="1" applyFont="1" applyBorder="1"/>
    <xf numFmtId="43" fontId="1" fillId="0" borderId="0" xfId="0" applyNumberFormat="1" applyFont="1"/>
    <xf numFmtId="41" fontId="1" fillId="0" borderId="11" xfId="0" applyNumberFormat="1" applyFont="1" applyBorder="1"/>
    <xf numFmtId="0" fontId="1" fillId="0" borderId="12" xfId="0" applyFont="1" applyBorder="1"/>
    <xf numFmtId="41" fontId="1" fillId="0" borderId="13" xfId="0" applyNumberFormat="1" applyFont="1" applyBorder="1"/>
    <xf numFmtId="41" fontId="1" fillId="0" borderId="14" xfId="0" applyNumberFormat="1" applyFont="1" applyBorder="1"/>
    <xf numFmtId="41" fontId="1" fillId="0" borderId="12" xfId="0" applyNumberFormat="1" applyFont="1" applyBorder="1"/>
    <xf numFmtId="0" fontId="1" fillId="0" borderId="14" xfId="0" applyFont="1" applyBorder="1"/>
    <xf numFmtId="14" fontId="1" fillId="0" borderId="12" xfId="0" applyNumberFormat="1" applyFont="1" applyBorder="1" applyAlignment="1">
      <alignment horizontal="right"/>
    </xf>
    <xf numFmtId="0" fontId="1" fillId="0" borderId="13" xfId="0" applyFont="1" applyBorder="1"/>
    <xf numFmtId="10" fontId="1" fillId="0" borderId="12" xfId="0" applyNumberFormat="1" applyFont="1" applyBorder="1"/>
    <xf numFmtId="41" fontId="1" fillId="0" borderId="3" xfId="0" applyNumberFormat="1" applyFont="1" applyBorder="1"/>
    <xf numFmtId="41" fontId="1" fillId="0" borderId="6" xfId="0" applyNumberFormat="1" applyFont="1" applyBorder="1"/>
    <xf numFmtId="41" fontId="1" fillId="0" borderId="7" xfId="0" applyNumberFormat="1" applyFont="1" applyBorder="1"/>
    <xf numFmtId="41" fontId="1" fillId="0" borderId="8" xfId="0" applyNumberFormat="1" applyFont="1" applyBorder="1"/>
    <xf numFmtId="0" fontId="1" fillId="0" borderId="1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7" xfId="0" applyFont="1" applyBorder="1"/>
    <xf numFmtId="41" fontId="1" fillId="0" borderId="15" xfId="0" applyNumberFormat="1" applyFont="1" applyBorder="1"/>
    <xf numFmtId="0" fontId="1" fillId="0" borderId="9" xfId="0" applyFont="1" applyBorder="1"/>
    <xf numFmtId="0" fontId="1" fillId="0" borderId="4" xfId="0" applyFont="1" applyBorder="1" applyAlignment="1">
      <alignment horizontal="right"/>
    </xf>
    <xf numFmtId="15" fontId="1" fillId="0" borderId="1" xfId="0" applyNumberFormat="1" applyFont="1" applyBorder="1" applyAlignment="1">
      <alignment horizontal="centerContinuous"/>
    </xf>
    <xf numFmtId="15" fontId="1" fillId="0" borderId="2" xfId="0" applyNumberFormat="1" applyFont="1" applyBorder="1" applyAlignment="1">
      <alignment horizontal="centerContinuous"/>
    </xf>
    <xf numFmtId="15" fontId="1" fillId="0" borderId="3" xfId="0" applyNumberFormat="1" applyFont="1" applyBorder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right" indent="1"/>
    </xf>
    <xf numFmtId="15" fontId="1" fillId="0" borderId="6" xfId="0" applyNumberFormat="1" applyFont="1" applyBorder="1" applyAlignment="1">
      <alignment horizontal="centerContinuous"/>
    </xf>
    <xf numFmtId="15" fontId="1" fillId="0" borderId="7" xfId="0" applyNumberFormat="1" applyFont="1" applyBorder="1" applyAlignment="1">
      <alignment horizontal="centerContinuous"/>
    </xf>
    <xf numFmtId="15" fontId="1" fillId="0" borderId="8" xfId="0" applyNumberFormat="1" applyFont="1" applyBorder="1" applyAlignment="1">
      <alignment horizontal="centerContinuous"/>
    </xf>
    <xf numFmtId="0" fontId="1" fillId="0" borderId="6" xfId="0" applyFont="1" applyBorder="1" applyAlignment="1">
      <alignment horizontal="right" indent="1"/>
    </xf>
    <xf numFmtId="0" fontId="2" fillId="0" borderId="13" xfId="0" applyFont="1" applyBorder="1" applyAlignment="1">
      <alignment horizontal="centerContinuous"/>
    </xf>
    <xf numFmtId="0" fontId="2" fillId="0" borderId="14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164" fontId="1" fillId="2" borderId="0" xfId="0" applyNumberFormat="1" applyFont="1" applyFill="1"/>
    <xf numFmtId="164" fontId="1" fillId="2" borderId="2" xfId="0" applyNumberFormat="1" applyFont="1" applyFill="1" applyBorder="1"/>
    <xf numFmtId="0" fontId="4" fillId="2" borderId="2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quotePrefix="1" applyFont="1" applyFill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rk/30_ava/3046-7%20-%20UE-150204%202015%20GRC/filing/3.%20UE__AVA%20WP's%20(Feb2015)/Q.%20UE__Ehrbar%20Workpapers%20(AVA-Feb2015)/Ehrbar%20Electric%20Workpaper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xh.%20No.%20BGM-13%20and%20BGM-14%20Rate%20Base%20Comparis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xh.%20No.%20BGM-11%20Appeals%20Decision%20Electric%20Attrition%20Stud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xh.%20No.%20BGM-12%20Appeals%20Decision%20Gas%20Attrition%20Stu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 2"/>
      <sheetName val="Exh 3"/>
      <sheetName val="Adder Schedule"/>
      <sheetName val="ROR"/>
      <sheetName val="Bill Determ"/>
      <sheetName val="Bill Impact"/>
      <sheetName val="WA Sch 25"/>
      <sheetName val="Lighting summary"/>
      <sheetName val="St Lts"/>
      <sheetName val="Area Lts"/>
      <sheetName val="Capital Recovery Factor Calc"/>
      <sheetName val="Block Data"/>
      <sheetName val="Rev Runs 12MESEPT2014"/>
    </sheetNames>
    <sheetDataSet>
      <sheetData sheetId="0">
        <row r="8">
          <cell r="N8">
            <v>1</v>
          </cell>
        </row>
      </sheetData>
      <sheetData sheetId="1" refreshError="1"/>
      <sheetData sheetId="2" refreshError="1"/>
      <sheetData sheetId="3" refreshError="1"/>
      <sheetData sheetId="4">
        <row r="11">
          <cell r="H11" t="e">
            <v>#DIV/0!</v>
          </cell>
        </row>
      </sheetData>
      <sheetData sheetId="5" refreshError="1"/>
      <sheetData sheetId="6" refreshError="1"/>
      <sheetData sheetId="7" refreshError="1"/>
      <sheetData sheetId="8">
        <row r="25">
          <cell r="Q25">
            <v>126000000</v>
          </cell>
        </row>
      </sheetData>
      <sheetData sheetId="9" refreshError="1"/>
      <sheetData sheetId="10"/>
      <sheetData sheetId="11" refreshError="1"/>
      <sheetData sheetId="12" refreshError="1"/>
      <sheetData sheetId="13">
        <row r="21">
          <cell r="O21">
            <v>1562090323.9480615</v>
          </cell>
        </row>
      </sheetData>
      <sheetData sheetId="14">
        <row r="11">
          <cell r="P11">
            <v>205172.25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</sheetNames>
    <sheetDataSet>
      <sheetData sheetId="0">
        <row r="17">
          <cell r="E17">
            <v>2242311</v>
          </cell>
          <cell r="G17">
            <v>0</v>
          </cell>
          <cell r="H17">
            <v>0</v>
          </cell>
          <cell r="I17">
            <v>0</v>
          </cell>
          <cell r="J17">
            <v>72405.726762719481</v>
          </cell>
          <cell r="K17">
            <v>0</v>
          </cell>
          <cell r="L17">
            <v>64766.152158003344</v>
          </cell>
          <cell r="T17">
            <v>2260354</v>
          </cell>
          <cell r="X17">
            <v>110976.24059626144</v>
          </cell>
          <cell r="Y17">
            <v>46004</v>
          </cell>
        </row>
        <row r="25">
          <cell r="E25">
            <v>-780322</v>
          </cell>
          <cell r="G25">
            <v>0</v>
          </cell>
          <cell r="H25">
            <v>0</v>
          </cell>
          <cell r="I25">
            <v>0</v>
          </cell>
          <cell r="J25">
            <v>-23697.927341409129</v>
          </cell>
          <cell r="K25">
            <v>0</v>
          </cell>
          <cell r="L25">
            <v>-4062.8140537247145</v>
          </cell>
          <cell r="T25">
            <v>-788084</v>
          </cell>
          <cell r="X25">
            <v>-41911.809045052607</v>
          </cell>
          <cell r="Y25">
            <v>-1943</v>
          </cell>
        </row>
        <row r="29">
          <cell r="E29">
            <v>-238376</v>
          </cell>
          <cell r="G29">
            <v>-6009</v>
          </cell>
          <cell r="J29">
            <v>-53079.000000000007</v>
          </cell>
          <cell r="K29">
            <v>-3896</v>
          </cell>
          <cell r="L29">
            <v>-4340</v>
          </cell>
          <cell r="T29">
            <v>-257766</v>
          </cell>
          <cell r="X29">
            <v>-20179.690322262373</v>
          </cell>
          <cell r="Y29">
            <v>-2003</v>
          </cell>
        </row>
        <row r="33">
          <cell r="E33">
            <v>11848</v>
          </cell>
          <cell r="H33">
            <v>-7399</v>
          </cell>
          <cell r="T33">
            <v>4596</v>
          </cell>
        </row>
        <row r="34">
          <cell r="E34">
            <v>25039</v>
          </cell>
          <cell r="I34">
            <v>20703</v>
          </cell>
          <cell r="T34">
            <v>47807</v>
          </cell>
        </row>
      </sheetData>
      <sheetData sheetId="1">
        <row r="16">
          <cell r="E16">
            <v>416050</v>
          </cell>
          <cell r="G16">
            <v>0</v>
          </cell>
          <cell r="H16">
            <v>0</v>
          </cell>
          <cell r="I16">
            <v>0</v>
          </cell>
          <cell r="J16">
            <v>14981.01649952888</v>
          </cell>
          <cell r="K16">
            <v>0</v>
          </cell>
          <cell r="L16">
            <v>18287.42296</v>
          </cell>
          <cell r="T16">
            <v>422298</v>
          </cell>
          <cell r="X16">
            <v>71197.744268506998</v>
          </cell>
          <cell r="Y16">
            <v>13239</v>
          </cell>
        </row>
        <row r="22">
          <cell r="E22">
            <v>-139625</v>
          </cell>
          <cell r="G22">
            <v>0</v>
          </cell>
          <cell r="H22">
            <v>0</v>
          </cell>
          <cell r="I22">
            <v>0</v>
          </cell>
          <cell r="J22">
            <v>-5014.998655020041</v>
          </cell>
          <cell r="K22">
            <v>0</v>
          </cell>
          <cell r="L22">
            <v>-1134.30077345</v>
          </cell>
          <cell r="T22">
            <v>-141745</v>
          </cell>
          <cell r="X22">
            <v>-23897.63688518422</v>
          </cell>
          <cell r="Y22">
            <v>-559</v>
          </cell>
        </row>
        <row r="26">
          <cell r="E26">
            <v>-55323</v>
          </cell>
          <cell r="G26">
            <v>-3032</v>
          </cell>
          <cell r="J26">
            <v>-6578.4999999999927</v>
          </cell>
          <cell r="K26">
            <v>3500</v>
          </cell>
          <cell r="L26">
            <v>-1200</v>
          </cell>
          <cell r="T26">
            <v>-54652</v>
          </cell>
          <cell r="X26">
            <v>-9214.107383322782</v>
          </cell>
          <cell r="Y26">
            <v>-577</v>
          </cell>
        </row>
        <row r="30">
          <cell r="E30">
            <v>12801</v>
          </cell>
          <cell r="T30">
            <v>14762</v>
          </cell>
        </row>
        <row r="31">
          <cell r="E31">
            <v>-428</v>
          </cell>
          <cell r="T31">
            <v>-479</v>
          </cell>
        </row>
        <row r="32">
          <cell r="H32">
            <v>10371</v>
          </cell>
          <cell r="T32">
            <v>10073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ROR"/>
      <sheetName val="Attrition 09.2014 to 2016"/>
      <sheetName val="Cost Trends"/>
      <sheetName val="Net Plant"/>
      <sheetName val="Dep-Amort"/>
      <sheetName val="Adj Taxes"/>
      <sheetName val="Other Revenue"/>
      <sheetName val="Adj Operating Exp-2007-2014"/>
      <sheetName val="Plant Trends"/>
      <sheetName val="Weighted Revenue Growth"/>
      <sheetName val="12.2014 CB Power Supply"/>
      <sheetName val="incremental load expense"/>
      <sheetName val="PF Power Supply 09.2014 load"/>
      <sheetName val="PF Power Supply 2016 load"/>
      <sheetName val="09.2014 Rev Model"/>
      <sheetName val="2016 Customers and Demand"/>
      <sheetName val="2016 Forecast Energy"/>
      <sheetName val="456 Revenue"/>
      <sheetName val="CS2-Colstrip 2016 Incrmntl Exp"/>
      <sheetName val="Reg Amorts"/>
      <sheetName val="DSM"/>
      <sheetName val="ResX"/>
      <sheetName val="CBR Hist"/>
      <sheetName val="PS Consolidated"/>
      <sheetName val="Other Rev"/>
      <sheetName val="Sheet1"/>
    </sheetNames>
    <sheetDataSet>
      <sheetData sheetId="0"/>
      <sheetData sheetId="1"/>
      <sheetData sheetId="2">
        <row r="8">
          <cell r="Z8">
            <v>-4295.396367074376</v>
          </cell>
        </row>
        <row r="9">
          <cell r="Z9">
            <v>-3110.3313505741098</v>
          </cell>
        </row>
        <row r="10">
          <cell r="Z10">
            <v>-12100.71812107088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ROR"/>
      <sheetName val="Attrition 09.2014 to 2016"/>
      <sheetName val="Plant trends"/>
      <sheetName val="Net plant"/>
      <sheetName val="Dep Amort"/>
      <sheetName val="Taxes (other than income)"/>
      <sheetName val="Other Revenue"/>
      <sheetName val="Op Exp"/>
      <sheetName val="Weighted Revenue Growth"/>
      <sheetName val="Cost Trends"/>
      <sheetName val="09.2014 Revenue Model"/>
      <sheetName val="Forecast Bill Determinants"/>
      <sheetName val="Riders and Gas Cost Revenue"/>
      <sheetName val="Reg Amort and Other RB"/>
    </sheetNames>
    <sheetDataSet>
      <sheetData sheetId="0" refreshError="1"/>
      <sheetData sheetId="1" refreshError="1"/>
      <sheetData sheetId="2">
        <row r="14">
          <cell r="Y14">
            <v>-4258.4880808790831</v>
          </cell>
        </row>
        <row r="15">
          <cell r="Y15">
            <v>-2227.756371771914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EB56D-C3C4-4278-ADE7-1258711FA66A}">
  <sheetPr codeName="Sheet1"/>
  <dimension ref="B2:S33"/>
  <sheetViews>
    <sheetView tabSelected="1" zoomScale="115" zoomScaleNormal="115" workbookViewId="0"/>
  </sheetViews>
  <sheetFormatPr defaultRowHeight="15" x14ac:dyDescent="0.25"/>
  <cols>
    <col min="1" max="1" width="3.140625" style="1" customWidth="1"/>
    <col min="2" max="2" width="1" style="1" customWidth="1"/>
    <col min="3" max="3" width="4.42578125" style="1" customWidth="1"/>
    <col min="4" max="4" width="1" style="1" customWidth="1"/>
    <col min="5" max="5" width="11.140625" style="1" customWidth="1"/>
    <col min="6" max="6" width="4" style="1" customWidth="1"/>
    <col min="7" max="7" width="8.28515625" style="1" customWidth="1"/>
    <col min="8" max="8" width="13.5703125" style="1" customWidth="1"/>
    <col min="9" max="9" width="2.140625" style="1" customWidth="1"/>
    <col min="10" max="10" width="13.5703125" style="1" customWidth="1"/>
    <col min="11" max="11" width="2.140625" style="1" customWidth="1"/>
    <col min="12" max="12" width="13.5703125" style="1" customWidth="1"/>
    <col min="13" max="13" width="2.140625" style="1" customWidth="1"/>
    <col min="14" max="14" width="13.5703125" style="1" customWidth="1"/>
    <col min="15" max="15" width="2.140625" style="1" customWidth="1"/>
    <col min="16" max="16" width="9.140625" style="1"/>
    <col min="17" max="17" width="21" style="1" customWidth="1"/>
    <col min="18" max="18" width="9.140625" style="1"/>
    <col min="19" max="19" width="14.85546875" style="1" customWidth="1"/>
    <col min="20" max="16384" width="9.140625" style="1"/>
  </cols>
  <sheetData>
    <row r="2" spans="2:19" s="2" customFormat="1" ht="6" customHeight="1" x14ac:dyDescent="0.25">
      <c r="B2" s="32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0"/>
    </row>
    <row r="3" spans="2:19" x14ac:dyDescent="0.25">
      <c r="B3" s="10"/>
      <c r="C3" s="109"/>
      <c r="D3" s="109"/>
      <c r="E3" s="17"/>
      <c r="F3" s="17"/>
      <c r="G3" s="29"/>
      <c r="H3" s="28" t="s">
        <v>13</v>
      </c>
      <c r="I3" s="28"/>
      <c r="J3" s="28"/>
      <c r="K3" s="28"/>
      <c r="L3" s="28"/>
      <c r="M3" s="17"/>
      <c r="N3" s="17"/>
      <c r="O3" s="7"/>
    </row>
    <row r="4" spans="2:19" x14ac:dyDescent="0.25">
      <c r="B4" s="10"/>
      <c r="C4" s="111">
        <v>1</v>
      </c>
      <c r="D4" s="109"/>
      <c r="E4" s="17"/>
      <c r="F4" s="17"/>
      <c r="G4" s="25" t="s">
        <v>12</v>
      </c>
      <c r="H4" s="27">
        <v>42380</v>
      </c>
      <c r="I4" s="24"/>
      <c r="J4" s="27">
        <v>42736</v>
      </c>
      <c r="K4" s="24"/>
      <c r="L4" s="27">
        <v>43101</v>
      </c>
      <c r="M4" s="17"/>
      <c r="N4" s="26" t="s">
        <v>11</v>
      </c>
      <c r="O4" s="7"/>
    </row>
    <row r="5" spans="2:19" x14ac:dyDescent="0.25">
      <c r="B5" s="10"/>
      <c r="C5" s="111">
        <v>2</v>
      </c>
      <c r="D5" s="109"/>
      <c r="E5" s="17"/>
      <c r="F5" s="17"/>
      <c r="G5" s="25" t="s">
        <v>10</v>
      </c>
      <c r="H5" s="23">
        <v>42735</v>
      </c>
      <c r="I5" s="24"/>
      <c r="J5" s="23">
        <v>43100</v>
      </c>
      <c r="K5" s="24"/>
      <c r="L5" s="23">
        <v>43220</v>
      </c>
      <c r="M5" s="17"/>
      <c r="N5" s="22" t="s">
        <v>9</v>
      </c>
      <c r="O5" s="7"/>
    </row>
    <row r="6" spans="2:19" x14ac:dyDescent="0.25">
      <c r="B6" s="10"/>
      <c r="C6" s="111"/>
      <c r="D6" s="109"/>
      <c r="E6" s="21" t="s">
        <v>8</v>
      </c>
      <c r="F6" s="17"/>
      <c r="G6" s="17"/>
      <c r="H6" s="17"/>
      <c r="I6" s="17"/>
      <c r="J6" s="17"/>
      <c r="K6" s="17"/>
      <c r="L6" s="17"/>
      <c r="M6" s="17"/>
      <c r="N6" s="17"/>
      <c r="O6" s="7"/>
    </row>
    <row r="7" spans="2:19" s="2" customFormat="1" ht="6" customHeight="1" x14ac:dyDescent="0.25">
      <c r="B7" s="15"/>
      <c r="C7" s="112"/>
      <c r="D7" s="110"/>
      <c r="E7" s="13"/>
      <c r="F7" s="13"/>
      <c r="G7" s="13"/>
      <c r="H7" s="13"/>
      <c r="I7" s="13"/>
      <c r="J7" s="13"/>
      <c r="K7" s="13"/>
      <c r="L7" s="13"/>
      <c r="M7" s="13"/>
      <c r="N7" s="13"/>
      <c r="O7" s="11"/>
    </row>
    <row r="8" spans="2:19" x14ac:dyDescent="0.25">
      <c r="B8" s="10"/>
      <c r="C8" s="111">
        <v>3</v>
      </c>
      <c r="D8" s="109"/>
      <c r="E8" s="18" t="s">
        <v>5</v>
      </c>
      <c r="F8" s="17"/>
      <c r="G8" s="17"/>
      <c r="H8" s="16">
        <f>+'Electric Interest Calculation'!G7</f>
        <v>-4178.0358105969344</v>
      </c>
      <c r="I8" s="16"/>
      <c r="J8" s="16">
        <f>+'Electric Interest Calculation'!K7</f>
        <v>-4295.396367074376</v>
      </c>
      <c r="K8" s="16"/>
      <c r="L8" s="16">
        <f>+'Electric Interest Calculation'!O7</f>
        <v>-1400.4168977584952</v>
      </c>
      <c r="M8" s="16"/>
      <c r="N8" s="16">
        <f>+SUM(H8:L8)</f>
        <v>-9873.8490754298073</v>
      </c>
      <c r="O8" s="7"/>
      <c r="Q8" s="6">
        <f>+J8*1000</f>
        <v>-4295396.367074376</v>
      </c>
      <c r="S8" s="6">
        <f>+N8*1000</f>
        <v>-9873849.0754298065</v>
      </c>
    </row>
    <row r="9" spans="2:19" s="2" customFormat="1" ht="6" customHeight="1" x14ac:dyDescent="0.25">
      <c r="B9" s="15"/>
      <c r="C9" s="112"/>
      <c r="D9" s="110"/>
      <c r="E9" s="20"/>
      <c r="F9" s="13"/>
      <c r="G9" s="13"/>
      <c r="H9" s="19"/>
      <c r="I9" s="19"/>
      <c r="J9" s="19"/>
      <c r="K9" s="19"/>
      <c r="L9" s="19"/>
      <c r="M9" s="19"/>
      <c r="N9" s="19"/>
      <c r="O9" s="11"/>
    </row>
    <row r="10" spans="2:19" x14ac:dyDescent="0.25">
      <c r="B10" s="10"/>
      <c r="C10" s="111">
        <v>4</v>
      </c>
      <c r="D10" s="109"/>
      <c r="E10" s="18" t="s">
        <v>4</v>
      </c>
      <c r="F10" s="17"/>
      <c r="G10" s="17"/>
      <c r="H10" s="16">
        <f>+'Electric Interest Calculation'!G8</f>
        <v>-3025.3496196841065</v>
      </c>
      <c r="I10" s="16"/>
      <c r="J10" s="16">
        <f>+'Electric Interest Calculation'!K8</f>
        <v>-3110.3313505741098</v>
      </c>
      <c r="K10" s="16"/>
      <c r="L10" s="16">
        <f>+'Electric Interest Calculation'!O8</f>
        <v>-1014.0532348447098</v>
      </c>
      <c r="M10" s="16"/>
      <c r="N10" s="16">
        <f>+SUM(H10:L10)</f>
        <v>-7149.7342051029254</v>
      </c>
      <c r="O10" s="7"/>
      <c r="Q10" s="6">
        <f>+J10*1000</f>
        <v>-3110331.3505741097</v>
      </c>
      <c r="S10" s="6">
        <f>+N10*1000</f>
        <v>-7149734.2051029252</v>
      </c>
    </row>
    <row r="11" spans="2:19" s="2" customFormat="1" ht="6" customHeight="1" x14ac:dyDescent="0.25">
      <c r="B11" s="15"/>
      <c r="C11" s="112"/>
      <c r="D11" s="110"/>
      <c r="E11" s="20"/>
      <c r="F11" s="13"/>
      <c r="G11" s="13"/>
      <c r="H11" s="19"/>
      <c r="I11" s="19"/>
      <c r="J11" s="19"/>
      <c r="K11" s="19"/>
      <c r="L11" s="19"/>
      <c r="M11" s="19"/>
      <c r="N11" s="19"/>
      <c r="O11" s="11"/>
    </row>
    <row r="12" spans="2:19" x14ac:dyDescent="0.25">
      <c r="B12" s="10"/>
      <c r="C12" s="111">
        <v>5</v>
      </c>
      <c r="D12" s="109"/>
      <c r="E12" s="18" t="s">
        <v>7</v>
      </c>
      <c r="F12" s="17"/>
      <c r="G12" s="17"/>
      <c r="H12" s="16">
        <f>+'Electric Interest Calculation'!G9</f>
        <v>-11770.097407380419</v>
      </c>
      <c r="I12" s="16"/>
      <c r="J12" s="16">
        <f>+'Electric Interest Calculation'!K9</f>
        <v>-12100.718121070879</v>
      </c>
      <c r="K12" s="16"/>
      <c r="L12" s="16">
        <f>+'Electric Interest Calculation'!O9</f>
        <v>-3945.1656339929718</v>
      </c>
      <c r="M12" s="16"/>
      <c r="N12" s="16">
        <f>+SUM(H12:L12)</f>
        <v>-27815.98116244427</v>
      </c>
      <c r="O12" s="7"/>
      <c r="Q12" s="6">
        <f>+J12*1000</f>
        <v>-12100718.121070879</v>
      </c>
      <c r="S12" s="6">
        <f>+N12*1000</f>
        <v>-27815981.162444271</v>
      </c>
    </row>
    <row r="13" spans="2:19" s="2" customFormat="1" ht="6" customHeight="1" x14ac:dyDescent="0.25">
      <c r="B13" s="15"/>
      <c r="C13" s="112"/>
      <c r="D13" s="110"/>
      <c r="E13" s="13"/>
      <c r="F13" s="13"/>
      <c r="G13" s="13"/>
      <c r="H13" s="12" t="s">
        <v>1</v>
      </c>
      <c r="I13" s="19"/>
      <c r="J13" s="12" t="s">
        <v>1</v>
      </c>
      <c r="K13" s="19"/>
      <c r="L13" s="12" t="s">
        <v>1</v>
      </c>
      <c r="M13" s="19"/>
      <c r="N13" s="12" t="s">
        <v>1</v>
      </c>
      <c r="O13" s="11"/>
    </row>
    <row r="14" spans="2:19" x14ac:dyDescent="0.25">
      <c r="B14" s="10"/>
      <c r="C14" s="111">
        <v>6</v>
      </c>
      <c r="D14" s="109"/>
      <c r="E14" s="17" t="s">
        <v>3</v>
      </c>
      <c r="F14" s="17"/>
      <c r="G14" s="17"/>
      <c r="H14" s="16">
        <f>+SUM(H8:H13)</f>
        <v>-18973.482837661461</v>
      </c>
      <c r="I14" s="16"/>
      <c r="J14" s="16">
        <f>+SUM(J8:J13)</f>
        <v>-19506.445838719366</v>
      </c>
      <c r="K14" s="16"/>
      <c r="L14" s="16">
        <f>+SUM(L8:L13)</f>
        <v>-6359.6357665961768</v>
      </c>
      <c r="M14" s="16"/>
      <c r="N14" s="16">
        <f>+SUM(H14:L14)</f>
        <v>-44839.564442977004</v>
      </c>
      <c r="O14" s="7"/>
    </row>
    <row r="15" spans="2:19" s="2" customFormat="1" ht="6" customHeight="1" x14ac:dyDescent="0.25">
      <c r="B15" s="15"/>
      <c r="C15" s="112"/>
      <c r="D15" s="110"/>
      <c r="E15" s="14"/>
      <c r="F15" s="13"/>
      <c r="G15" s="13"/>
      <c r="H15" s="13"/>
      <c r="I15" s="13"/>
      <c r="J15" s="13"/>
      <c r="K15" s="13"/>
      <c r="L15" s="13"/>
      <c r="M15" s="13"/>
      <c r="N15" s="13"/>
      <c r="O15" s="11"/>
    </row>
    <row r="16" spans="2:19" x14ac:dyDescent="0.25">
      <c r="B16" s="10"/>
      <c r="C16" s="111">
        <v>7</v>
      </c>
      <c r="D16" s="109"/>
      <c r="E16" s="18" t="s">
        <v>2</v>
      </c>
      <c r="F16" s="17"/>
      <c r="G16" s="17"/>
      <c r="H16" s="16">
        <f>+'Electric Interest Calculation'!I15</f>
        <v>-7048.5304672020975</v>
      </c>
      <c r="I16" s="17"/>
      <c r="J16" s="16">
        <f>+'Electric Interest Calculation'!M15</f>
        <v>-4814.3958978670271</v>
      </c>
      <c r="K16" s="17"/>
      <c r="L16" s="16">
        <f>+'Electric Interest Calculation'!Q15</f>
        <v>-1107.4947906711441</v>
      </c>
      <c r="M16" s="17"/>
      <c r="N16" s="16">
        <f>+SUM(H16:L16)</f>
        <v>-12970.421155740269</v>
      </c>
      <c r="O16" s="7"/>
      <c r="S16" s="6">
        <f>+N16*1000</f>
        <v>-12970421.155740269</v>
      </c>
    </row>
    <row r="17" spans="2:19" s="2" customFormat="1" ht="6" customHeight="1" x14ac:dyDescent="0.25">
      <c r="B17" s="15"/>
      <c r="C17" s="112"/>
      <c r="D17" s="110"/>
      <c r="E17" s="14"/>
      <c r="F17" s="13"/>
      <c r="G17" s="13"/>
      <c r="H17" s="12" t="s">
        <v>1</v>
      </c>
      <c r="I17" s="13"/>
      <c r="J17" s="12" t="s">
        <v>1</v>
      </c>
      <c r="K17" s="13"/>
      <c r="L17" s="12" t="s">
        <v>1</v>
      </c>
      <c r="M17" s="13"/>
      <c r="N17" s="12" t="s">
        <v>1</v>
      </c>
      <c r="O17" s="11"/>
    </row>
    <row r="18" spans="2:19" x14ac:dyDescent="0.25">
      <c r="B18" s="10"/>
      <c r="C18" s="111">
        <v>8</v>
      </c>
      <c r="D18" s="109"/>
      <c r="E18" s="9" t="s">
        <v>0</v>
      </c>
      <c r="F18" s="9"/>
      <c r="G18" s="9"/>
      <c r="H18" s="8">
        <f>+SUM(H14:H16)</f>
        <v>-26022.013304863558</v>
      </c>
      <c r="I18" s="9"/>
      <c r="J18" s="8">
        <f>+SUM(J14:J16)</f>
        <v>-24320.841736586393</v>
      </c>
      <c r="K18" s="9"/>
      <c r="L18" s="8">
        <f>+SUM(L14:L16)</f>
        <v>-7467.1305572673209</v>
      </c>
      <c r="M18" s="9"/>
      <c r="N18" s="8">
        <f>+SUM(H18:L18)</f>
        <v>-57809.98559871727</v>
      </c>
      <c r="O18" s="7"/>
      <c r="Q18" s="6">
        <f>+N18*1000</f>
        <v>-57809985.598717272</v>
      </c>
    </row>
    <row r="19" spans="2:19" ht="7.5" customHeight="1" x14ac:dyDescent="0.25">
      <c r="B19" s="10"/>
      <c r="C19" s="111"/>
      <c r="D19" s="109"/>
      <c r="E19" s="21"/>
      <c r="F19" s="17"/>
      <c r="G19" s="17"/>
      <c r="H19" s="17"/>
      <c r="I19" s="17"/>
      <c r="J19" s="17"/>
      <c r="K19" s="17"/>
      <c r="L19" s="17"/>
      <c r="M19" s="17"/>
      <c r="N19" s="17"/>
      <c r="O19" s="7"/>
    </row>
    <row r="20" spans="2:19" ht="7.5" customHeight="1" x14ac:dyDescent="0.25">
      <c r="B20" s="10"/>
      <c r="C20" s="111"/>
      <c r="D20" s="109"/>
      <c r="E20" s="21"/>
      <c r="F20" s="17"/>
      <c r="G20" s="17"/>
      <c r="H20" s="17"/>
      <c r="I20" s="17"/>
      <c r="J20" s="17"/>
      <c r="K20" s="17"/>
      <c r="L20" s="17"/>
      <c r="M20" s="17"/>
      <c r="N20" s="17"/>
      <c r="O20" s="7"/>
    </row>
    <row r="21" spans="2:19" x14ac:dyDescent="0.25">
      <c r="B21" s="10"/>
      <c r="C21" s="111"/>
      <c r="D21" s="109"/>
      <c r="E21" s="21" t="s">
        <v>6</v>
      </c>
      <c r="F21" s="17"/>
      <c r="G21" s="17"/>
      <c r="H21" s="17"/>
      <c r="I21" s="17"/>
      <c r="J21" s="17"/>
      <c r="K21" s="17"/>
      <c r="L21" s="17"/>
      <c r="M21" s="17"/>
      <c r="N21" s="17"/>
      <c r="O21" s="7"/>
    </row>
    <row r="22" spans="2:19" s="2" customFormat="1" ht="6" customHeight="1" x14ac:dyDescent="0.25">
      <c r="B22" s="15"/>
      <c r="C22" s="112"/>
      <c r="D22" s="110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1"/>
    </row>
    <row r="23" spans="2:19" x14ac:dyDescent="0.25">
      <c r="B23" s="10"/>
      <c r="C23" s="111">
        <v>9</v>
      </c>
      <c r="D23" s="109"/>
      <c r="E23" s="18" t="s">
        <v>5</v>
      </c>
      <c r="F23" s="17"/>
      <c r="G23" s="17"/>
      <c r="H23" s="16">
        <f>+'Gas Interest Calculation'!G7</f>
        <v>-4142.1359475217305</v>
      </c>
      <c r="I23" s="17"/>
      <c r="J23" s="16">
        <f>+'Gas Interest Calculation'!K7</f>
        <v>-4258.4880808790831</v>
      </c>
      <c r="K23" s="17"/>
      <c r="L23" s="16">
        <f>+'Gas Interest Calculation'!O7</f>
        <v>-1388.3837852729066</v>
      </c>
      <c r="M23" s="17"/>
      <c r="N23" s="16">
        <f>+SUM(H23:L23)</f>
        <v>-9789.0078136737193</v>
      </c>
      <c r="O23" s="7"/>
      <c r="Q23" s="6">
        <f>+J23*1000</f>
        <v>-4258488.0808790829</v>
      </c>
      <c r="S23" s="6">
        <f>+N23*1000</f>
        <v>-9789007.8136737198</v>
      </c>
    </row>
    <row r="24" spans="2:19" s="2" customFormat="1" ht="6" customHeight="1" x14ac:dyDescent="0.25">
      <c r="B24" s="15"/>
      <c r="C24" s="112"/>
      <c r="D24" s="110"/>
      <c r="E24" s="20"/>
      <c r="F24" s="13"/>
      <c r="G24" s="13"/>
      <c r="H24" s="13"/>
      <c r="I24" s="13"/>
      <c r="J24" s="13"/>
      <c r="K24" s="13"/>
      <c r="L24" s="13"/>
      <c r="M24" s="13"/>
      <c r="N24" s="19"/>
      <c r="O24" s="11"/>
    </row>
    <row r="25" spans="2:19" x14ac:dyDescent="0.25">
      <c r="B25" s="10"/>
      <c r="C25" s="111">
        <v>10</v>
      </c>
      <c r="D25" s="109"/>
      <c r="E25" s="18" t="s">
        <v>4</v>
      </c>
      <c r="F25" s="17"/>
      <c r="G25" s="17"/>
      <c r="H25" s="16">
        <f>+'Gas Interest Calculation'!G8</f>
        <v>-2166.8887113409874</v>
      </c>
      <c r="I25" s="17"/>
      <c r="J25" s="16">
        <f>+'Gas Interest Calculation'!K8</f>
        <v>-2227.756371771914</v>
      </c>
      <c r="K25" s="17"/>
      <c r="L25" s="16">
        <f>+'Gas Interest Calculation'!O8</f>
        <v>-726.30961161878838</v>
      </c>
      <c r="M25" s="17"/>
      <c r="N25" s="16">
        <f>+SUM(H25:L25)</f>
        <v>-5120.9546947316894</v>
      </c>
      <c r="O25" s="7"/>
      <c r="Q25" s="6">
        <f>+J25*1000</f>
        <v>-2227756.371771914</v>
      </c>
      <c r="S25" s="6">
        <f>+N25*1000</f>
        <v>-5120954.6947316891</v>
      </c>
    </row>
    <row r="26" spans="2:19" s="2" customFormat="1" ht="6" customHeight="1" x14ac:dyDescent="0.25">
      <c r="B26" s="15"/>
      <c r="C26" s="112"/>
      <c r="D26" s="110"/>
      <c r="E26" s="20"/>
      <c r="F26" s="13"/>
      <c r="G26" s="13"/>
      <c r="H26" s="13"/>
      <c r="I26" s="13"/>
      <c r="J26" s="13"/>
      <c r="K26" s="13"/>
      <c r="L26" s="13"/>
      <c r="M26" s="13"/>
      <c r="N26" s="19"/>
      <c r="O26" s="11"/>
    </row>
    <row r="27" spans="2:19" s="2" customFormat="1" ht="6" customHeight="1" x14ac:dyDescent="0.25">
      <c r="B27" s="15"/>
      <c r="C27" s="112"/>
      <c r="D27" s="110"/>
      <c r="E27" s="13"/>
      <c r="F27" s="13"/>
      <c r="G27" s="13"/>
      <c r="H27" s="12" t="s">
        <v>1</v>
      </c>
      <c r="I27" s="13"/>
      <c r="J27" s="12" t="s">
        <v>1</v>
      </c>
      <c r="K27" s="13"/>
      <c r="L27" s="12" t="s">
        <v>1</v>
      </c>
      <c r="M27" s="13"/>
      <c r="N27" s="12" t="s">
        <v>1</v>
      </c>
      <c r="O27" s="11"/>
    </row>
    <row r="28" spans="2:19" x14ac:dyDescent="0.25">
      <c r="B28" s="10"/>
      <c r="C28" s="111">
        <v>11</v>
      </c>
      <c r="D28" s="109"/>
      <c r="E28" s="17" t="s">
        <v>3</v>
      </c>
      <c r="F28" s="17"/>
      <c r="G28" s="17"/>
      <c r="H28" s="16">
        <f>+SUM(H23:H26)</f>
        <v>-6309.0246588627178</v>
      </c>
      <c r="I28" s="17"/>
      <c r="J28" s="16">
        <f>+SUM(J23:J26)</f>
        <v>-6486.2444526509971</v>
      </c>
      <c r="K28" s="17"/>
      <c r="L28" s="16">
        <f>+SUM(L23:L26)</f>
        <v>-2114.6933968916951</v>
      </c>
      <c r="M28" s="17"/>
      <c r="N28" s="16">
        <f>+SUM(H28:L28)</f>
        <v>-14909.96250840541</v>
      </c>
      <c r="O28" s="7"/>
    </row>
    <row r="29" spans="2:19" s="2" customFormat="1" ht="6" customHeight="1" x14ac:dyDescent="0.25">
      <c r="B29" s="15"/>
      <c r="C29" s="112"/>
      <c r="D29" s="110"/>
      <c r="E29" s="14"/>
      <c r="F29" s="13"/>
      <c r="G29" s="13"/>
      <c r="H29" s="13"/>
      <c r="I29" s="13"/>
      <c r="J29" s="13"/>
      <c r="K29" s="13"/>
      <c r="L29" s="13"/>
      <c r="M29" s="13"/>
      <c r="N29" s="13"/>
      <c r="O29" s="11"/>
    </row>
    <row r="30" spans="2:19" x14ac:dyDescent="0.25">
      <c r="B30" s="10"/>
      <c r="C30" s="111">
        <v>12</v>
      </c>
      <c r="D30" s="109"/>
      <c r="E30" s="18" t="s">
        <v>2</v>
      </c>
      <c r="F30" s="17"/>
      <c r="G30" s="17"/>
      <c r="H30" s="16">
        <f>+'Gas Interest Calculation'!I14</f>
        <v>-2343.7632883117094</v>
      </c>
      <c r="I30" s="17"/>
      <c r="J30" s="16">
        <f>+'Gas Interest Calculation'!M14</f>
        <v>-1600.873318676071</v>
      </c>
      <c r="K30" s="17"/>
      <c r="L30" s="16">
        <f>+'Gas Interest Calculation'!Q14</f>
        <v>-368.26195821238304</v>
      </c>
      <c r="M30" s="17"/>
      <c r="N30" s="16">
        <f>+SUM(H30:L30)</f>
        <v>-4312.8985652001638</v>
      </c>
      <c r="O30" s="7"/>
      <c r="S30" s="6">
        <f>+N30*1000</f>
        <v>-4312898.565200164</v>
      </c>
    </row>
    <row r="31" spans="2:19" s="2" customFormat="1" ht="6" customHeight="1" x14ac:dyDescent="0.25">
      <c r="B31" s="15"/>
      <c r="C31" s="112"/>
      <c r="D31" s="110"/>
      <c r="E31" s="14"/>
      <c r="F31" s="13"/>
      <c r="G31" s="13"/>
      <c r="H31" s="12" t="s">
        <v>1</v>
      </c>
      <c r="I31" s="13"/>
      <c r="J31" s="12" t="s">
        <v>1</v>
      </c>
      <c r="K31" s="13"/>
      <c r="L31" s="12" t="s">
        <v>1</v>
      </c>
      <c r="M31" s="13"/>
      <c r="N31" s="12" t="s">
        <v>1</v>
      </c>
      <c r="O31" s="11"/>
    </row>
    <row r="32" spans="2:19" x14ac:dyDescent="0.25">
      <c r="B32" s="10"/>
      <c r="C32" s="111">
        <v>13</v>
      </c>
      <c r="D32" s="109"/>
      <c r="E32" s="9" t="s">
        <v>0</v>
      </c>
      <c r="F32" s="9"/>
      <c r="G32" s="9"/>
      <c r="H32" s="8">
        <f>+H28+H30</f>
        <v>-8652.7879471744272</v>
      </c>
      <c r="I32" s="9"/>
      <c r="J32" s="8">
        <f>+J28+J30</f>
        <v>-8087.1177713270681</v>
      </c>
      <c r="K32" s="9"/>
      <c r="L32" s="8">
        <f>+L28+L30</f>
        <v>-2482.9553551040781</v>
      </c>
      <c r="M32" s="9"/>
      <c r="N32" s="8">
        <f>+SUM(H32:L32)</f>
        <v>-19222.861073605574</v>
      </c>
      <c r="O32" s="7"/>
      <c r="Q32" s="6">
        <f>+N32*1000</f>
        <v>-19222861.073605575</v>
      </c>
    </row>
    <row r="33" spans="2:15" s="2" customFormat="1" ht="6" customHeight="1" x14ac:dyDescent="0.25"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3A89C-96FF-406D-8D69-70188EB71D20}">
  <sheetPr codeName="Sheet2"/>
  <dimension ref="B3:T41"/>
  <sheetViews>
    <sheetView zoomScale="130" zoomScaleNormal="130" workbookViewId="0"/>
  </sheetViews>
  <sheetFormatPr defaultRowHeight="15" x14ac:dyDescent="0.25"/>
  <cols>
    <col min="1" max="1" width="3.28515625" style="1" customWidth="1"/>
    <col min="2" max="2" width="2" style="1" customWidth="1"/>
    <col min="3" max="3" width="15.140625" style="1" customWidth="1"/>
    <col min="4" max="4" width="2" style="1" customWidth="1"/>
    <col min="5" max="5" width="10.5703125" style="1" bestFit="1" customWidth="1"/>
    <col min="6" max="6" width="2" style="1" customWidth="1"/>
    <col min="7" max="7" width="9.140625" style="1"/>
    <col min="8" max="8" width="2" style="1" customWidth="1"/>
    <col min="9" max="9" width="10.5703125" style="1" bestFit="1" customWidth="1"/>
    <col min="10" max="11" width="2" style="1" customWidth="1"/>
    <col min="12" max="12" width="9.140625" style="1"/>
    <col min="13" max="13" width="2" style="1" customWidth="1"/>
    <col min="14" max="14" width="10.140625" style="1" bestFit="1" customWidth="1"/>
    <col min="15" max="15" width="2" style="1" customWidth="1"/>
    <col min="16" max="16" width="9.140625" style="1"/>
    <col min="17" max="18" width="2" style="1" customWidth="1"/>
    <col min="19" max="19" width="9.140625" style="1"/>
    <col min="20" max="20" width="2" style="1" customWidth="1"/>
    <col min="21" max="16384" width="9.140625" style="1"/>
  </cols>
  <sheetData>
    <row r="3" spans="2:20" ht="8.25" customHeight="1" x14ac:dyDescent="0.25">
      <c r="B3" s="45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3"/>
    </row>
    <row r="4" spans="2:20" x14ac:dyDescent="0.25">
      <c r="B4" s="10"/>
      <c r="C4" s="17"/>
      <c r="D4" s="17"/>
      <c r="E4" s="34" t="s">
        <v>59</v>
      </c>
      <c r="F4" s="34"/>
      <c r="G4" s="34"/>
      <c r="H4" s="34"/>
      <c r="I4" s="34"/>
      <c r="J4" s="17"/>
      <c r="K4" s="17"/>
      <c r="L4" s="34" t="s">
        <v>58</v>
      </c>
      <c r="M4" s="34"/>
      <c r="N4" s="34"/>
      <c r="O4" s="34"/>
      <c r="P4" s="34"/>
      <c r="Q4" s="17"/>
      <c r="R4" s="17"/>
      <c r="S4" s="17"/>
      <c r="T4" s="7"/>
    </row>
    <row r="5" spans="2:20" x14ac:dyDescent="0.25">
      <c r="B5" s="10"/>
      <c r="C5" s="17"/>
      <c r="D5" s="17"/>
      <c r="E5" s="105" t="s">
        <v>56</v>
      </c>
      <c r="F5" s="104"/>
      <c r="G5" s="104" t="s">
        <v>57</v>
      </c>
      <c r="H5" s="104"/>
      <c r="I5" s="104" t="s">
        <v>57</v>
      </c>
      <c r="J5" s="104"/>
      <c r="K5" s="104"/>
      <c r="L5" s="105" t="s">
        <v>56</v>
      </c>
      <c r="M5" s="104"/>
      <c r="N5" s="104" t="s">
        <v>55</v>
      </c>
      <c r="O5" s="104"/>
      <c r="P5" s="104" t="s">
        <v>54</v>
      </c>
      <c r="Q5" s="103"/>
      <c r="R5" s="103"/>
      <c r="S5" s="103"/>
      <c r="T5" s="7"/>
    </row>
    <row r="6" spans="2:20" x14ac:dyDescent="0.25">
      <c r="B6" s="10"/>
      <c r="C6" s="17"/>
      <c r="D6" s="17"/>
      <c r="E6" s="102" t="s">
        <v>52</v>
      </c>
      <c r="F6" s="104"/>
      <c r="G6" s="102" t="s">
        <v>53</v>
      </c>
      <c r="H6" s="104"/>
      <c r="I6" s="102" t="s">
        <v>41</v>
      </c>
      <c r="J6" s="104"/>
      <c r="K6" s="104"/>
      <c r="L6" s="102" t="s">
        <v>52</v>
      </c>
      <c r="M6" s="104"/>
      <c r="N6" s="102" t="s">
        <v>51</v>
      </c>
      <c r="O6" s="104"/>
      <c r="P6" s="102" t="s">
        <v>41</v>
      </c>
      <c r="Q6" s="103"/>
      <c r="R6" s="103"/>
      <c r="S6" s="102" t="s">
        <v>50</v>
      </c>
      <c r="T6" s="7"/>
    </row>
    <row r="7" spans="2:20" ht="8.25" customHeight="1" x14ac:dyDescent="0.25">
      <c r="B7" s="10"/>
      <c r="C7" s="17"/>
      <c r="D7" s="17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7"/>
    </row>
    <row r="8" spans="2:20" x14ac:dyDescent="0.25">
      <c r="B8" s="10"/>
      <c r="C8" s="17" t="s">
        <v>49</v>
      </c>
      <c r="D8" s="17"/>
      <c r="E8" s="100">
        <f>+[2]Electric!E17/1000</f>
        <v>2242.3110000000001</v>
      </c>
      <c r="F8" s="100"/>
      <c r="G8" s="100">
        <f>+SUM([2]Electric!G17:L17)/1000</f>
        <v>137.1718789207228</v>
      </c>
      <c r="H8" s="100"/>
      <c r="I8" s="100">
        <f>+E8+G8</f>
        <v>2379.4828789207231</v>
      </c>
      <c r="J8" s="100"/>
      <c r="K8" s="100"/>
      <c r="L8" s="100">
        <f>+[2]Electric!T17/1000</f>
        <v>2260.3539999999998</v>
      </c>
      <c r="M8" s="100"/>
      <c r="N8" s="100">
        <f>+SUM([2]Electric!X17:Y17)/1000</f>
        <v>156.98024059626147</v>
      </c>
      <c r="O8" s="100"/>
      <c r="P8" s="100">
        <f>+L8+N8</f>
        <v>2417.3342405962612</v>
      </c>
      <c r="Q8" s="100"/>
      <c r="R8" s="100"/>
      <c r="S8" s="100">
        <f>+I8-P8</f>
        <v>-37.851361675538101</v>
      </c>
      <c r="T8" s="7"/>
    </row>
    <row r="9" spans="2:20" x14ac:dyDescent="0.25">
      <c r="B9" s="10"/>
      <c r="C9" s="17" t="s">
        <v>48</v>
      </c>
      <c r="D9" s="17"/>
      <c r="E9" s="101">
        <f>+[2]Electric!E25/1000</f>
        <v>-780.322</v>
      </c>
      <c r="F9" s="100"/>
      <c r="G9" s="101">
        <f>+SUM([2]Electric!G25:L25)/1000</f>
        <v>-27.760741395133845</v>
      </c>
      <c r="H9" s="100"/>
      <c r="I9" s="101">
        <f>+E9+G9</f>
        <v>-808.08274139513389</v>
      </c>
      <c r="J9" s="100"/>
      <c r="K9" s="100"/>
      <c r="L9" s="101">
        <f>+[2]Electric!T25/1000</f>
        <v>-788.08399999999995</v>
      </c>
      <c r="M9" s="100"/>
      <c r="N9" s="101">
        <f>+SUM([2]Electric!X25:Y25)/1000</f>
        <v>-43.854809045052605</v>
      </c>
      <c r="O9" s="100"/>
      <c r="P9" s="101">
        <f>+L9+N9</f>
        <v>-831.93880904505249</v>
      </c>
      <c r="Q9" s="100"/>
      <c r="R9" s="100"/>
      <c r="S9" s="101">
        <f>+I9-P9</f>
        <v>23.8560676499186</v>
      </c>
      <c r="T9" s="7"/>
    </row>
    <row r="10" spans="2:20" x14ac:dyDescent="0.25">
      <c r="B10" s="10"/>
      <c r="C10" s="17" t="s">
        <v>47</v>
      </c>
      <c r="D10" s="17"/>
      <c r="E10" s="100">
        <f>+E8+E9</f>
        <v>1461.989</v>
      </c>
      <c r="F10" s="100"/>
      <c r="G10" s="100">
        <f>+SUM(G8:G9)</f>
        <v>109.41113752558896</v>
      </c>
      <c r="H10" s="100"/>
      <c r="I10" s="100">
        <f>+E10+G10</f>
        <v>1571.4001375255889</v>
      </c>
      <c r="J10" s="100"/>
      <c r="K10" s="100"/>
      <c r="L10" s="100">
        <f>+SUM(L8:L9)</f>
        <v>1472.27</v>
      </c>
      <c r="M10" s="100"/>
      <c r="N10" s="100">
        <f>+SUM(N8:N9)</f>
        <v>113.12543155120886</v>
      </c>
      <c r="O10" s="100"/>
      <c r="P10" s="100">
        <f>+L10+N10</f>
        <v>1585.3954315512087</v>
      </c>
      <c r="Q10" s="100"/>
      <c r="R10" s="100"/>
      <c r="S10" s="100">
        <f>+I10-P10</f>
        <v>-13.995294025619842</v>
      </c>
      <c r="T10" s="7"/>
    </row>
    <row r="11" spans="2:20" ht="8.25" customHeight="1" x14ac:dyDescent="0.25">
      <c r="B11" s="10"/>
      <c r="C11" s="17"/>
      <c r="D11" s="17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7"/>
    </row>
    <row r="12" spans="2:20" x14ac:dyDescent="0.25">
      <c r="B12" s="10"/>
      <c r="C12" s="17" t="s">
        <v>46</v>
      </c>
      <c r="D12" s="17"/>
      <c r="E12" s="100">
        <f>+[2]Electric!E29/1000</f>
        <v>-238.376</v>
      </c>
      <c r="F12" s="100"/>
      <c r="G12" s="100">
        <f>+SUM([2]Electric!G29:L29)/1000</f>
        <v>-67.323999999999998</v>
      </c>
      <c r="H12" s="100"/>
      <c r="I12" s="100">
        <f>+E12+G12</f>
        <v>-305.7</v>
      </c>
      <c r="J12" s="100"/>
      <c r="K12" s="100"/>
      <c r="L12" s="100">
        <f>+[2]Electric!T29/1000</f>
        <v>-257.76600000000002</v>
      </c>
      <c r="M12" s="100"/>
      <c r="N12" s="100">
        <f>+SUM([2]Electric!X29:Y29)/1000</f>
        <v>-22.182690322262374</v>
      </c>
      <c r="O12" s="100"/>
      <c r="P12" s="100">
        <f>+L12+N12</f>
        <v>-279.94869032226239</v>
      </c>
      <c r="Q12" s="100"/>
      <c r="R12" s="100"/>
      <c r="S12" s="100">
        <f>+I12-P12</f>
        <v>-25.751309677737595</v>
      </c>
      <c r="T12" s="7"/>
    </row>
    <row r="13" spans="2:20" ht="8.25" customHeight="1" x14ac:dyDescent="0.25">
      <c r="B13" s="10"/>
      <c r="C13" s="17"/>
      <c r="D13" s="17"/>
      <c r="E13" s="101"/>
      <c r="F13" s="100"/>
      <c r="G13" s="101"/>
      <c r="H13" s="100"/>
      <c r="I13" s="101"/>
      <c r="J13" s="100"/>
      <c r="K13" s="100"/>
      <c r="L13" s="101"/>
      <c r="M13" s="100"/>
      <c r="N13" s="101"/>
      <c r="O13" s="100"/>
      <c r="P13" s="101"/>
      <c r="Q13" s="100"/>
      <c r="R13" s="100"/>
      <c r="S13" s="101"/>
      <c r="T13" s="7"/>
    </row>
    <row r="14" spans="2:20" x14ac:dyDescent="0.25">
      <c r="B14" s="10"/>
      <c r="C14" s="17" t="s">
        <v>45</v>
      </c>
      <c r="D14" s="17"/>
      <c r="E14" s="100">
        <f>+E10+E12</f>
        <v>1223.6130000000001</v>
      </c>
      <c r="F14" s="100"/>
      <c r="G14" s="100">
        <f>+G10+G12</f>
        <v>42.087137525588957</v>
      </c>
      <c r="H14" s="100"/>
      <c r="I14" s="100">
        <f>+E14+G14</f>
        <v>1265.7001375255891</v>
      </c>
      <c r="J14" s="100"/>
      <c r="K14" s="100"/>
      <c r="L14" s="100">
        <f>+L10+L12</f>
        <v>1214.5039999999999</v>
      </c>
      <c r="M14" s="100"/>
      <c r="N14" s="100">
        <f>+N10+N12</f>
        <v>90.942741228946488</v>
      </c>
      <c r="O14" s="100"/>
      <c r="P14" s="100">
        <f>+L14+N14</f>
        <v>1305.4467412289464</v>
      </c>
      <c r="Q14" s="100"/>
      <c r="R14" s="100"/>
      <c r="S14" s="100">
        <f>+I14-P14</f>
        <v>-39.746603703357323</v>
      </c>
      <c r="T14" s="7"/>
    </row>
    <row r="15" spans="2:20" ht="8.25" customHeight="1" x14ac:dyDescent="0.25">
      <c r="B15" s="10"/>
      <c r="C15" s="17"/>
      <c r="D15" s="17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7"/>
    </row>
    <row r="16" spans="2:20" x14ac:dyDescent="0.25">
      <c r="B16" s="10"/>
      <c r="C16" s="17" t="s">
        <v>60</v>
      </c>
      <c r="D16" s="17"/>
      <c r="E16" s="100">
        <f>+[2]Electric!E33/1000</f>
        <v>11.848000000000001</v>
      </c>
      <c r="F16" s="100"/>
      <c r="G16" s="100">
        <f>SUM([2]Electric!G33:L33)/1000</f>
        <v>-7.399</v>
      </c>
      <c r="H16" s="100"/>
      <c r="I16" s="100">
        <f>+E16+G16</f>
        <v>4.4490000000000007</v>
      </c>
      <c r="J16" s="100"/>
      <c r="K16" s="100"/>
      <c r="L16" s="100">
        <f>+[2]Electric!T33/1000</f>
        <v>4.5960000000000001</v>
      </c>
      <c r="M16" s="100"/>
      <c r="N16" s="100">
        <v>0</v>
      </c>
      <c r="O16" s="100"/>
      <c r="P16" s="100">
        <f>+L16+N16</f>
        <v>4.5960000000000001</v>
      </c>
      <c r="Q16" s="100"/>
      <c r="R16" s="100"/>
      <c r="S16" s="100">
        <f>+I16-P16</f>
        <v>-0.14699999999999935</v>
      </c>
      <c r="T16" s="7"/>
    </row>
    <row r="17" spans="2:20" x14ac:dyDescent="0.25">
      <c r="B17" s="10"/>
      <c r="C17" s="17" t="s">
        <v>43</v>
      </c>
      <c r="D17" s="17"/>
      <c r="E17" s="100">
        <f>+[2]Electric!E34/1000</f>
        <v>25.039000000000001</v>
      </c>
      <c r="F17" s="100"/>
      <c r="G17" s="100">
        <f>SUM([2]Electric!G34:L34)/1000</f>
        <v>20.702999999999999</v>
      </c>
      <c r="H17" s="100"/>
      <c r="I17" s="100">
        <f>+E17+G17</f>
        <v>45.742000000000004</v>
      </c>
      <c r="J17" s="100"/>
      <c r="K17" s="100"/>
      <c r="L17" s="100">
        <f>+[2]Electric!T34/1000</f>
        <v>47.807000000000002</v>
      </c>
      <c r="M17" s="100"/>
      <c r="N17" s="100">
        <v>0</v>
      </c>
      <c r="O17" s="100"/>
      <c r="P17" s="100">
        <f>+L17+N17</f>
        <v>47.807000000000002</v>
      </c>
      <c r="Q17" s="100"/>
      <c r="R17" s="100"/>
      <c r="S17" s="100">
        <f>+I17-P17</f>
        <v>-2.0649999999999977</v>
      </c>
      <c r="T17" s="7"/>
    </row>
    <row r="18" spans="2:20" ht="8.25" customHeight="1" x14ac:dyDescent="0.25">
      <c r="B18" s="10"/>
      <c r="C18" s="17"/>
      <c r="D18" s="17"/>
      <c r="E18" s="101"/>
      <c r="F18" s="100"/>
      <c r="G18" s="101"/>
      <c r="H18" s="100"/>
      <c r="I18" s="101"/>
      <c r="J18" s="100"/>
      <c r="K18" s="100"/>
      <c r="L18" s="101"/>
      <c r="M18" s="100"/>
      <c r="N18" s="101"/>
      <c r="O18" s="100"/>
      <c r="P18" s="101"/>
      <c r="Q18" s="100"/>
      <c r="R18" s="100"/>
      <c r="S18" s="101"/>
      <c r="T18" s="7"/>
    </row>
    <row r="19" spans="2:20" x14ac:dyDescent="0.25">
      <c r="B19" s="10"/>
      <c r="C19" s="17" t="s">
        <v>41</v>
      </c>
      <c r="D19" s="17"/>
      <c r="E19" s="100">
        <f>+SUM(E14:E17)</f>
        <v>1260.5</v>
      </c>
      <c r="F19" s="100"/>
      <c r="G19" s="100">
        <f>+SUM(G14:G17)</f>
        <v>55.39113752558896</v>
      </c>
      <c r="H19" s="100"/>
      <c r="I19" s="100">
        <f>+E19+G19</f>
        <v>1315.8911375255889</v>
      </c>
      <c r="J19" s="100"/>
      <c r="K19" s="100"/>
      <c r="L19" s="100">
        <f>+SUM(L14:L17)</f>
        <v>1266.9069999999999</v>
      </c>
      <c r="M19" s="100"/>
      <c r="N19" s="100">
        <f>+SUM(N14:N17)</f>
        <v>90.942741228946488</v>
      </c>
      <c r="O19" s="100"/>
      <c r="P19" s="100">
        <f>+L19+N19</f>
        <v>1357.8497412289464</v>
      </c>
      <c r="Q19" s="100"/>
      <c r="R19" s="100"/>
      <c r="S19" s="100">
        <f>+I19-P19</f>
        <v>-41.958603703357539</v>
      </c>
      <c r="T19" s="7"/>
    </row>
    <row r="20" spans="2:20" ht="8.25" customHeight="1" x14ac:dyDescent="0.25">
      <c r="B20" s="35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3"/>
    </row>
    <row r="23" spans="2:20" ht="7.5" customHeight="1" x14ac:dyDescent="0.25">
      <c r="B23" s="45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3"/>
    </row>
    <row r="24" spans="2:20" x14ac:dyDescent="0.25">
      <c r="B24" s="10"/>
      <c r="C24" s="17"/>
      <c r="D24" s="17"/>
      <c r="E24" s="34" t="s">
        <v>59</v>
      </c>
      <c r="F24" s="34"/>
      <c r="G24" s="34"/>
      <c r="H24" s="34"/>
      <c r="I24" s="34"/>
      <c r="J24" s="17"/>
      <c r="K24" s="17"/>
      <c r="L24" s="34" t="s">
        <v>58</v>
      </c>
      <c r="M24" s="34"/>
      <c r="N24" s="34"/>
      <c r="O24" s="34"/>
      <c r="P24" s="34"/>
      <c r="Q24" s="17"/>
      <c r="R24" s="17"/>
      <c r="S24" s="17"/>
      <c r="T24" s="7"/>
    </row>
    <row r="25" spans="2:20" x14ac:dyDescent="0.25">
      <c r="B25" s="10"/>
      <c r="C25" s="17"/>
      <c r="D25" s="17"/>
      <c r="E25" s="105" t="s">
        <v>56</v>
      </c>
      <c r="F25" s="104"/>
      <c r="G25" s="104" t="s">
        <v>57</v>
      </c>
      <c r="H25" s="104"/>
      <c r="I25" s="104" t="s">
        <v>57</v>
      </c>
      <c r="J25" s="104"/>
      <c r="K25" s="104"/>
      <c r="L25" s="105" t="s">
        <v>56</v>
      </c>
      <c r="M25" s="104"/>
      <c r="N25" s="104" t="s">
        <v>55</v>
      </c>
      <c r="O25" s="104"/>
      <c r="P25" s="104" t="s">
        <v>54</v>
      </c>
      <c r="Q25" s="103"/>
      <c r="R25" s="103"/>
      <c r="S25" s="103"/>
      <c r="T25" s="7"/>
    </row>
    <row r="26" spans="2:20" x14ac:dyDescent="0.25">
      <c r="B26" s="10"/>
      <c r="C26" s="17"/>
      <c r="D26" s="17"/>
      <c r="E26" s="102" t="s">
        <v>52</v>
      </c>
      <c r="F26" s="104"/>
      <c r="G26" s="102" t="s">
        <v>53</v>
      </c>
      <c r="H26" s="104"/>
      <c r="I26" s="102" t="s">
        <v>41</v>
      </c>
      <c r="J26" s="104"/>
      <c r="K26" s="104"/>
      <c r="L26" s="102" t="s">
        <v>52</v>
      </c>
      <c r="M26" s="104"/>
      <c r="N26" s="102" t="s">
        <v>51</v>
      </c>
      <c r="O26" s="104"/>
      <c r="P26" s="102" t="s">
        <v>41</v>
      </c>
      <c r="Q26" s="103"/>
      <c r="R26" s="103"/>
      <c r="S26" s="102" t="s">
        <v>50</v>
      </c>
      <c r="T26" s="7"/>
    </row>
    <row r="27" spans="2:20" ht="7.5" customHeight="1" x14ac:dyDescent="0.25">
      <c r="B27" s="10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7"/>
    </row>
    <row r="28" spans="2:20" x14ac:dyDescent="0.25">
      <c r="B28" s="10"/>
      <c r="C28" s="17" t="s">
        <v>49</v>
      </c>
      <c r="D28" s="17"/>
      <c r="E28" s="100">
        <f>+[2]Gas!E16/1000</f>
        <v>416.05</v>
      </c>
      <c r="F28" s="100"/>
      <c r="G28" s="100">
        <f>+SUM([2]Gas!G16:L16)/1000</f>
        <v>33.268439459528878</v>
      </c>
      <c r="H28" s="100"/>
      <c r="I28" s="100">
        <f>+E28+G28</f>
        <v>449.31843945952892</v>
      </c>
      <c r="J28" s="100"/>
      <c r="K28" s="100"/>
      <c r="L28" s="100">
        <f>+[2]Gas!T16/1000</f>
        <v>422.298</v>
      </c>
      <c r="M28" s="100"/>
      <c r="N28" s="100">
        <f>+SUM([2]Gas!X16:Y16)/1000</f>
        <v>84.436744268506999</v>
      </c>
      <c r="O28" s="100"/>
      <c r="P28" s="100">
        <f>+L28+N28</f>
        <v>506.73474426850703</v>
      </c>
      <c r="Q28" s="100"/>
      <c r="R28" s="100"/>
      <c r="S28" s="100">
        <f>+I28-P28</f>
        <v>-57.416304808978111</v>
      </c>
      <c r="T28" s="7"/>
    </row>
    <row r="29" spans="2:20" x14ac:dyDescent="0.25">
      <c r="B29" s="10"/>
      <c r="C29" s="17" t="s">
        <v>48</v>
      </c>
      <c r="D29" s="17"/>
      <c r="E29" s="101">
        <f>+[2]Gas!E22/1000</f>
        <v>-139.625</v>
      </c>
      <c r="F29" s="100"/>
      <c r="G29" s="101">
        <f>+SUM([2]Gas!G22:L22)/1000</f>
        <v>-6.1492994284700409</v>
      </c>
      <c r="H29" s="100"/>
      <c r="I29" s="101">
        <f>+E29+G29</f>
        <v>-145.77429942847004</v>
      </c>
      <c r="J29" s="100"/>
      <c r="K29" s="100"/>
      <c r="L29" s="101">
        <f>+[2]Gas!T22/1000</f>
        <v>-141.745</v>
      </c>
      <c r="M29" s="100"/>
      <c r="N29" s="101">
        <f>+SUM([2]Gas!X22:Y22)/1000</f>
        <v>-24.456636885184221</v>
      </c>
      <c r="O29" s="100"/>
      <c r="P29" s="101">
        <f>+L29+N29</f>
        <v>-166.20163688518423</v>
      </c>
      <c r="Q29" s="100"/>
      <c r="R29" s="100"/>
      <c r="S29" s="101">
        <f>+I29-P29</f>
        <v>20.427337456714184</v>
      </c>
      <c r="T29" s="7"/>
    </row>
    <row r="30" spans="2:20" x14ac:dyDescent="0.25">
      <c r="B30" s="10"/>
      <c r="C30" s="17" t="s">
        <v>47</v>
      </c>
      <c r="D30" s="17"/>
      <c r="E30" s="100">
        <f>+SUM(E28:E29)</f>
        <v>276.42500000000001</v>
      </c>
      <c r="F30" s="100"/>
      <c r="G30" s="100">
        <f>+SUM(G28:G29)</f>
        <v>27.119140031058837</v>
      </c>
      <c r="H30" s="100"/>
      <c r="I30" s="100">
        <f>+E30+G30</f>
        <v>303.54414003105887</v>
      </c>
      <c r="J30" s="100"/>
      <c r="K30" s="100"/>
      <c r="L30" s="100">
        <f>+SUM(L28:L29)</f>
        <v>280.553</v>
      </c>
      <c r="M30" s="100"/>
      <c r="N30" s="100">
        <f>+SUM(N28:N29)</f>
        <v>59.980107383322775</v>
      </c>
      <c r="O30" s="100"/>
      <c r="P30" s="100">
        <f>+L30+N30</f>
        <v>340.53310738332277</v>
      </c>
      <c r="Q30" s="100"/>
      <c r="R30" s="100"/>
      <c r="S30" s="100">
        <f>+I30-P30</f>
        <v>-36.988967352263899</v>
      </c>
      <c r="T30" s="7"/>
    </row>
    <row r="31" spans="2:20" ht="7.5" customHeight="1" x14ac:dyDescent="0.25">
      <c r="B31" s="10"/>
      <c r="C31" s="17"/>
      <c r="D31" s="17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7"/>
    </row>
    <row r="32" spans="2:20" x14ac:dyDescent="0.25">
      <c r="B32" s="10"/>
      <c r="C32" s="17" t="s">
        <v>46</v>
      </c>
      <c r="D32" s="17"/>
      <c r="E32" s="100">
        <f>+[2]Gas!E26/1000</f>
        <v>-55.323</v>
      </c>
      <c r="F32" s="100"/>
      <c r="G32" s="100">
        <f>+SUM([2]Gas!G26:L26)/1000</f>
        <v>-7.3104999999999931</v>
      </c>
      <c r="H32" s="100"/>
      <c r="I32" s="100">
        <f>+E32+G32</f>
        <v>-62.633499999999991</v>
      </c>
      <c r="J32" s="100"/>
      <c r="K32" s="100"/>
      <c r="L32" s="100">
        <f>+[2]Gas!T26/1000</f>
        <v>-54.652000000000001</v>
      </c>
      <c r="M32" s="100"/>
      <c r="N32" s="100">
        <f>+SUM([2]Gas!X26:Y26)/1000</f>
        <v>-9.7911073833227817</v>
      </c>
      <c r="O32" s="100"/>
      <c r="P32" s="100">
        <f>+L32+N32</f>
        <v>-64.443107383322783</v>
      </c>
      <c r="Q32" s="100"/>
      <c r="R32" s="100"/>
      <c r="S32" s="100">
        <f>+I32-P32</f>
        <v>1.8096073833227919</v>
      </c>
      <c r="T32" s="7"/>
    </row>
    <row r="33" spans="2:20" ht="7.5" customHeight="1" x14ac:dyDescent="0.25">
      <c r="B33" s="10"/>
      <c r="C33" s="17"/>
      <c r="D33" s="17"/>
      <c r="E33" s="101"/>
      <c r="F33" s="100"/>
      <c r="G33" s="101"/>
      <c r="H33" s="100"/>
      <c r="I33" s="101"/>
      <c r="J33" s="100"/>
      <c r="K33" s="100"/>
      <c r="L33" s="101"/>
      <c r="M33" s="100"/>
      <c r="N33" s="101"/>
      <c r="O33" s="100"/>
      <c r="P33" s="101"/>
      <c r="Q33" s="100"/>
      <c r="R33" s="100"/>
      <c r="S33" s="101"/>
      <c r="T33" s="7"/>
    </row>
    <row r="34" spans="2:20" x14ac:dyDescent="0.25">
      <c r="B34" s="10"/>
      <c r="C34" s="17" t="s">
        <v>45</v>
      </c>
      <c r="D34" s="17"/>
      <c r="E34" s="100">
        <f>+SUM(E30:E32)</f>
        <v>221.102</v>
      </c>
      <c r="F34" s="100"/>
      <c r="G34" s="100">
        <f>+SUM(G30:G32)</f>
        <v>19.808640031058843</v>
      </c>
      <c r="H34" s="100"/>
      <c r="I34" s="100">
        <f>+E34+G34</f>
        <v>240.91064003105885</v>
      </c>
      <c r="J34" s="100"/>
      <c r="K34" s="100"/>
      <c r="L34" s="100">
        <f>+SUM(L30:L32)</f>
        <v>225.90100000000001</v>
      </c>
      <c r="M34" s="100"/>
      <c r="N34" s="100">
        <f>+SUM(N30:N32)</f>
        <v>50.188999999999993</v>
      </c>
      <c r="O34" s="100"/>
      <c r="P34" s="100">
        <f>+L34+N34</f>
        <v>276.09000000000003</v>
      </c>
      <c r="Q34" s="100"/>
      <c r="R34" s="100"/>
      <c r="S34" s="100">
        <f>+I34-P34</f>
        <v>-35.179359968941185</v>
      </c>
      <c r="T34" s="7"/>
    </row>
    <row r="35" spans="2:20" ht="7.5" customHeight="1" x14ac:dyDescent="0.25">
      <c r="B35" s="10"/>
      <c r="C35" s="17"/>
      <c r="D35" s="17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7"/>
    </row>
    <row r="36" spans="2:20" x14ac:dyDescent="0.25">
      <c r="B36" s="10"/>
      <c r="C36" s="17" t="s">
        <v>44</v>
      </c>
      <c r="D36" s="17"/>
      <c r="E36" s="100">
        <f>+[2]Gas!E30/1000</f>
        <v>12.801</v>
      </c>
      <c r="F36" s="100"/>
      <c r="G36" s="100">
        <f>+SUM([2]Gas!G30:L30)/1000</f>
        <v>0</v>
      </c>
      <c r="H36" s="100"/>
      <c r="I36" s="100">
        <f>+E36+G36</f>
        <v>12.801</v>
      </c>
      <c r="J36" s="100"/>
      <c r="K36" s="100"/>
      <c r="L36" s="100">
        <f>+[2]Gas!T30/1000</f>
        <v>14.762</v>
      </c>
      <c r="M36" s="100"/>
      <c r="N36" s="100">
        <v>0</v>
      </c>
      <c r="O36" s="100"/>
      <c r="P36" s="100">
        <f>+L36+N36</f>
        <v>14.762</v>
      </c>
      <c r="Q36" s="100"/>
      <c r="R36" s="100"/>
      <c r="S36" s="100">
        <f>+I36-P36</f>
        <v>-1.9610000000000003</v>
      </c>
      <c r="T36" s="7"/>
    </row>
    <row r="37" spans="2:20" x14ac:dyDescent="0.25">
      <c r="B37" s="10"/>
      <c r="C37" s="17" t="s">
        <v>43</v>
      </c>
      <c r="D37" s="17"/>
      <c r="E37" s="100">
        <f>+[2]Gas!E32/1000</f>
        <v>0</v>
      </c>
      <c r="F37" s="100"/>
      <c r="G37" s="100">
        <f>+SUM([2]Gas!G32:L32/1000)</f>
        <v>0</v>
      </c>
      <c r="H37" s="100"/>
      <c r="I37" s="100">
        <f>+E37+G37</f>
        <v>0</v>
      </c>
      <c r="J37" s="100"/>
      <c r="K37" s="100"/>
      <c r="L37" s="100">
        <f>+[2]Gas!T32/1000</f>
        <v>10.073</v>
      </c>
      <c r="M37" s="100"/>
      <c r="N37" s="100">
        <v>0</v>
      </c>
      <c r="O37" s="100"/>
      <c r="P37" s="100">
        <f>+L37+N37</f>
        <v>10.073</v>
      </c>
      <c r="Q37" s="100"/>
      <c r="R37" s="100"/>
      <c r="S37" s="100">
        <f>+I37-P37</f>
        <v>-10.073</v>
      </c>
      <c r="T37" s="7"/>
    </row>
    <row r="38" spans="2:20" x14ac:dyDescent="0.25">
      <c r="B38" s="10"/>
      <c r="C38" s="17" t="s">
        <v>42</v>
      </c>
      <c r="D38" s="17"/>
      <c r="E38" s="100">
        <f>+[2]Gas!E31/1000</f>
        <v>-0.42799999999999999</v>
      </c>
      <c r="F38" s="100"/>
      <c r="G38" s="100">
        <f>+SUM([2]Gas!G33:L33)/1000</f>
        <v>0</v>
      </c>
      <c r="H38" s="100"/>
      <c r="I38" s="100">
        <f>+E38+G38</f>
        <v>-0.42799999999999999</v>
      </c>
      <c r="J38" s="100"/>
      <c r="K38" s="100"/>
      <c r="L38" s="100">
        <f>+[2]Gas!T31/1000</f>
        <v>-0.47899999999999998</v>
      </c>
      <c r="M38" s="100"/>
      <c r="N38" s="100">
        <v>0</v>
      </c>
      <c r="O38" s="100"/>
      <c r="P38" s="100">
        <f>+L38+N38</f>
        <v>-0.47899999999999998</v>
      </c>
      <c r="Q38" s="100"/>
      <c r="R38" s="100"/>
      <c r="S38" s="100">
        <f>+I38-P38</f>
        <v>5.099999999999999E-2</v>
      </c>
      <c r="T38" s="7"/>
    </row>
    <row r="39" spans="2:20" ht="7.5" customHeight="1" x14ac:dyDescent="0.25">
      <c r="B39" s="10"/>
      <c r="C39" s="17"/>
      <c r="D39" s="17"/>
      <c r="E39" s="101"/>
      <c r="F39" s="100"/>
      <c r="G39" s="101"/>
      <c r="H39" s="100"/>
      <c r="I39" s="101"/>
      <c r="J39" s="100"/>
      <c r="K39" s="100"/>
      <c r="L39" s="101"/>
      <c r="M39" s="100"/>
      <c r="N39" s="101"/>
      <c r="O39" s="100"/>
      <c r="P39" s="101"/>
      <c r="Q39" s="100"/>
      <c r="R39" s="100"/>
      <c r="S39" s="101"/>
      <c r="T39" s="7"/>
    </row>
    <row r="40" spans="2:20" x14ac:dyDescent="0.25">
      <c r="B40" s="10"/>
      <c r="C40" s="17" t="s">
        <v>41</v>
      </c>
      <c r="D40" s="17"/>
      <c r="E40" s="100">
        <f>+SUM(E34:E38)</f>
        <v>233.47499999999999</v>
      </c>
      <c r="F40" s="100"/>
      <c r="G40" s="100">
        <f>+SUM(G34:G38)</f>
        <v>19.808640031058843</v>
      </c>
      <c r="H40" s="100"/>
      <c r="I40" s="100">
        <f>+E40+G40</f>
        <v>253.28364003105884</v>
      </c>
      <c r="J40" s="100"/>
      <c r="K40" s="100"/>
      <c r="L40" s="100">
        <f>+SUM(L34:L38)</f>
        <v>250.25700000000001</v>
      </c>
      <c r="M40" s="100"/>
      <c r="N40" s="100">
        <f>+SUM(N34:N38)</f>
        <v>50.188999999999993</v>
      </c>
      <c r="O40" s="100"/>
      <c r="P40" s="100">
        <f>+L40+N40</f>
        <v>300.44600000000003</v>
      </c>
      <c r="Q40" s="100"/>
      <c r="R40" s="100"/>
      <c r="S40" s="100">
        <f>+I40-P40</f>
        <v>-47.162359968941189</v>
      </c>
      <c r="T40" s="7"/>
    </row>
    <row r="41" spans="2:20" ht="7.5" customHeight="1" x14ac:dyDescent="0.25">
      <c r="B41" s="35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37773-6E95-421D-9E2C-961FDEDC6952}">
  <sheetPr codeName="Sheet3"/>
  <dimension ref="B3:T26"/>
  <sheetViews>
    <sheetView zoomScale="130" zoomScaleNormal="130" workbookViewId="0"/>
  </sheetViews>
  <sheetFormatPr defaultRowHeight="15" x14ac:dyDescent="0.25"/>
  <cols>
    <col min="1" max="1" width="3.7109375" style="1" customWidth="1"/>
    <col min="2" max="2" width="2" style="1" customWidth="1"/>
    <col min="3" max="3" width="13.7109375" style="1" customWidth="1"/>
    <col min="4" max="4" width="2" style="1" customWidth="1"/>
    <col min="5" max="5" width="8.42578125" style="1" customWidth="1"/>
    <col min="6" max="6" width="2" style="1" customWidth="1"/>
    <col min="7" max="7" width="8.42578125" style="1" customWidth="1"/>
    <col min="8" max="8" width="2" style="1" customWidth="1"/>
    <col min="9" max="9" width="8.42578125" style="1" customWidth="1"/>
    <col min="10" max="11" width="2" style="1" customWidth="1"/>
    <col min="12" max="12" width="6" style="1" customWidth="1"/>
    <col min="13" max="13" width="2" style="1" customWidth="1"/>
    <col min="14" max="14" width="8.42578125" style="1" customWidth="1"/>
    <col min="15" max="16" width="2" style="1" customWidth="1"/>
    <col min="17" max="17" width="6" style="1" customWidth="1"/>
    <col min="18" max="18" width="2" style="1" customWidth="1"/>
    <col min="19" max="19" width="8.42578125" style="1" customWidth="1"/>
    <col min="20" max="20" width="2" style="1" customWidth="1"/>
    <col min="21" max="16384" width="9.140625" style="1"/>
  </cols>
  <sheetData>
    <row r="3" spans="2:20" ht="6.75" customHeight="1" x14ac:dyDescent="0.25">
      <c r="B3" s="45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3"/>
    </row>
    <row r="4" spans="2:20" x14ac:dyDescent="0.25">
      <c r="B4" s="10"/>
      <c r="C4" s="17"/>
      <c r="D4" s="17"/>
      <c r="E4" s="17"/>
      <c r="F4" s="17"/>
      <c r="G4" s="17"/>
      <c r="H4" s="17"/>
      <c r="I4" s="17"/>
      <c r="J4" s="17"/>
      <c r="K4" s="17"/>
      <c r="L4" s="42" t="s">
        <v>29</v>
      </c>
      <c r="M4" s="42"/>
      <c r="N4" s="42"/>
      <c r="O4" s="17"/>
      <c r="P4" s="17"/>
      <c r="Q4" s="42" t="s">
        <v>28</v>
      </c>
      <c r="R4" s="42"/>
      <c r="S4" s="42"/>
      <c r="T4" s="7"/>
    </row>
    <row r="5" spans="2:20" x14ac:dyDescent="0.25">
      <c r="B5" s="10"/>
      <c r="C5" s="17"/>
      <c r="D5" s="17"/>
      <c r="E5" s="24"/>
      <c r="F5" s="24"/>
      <c r="G5" s="24"/>
      <c r="H5" s="24"/>
      <c r="I5" s="24" t="s">
        <v>27</v>
      </c>
      <c r="J5" s="24"/>
      <c r="K5" s="24"/>
      <c r="L5" s="24" t="s">
        <v>26</v>
      </c>
      <c r="M5" s="24"/>
      <c r="N5" s="24" t="s">
        <v>25</v>
      </c>
      <c r="O5" s="24"/>
      <c r="P5" s="24"/>
      <c r="Q5" s="24" t="s">
        <v>26</v>
      </c>
      <c r="R5" s="24"/>
      <c r="S5" s="24" t="s">
        <v>25</v>
      </c>
      <c r="T5" s="7"/>
    </row>
    <row r="6" spans="2:20" x14ac:dyDescent="0.25">
      <c r="B6" s="10"/>
      <c r="C6" s="17"/>
      <c r="D6" s="17"/>
      <c r="E6" s="41" t="s">
        <v>24</v>
      </c>
      <c r="F6" s="24"/>
      <c r="G6" s="41" t="s">
        <v>22</v>
      </c>
      <c r="H6" s="24"/>
      <c r="I6" s="41" t="s">
        <v>23</v>
      </c>
      <c r="J6" s="24"/>
      <c r="K6" s="24"/>
      <c r="L6" s="41" t="s">
        <v>22</v>
      </c>
      <c r="M6" s="24"/>
      <c r="N6" s="40" t="s">
        <v>21</v>
      </c>
      <c r="O6" s="24"/>
      <c r="P6" s="24"/>
      <c r="Q6" s="41" t="s">
        <v>22</v>
      </c>
      <c r="R6" s="24"/>
      <c r="S6" s="40" t="s">
        <v>21</v>
      </c>
      <c r="T6" s="7"/>
    </row>
    <row r="7" spans="2:20" ht="6.75" customHeight="1" x14ac:dyDescent="0.25">
      <c r="B7" s="10"/>
      <c r="C7" s="17"/>
      <c r="D7" s="17"/>
      <c r="E7" s="37"/>
      <c r="F7" s="17"/>
      <c r="G7" s="37"/>
      <c r="H7" s="17"/>
      <c r="I7" s="37"/>
      <c r="J7" s="17"/>
      <c r="K7" s="17"/>
      <c r="L7" s="17"/>
      <c r="M7" s="17"/>
      <c r="N7" s="37"/>
      <c r="O7" s="17"/>
      <c r="P7" s="17"/>
      <c r="Q7" s="17"/>
      <c r="R7" s="17"/>
      <c r="S7" s="37"/>
      <c r="T7" s="7"/>
    </row>
    <row r="8" spans="2:20" x14ac:dyDescent="0.25">
      <c r="B8" s="10"/>
      <c r="C8" s="9" t="s">
        <v>20</v>
      </c>
      <c r="D8" s="17"/>
      <c r="E8" s="37"/>
      <c r="F8" s="17"/>
      <c r="G8" s="37"/>
      <c r="H8" s="17"/>
      <c r="I8" s="37"/>
      <c r="J8" s="17"/>
      <c r="K8" s="17"/>
      <c r="L8" s="17"/>
      <c r="M8" s="17"/>
      <c r="N8" s="37"/>
      <c r="O8" s="17"/>
      <c r="P8" s="17"/>
      <c r="Q8" s="17"/>
      <c r="R8" s="17"/>
      <c r="S8" s="37"/>
      <c r="T8" s="7"/>
    </row>
    <row r="9" spans="2:20" ht="6.75" customHeight="1" x14ac:dyDescent="0.25">
      <c r="B9" s="10"/>
      <c r="C9" s="18"/>
      <c r="D9" s="17"/>
      <c r="E9" s="37"/>
      <c r="F9" s="17"/>
      <c r="G9" s="37"/>
      <c r="H9" s="17"/>
      <c r="I9" s="37"/>
      <c r="J9" s="17"/>
      <c r="K9" s="17"/>
      <c r="L9" s="17"/>
      <c r="M9" s="17"/>
      <c r="N9" s="37"/>
      <c r="O9" s="17"/>
      <c r="P9" s="17"/>
      <c r="Q9" s="17"/>
      <c r="R9" s="17"/>
      <c r="S9" s="37"/>
      <c r="T9" s="7"/>
    </row>
    <row r="10" spans="2:20" x14ac:dyDescent="0.25">
      <c r="B10" s="10"/>
      <c r="C10" s="18" t="s">
        <v>19</v>
      </c>
      <c r="D10" s="17"/>
      <c r="E10" s="37">
        <v>0.51500000000000001</v>
      </c>
      <c r="F10" s="17"/>
      <c r="G10" s="37">
        <v>5.1999999999999998E-2</v>
      </c>
      <c r="H10" s="17"/>
      <c r="I10" s="37">
        <f>+G10*E10</f>
        <v>2.6779999999999998E-2</v>
      </c>
      <c r="J10" s="17"/>
      <c r="K10" s="17"/>
      <c r="L10" s="17"/>
      <c r="M10" s="17"/>
      <c r="N10" s="37">
        <f>+I10</f>
        <v>2.6779999999999998E-2</v>
      </c>
      <c r="O10" s="17"/>
      <c r="P10" s="17"/>
      <c r="Q10" s="17"/>
      <c r="R10" s="17"/>
      <c r="S10" s="37">
        <f>+N10</f>
        <v>2.6779999999999998E-2</v>
      </c>
      <c r="T10" s="7"/>
    </row>
    <row r="11" spans="2:20" ht="6.75" customHeight="1" x14ac:dyDescent="0.25">
      <c r="B11" s="10"/>
      <c r="C11" s="18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7"/>
    </row>
    <row r="12" spans="2:20" x14ac:dyDescent="0.25">
      <c r="B12" s="10"/>
      <c r="C12" s="18" t="s">
        <v>15</v>
      </c>
      <c r="D12" s="17"/>
      <c r="E12" s="38">
        <f>1-E10</f>
        <v>0.48499999999999999</v>
      </c>
      <c r="F12" s="17"/>
      <c r="G12" s="37">
        <v>9.5000000000000001E-2</v>
      </c>
      <c r="H12" s="17"/>
      <c r="I12" s="38">
        <f>+G12*E12</f>
        <v>4.6074999999999998E-2</v>
      </c>
      <c r="J12" s="17"/>
      <c r="K12" s="17"/>
      <c r="L12" s="39">
        <v>0.35</v>
      </c>
      <c r="M12" s="17"/>
      <c r="N12" s="38">
        <f>+I12/(1-L12)</f>
        <v>7.0884615384615379E-2</v>
      </c>
      <c r="O12" s="17"/>
      <c r="P12" s="17"/>
      <c r="Q12" s="39">
        <v>0.21</v>
      </c>
      <c r="R12" s="17"/>
      <c r="S12" s="38">
        <f>+I12/(1-Q12)</f>
        <v>5.8322784810126579E-2</v>
      </c>
      <c r="T12" s="7"/>
    </row>
    <row r="13" spans="2:20" ht="6.75" customHeight="1" x14ac:dyDescent="0.25">
      <c r="B13" s="10"/>
      <c r="C13" s="18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7"/>
    </row>
    <row r="14" spans="2:20" x14ac:dyDescent="0.25">
      <c r="B14" s="10"/>
      <c r="C14" s="18" t="s">
        <v>14</v>
      </c>
      <c r="D14" s="17"/>
      <c r="E14" s="37">
        <f>+SUM(E10:E12)</f>
        <v>1</v>
      </c>
      <c r="F14" s="17"/>
      <c r="G14" s="17"/>
      <c r="H14" s="17"/>
      <c r="I14" s="37">
        <f>+SUM(I10:I12)</f>
        <v>7.2855000000000003E-2</v>
      </c>
      <c r="J14" s="17"/>
      <c r="K14" s="17"/>
      <c r="L14" s="17"/>
      <c r="M14" s="17"/>
      <c r="N14" s="36">
        <f>+SUM(N10:N12)</f>
        <v>9.7664615384615378E-2</v>
      </c>
      <c r="O14" s="17"/>
      <c r="P14" s="17"/>
      <c r="Q14" s="17"/>
      <c r="R14" s="17"/>
      <c r="S14" s="36">
        <f>+SUM(S10:S12)</f>
        <v>8.5102784810126578E-2</v>
      </c>
      <c r="T14" s="7"/>
    </row>
    <row r="15" spans="2:20" ht="6.75" customHeight="1" x14ac:dyDescent="0.25">
      <c r="B15" s="10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7"/>
    </row>
    <row r="16" spans="2:20" ht="6.75" customHeight="1" x14ac:dyDescent="0.25">
      <c r="B16" s="10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7"/>
    </row>
    <row r="17" spans="2:20" x14ac:dyDescent="0.25">
      <c r="B17" s="10"/>
      <c r="C17" s="9" t="s">
        <v>18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7"/>
    </row>
    <row r="18" spans="2:20" ht="6.75" customHeight="1" x14ac:dyDescent="0.25">
      <c r="B18" s="10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7"/>
    </row>
    <row r="19" spans="2:20" x14ac:dyDescent="0.25">
      <c r="B19" s="10"/>
      <c r="C19" s="18" t="s">
        <v>17</v>
      </c>
      <c r="D19" s="17"/>
      <c r="E19" s="37">
        <v>2.9000000000000001E-2</v>
      </c>
      <c r="F19" s="17"/>
      <c r="G19" s="37">
        <v>3.2599999999999997E-2</v>
      </c>
      <c r="H19" s="17"/>
      <c r="I19" s="37">
        <f>+G19*E19</f>
        <v>9.4539999999999999E-4</v>
      </c>
      <c r="J19" s="17"/>
      <c r="K19" s="17"/>
      <c r="L19" s="17"/>
      <c r="M19" s="17"/>
      <c r="N19" s="37"/>
      <c r="O19" s="17"/>
      <c r="P19" s="17"/>
      <c r="Q19" s="17"/>
      <c r="R19" s="17"/>
      <c r="S19" s="37">
        <f>+I19</f>
        <v>9.4539999999999999E-4</v>
      </c>
      <c r="T19" s="7"/>
    </row>
    <row r="20" spans="2:20" ht="6.75" customHeight="1" x14ac:dyDescent="0.25">
      <c r="B20" s="10"/>
      <c r="C20" s="18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7"/>
    </row>
    <row r="21" spans="2:20" x14ac:dyDescent="0.25">
      <c r="B21" s="10"/>
      <c r="C21" s="18" t="s">
        <v>16</v>
      </c>
      <c r="D21" s="17"/>
      <c r="E21" s="37">
        <v>0.48599999999999999</v>
      </c>
      <c r="F21" s="17"/>
      <c r="G21" s="37">
        <v>5.7599999999999998E-2</v>
      </c>
      <c r="H21" s="17"/>
      <c r="I21" s="37">
        <f>+G21*E21</f>
        <v>2.7993599999999997E-2</v>
      </c>
      <c r="J21" s="17"/>
      <c r="K21" s="17"/>
      <c r="L21" s="17"/>
      <c r="M21" s="17"/>
      <c r="N21" s="17"/>
      <c r="O21" s="17"/>
      <c r="P21" s="17"/>
      <c r="Q21" s="17"/>
      <c r="R21" s="17"/>
      <c r="S21" s="37">
        <f>+I21</f>
        <v>2.7993599999999997E-2</v>
      </c>
      <c r="T21" s="7"/>
    </row>
    <row r="22" spans="2:20" ht="6.75" customHeight="1" x14ac:dyDescent="0.25">
      <c r="B22" s="10"/>
      <c r="C22" s="1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7"/>
    </row>
    <row r="23" spans="2:20" x14ac:dyDescent="0.25">
      <c r="B23" s="10"/>
      <c r="C23" s="18" t="s">
        <v>15</v>
      </c>
      <c r="D23" s="17"/>
      <c r="E23" s="38">
        <v>0.48499999999999999</v>
      </c>
      <c r="F23" s="17"/>
      <c r="G23" s="37">
        <v>9.5000000000000001E-2</v>
      </c>
      <c r="H23" s="17"/>
      <c r="I23" s="38">
        <f>+G23*E23</f>
        <v>4.6074999999999998E-2</v>
      </c>
      <c r="J23" s="17"/>
      <c r="K23" s="17"/>
      <c r="L23" s="39"/>
      <c r="M23" s="17"/>
      <c r="N23" s="17"/>
      <c r="O23" s="17"/>
      <c r="P23" s="17"/>
      <c r="Q23" s="39">
        <v>0.21</v>
      </c>
      <c r="R23" s="17"/>
      <c r="S23" s="38">
        <f>+I23/(1-Q23)</f>
        <v>5.8322784810126579E-2</v>
      </c>
      <c r="T23" s="7"/>
    </row>
    <row r="24" spans="2:20" ht="6.75" customHeight="1" x14ac:dyDescent="0.25">
      <c r="B24" s="10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7"/>
    </row>
    <row r="25" spans="2:20" x14ac:dyDescent="0.25">
      <c r="B25" s="10"/>
      <c r="C25" s="18" t="s">
        <v>14</v>
      </c>
      <c r="D25" s="17"/>
      <c r="E25" s="37">
        <f>+SUM(E19:E23)</f>
        <v>1</v>
      </c>
      <c r="F25" s="17"/>
      <c r="G25" s="17"/>
      <c r="H25" s="17"/>
      <c r="I25" s="37">
        <f>+SUM(I19:I23)</f>
        <v>7.5013999999999997E-2</v>
      </c>
      <c r="J25" s="17"/>
      <c r="K25" s="17"/>
      <c r="L25" s="17"/>
      <c r="M25" s="17"/>
      <c r="N25" s="37"/>
      <c r="O25" s="17"/>
      <c r="P25" s="17"/>
      <c r="Q25" s="17"/>
      <c r="R25" s="17"/>
      <c r="S25" s="36">
        <f>+SUM(S19:S23)</f>
        <v>8.7261784810126572E-2</v>
      </c>
      <c r="T25" s="7"/>
    </row>
    <row r="26" spans="2:20" ht="6.75" customHeight="1" x14ac:dyDescent="0.25">
      <c r="B26" s="35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7853A-4D14-4E38-98CD-F0358063013E}">
  <sheetPr codeName="Sheet4"/>
  <dimension ref="B2:S78"/>
  <sheetViews>
    <sheetView workbookViewId="0">
      <selection activeCell="I17" sqref="I17"/>
    </sheetView>
  </sheetViews>
  <sheetFormatPr defaultRowHeight="15" x14ac:dyDescent="0.25"/>
  <cols>
    <col min="1" max="2" width="9.140625" style="1"/>
    <col min="3" max="3" width="4.5703125" style="1" customWidth="1"/>
    <col min="4" max="4" width="12.5703125" style="1" customWidth="1"/>
    <col min="5" max="5" width="9.140625" style="1"/>
    <col min="6" max="6" width="4.5703125" style="1" customWidth="1"/>
    <col min="7" max="9" width="12.28515625" style="1" customWidth="1"/>
    <col min="10" max="10" width="4.5703125" style="1" customWidth="1"/>
    <col min="11" max="13" width="12.28515625" style="1" customWidth="1"/>
    <col min="14" max="14" width="4.5703125" style="1" customWidth="1"/>
    <col min="15" max="17" width="12.28515625" style="1" customWidth="1"/>
    <col min="18" max="18" width="4.5703125" style="1" customWidth="1"/>
    <col min="19" max="19" width="13.42578125" style="1" customWidth="1"/>
    <col min="20" max="16384" width="9.140625" style="1"/>
  </cols>
  <sheetData>
    <row r="2" spans="2:19" x14ac:dyDescent="0.25">
      <c r="F2" s="29"/>
      <c r="G2" s="99" t="s">
        <v>13</v>
      </c>
      <c r="H2" s="98"/>
      <c r="I2" s="98"/>
      <c r="J2" s="98"/>
      <c r="K2" s="98"/>
      <c r="L2" s="98"/>
      <c r="M2" s="98"/>
      <c r="N2" s="98"/>
      <c r="O2" s="98"/>
      <c r="P2" s="98"/>
      <c r="Q2" s="97"/>
    </row>
    <row r="3" spans="2:19" x14ac:dyDescent="0.25">
      <c r="B3" s="83"/>
      <c r="C3" s="84"/>
      <c r="D3" s="84"/>
      <c r="E3" s="84"/>
      <c r="F3" s="96" t="s">
        <v>12</v>
      </c>
      <c r="G3" s="95">
        <v>42380</v>
      </c>
      <c r="H3" s="94"/>
      <c r="I3" s="93"/>
      <c r="J3" s="91"/>
      <c r="K3" s="95">
        <v>42736</v>
      </c>
      <c r="L3" s="94"/>
      <c r="M3" s="93"/>
      <c r="N3" s="91"/>
      <c r="O3" s="95">
        <v>43101</v>
      </c>
      <c r="P3" s="94"/>
      <c r="Q3" s="93"/>
      <c r="R3" s="83"/>
      <c r="S3" s="81" t="s">
        <v>11</v>
      </c>
    </row>
    <row r="4" spans="2:19" x14ac:dyDescent="0.25">
      <c r="B4" s="58"/>
      <c r="D4" s="81" t="s">
        <v>40</v>
      </c>
      <c r="F4" s="92" t="s">
        <v>10</v>
      </c>
      <c r="G4" s="90">
        <f>+K3</f>
        <v>42736</v>
      </c>
      <c r="H4" s="89"/>
      <c r="I4" s="88"/>
      <c r="J4" s="91"/>
      <c r="K4" s="90">
        <f>+O3</f>
        <v>43101</v>
      </c>
      <c r="L4" s="89"/>
      <c r="M4" s="88"/>
      <c r="N4" s="91"/>
      <c r="O4" s="90">
        <v>43220</v>
      </c>
      <c r="P4" s="89"/>
      <c r="Q4" s="88"/>
      <c r="R4" s="58"/>
      <c r="S4" s="86" t="s">
        <v>9</v>
      </c>
    </row>
    <row r="5" spans="2:19" x14ac:dyDescent="0.25">
      <c r="B5" s="58"/>
      <c r="D5" s="65" t="s">
        <v>39</v>
      </c>
      <c r="F5" s="87" t="s">
        <v>38</v>
      </c>
      <c r="G5" s="106">
        <f>+G4-G3</f>
        <v>356</v>
      </c>
      <c r="H5" s="107"/>
      <c r="I5" s="108"/>
      <c r="K5" s="106">
        <f>+K4-K3</f>
        <v>365</v>
      </c>
      <c r="L5" s="107"/>
      <c r="M5" s="108"/>
      <c r="O5" s="106">
        <f>+O4-O3</f>
        <v>119</v>
      </c>
      <c r="P5" s="107"/>
      <c r="Q5" s="108"/>
      <c r="R5" s="58"/>
      <c r="S5" s="65"/>
    </row>
    <row r="6" spans="2:19" x14ac:dyDescent="0.25">
      <c r="B6" s="58"/>
      <c r="D6" s="86" t="s">
        <v>37</v>
      </c>
      <c r="F6" s="62"/>
      <c r="G6" s="58"/>
      <c r="I6" s="62"/>
      <c r="K6" s="58"/>
      <c r="M6" s="62"/>
      <c r="O6" s="58"/>
      <c r="Q6" s="62"/>
      <c r="R6" s="58"/>
      <c r="S6" s="65"/>
    </row>
    <row r="7" spans="2:19" x14ac:dyDescent="0.25">
      <c r="B7" s="83" t="s">
        <v>5</v>
      </c>
      <c r="C7" s="84"/>
      <c r="D7" s="85">
        <f>+'[3]Attrition 09.2014 to 2016'!$Z$8</f>
        <v>-4295.396367074376</v>
      </c>
      <c r="E7" s="84"/>
      <c r="F7" s="82"/>
      <c r="G7" s="80">
        <f>+$D7*G$5/366</f>
        <v>-4178.0358105969344</v>
      </c>
      <c r="H7" s="79"/>
      <c r="I7" s="78"/>
      <c r="J7" s="79"/>
      <c r="K7" s="80">
        <f>+$D7*K$5/365</f>
        <v>-4295.396367074376</v>
      </c>
      <c r="L7" s="79"/>
      <c r="M7" s="78"/>
      <c r="N7" s="79"/>
      <c r="O7" s="80">
        <f>+$D7*O$5/365</f>
        <v>-1400.4168977584952</v>
      </c>
      <c r="P7" s="79"/>
      <c r="Q7" s="78"/>
      <c r="R7" s="80"/>
      <c r="S7" s="85">
        <f>+SUM(G7:O7)</f>
        <v>-9873.8490754298073</v>
      </c>
    </row>
    <row r="8" spans="2:19" x14ac:dyDescent="0.25">
      <c r="B8" s="83" t="s">
        <v>4</v>
      </c>
      <c r="C8" s="84"/>
      <c r="D8" s="85">
        <f>+'[3]Attrition 09.2014 to 2016'!$Z$9</f>
        <v>-3110.3313505741098</v>
      </c>
      <c r="E8" s="84"/>
      <c r="F8" s="82"/>
      <c r="G8" s="80">
        <f>+$D8*G$5/366</f>
        <v>-3025.3496196841065</v>
      </c>
      <c r="H8" s="79"/>
      <c r="I8" s="78"/>
      <c r="J8" s="79"/>
      <c r="K8" s="80">
        <f>+$D8*K$5/365</f>
        <v>-3110.3313505741098</v>
      </c>
      <c r="L8" s="79"/>
      <c r="M8" s="78"/>
      <c r="N8" s="79"/>
      <c r="O8" s="80">
        <f>+$D8*O$5/365</f>
        <v>-1014.0532348447098</v>
      </c>
      <c r="P8" s="79"/>
      <c r="Q8" s="78"/>
      <c r="R8" s="80"/>
      <c r="S8" s="85">
        <f>+SUM(G8:O8)</f>
        <v>-7149.7342051029254</v>
      </c>
    </row>
    <row r="9" spans="2:19" x14ac:dyDescent="0.25">
      <c r="B9" s="69" t="s">
        <v>7</v>
      </c>
      <c r="C9" s="73"/>
      <c r="D9" s="68">
        <f>+'[3]Attrition 09.2014 to 2016'!$Z$10</f>
        <v>-12100.71812107088</v>
      </c>
      <c r="E9" s="73"/>
      <c r="F9" s="75"/>
      <c r="G9" s="72">
        <f>+$D9*G$5/366</f>
        <v>-11770.097407380419</v>
      </c>
      <c r="H9" s="71"/>
      <c r="I9" s="70"/>
      <c r="J9" s="71"/>
      <c r="K9" s="72">
        <f>+$D9*K$5/365</f>
        <v>-12100.718121070879</v>
      </c>
      <c r="L9" s="71"/>
      <c r="M9" s="70"/>
      <c r="N9" s="71"/>
      <c r="O9" s="72">
        <f>+$D9*O$5/365</f>
        <v>-3945.1656339929718</v>
      </c>
      <c r="P9" s="71"/>
      <c r="Q9" s="70"/>
      <c r="R9" s="72"/>
      <c r="S9" s="68">
        <f>+SUM(G9:O9)</f>
        <v>-27815.98116244427</v>
      </c>
    </row>
    <row r="10" spans="2:19" x14ac:dyDescent="0.25">
      <c r="B10" s="69" t="s">
        <v>3</v>
      </c>
      <c r="C10" s="73"/>
      <c r="D10" s="68">
        <f>+SUM(D7:D9)</f>
        <v>-19506.445838719366</v>
      </c>
      <c r="E10" s="73"/>
      <c r="F10" s="75"/>
      <c r="G10" s="72">
        <f>+$D10*G$5/366</f>
        <v>-18973.482837661461</v>
      </c>
      <c r="H10" s="71"/>
      <c r="I10" s="70"/>
      <c r="J10" s="71"/>
      <c r="K10" s="72">
        <f>+$D10*K$5/365</f>
        <v>-19506.445838719366</v>
      </c>
      <c r="L10" s="71"/>
      <c r="M10" s="70"/>
      <c r="N10" s="71"/>
      <c r="O10" s="72">
        <f>+$D10*O$5/365</f>
        <v>-6359.6357665961777</v>
      </c>
      <c r="P10" s="71"/>
      <c r="Q10" s="70"/>
      <c r="R10" s="72"/>
      <c r="S10" s="68">
        <f>+SUM(G10:O10)</f>
        <v>-44839.564442977004</v>
      </c>
    </row>
    <row r="11" spans="2:19" x14ac:dyDescent="0.25">
      <c r="B11" s="49"/>
      <c r="C11" s="52"/>
      <c r="D11" s="52"/>
      <c r="E11" s="52"/>
      <c r="F11" s="55"/>
      <c r="G11" s="64"/>
      <c r="H11" s="6"/>
      <c r="I11" s="59"/>
      <c r="J11" s="6"/>
      <c r="K11" s="64"/>
      <c r="L11" s="6"/>
      <c r="M11" s="59"/>
      <c r="N11" s="6"/>
      <c r="O11" s="80"/>
      <c r="P11" s="79"/>
      <c r="Q11" s="78"/>
      <c r="R11" s="64"/>
      <c r="S11" s="57"/>
    </row>
    <row r="12" spans="2:19" x14ac:dyDescent="0.25">
      <c r="B12" s="83"/>
      <c r="C12" s="84"/>
      <c r="D12" s="83" t="s">
        <v>36</v>
      </c>
      <c r="E12" s="82" t="s">
        <v>35</v>
      </c>
      <c r="F12" s="81"/>
      <c r="G12" s="80" t="s">
        <v>9</v>
      </c>
      <c r="H12" s="79" t="s">
        <v>9</v>
      </c>
      <c r="I12" s="78"/>
      <c r="J12" s="6"/>
      <c r="K12" s="80" t="s">
        <v>9</v>
      </c>
      <c r="L12" s="79" t="s">
        <v>9</v>
      </c>
      <c r="M12" s="78"/>
      <c r="N12" s="6"/>
      <c r="O12" s="77" t="s">
        <v>9</v>
      </c>
      <c r="P12" s="51" t="s">
        <v>9</v>
      </c>
      <c r="Q12" s="50"/>
      <c r="R12" s="64"/>
      <c r="S12" s="57"/>
    </row>
    <row r="13" spans="2:19" x14ac:dyDescent="0.25">
      <c r="B13" s="58"/>
      <c r="D13" s="58" t="s">
        <v>22</v>
      </c>
      <c r="E13" s="62" t="s">
        <v>22</v>
      </c>
      <c r="F13" s="65"/>
      <c r="G13" s="49" t="s">
        <v>34</v>
      </c>
      <c r="H13" s="52" t="s">
        <v>33</v>
      </c>
      <c r="I13" s="55" t="s">
        <v>32</v>
      </c>
      <c r="K13" s="49" t="s">
        <v>34</v>
      </c>
      <c r="L13" s="52" t="s">
        <v>33</v>
      </c>
      <c r="M13" s="55" t="s">
        <v>32</v>
      </c>
      <c r="O13" s="58" t="s">
        <v>34</v>
      </c>
      <c r="P13" s="1" t="s">
        <v>33</v>
      </c>
      <c r="Q13" s="62" t="s">
        <v>32</v>
      </c>
      <c r="R13" s="58"/>
      <c r="S13" s="65"/>
    </row>
    <row r="14" spans="2:19" x14ac:dyDescent="0.25">
      <c r="B14" s="58"/>
      <c r="D14" s="58"/>
      <c r="E14" s="62"/>
      <c r="F14" s="65"/>
      <c r="G14" s="58"/>
      <c r="I14" s="62"/>
      <c r="K14" s="58"/>
      <c r="M14" s="62"/>
      <c r="O14" s="58"/>
      <c r="Q14" s="62"/>
      <c r="R14" s="58"/>
      <c r="S14" s="65"/>
    </row>
    <row r="15" spans="2:19" x14ac:dyDescent="0.25">
      <c r="B15" s="69" t="s">
        <v>31</v>
      </c>
      <c r="C15" s="73"/>
      <c r="D15" s="76"/>
      <c r="E15" s="75"/>
      <c r="F15" s="74" t="s">
        <v>30</v>
      </c>
      <c r="G15" s="72">
        <f>+SUM(G17:G64)</f>
        <v>-18973.482837661461</v>
      </c>
      <c r="H15" s="71">
        <f>+H64</f>
        <v>-25835.489045338192</v>
      </c>
      <c r="I15" s="70">
        <f>+SUM(I17:I64)</f>
        <v>-7048.5304672020975</v>
      </c>
      <c r="J15" s="73"/>
      <c r="K15" s="72">
        <f>+SUM(K17:K64)</f>
        <v>-19506.445838719366</v>
      </c>
      <c r="L15" s="71">
        <f>+L64</f>
        <v>-24146.511374719179</v>
      </c>
      <c r="M15" s="70">
        <f>+SUM(M17:M64)</f>
        <v>-4814.3958978670271</v>
      </c>
      <c r="N15" s="73"/>
      <c r="O15" s="72">
        <f>+SUM(O17:O64)</f>
        <v>-6466.5204013288858</v>
      </c>
      <c r="P15" s="71">
        <f>+P64</f>
        <v>-7519.7250969650831</v>
      </c>
      <c r="Q15" s="70">
        <f>+SUM(Q17:Q64)</f>
        <v>-1107.4947906711441</v>
      </c>
      <c r="R15" s="69"/>
      <c r="S15" s="68">
        <f>+P15+L15+H15</f>
        <v>-57501.725517022453</v>
      </c>
    </row>
    <row r="16" spans="2:19" x14ac:dyDescent="0.25">
      <c r="B16" s="63"/>
      <c r="C16" s="62"/>
      <c r="D16" s="61"/>
      <c r="E16" s="62"/>
      <c r="G16" s="64"/>
      <c r="H16" s="67"/>
      <c r="I16" s="66"/>
      <c r="K16" s="58"/>
      <c r="M16" s="62"/>
      <c r="O16" s="58"/>
      <c r="Q16" s="62"/>
      <c r="R16" s="58"/>
      <c r="S16" s="65"/>
    </row>
    <row r="17" spans="2:19" x14ac:dyDescent="0.25">
      <c r="B17" s="63">
        <v>42370</v>
      </c>
      <c r="C17" s="62"/>
      <c r="D17" s="61">
        <f>+'Table 4 - Interest Rates'!N14</f>
        <v>9.7664615384615378E-2</v>
      </c>
      <c r="E17" s="60">
        <f t="shared" ref="E17:E64" si="0">+D17/12</f>
        <v>8.1387179487179481E-3</v>
      </c>
      <c r="G17" s="64">
        <f>+(B18-G3)/366*D10</f>
        <v>-1119.2223022216031</v>
      </c>
      <c r="H17" s="6">
        <f>+H16+G17</f>
        <v>-1119.2223022216031</v>
      </c>
      <c r="I17" s="59">
        <f>+H17/2*E17</f>
        <v>-4.5545173198481921</v>
      </c>
      <c r="K17" s="58"/>
      <c r="M17" s="62"/>
      <c r="O17" s="58"/>
      <c r="Q17" s="62"/>
      <c r="R17" s="58"/>
      <c r="S17" s="57">
        <f t="shared" ref="S17:S64" si="1">+P17+L17+H17</f>
        <v>-1119.2223022216031</v>
      </c>
    </row>
    <row r="18" spans="2:19" x14ac:dyDescent="0.25">
      <c r="B18" s="63">
        <f t="shared" ref="B18:B64" si="2">+EDATE(B17,1)</f>
        <v>42401</v>
      </c>
      <c r="C18" s="62"/>
      <c r="D18" s="61">
        <f t="shared" ref="D18:D40" si="3">+D17</f>
        <v>9.7664615384615378E-2</v>
      </c>
      <c r="E18" s="60">
        <f t="shared" si="0"/>
        <v>8.1387179487179481E-3</v>
      </c>
      <c r="G18" s="64">
        <f t="shared" ref="G18:G28" si="4">+(B18-B17)/366*$D$10</f>
        <v>-1652.1853032795091</v>
      </c>
      <c r="H18" s="6">
        <f t="shared" ref="H18:H64" si="5">+H17+G18+I17</f>
        <v>-2775.9621228209603</v>
      </c>
      <c r="I18" s="59">
        <f t="shared" ref="I18:I64" si="6">+(H17+G18/2)*E18</f>
        <v>-15.832369730900858</v>
      </c>
      <c r="K18" s="58"/>
      <c r="M18" s="62"/>
      <c r="O18" s="58"/>
      <c r="Q18" s="62"/>
      <c r="R18" s="58"/>
      <c r="S18" s="57">
        <f t="shared" si="1"/>
        <v>-2775.9621228209603</v>
      </c>
    </row>
    <row r="19" spans="2:19" x14ac:dyDescent="0.25">
      <c r="B19" s="63">
        <f t="shared" si="2"/>
        <v>42430</v>
      </c>
      <c r="C19" s="62"/>
      <c r="D19" s="61">
        <f t="shared" si="3"/>
        <v>9.7664615384615378E-2</v>
      </c>
      <c r="E19" s="60">
        <f t="shared" si="0"/>
        <v>8.1387179487179481E-3</v>
      </c>
      <c r="G19" s="64">
        <f t="shared" si="4"/>
        <v>-1545.5927030679279</v>
      </c>
      <c r="H19" s="6">
        <f t="shared" si="5"/>
        <v>-4337.3871956197891</v>
      </c>
      <c r="I19" s="59">
        <f t="shared" si="6"/>
        <v>-28.882344290897343</v>
      </c>
      <c r="K19" s="58"/>
      <c r="M19" s="62"/>
      <c r="O19" s="58"/>
      <c r="Q19" s="62"/>
      <c r="R19" s="58"/>
      <c r="S19" s="57">
        <f t="shared" si="1"/>
        <v>-4337.3871956197891</v>
      </c>
    </row>
    <row r="20" spans="2:19" x14ac:dyDescent="0.25">
      <c r="B20" s="63">
        <f t="shared" si="2"/>
        <v>42461</v>
      </c>
      <c r="C20" s="62"/>
      <c r="D20" s="61">
        <f t="shared" si="3"/>
        <v>9.7664615384615378E-2</v>
      </c>
      <c r="E20" s="60">
        <f t="shared" si="0"/>
        <v>8.1387179487179481E-3</v>
      </c>
      <c r="G20" s="64">
        <f t="shared" si="4"/>
        <v>-1652.1853032795091</v>
      </c>
      <c r="H20" s="6">
        <f t="shared" si="5"/>
        <v>-6018.4548431901949</v>
      </c>
      <c r="I20" s="59">
        <f t="shared" si="6"/>
        <v>-42.024106110734657</v>
      </c>
      <c r="K20" s="58"/>
      <c r="M20" s="62"/>
      <c r="O20" s="58"/>
      <c r="Q20" s="62"/>
      <c r="R20" s="58"/>
      <c r="S20" s="57">
        <f t="shared" si="1"/>
        <v>-6018.4548431901949</v>
      </c>
    </row>
    <row r="21" spans="2:19" x14ac:dyDescent="0.25">
      <c r="B21" s="63">
        <f t="shared" si="2"/>
        <v>42491</v>
      </c>
      <c r="C21" s="62"/>
      <c r="D21" s="61">
        <f t="shared" si="3"/>
        <v>9.7664615384615378E-2</v>
      </c>
      <c r="E21" s="60">
        <f t="shared" si="0"/>
        <v>8.1387179487179481E-3</v>
      </c>
      <c r="G21" s="64">
        <f t="shared" si="4"/>
        <v>-1598.8890031737185</v>
      </c>
      <c r="H21" s="6">
        <f t="shared" si="5"/>
        <v>-7659.3679524746476</v>
      </c>
      <c r="I21" s="59">
        <f t="shared" si="6"/>
        <v>-55.488959769889348</v>
      </c>
      <c r="K21" s="58"/>
      <c r="M21" s="62"/>
      <c r="O21" s="58"/>
      <c r="Q21" s="62"/>
      <c r="R21" s="58"/>
      <c r="S21" s="57">
        <f t="shared" si="1"/>
        <v>-7659.3679524746476</v>
      </c>
    </row>
    <row r="22" spans="2:19" x14ac:dyDescent="0.25">
      <c r="B22" s="63">
        <f t="shared" si="2"/>
        <v>42522</v>
      </c>
      <c r="C22" s="62"/>
      <c r="D22" s="61">
        <f t="shared" si="3"/>
        <v>9.7664615384615378E-2</v>
      </c>
      <c r="E22" s="60">
        <f t="shared" si="0"/>
        <v>8.1387179487179481E-3</v>
      </c>
      <c r="G22" s="64">
        <f t="shared" si="4"/>
        <v>-1652.1853032795091</v>
      </c>
      <c r="H22" s="6">
        <f t="shared" si="5"/>
        <v>-9367.0422155240467</v>
      </c>
      <c r="I22" s="59">
        <f t="shared" si="6"/>
        <v>-69.06077052184493</v>
      </c>
      <c r="K22" s="58"/>
      <c r="M22" s="62"/>
      <c r="O22" s="58"/>
      <c r="Q22" s="62"/>
      <c r="R22" s="58"/>
      <c r="S22" s="57">
        <f t="shared" si="1"/>
        <v>-9367.0422155240467</v>
      </c>
    </row>
    <row r="23" spans="2:19" x14ac:dyDescent="0.25">
      <c r="B23" s="63">
        <f t="shared" si="2"/>
        <v>42552</v>
      </c>
      <c r="C23" s="62"/>
      <c r="D23" s="61">
        <f t="shared" si="3"/>
        <v>9.7664615384615378E-2</v>
      </c>
      <c r="E23" s="60">
        <f t="shared" si="0"/>
        <v>8.1387179487179481E-3</v>
      </c>
      <c r="G23" s="64">
        <f t="shared" si="4"/>
        <v>-1598.8890031737185</v>
      </c>
      <c r="H23" s="6">
        <f t="shared" si="5"/>
        <v>-11034.99198921961</v>
      </c>
      <c r="I23" s="59">
        <f t="shared" si="6"/>
        <v>-82.742167919953133</v>
      </c>
      <c r="K23" s="58"/>
      <c r="M23" s="62"/>
      <c r="O23" s="58"/>
      <c r="Q23" s="62"/>
      <c r="R23" s="58"/>
      <c r="S23" s="57">
        <f t="shared" si="1"/>
        <v>-11034.99198921961</v>
      </c>
    </row>
    <row r="24" spans="2:19" x14ac:dyDescent="0.25">
      <c r="B24" s="63">
        <f t="shared" si="2"/>
        <v>42583</v>
      </c>
      <c r="C24" s="62"/>
      <c r="D24" s="61">
        <f t="shared" si="3"/>
        <v>9.7664615384615378E-2</v>
      </c>
      <c r="E24" s="60">
        <f t="shared" si="0"/>
        <v>8.1387179487179481E-3</v>
      </c>
      <c r="G24" s="64">
        <f t="shared" si="4"/>
        <v>-1652.1853032795091</v>
      </c>
      <c r="H24" s="6">
        <f t="shared" si="5"/>
        <v>-12769.919460419072</v>
      </c>
      <c r="I24" s="59">
        <f t="shared" si="6"/>
        <v>-96.534022457824889</v>
      </c>
      <c r="K24" s="58"/>
      <c r="M24" s="62"/>
      <c r="O24" s="58"/>
      <c r="Q24" s="62"/>
      <c r="R24" s="58"/>
      <c r="S24" s="57">
        <f t="shared" si="1"/>
        <v>-12769.919460419072</v>
      </c>
    </row>
    <row r="25" spans="2:19" x14ac:dyDescent="0.25">
      <c r="B25" s="63">
        <f t="shared" si="2"/>
        <v>42614</v>
      </c>
      <c r="C25" s="62"/>
      <c r="D25" s="61">
        <f t="shared" si="3"/>
        <v>9.7664615384615378E-2</v>
      </c>
      <c r="E25" s="60">
        <f t="shared" si="0"/>
        <v>8.1387179487179481E-3</v>
      </c>
      <c r="G25" s="64">
        <f t="shared" si="4"/>
        <v>-1652.1853032795091</v>
      </c>
      <c r="H25" s="6">
        <f t="shared" si="5"/>
        <v>-14518.638786156407</v>
      </c>
      <c r="I25" s="59">
        <f t="shared" si="6"/>
        <v>-110.6541078073998</v>
      </c>
      <c r="K25" s="58"/>
      <c r="M25" s="62"/>
      <c r="O25" s="58"/>
      <c r="Q25" s="62"/>
      <c r="R25" s="58"/>
      <c r="S25" s="57">
        <f t="shared" si="1"/>
        <v>-14518.638786156407</v>
      </c>
    </row>
    <row r="26" spans="2:19" x14ac:dyDescent="0.25">
      <c r="B26" s="63">
        <f t="shared" si="2"/>
        <v>42644</v>
      </c>
      <c r="C26" s="62"/>
      <c r="D26" s="61">
        <f t="shared" si="3"/>
        <v>9.7664615384615378E-2</v>
      </c>
      <c r="E26" s="60">
        <f t="shared" si="0"/>
        <v>8.1387179487179481E-3</v>
      </c>
      <c r="G26" s="64">
        <f t="shared" si="4"/>
        <v>-1598.8890031737185</v>
      </c>
      <c r="H26" s="6">
        <f t="shared" si="5"/>
        <v>-16228.181897137527</v>
      </c>
      <c r="I26" s="59">
        <f t="shared" si="6"/>
        <v>-124.66955939391255</v>
      </c>
      <c r="K26" s="58"/>
      <c r="M26" s="62"/>
      <c r="O26" s="58"/>
      <c r="Q26" s="62"/>
      <c r="R26" s="58"/>
      <c r="S26" s="57">
        <f t="shared" si="1"/>
        <v>-16228.181897137527</v>
      </c>
    </row>
    <row r="27" spans="2:19" x14ac:dyDescent="0.25">
      <c r="B27" s="63">
        <f t="shared" si="2"/>
        <v>42675</v>
      </c>
      <c r="C27" s="62"/>
      <c r="D27" s="61">
        <f t="shared" si="3"/>
        <v>9.7664615384615378E-2</v>
      </c>
      <c r="E27" s="60">
        <f t="shared" si="0"/>
        <v>8.1387179487179481E-3</v>
      </c>
      <c r="G27" s="64">
        <f t="shared" si="4"/>
        <v>-1652.1853032795091</v>
      </c>
      <c r="H27" s="6">
        <f t="shared" si="5"/>
        <v>-18005.036759810948</v>
      </c>
      <c r="I27" s="59">
        <f t="shared" si="6"/>
        <v>-138.79993037249733</v>
      </c>
      <c r="K27" s="58"/>
      <c r="M27" s="62"/>
      <c r="O27" s="58"/>
      <c r="Q27" s="62"/>
      <c r="R27" s="58"/>
      <c r="S27" s="57">
        <f t="shared" si="1"/>
        <v>-18005.036759810948</v>
      </c>
    </row>
    <row r="28" spans="2:19" x14ac:dyDescent="0.25">
      <c r="B28" s="63">
        <f t="shared" si="2"/>
        <v>42705</v>
      </c>
      <c r="C28" s="62"/>
      <c r="D28" s="61">
        <f t="shared" si="3"/>
        <v>9.7664615384615378E-2</v>
      </c>
      <c r="E28" s="60">
        <f t="shared" si="0"/>
        <v>8.1387179487179481E-3</v>
      </c>
      <c r="G28" s="64">
        <f t="shared" si="4"/>
        <v>-1598.8890031737185</v>
      </c>
      <c r="H28" s="6">
        <f t="shared" si="5"/>
        <v>-19742.725693357163</v>
      </c>
      <c r="I28" s="59">
        <f t="shared" si="6"/>
        <v>-153.04436915846864</v>
      </c>
      <c r="K28" s="58"/>
      <c r="M28" s="62"/>
      <c r="O28" s="58"/>
      <c r="Q28" s="62"/>
      <c r="R28" s="58"/>
      <c r="S28" s="57">
        <f t="shared" si="1"/>
        <v>-19742.725693357163</v>
      </c>
    </row>
    <row r="29" spans="2:19" x14ac:dyDescent="0.25">
      <c r="B29" s="63">
        <f t="shared" si="2"/>
        <v>42736</v>
      </c>
      <c r="C29" s="62"/>
      <c r="D29" s="61">
        <f t="shared" si="3"/>
        <v>9.7664615384615378E-2</v>
      </c>
      <c r="E29" s="60">
        <f t="shared" si="0"/>
        <v>8.1387179487179481E-3</v>
      </c>
      <c r="G29" s="58"/>
      <c r="H29" s="6">
        <f t="shared" si="5"/>
        <v>-19895.770062515632</v>
      </c>
      <c r="I29" s="59">
        <f t="shared" si="6"/>
        <v>-160.68047595714094</v>
      </c>
      <c r="K29" s="64">
        <f t="shared" ref="K29:K40" si="7">+(B29-B28)/365*$D$10</f>
        <v>-1656.7118383569873</v>
      </c>
      <c r="L29" s="6">
        <f>+L28+K29</f>
        <v>-1656.7118383569873</v>
      </c>
      <c r="M29" s="59">
        <f>+K29/2*E29</f>
        <v>-6.7417551873447605</v>
      </c>
      <c r="O29" s="58"/>
      <c r="Q29" s="62"/>
      <c r="R29" s="58"/>
      <c r="S29" s="57">
        <f t="shared" si="1"/>
        <v>-21552.481900872619</v>
      </c>
    </row>
    <row r="30" spans="2:19" x14ac:dyDescent="0.25">
      <c r="B30" s="63">
        <f t="shared" si="2"/>
        <v>42767</v>
      </c>
      <c r="C30" s="62"/>
      <c r="D30" s="61">
        <f t="shared" si="3"/>
        <v>9.7664615384615378E-2</v>
      </c>
      <c r="E30" s="60">
        <f t="shared" si="0"/>
        <v>8.1387179487179481E-3</v>
      </c>
      <c r="G30" s="58"/>
      <c r="H30" s="6">
        <f t="shared" si="5"/>
        <v>-20056.450538472774</v>
      </c>
      <c r="I30" s="59">
        <f t="shared" si="6"/>
        <v>-161.92606091136119</v>
      </c>
      <c r="K30" s="64">
        <f t="shared" si="7"/>
        <v>-1656.7118383569873</v>
      </c>
      <c r="L30" s="6">
        <f t="shared" ref="L30:L64" si="8">+L29+K30+M29</f>
        <v>-3320.1654319013192</v>
      </c>
      <c r="M30" s="59">
        <f t="shared" ref="M30:M64" si="9">+(L29+K30/2)*E30</f>
        <v>-20.225265562034284</v>
      </c>
      <c r="O30" s="58"/>
      <c r="Q30" s="62"/>
      <c r="R30" s="58"/>
      <c r="S30" s="57">
        <f t="shared" si="1"/>
        <v>-23376.615970374092</v>
      </c>
    </row>
    <row r="31" spans="2:19" x14ac:dyDescent="0.25">
      <c r="B31" s="63">
        <f t="shared" si="2"/>
        <v>42795</v>
      </c>
      <c r="C31" s="62"/>
      <c r="D31" s="61">
        <f t="shared" si="3"/>
        <v>9.7664615384615378E-2</v>
      </c>
      <c r="E31" s="60">
        <f t="shared" si="0"/>
        <v>8.1387179487179481E-3</v>
      </c>
      <c r="G31" s="58"/>
      <c r="H31" s="6">
        <f t="shared" si="5"/>
        <v>-20218.376599384137</v>
      </c>
      <c r="I31" s="59">
        <f t="shared" si="6"/>
        <v>-163.23379398504213</v>
      </c>
      <c r="K31" s="64">
        <f t="shared" si="7"/>
        <v>-1496.3848862579241</v>
      </c>
      <c r="L31" s="6">
        <f t="shared" si="8"/>
        <v>-4836.7755837212771</v>
      </c>
      <c r="M31" s="59">
        <f t="shared" si="9"/>
        <v>-33.111217259316959</v>
      </c>
      <c r="O31" s="58"/>
      <c r="Q31" s="62"/>
      <c r="R31" s="58"/>
      <c r="S31" s="57">
        <f t="shared" si="1"/>
        <v>-25055.152183105412</v>
      </c>
    </row>
    <row r="32" spans="2:19" x14ac:dyDescent="0.25">
      <c r="B32" s="63">
        <f t="shared" si="2"/>
        <v>42826</v>
      </c>
      <c r="C32" s="62"/>
      <c r="D32" s="61">
        <f t="shared" si="3"/>
        <v>9.7664615384615378E-2</v>
      </c>
      <c r="E32" s="60">
        <f t="shared" si="0"/>
        <v>8.1387179487179481E-3</v>
      </c>
      <c r="G32" s="58"/>
      <c r="H32" s="6">
        <f t="shared" si="5"/>
        <v>-20381.610393369177</v>
      </c>
      <c r="I32" s="59">
        <f t="shared" si="6"/>
        <v>-164.55166452334663</v>
      </c>
      <c r="K32" s="64">
        <f t="shared" si="7"/>
        <v>-1656.7118383569873</v>
      </c>
      <c r="L32" s="6">
        <f t="shared" si="8"/>
        <v>-6526.5986393375806</v>
      </c>
      <c r="M32" s="59">
        <f t="shared" si="9"/>
        <v>-46.10690744449785</v>
      </c>
      <c r="O32" s="58"/>
      <c r="Q32" s="62"/>
      <c r="R32" s="58"/>
      <c r="S32" s="57">
        <f t="shared" si="1"/>
        <v>-26908.209032706756</v>
      </c>
    </row>
    <row r="33" spans="2:19" x14ac:dyDescent="0.25">
      <c r="B33" s="63">
        <f t="shared" si="2"/>
        <v>42856</v>
      </c>
      <c r="C33" s="62"/>
      <c r="D33" s="61">
        <f t="shared" si="3"/>
        <v>9.7664615384615378E-2</v>
      </c>
      <c r="E33" s="60">
        <f t="shared" si="0"/>
        <v>8.1387179487179481E-3</v>
      </c>
      <c r="G33" s="58"/>
      <c r="H33" s="6">
        <f t="shared" si="5"/>
        <v>-20546.162057892525</v>
      </c>
      <c r="I33" s="59">
        <f t="shared" si="6"/>
        <v>-165.88017833229</v>
      </c>
      <c r="K33" s="64">
        <f t="shared" si="7"/>
        <v>-1603.2695209906328</v>
      </c>
      <c r="L33" s="6">
        <f t="shared" si="8"/>
        <v>-8175.9750677727106</v>
      </c>
      <c r="M33" s="59">
        <f t="shared" si="9"/>
        <v>-59.642424703614346</v>
      </c>
      <c r="O33" s="58"/>
      <c r="Q33" s="62"/>
      <c r="R33" s="58"/>
      <c r="S33" s="57">
        <f t="shared" si="1"/>
        <v>-28722.137125665235</v>
      </c>
    </row>
    <row r="34" spans="2:19" x14ac:dyDescent="0.25">
      <c r="B34" s="63">
        <f t="shared" si="2"/>
        <v>42887</v>
      </c>
      <c r="C34" s="62"/>
      <c r="D34" s="61">
        <f t="shared" si="3"/>
        <v>9.7664615384615378E-2</v>
      </c>
      <c r="E34" s="60">
        <f t="shared" si="0"/>
        <v>8.1387179487179481E-3</v>
      </c>
      <c r="G34" s="58"/>
      <c r="H34" s="6">
        <f t="shared" si="5"/>
        <v>-20712.042236224814</v>
      </c>
      <c r="I34" s="59">
        <f t="shared" si="6"/>
        <v>-167.21941791783757</v>
      </c>
      <c r="K34" s="64">
        <f t="shared" si="7"/>
        <v>-1656.7118383569873</v>
      </c>
      <c r="L34" s="6">
        <f t="shared" si="8"/>
        <v>-9892.3293308333123</v>
      </c>
      <c r="M34" s="59">
        <f t="shared" si="9"/>
        <v>-73.283710219696971</v>
      </c>
      <c r="O34" s="58"/>
      <c r="Q34" s="62"/>
      <c r="R34" s="58"/>
      <c r="S34" s="57">
        <f t="shared" si="1"/>
        <v>-30604.371567058126</v>
      </c>
    </row>
    <row r="35" spans="2:19" x14ac:dyDescent="0.25">
      <c r="B35" s="63">
        <f t="shared" si="2"/>
        <v>42917</v>
      </c>
      <c r="C35" s="62"/>
      <c r="D35" s="61">
        <f t="shared" si="3"/>
        <v>9.7664615384615378E-2</v>
      </c>
      <c r="E35" s="60">
        <f t="shared" si="0"/>
        <v>8.1387179487179481E-3</v>
      </c>
      <c r="G35" s="58"/>
      <c r="H35" s="6">
        <f t="shared" si="5"/>
        <v>-20879.261654142651</v>
      </c>
      <c r="I35" s="59">
        <f t="shared" si="6"/>
        <v>-168.56946990256711</v>
      </c>
      <c r="K35" s="64">
        <f t="shared" si="7"/>
        <v>-1603.2695209906328</v>
      </c>
      <c r="L35" s="6">
        <f t="shared" si="8"/>
        <v>-11568.882562043642</v>
      </c>
      <c r="M35" s="59">
        <f t="shared" si="9"/>
        <v>-87.035157493041538</v>
      </c>
      <c r="O35" s="58"/>
      <c r="Q35" s="62"/>
      <c r="R35" s="58"/>
      <c r="S35" s="57">
        <f t="shared" si="1"/>
        <v>-32448.144216186294</v>
      </c>
    </row>
    <row r="36" spans="2:19" x14ac:dyDescent="0.25">
      <c r="B36" s="63">
        <f t="shared" si="2"/>
        <v>42948</v>
      </c>
      <c r="C36" s="62"/>
      <c r="D36" s="61">
        <f t="shared" si="3"/>
        <v>9.7664615384615378E-2</v>
      </c>
      <c r="E36" s="60">
        <f t="shared" si="0"/>
        <v>8.1387179487179481E-3</v>
      </c>
      <c r="G36" s="58"/>
      <c r="H36" s="6">
        <f t="shared" si="5"/>
        <v>-21047.831124045217</v>
      </c>
      <c r="I36" s="59">
        <f t="shared" si="6"/>
        <v>-169.93042158054919</v>
      </c>
      <c r="K36" s="64">
        <f t="shared" si="7"/>
        <v>-1656.7118383569873</v>
      </c>
      <c r="L36" s="6">
        <f t="shared" si="8"/>
        <v>-13312.62955789367</v>
      </c>
      <c r="M36" s="59">
        <f t="shared" si="9"/>
        <v>-100.89762734165943</v>
      </c>
      <c r="O36" s="58"/>
      <c r="Q36" s="62"/>
      <c r="R36" s="58"/>
      <c r="S36" s="57">
        <f t="shared" si="1"/>
        <v>-34360.460681938886</v>
      </c>
    </row>
    <row r="37" spans="2:19" x14ac:dyDescent="0.25">
      <c r="B37" s="63">
        <f t="shared" si="2"/>
        <v>42979</v>
      </c>
      <c r="C37" s="62"/>
      <c r="D37" s="61">
        <f t="shared" si="3"/>
        <v>9.7664615384615378E-2</v>
      </c>
      <c r="E37" s="60">
        <f t="shared" si="0"/>
        <v>8.1387179487179481E-3</v>
      </c>
      <c r="G37" s="58"/>
      <c r="H37" s="6">
        <f t="shared" si="5"/>
        <v>-21217.761545625766</v>
      </c>
      <c r="I37" s="59">
        <f t="shared" si="6"/>
        <v>-171.30236095085107</v>
      </c>
      <c r="K37" s="64">
        <f t="shared" si="7"/>
        <v>-1656.7118383569873</v>
      </c>
      <c r="L37" s="6">
        <f t="shared" si="8"/>
        <v>-15070.239023592316</v>
      </c>
      <c r="M37" s="59">
        <f t="shared" si="9"/>
        <v>-115.08949231480705</v>
      </c>
      <c r="O37" s="58"/>
      <c r="Q37" s="62"/>
      <c r="R37" s="58"/>
      <c r="S37" s="57">
        <f t="shared" si="1"/>
        <v>-36288.000569218086</v>
      </c>
    </row>
    <row r="38" spans="2:19" x14ac:dyDescent="0.25">
      <c r="B38" s="63">
        <f t="shared" si="2"/>
        <v>43009</v>
      </c>
      <c r="C38" s="62"/>
      <c r="D38" s="61">
        <f t="shared" si="3"/>
        <v>9.7664615384615378E-2</v>
      </c>
      <c r="E38" s="60">
        <f t="shared" si="0"/>
        <v>8.1387179487179481E-3</v>
      </c>
      <c r="G38" s="58"/>
      <c r="H38" s="6">
        <f t="shared" si="5"/>
        <v>-21389.063906576619</v>
      </c>
      <c r="I38" s="59">
        <f t="shared" si="6"/>
        <v>-172.68537672300189</v>
      </c>
      <c r="K38" s="64">
        <f t="shared" si="7"/>
        <v>-1603.2695209906328</v>
      </c>
      <c r="L38" s="6">
        <f t="shared" si="8"/>
        <v>-16788.598036897758</v>
      </c>
      <c r="M38" s="59">
        <f t="shared" si="9"/>
        <v>-129.17670404633986</v>
      </c>
      <c r="O38" s="58"/>
      <c r="Q38" s="62"/>
      <c r="R38" s="58"/>
      <c r="S38" s="57">
        <f t="shared" si="1"/>
        <v>-38177.661943474377</v>
      </c>
    </row>
    <row r="39" spans="2:19" x14ac:dyDescent="0.25">
      <c r="B39" s="63">
        <f t="shared" si="2"/>
        <v>43040</v>
      </c>
      <c r="C39" s="62"/>
      <c r="D39" s="61">
        <f t="shared" si="3"/>
        <v>9.7664615384615378E-2</v>
      </c>
      <c r="E39" s="60">
        <f t="shared" si="0"/>
        <v>8.1387179487179481E-3</v>
      </c>
      <c r="G39" s="58"/>
      <c r="H39" s="6">
        <f t="shared" si="5"/>
        <v>-21561.749283299621</v>
      </c>
      <c r="I39" s="59">
        <f t="shared" si="6"/>
        <v>-174.07955832273035</v>
      </c>
      <c r="K39" s="64">
        <f t="shared" si="7"/>
        <v>-1656.7118383569873</v>
      </c>
      <c r="L39" s="6">
        <f t="shared" si="8"/>
        <v>-18574.486579301083</v>
      </c>
      <c r="M39" s="59">
        <f t="shared" si="9"/>
        <v>-143.37941936405545</v>
      </c>
      <c r="O39" s="58"/>
      <c r="Q39" s="62"/>
      <c r="R39" s="58"/>
      <c r="S39" s="57">
        <f t="shared" si="1"/>
        <v>-40136.235862600704</v>
      </c>
    </row>
    <row r="40" spans="2:19" x14ac:dyDescent="0.25">
      <c r="B40" s="63">
        <f t="shared" si="2"/>
        <v>43070</v>
      </c>
      <c r="C40" s="62"/>
      <c r="D40" s="61">
        <f t="shared" si="3"/>
        <v>9.7664615384615378E-2</v>
      </c>
      <c r="E40" s="60">
        <f t="shared" si="0"/>
        <v>8.1387179487179481E-3</v>
      </c>
      <c r="G40" s="58"/>
      <c r="H40" s="6">
        <f t="shared" si="5"/>
        <v>-21735.828841622351</v>
      </c>
      <c r="I40" s="59">
        <f t="shared" si="6"/>
        <v>-175.48499589774698</v>
      </c>
      <c r="K40" s="64">
        <f t="shared" si="7"/>
        <v>-1603.2695209906328</v>
      </c>
      <c r="L40" s="6">
        <f t="shared" si="8"/>
        <v>-20321.135519655774</v>
      </c>
      <c r="M40" s="59">
        <f t="shared" si="9"/>
        <v>-157.6967865247378</v>
      </c>
      <c r="O40" s="58"/>
      <c r="Q40" s="62"/>
      <c r="R40" s="58"/>
      <c r="S40" s="57">
        <f t="shared" si="1"/>
        <v>-42056.964361278122</v>
      </c>
    </row>
    <row r="41" spans="2:19" x14ac:dyDescent="0.25">
      <c r="B41" s="63">
        <f t="shared" si="2"/>
        <v>43101</v>
      </c>
      <c r="C41" s="62"/>
      <c r="D41" s="61">
        <f>+'Table 4 - Interest Rates'!S14</f>
        <v>8.5102784810126578E-2</v>
      </c>
      <c r="E41" s="60">
        <f t="shared" si="0"/>
        <v>7.0918987341772148E-3</v>
      </c>
      <c r="G41" s="58"/>
      <c r="H41" s="6">
        <f t="shared" si="5"/>
        <v>-21911.313837520098</v>
      </c>
      <c r="I41" s="59">
        <f t="shared" si="6"/>
        <v>-154.14829704819414</v>
      </c>
      <c r="K41" s="58"/>
      <c r="L41" s="6">
        <f t="shared" si="8"/>
        <v>-20478.832306180513</v>
      </c>
      <c r="M41" s="59">
        <f t="shared" si="9"/>
        <v>-144.11543526889042</v>
      </c>
      <c r="O41" s="64">
        <f>+(B41-B40)/365*$D$10</f>
        <v>-1656.7118383569873</v>
      </c>
      <c r="P41" s="6">
        <f>+P40+O41</f>
        <v>-1656.7118383569873</v>
      </c>
      <c r="Q41" s="59">
        <f>+O41/2*E41</f>
        <v>-5.8746162946701626</v>
      </c>
      <c r="R41" s="58"/>
      <c r="S41" s="57">
        <f t="shared" si="1"/>
        <v>-44046.857982057598</v>
      </c>
    </row>
    <row r="42" spans="2:19" x14ac:dyDescent="0.25">
      <c r="B42" s="63">
        <f t="shared" si="2"/>
        <v>43132</v>
      </c>
      <c r="C42" s="62"/>
      <c r="D42" s="61">
        <f>+D41</f>
        <v>8.5102784810126578E-2</v>
      </c>
      <c r="E42" s="60">
        <f t="shared" si="0"/>
        <v>7.0918987341772148E-3</v>
      </c>
      <c r="G42" s="58"/>
      <c r="H42" s="6">
        <f t="shared" si="5"/>
        <v>-22065.462134568294</v>
      </c>
      <c r="I42" s="59">
        <f t="shared" si="6"/>
        <v>-155.39281886846848</v>
      </c>
      <c r="K42" s="58"/>
      <c r="L42" s="6">
        <f t="shared" si="8"/>
        <v>-20622.947741449403</v>
      </c>
      <c r="M42" s="59">
        <f t="shared" si="9"/>
        <v>-145.23380490962904</v>
      </c>
      <c r="O42" s="64">
        <f>+(B42-B41)/365*$D$10</f>
        <v>-1656.7118383569873</v>
      </c>
      <c r="P42" s="6">
        <f t="shared" ref="P42:P64" si="10">+P41+O42+Q41</f>
        <v>-3319.2982930086446</v>
      </c>
      <c r="Q42" s="59">
        <f t="shared" ref="Q42:Q64" si="11">+(P41+O42/2)*E42</f>
        <v>-17.623848884010489</v>
      </c>
      <c r="R42" s="58"/>
      <c r="S42" s="57">
        <f t="shared" si="1"/>
        <v>-46007.708169026344</v>
      </c>
    </row>
    <row r="43" spans="2:19" x14ac:dyDescent="0.25">
      <c r="B43" s="63">
        <f t="shared" si="2"/>
        <v>43160</v>
      </c>
      <c r="C43" s="62"/>
      <c r="D43" s="61">
        <f>+D42</f>
        <v>8.5102784810126578E-2</v>
      </c>
      <c r="E43" s="60">
        <f t="shared" si="0"/>
        <v>7.0918987341772148E-3</v>
      </c>
      <c r="G43" s="58"/>
      <c r="H43" s="6">
        <f t="shared" si="5"/>
        <v>-22220.854953436763</v>
      </c>
      <c r="I43" s="59">
        <f t="shared" si="6"/>
        <v>-156.48602298118016</v>
      </c>
      <c r="K43" s="58"/>
      <c r="L43" s="6">
        <f t="shared" si="8"/>
        <v>-20768.181546359032</v>
      </c>
      <c r="M43" s="59">
        <f t="shared" si="9"/>
        <v>-146.25585698258789</v>
      </c>
      <c r="O43" s="64">
        <f>+(B43-B42)/365*$D$10</f>
        <v>-1496.3848862579241</v>
      </c>
      <c r="P43" s="6">
        <f t="shared" si="10"/>
        <v>-4833.3070281505798</v>
      </c>
      <c r="Q43" s="59">
        <f t="shared" si="11"/>
        <v>-28.84623240289184</v>
      </c>
      <c r="R43" s="58"/>
      <c r="S43" s="57">
        <f t="shared" si="1"/>
        <v>-47822.343527946374</v>
      </c>
    </row>
    <row r="44" spans="2:19" x14ac:dyDescent="0.25">
      <c r="B44" s="63">
        <f t="shared" si="2"/>
        <v>43191</v>
      </c>
      <c r="C44" s="62"/>
      <c r="D44" s="61">
        <f>+D43</f>
        <v>8.5102784810126578E-2</v>
      </c>
      <c r="E44" s="60">
        <f t="shared" si="0"/>
        <v>7.0918987341772148E-3</v>
      </c>
      <c r="G44" s="58"/>
      <c r="H44" s="6">
        <f t="shared" si="5"/>
        <v>-22377.340976417941</v>
      </c>
      <c r="I44" s="59">
        <f t="shared" si="6"/>
        <v>-157.58805311661368</v>
      </c>
      <c r="K44" s="58"/>
      <c r="L44" s="6">
        <f t="shared" si="8"/>
        <v>-20914.437403341621</v>
      </c>
      <c r="M44" s="59">
        <f t="shared" si="9"/>
        <v>-147.28584041978621</v>
      </c>
      <c r="O44" s="64">
        <f>+(B44-B43)/365*$D$10</f>
        <v>-1656.7118383569873</v>
      </c>
      <c r="P44" s="6">
        <f t="shared" si="10"/>
        <v>-6518.865098910459</v>
      </c>
      <c r="Q44" s="59">
        <f t="shared" si="11"/>
        <v>-40.151940289501091</v>
      </c>
      <c r="R44" s="58"/>
      <c r="S44" s="57">
        <f t="shared" si="1"/>
        <v>-49810.643478670027</v>
      </c>
    </row>
    <row r="45" spans="2:19" x14ac:dyDescent="0.25">
      <c r="B45" s="63">
        <f t="shared" si="2"/>
        <v>43221</v>
      </c>
      <c r="C45" s="62"/>
      <c r="D45" s="61">
        <f>+'Table 4 - Interest Rates'!S25</f>
        <v>8.7261784810126572E-2</v>
      </c>
      <c r="E45" s="60">
        <f t="shared" si="0"/>
        <v>7.2718154008438807E-3</v>
      </c>
      <c r="G45" s="58"/>
      <c r="H45" s="6">
        <f t="shared" si="5"/>
        <v>-22534.929029534556</v>
      </c>
      <c r="I45" s="59">
        <f t="shared" si="6"/>
        <v>-162.72389274225083</v>
      </c>
      <c r="K45" s="58"/>
      <c r="L45" s="6">
        <f t="shared" si="8"/>
        <v>-21061.723243761408</v>
      </c>
      <c r="M45" s="59">
        <f t="shared" si="9"/>
        <v>-152.08592800960488</v>
      </c>
      <c r="O45" s="58"/>
      <c r="P45" s="6">
        <f t="shared" si="10"/>
        <v>-6559.01703919996</v>
      </c>
      <c r="Q45" s="59">
        <f t="shared" si="11"/>
        <v>-47.403983622280741</v>
      </c>
      <c r="R45" s="58"/>
      <c r="S45" s="57">
        <f t="shared" si="1"/>
        <v>-50155.669312495927</v>
      </c>
    </row>
    <row r="46" spans="2:19" x14ac:dyDescent="0.25">
      <c r="B46" s="63">
        <f t="shared" si="2"/>
        <v>43252</v>
      </c>
      <c r="C46" s="62"/>
      <c r="D46" s="61">
        <f t="shared" ref="D46:D64" si="12">+D45</f>
        <v>8.7261784810126572E-2</v>
      </c>
      <c r="E46" s="60">
        <f t="shared" si="0"/>
        <v>7.2718154008438807E-3</v>
      </c>
      <c r="G46" s="58"/>
      <c r="H46" s="6">
        <f t="shared" si="5"/>
        <v>-22697.652922276808</v>
      </c>
      <c r="I46" s="59">
        <f t="shared" si="6"/>
        <v>-163.86984397389324</v>
      </c>
      <c r="K46" s="58"/>
      <c r="L46" s="6">
        <f t="shared" si="8"/>
        <v>-21213.809171771012</v>
      </c>
      <c r="M46" s="59">
        <f t="shared" si="9"/>
        <v>-153.15696345229574</v>
      </c>
      <c r="O46" s="58"/>
      <c r="P46" s="6">
        <f t="shared" si="10"/>
        <v>-6606.421022822241</v>
      </c>
      <c r="Q46" s="59">
        <f t="shared" si="11"/>
        <v>-47.695961120051699</v>
      </c>
      <c r="R46" s="58"/>
      <c r="S46" s="57">
        <f t="shared" si="1"/>
        <v>-50517.883116870056</v>
      </c>
    </row>
    <row r="47" spans="2:19" x14ac:dyDescent="0.25">
      <c r="B47" s="63">
        <f t="shared" si="2"/>
        <v>43282</v>
      </c>
      <c r="C47" s="62"/>
      <c r="D47" s="61">
        <f t="shared" si="12"/>
        <v>8.7261784810126572E-2</v>
      </c>
      <c r="E47" s="60">
        <f t="shared" si="0"/>
        <v>7.2718154008438807E-3</v>
      </c>
      <c r="G47" s="58"/>
      <c r="H47" s="6">
        <f t="shared" si="5"/>
        <v>-22861.522766250702</v>
      </c>
      <c r="I47" s="59">
        <f t="shared" si="6"/>
        <v>-165.05314208322162</v>
      </c>
      <c r="K47" s="58"/>
      <c r="L47" s="6">
        <f t="shared" si="8"/>
        <v>-21366.966135223309</v>
      </c>
      <c r="M47" s="59">
        <f t="shared" si="9"/>
        <v>-154.26290424584761</v>
      </c>
      <c r="O47" s="58"/>
      <c r="P47" s="6">
        <f t="shared" si="10"/>
        <v>-6654.1169839422928</v>
      </c>
      <c r="Q47" s="59">
        <f t="shared" si="11"/>
        <v>-48.040674138217554</v>
      </c>
      <c r="R47" s="58"/>
      <c r="S47" s="57">
        <f t="shared" si="1"/>
        <v>-50882.605885416306</v>
      </c>
    </row>
    <row r="48" spans="2:19" x14ac:dyDescent="0.25">
      <c r="B48" s="63">
        <f t="shared" si="2"/>
        <v>43313</v>
      </c>
      <c r="C48" s="62"/>
      <c r="D48" s="61">
        <f t="shared" si="12"/>
        <v>8.7261784810126572E-2</v>
      </c>
      <c r="E48" s="60">
        <f t="shared" si="0"/>
        <v>7.2718154008438807E-3</v>
      </c>
      <c r="G48" s="58"/>
      <c r="H48" s="6">
        <f t="shared" si="5"/>
        <v>-23026.575908333925</v>
      </c>
      <c r="I48" s="59">
        <f t="shared" si="6"/>
        <v>-166.24477333836487</v>
      </c>
      <c r="K48" s="58"/>
      <c r="L48" s="6">
        <f t="shared" si="8"/>
        <v>-21521.229039469155</v>
      </c>
      <c r="M48" s="59">
        <f t="shared" si="9"/>
        <v>-155.3766334114265</v>
      </c>
      <c r="O48" s="58"/>
      <c r="P48" s="6">
        <f t="shared" si="10"/>
        <v>-6702.1576580805104</v>
      </c>
      <c r="Q48" s="59">
        <f t="shared" si="11"/>
        <v>-48.387510362848396</v>
      </c>
      <c r="R48" s="58"/>
      <c r="S48" s="57">
        <f t="shared" si="1"/>
        <v>-51249.962605883586</v>
      </c>
    </row>
    <row r="49" spans="2:19" x14ac:dyDescent="0.25">
      <c r="B49" s="63">
        <f t="shared" si="2"/>
        <v>43344</v>
      </c>
      <c r="C49" s="62"/>
      <c r="D49" s="61">
        <f t="shared" si="12"/>
        <v>8.7261784810126572E-2</v>
      </c>
      <c r="E49" s="60">
        <f t="shared" si="0"/>
        <v>7.2718154008438807E-3</v>
      </c>
      <c r="G49" s="58"/>
      <c r="H49" s="6">
        <f t="shared" si="5"/>
        <v>-23192.820681672289</v>
      </c>
      <c r="I49" s="59">
        <f t="shared" si="6"/>
        <v>-167.4450093189233</v>
      </c>
      <c r="K49" s="58"/>
      <c r="L49" s="6">
        <f t="shared" si="8"/>
        <v>-21676.605672880582</v>
      </c>
      <c r="M49" s="59">
        <f t="shared" si="9"/>
        <v>-156.49840477430035</v>
      </c>
      <c r="O49" s="58"/>
      <c r="P49" s="6">
        <f t="shared" si="10"/>
        <v>-6750.5451684433592</v>
      </c>
      <c r="Q49" s="59">
        <f t="shared" si="11"/>
        <v>-48.736853276913614</v>
      </c>
      <c r="R49" s="58"/>
      <c r="S49" s="57">
        <f t="shared" si="1"/>
        <v>-51619.971522996231</v>
      </c>
    </row>
    <row r="50" spans="2:19" x14ac:dyDescent="0.25">
      <c r="B50" s="63">
        <f t="shared" si="2"/>
        <v>43374</v>
      </c>
      <c r="C50" s="62"/>
      <c r="D50" s="61">
        <f t="shared" si="12"/>
        <v>8.7261784810126572E-2</v>
      </c>
      <c r="E50" s="60">
        <f t="shared" si="0"/>
        <v>7.2718154008438807E-3</v>
      </c>
      <c r="G50" s="58"/>
      <c r="H50" s="6">
        <f t="shared" si="5"/>
        <v>-23360.265690991211</v>
      </c>
      <c r="I50" s="59">
        <f t="shared" si="6"/>
        <v>-168.65391062199501</v>
      </c>
      <c r="K50" s="58"/>
      <c r="L50" s="6">
        <f t="shared" si="8"/>
        <v>-21833.104077654883</v>
      </c>
      <c r="M50" s="59">
        <f t="shared" si="9"/>
        <v>-157.62827497007285</v>
      </c>
      <c r="O50" s="58"/>
      <c r="P50" s="6">
        <f t="shared" si="10"/>
        <v>-6799.2820217202725</v>
      </c>
      <c r="Q50" s="59">
        <f t="shared" si="11"/>
        <v>-49.088718319978668</v>
      </c>
      <c r="R50" s="58"/>
      <c r="S50" s="57">
        <f t="shared" si="1"/>
        <v>-51992.651790366363</v>
      </c>
    </row>
    <row r="51" spans="2:19" x14ac:dyDescent="0.25">
      <c r="B51" s="63">
        <f t="shared" si="2"/>
        <v>43405</v>
      </c>
      <c r="C51" s="62"/>
      <c r="D51" s="61">
        <f t="shared" si="12"/>
        <v>8.7261784810126572E-2</v>
      </c>
      <c r="E51" s="60">
        <f t="shared" si="0"/>
        <v>7.2718154008438807E-3</v>
      </c>
      <c r="G51" s="58"/>
      <c r="H51" s="6">
        <f t="shared" si="5"/>
        <v>-23528.919601613205</v>
      </c>
      <c r="I51" s="59">
        <f t="shared" si="6"/>
        <v>-169.87153981955481</v>
      </c>
      <c r="K51" s="58"/>
      <c r="L51" s="6">
        <f t="shared" si="8"/>
        <v>-21990.732352624957</v>
      </c>
      <c r="M51" s="59">
        <f t="shared" si="9"/>
        <v>-158.7663024801181</v>
      </c>
      <c r="O51" s="58"/>
      <c r="P51" s="6">
        <f t="shared" si="10"/>
        <v>-6848.3707400402509</v>
      </c>
      <c r="Q51" s="59">
        <f t="shared" si="11"/>
        <v>-49.443123720226396</v>
      </c>
      <c r="R51" s="58"/>
      <c r="S51" s="57">
        <f t="shared" si="1"/>
        <v>-52368.022694278414</v>
      </c>
    </row>
    <row r="52" spans="2:19" x14ac:dyDescent="0.25">
      <c r="B52" s="63">
        <f t="shared" si="2"/>
        <v>43435</v>
      </c>
      <c r="C52" s="62"/>
      <c r="D52" s="61">
        <f t="shared" si="12"/>
        <v>8.7261784810126572E-2</v>
      </c>
      <c r="E52" s="60">
        <f t="shared" si="0"/>
        <v>7.2718154008438807E-3</v>
      </c>
      <c r="G52" s="58"/>
      <c r="H52" s="6">
        <f t="shared" si="5"/>
        <v>-23698.791141432761</v>
      </c>
      <c r="I52" s="59">
        <f t="shared" si="6"/>
        <v>-171.09795992422838</v>
      </c>
      <c r="K52" s="58"/>
      <c r="L52" s="6">
        <f t="shared" si="8"/>
        <v>-22149.498655105075</v>
      </c>
      <c r="M52" s="59">
        <f t="shared" si="9"/>
        <v>-159.91254619765394</v>
      </c>
      <c r="O52" s="58"/>
      <c r="P52" s="6">
        <f t="shared" si="10"/>
        <v>-6897.813863760477</v>
      </c>
      <c r="Q52" s="59">
        <f t="shared" si="11"/>
        <v>-49.800087818113298</v>
      </c>
      <c r="R52" s="58"/>
      <c r="S52" s="57">
        <f t="shared" si="1"/>
        <v>-52746.103660298315</v>
      </c>
    </row>
    <row r="53" spans="2:19" x14ac:dyDescent="0.25">
      <c r="B53" s="63">
        <f t="shared" si="2"/>
        <v>43466</v>
      </c>
      <c r="C53" s="62"/>
      <c r="D53" s="61">
        <f t="shared" si="12"/>
        <v>8.7261784810126572E-2</v>
      </c>
      <c r="E53" s="60">
        <f t="shared" si="0"/>
        <v>7.2718154008438807E-3</v>
      </c>
      <c r="G53" s="58"/>
      <c r="H53" s="6">
        <f t="shared" si="5"/>
        <v>-23869.889101356988</v>
      </c>
      <c r="I53" s="59">
        <f t="shared" si="6"/>
        <v>-172.33323440365328</v>
      </c>
      <c r="K53" s="58"/>
      <c r="L53" s="6">
        <f t="shared" si="8"/>
        <v>-22309.41120130273</v>
      </c>
      <c r="M53" s="59">
        <f t="shared" si="9"/>
        <v>-161.06706544116392</v>
      </c>
      <c r="O53" s="58"/>
      <c r="P53" s="6">
        <f t="shared" si="10"/>
        <v>-6947.6139515785908</v>
      </c>
      <c r="Q53" s="59">
        <f t="shared" si="11"/>
        <v>-50.159629086647868</v>
      </c>
      <c r="R53" s="58"/>
      <c r="S53" s="57">
        <f t="shared" si="1"/>
        <v>-53126.914254238305</v>
      </c>
    </row>
    <row r="54" spans="2:19" x14ac:dyDescent="0.25">
      <c r="B54" s="63">
        <f t="shared" si="2"/>
        <v>43497</v>
      </c>
      <c r="C54" s="62"/>
      <c r="D54" s="61">
        <f t="shared" si="12"/>
        <v>8.7261784810126572E-2</v>
      </c>
      <c r="E54" s="60">
        <f t="shared" si="0"/>
        <v>7.2718154008438807E-3</v>
      </c>
      <c r="G54" s="58"/>
      <c r="H54" s="6">
        <f t="shared" si="5"/>
        <v>-24042.222335760642</v>
      </c>
      <c r="I54" s="59">
        <f t="shared" si="6"/>
        <v>-173.57742718368326</v>
      </c>
      <c r="K54" s="58"/>
      <c r="L54" s="6">
        <f t="shared" si="8"/>
        <v>-22470.478266743892</v>
      </c>
      <c r="M54" s="59">
        <f t="shared" si="9"/>
        <v>-162.22991995739218</v>
      </c>
      <c r="O54" s="58"/>
      <c r="P54" s="6">
        <f t="shared" si="10"/>
        <v>-6997.773580665239</v>
      </c>
      <c r="Q54" s="59">
        <f t="shared" si="11"/>
        <v>-50.521766132207006</v>
      </c>
      <c r="R54" s="58"/>
      <c r="S54" s="57">
        <f t="shared" si="1"/>
        <v>-53510.474183169776</v>
      </c>
    </row>
    <row r="55" spans="2:19" x14ac:dyDescent="0.25">
      <c r="B55" s="63">
        <f t="shared" si="2"/>
        <v>43525</v>
      </c>
      <c r="C55" s="62"/>
      <c r="D55" s="61">
        <f t="shared" si="12"/>
        <v>8.7261784810126572E-2</v>
      </c>
      <c r="E55" s="60">
        <f t="shared" si="0"/>
        <v>7.2718154008438807E-3</v>
      </c>
      <c r="G55" s="58"/>
      <c r="H55" s="6">
        <f t="shared" si="5"/>
        <v>-24215.799762944323</v>
      </c>
      <c r="I55" s="59">
        <f t="shared" si="6"/>
        <v>-174.83060265169698</v>
      </c>
      <c r="K55" s="58"/>
      <c r="L55" s="6">
        <f t="shared" si="8"/>
        <v>-22632.708186701286</v>
      </c>
      <c r="M55" s="59">
        <f t="shared" si="9"/>
        <v>-163.40116992443595</v>
      </c>
      <c r="O55" s="58"/>
      <c r="P55" s="6">
        <f t="shared" si="10"/>
        <v>-7048.2953467974457</v>
      </c>
      <c r="Q55" s="59">
        <f t="shared" si="11"/>
        <v>-50.886517695499911</v>
      </c>
      <c r="R55" s="58"/>
      <c r="S55" s="57">
        <f t="shared" si="1"/>
        <v>-53896.80329644306</v>
      </c>
    </row>
    <row r="56" spans="2:19" x14ac:dyDescent="0.25">
      <c r="B56" s="63">
        <f t="shared" si="2"/>
        <v>43556</v>
      </c>
      <c r="C56" s="62"/>
      <c r="D56" s="61">
        <f t="shared" si="12"/>
        <v>8.7261784810126572E-2</v>
      </c>
      <c r="E56" s="60">
        <f t="shared" si="0"/>
        <v>7.2718154008438807E-3</v>
      </c>
      <c r="G56" s="58"/>
      <c r="H56" s="6">
        <f t="shared" si="5"/>
        <v>-24390.630365596022</v>
      </c>
      <c r="I56" s="59">
        <f t="shared" si="6"/>
        <v>-176.09282565993013</v>
      </c>
      <c r="K56" s="58"/>
      <c r="L56" s="6">
        <f t="shared" si="8"/>
        <v>-22796.109356625722</v>
      </c>
      <c r="M56" s="59">
        <f t="shared" si="9"/>
        <v>-164.58087595485978</v>
      </c>
      <c r="O56" s="58"/>
      <c r="P56" s="6">
        <f t="shared" si="10"/>
        <v>-7099.1818644929454</v>
      </c>
      <c r="Q56" s="59">
        <f t="shared" si="11"/>
        <v>-51.253902652537924</v>
      </c>
      <c r="R56" s="58"/>
      <c r="S56" s="57">
        <f t="shared" si="1"/>
        <v>-54285.921586714685</v>
      </c>
    </row>
    <row r="57" spans="2:19" x14ac:dyDescent="0.25">
      <c r="B57" s="63">
        <f t="shared" si="2"/>
        <v>43586</v>
      </c>
      <c r="C57" s="62"/>
      <c r="D57" s="61">
        <f t="shared" si="12"/>
        <v>8.7261784810126572E-2</v>
      </c>
      <c r="E57" s="60">
        <f t="shared" si="0"/>
        <v>7.2718154008438807E-3</v>
      </c>
      <c r="G57" s="58"/>
      <c r="H57" s="6">
        <f t="shared" si="5"/>
        <v>-24566.723191255951</v>
      </c>
      <c r="I57" s="59">
        <f t="shared" si="6"/>
        <v>-177.36416152883157</v>
      </c>
      <c r="K57" s="58"/>
      <c r="L57" s="6">
        <f t="shared" si="8"/>
        <v>-22960.690232580582</v>
      </c>
      <c r="M57" s="59">
        <f t="shared" si="9"/>
        <v>-165.76909909883221</v>
      </c>
      <c r="O57" s="58"/>
      <c r="P57" s="6">
        <f t="shared" si="10"/>
        <v>-7150.4357671454836</v>
      </c>
      <c r="Q57" s="59">
        <f t="shared" si="11"/>
        <v>-51.623940015611375</v>
      </c>
      <c r="R57" s="58"/>
      <c r="S57" s="57">
        <f t="shared" si="1"/>
        <v>-54677.849190982015</v>
      </c>
    </row>
    <row r="58" spans="2:19" x14ac:dyDescent="0.25">
      <c r="B58" s="63">
        <f t="shared" si="2"/>
        <v>43617</v>
      </c>
      <c r="C58" s="62"/>
      <c r="D58" s="61">
        <f t="shared" si="12"/>
        <v>8.7261784810126572E-2</v>
      </c>
      <c r="E58" s="60">
        <f t="shared" si="0"/>
        <v>7.2718154008438807E-3</v>
      </c>
      <c r="G58" s="58"/>
      <c r="H58" s="6">
        <f t="shared" si="5"/>
        <v>-24744.087352784783</v>
      </c>
      <c r="I58" s="59">
        <f t="shared" si="6"/>
        <v>-178.64467605044356</v>
      </c>
      <c r="K58" s="58"/>
      <c r="L58" s="6">
        <f t="shared" si="8"/>
        <v>-23126.459331679416</v>
      </c>
      <c r="M58" s="59">
        <f t="shared" si="9"/>
        <v>-166.96590084728516</v>
      </c>
      <c r="O58" s="58"/>
      <c r="P58" s="6">
        <f t="shared" si="10"/>
        <v>-7202.0597071610946</v>
      </c>
      <c r="Q58" s="59">
        <f t="shared" si="11"/>
        <v>-51.996648934273459</v>
      </c>
      <c r="R58" s="58"/>
      <c r="S58" s="57">
        <f t="shared" si="1"/>
        <v>-55072.60639162529</v>
      </c>
    </row>
    <row r="59" spans="2:19" x14ac:dyDescent="0.25">
      <c r="B59" s="63">
        <f t="shared" si="2"/>
        <v>43647</v>
      </c>
      <c r="C59" s="62"/>
      <c r="D59" s="61">
        <f t="shared" si="12"/>
        <v>8.7261784810126572E-2</v>
      </c>
      <c r="E59" s="60">
        <f t="shared" si="0"/>
        <v>7.2718154008438807E-3</v>
      </c>
      <c r="G59" s="58"/>
      <c r="H59" s="6">
        <f t="shared" si="5"/>
        <v>-24922.732028835228</v>
      </c>
      <c r="I59" s="59">
        <f t="shared" si="6"/>
        <v>-179.93443549180668</v>
      </c>
      <c r="K59" s="58"/>
      <c r="L59" s="6">
        <f t="shared" si="8"/>
        <v>-23293.425232526701</v>
      </c>
      <c r="M59" s="59">
        <f t="shared" si="9"/>
        <v>-168.17134313509607</v>
      </c>
      <c r="O59" s="58"/>
      <c r="P59" s="6">
        <f t="shared" si="10"/>
        <v>-7254.0563560953678</v>
      </c>
      <c r="Q59" s="59">
        <f t="shared" si="11"/>
        <v>-52.37204869633122</v>
      </c>
      <c r="R59" s="58"/>
      <c r="S59" s="57">
        <f t="shared" si="1"/>
        <v>-55470.213617457295</v>
      </c>
    </row>
    <row r="60" spans="2:19" x14ac:dyDescent="0.25">
      <c r="B60" s="63">
        <f t="shared" si="2"/>
        <v>43678</v>
      </c>
      <c r="C60" s="62"/>
      <c r="D60" s="61">
        <f t="shared" si="12"/>
        <v>8.7261784810126572E-2</v>
      </c>
      <c r="E60" s="60">
        <f t="shared" si="0"/>
        <v>7.2718154008438807E-3</v>
      </c>
      <c r="G60" s="58"/>
      <c r="H60" s="6">
        <f t="shared" si="5"/>
        <v>-25102.666464327034</v>
      </c>
      <c r="I60" s="59">
        <f t="shared" si="6"/>
        <v>-181.23350659838906</v>
      </c>
      <c r="K60" s="58"/>
      <c r="L60" s="6">
        <f t="shared" si="8"/>
        <v>-23461.596575661795</v>
      </c>
      <c r="M60" s="59">
        <f t="shared" si="9"/>
        <v>-169.38548834429312</v>
      </c>
      <c r="O60" s="58"/>
      <c r="P60" s="6">
        <f t="shared" si="10"/>
        <v>-7306.428404791699</v>
      </c>
      <c r="Q60" s="59">
        <f t="shared" si="11"/>
        <v>-52.750158728843736</v>
      </c>
      <c r="R60" s="58"/>
      <c r="S60" s="57">
        <f t="shared" si="1"/>
        <v>-55870.691444780532</v>
      </c>
    </row>
    <row r="61" spans="2:19" x14ac:dyDescent="0.25">
      <c r="B61" s="63">
        <f t="shared" si="2"/>
        <v>43709</v>
      </c>
      <c r="C61" s="62"/>
      <c r="D61" s="61">
        <f t="shared" si="12"/>
        <v>8.7261784810126572E-2</v>
      </c>
      <c r="E61" s="60">
        <f t="shared" si="0"/>
        <v>7.2718154008438807E-3</v>
      </c>
      <c r="G61" s="58"/>
      <c r="H61" s="6">
        <f t="shared" si="5"/>
        <v>-25283.899970925424</v>
      </c>
      <c r="I61" s="59">
        <f t="shared" si="6"/>
        <v>-182.54195659754055</v>
      </c>
      <c r="K61" s="58"/>
      <c r="L61" s="6">
        <f t="shared" si="8"/>
        <v>-23630.98206400609</v>
      </c>
      <c r="M61" s="59">
        <f t="shared" si="9"/>
        <v>-170.60839930728349</v>
      </c>
      <c r="O61" s="58"/>
      <c r="P61" s="6">
        <f t="shared" si="10"/>
        <v>-7359.1785635205424</v>
      </c>
      <c r="Q61" s="59">
        <f t="shared" si="11"/>
        <v>-53.130998599127466</v>
      </c>
      <c r="R61" s="58"/>
      <c r="S61" s="57">
        <f t="shared" si="1"/>
        <v>-56274.060598452052</v>
      </c>
    </row>
    <row r="62" spans="2:19" x14ac:dyDescent="0.25">
      <c r="B62" s="63">
        <f t="shared" si="2"/>
        <v>43739</v>
      </c>
      <c r="C62" s="62"/>
      <c r="D62" s="61">
        <f t="shared" si="12"/>
        <v>8.7261784810126572E-2</v>
      </c>
      <c r="E62" s="60">
        <f t="shared" si="0"/>
        <v>7.2718154008438807E-3</v>
      </c>
      <c r="G62" s="58"/>
      <c r="H62" s="6">
        <f t="shared" si="5"/>
        <v>-25466.441927522963</v>
      </c>
      <c r="I62" s="59">
        <f t="shared" si="6"/>
        <v>-183.85985320197165</v>
      </c>
      <c r="K62" s="58"/>
      <c r="L62" s="6">
        <f t="shared" si="8"/>
        <v>-23801.590463313372</v>
      </c>
      <c r="M62" s="59">
        <f t="shared" si="9"/>
        <v>-171.840139310105</v>
      </c>
      <c r="O62" s="58"/>
      <c r="P62" s="6">
        <f t="shared" si="10"/>
        <v>-7412.3095621196699</v>
      </c>
      <c r="Q62" s="59">
        <f t="shared" si="11"/>
        <v>-53.51458801576883</v>
      </c>
      <c r="R62" s="58"/>
      <c r="S62" s="57">
        <f t="shared" si="1"/>
        <v>-56680.341952956005</v>
      </c>
    </row>
    <row r="63" spans="2:19" x14ac:dyDescent="0.25">
      <c r="B63" s="63">
        <f t="shared" si="2"/>
        <v>43770</v>
      </c>
      <c r="C63" s="62"/>
      <c r="D63" s="61">
        <f t="shared" si="12"/>
        <v>8.7261784810126572E-2</v>
      </c>
      <c r="E63" s="60">
        <f t="shared" si="0"/>
        <v>7.2718154008438807E-3</v>
      </c>
      <c r="G63" s="58"/>
      <c r="H63" s="6">
        <f t="shared" si="5"/>
        <v>-25650.301780724934</v>
      </c>
      <c r="I63" s="59">
        <f t="shared" si="6"/>
        <v>-185.18726461325781</v>
      </c>
      <c r="K63" s="58"/>
      <c r="L63" s="6">
        <f t="shared" si="8"/>
        <v>-23973.430602623477</v>
      </c>
      <c r="M63" s="59">
        <f t="shared" si="9"/>
        <v>-173.08077209570101</v>
      </c>
      <c r="O63" s="58"/>
      <c r="P63" s="6">
        <f t="shared" si="10"/>
        <v>-7465.8241501354387</v>
      </c>
      <c r="Q63" s="59">
        <f t="shared" si="11"/>
        <v>-53.900946829644177</v>
      </c>
      <c r="R63" s="58"/>
      <c r="S63" s="57">
        <f t="shared" si="1"/>
        <v>-57089.556533483847</v>
      </c>
    </row>
    <row r="64" spans="2:19" x14ac:dyDescent="0.25">
      <c r="B64" s="56">
        <f t="shared" si="2"/>
        <v>43800</v>
      </c>
      <c r="C64" s="55"/>
      <c r="D64" s="54">
        <f t="shared" si="12"/>
        <v>8.7261784810126572E-2</v>
      </c>
      <c r="E64" s="53">
        <f t="shared" si="0"/>
        <v>7.2718154008438807E-3</v>
      </c>
      <c r="F64" s="52"/>
      <c r="G64" s="49"/>
      <c r="H64" s="51">
        <f t="shared" si="5"/>
        <v>-25835.489045338192</v>
      </c>
      <c r="I64" s="50">
        <f t="shared" si="6"/>
        <v>-186.52425952536879</v>
      </c>
      <c r="J64" s="52"/>
      <c r="K64" s="49"/>
      <c r="L64" s="51">
        <f t="shared" si="8"/>
        <v>-24146.511374719179</v>
      </c>
      <c r="M64" s="50">
        <f t="shared" si="9"/>
        <v>-174.33036186721941</v>
      </c>
      <c r="N64" s="52"/>
      <c r="O64" s="49"/>
      <c r="P64" s="51">
        <f t="shared" si="10"/>
        <v>-7519.7250969650831</v>
      </c>
      <c r="Q64" s="50">
        <f t="shared" si="11"/>
        <v>-54.290095034947058</v>
      </c>
      <c r="R64" s="49"/>
      <c r="S64" s="48">
        <f t="shared" si="1"/>
        <v>-57501.725517022453</v>
      </c>
    </row>
    <row r="65" spans="2:5" x14ac:dyDescent="0.25">
      <c r="B65" s="47"/>
      <c r="D65" s="46"/>
      <c r="E65" s="46"/>
    </row>
    <row r="66" spans="2:5" x14ac:dyDescent="0.25">
      <c r="B66" s="47"/>
      <c r="D66" s="46"/>
      <c r="E66" s="46"/>
    </row>
    <row r="67" spans="2:5" x14ac:dyDescent="0.25">
      <c r="B67" s="47"/>
      <c r="D67" s="46"/>
      <c r="E67" s="46"/>
    </row>
    <row r="68" spans="2:5" x14ac:dyDescent="0.25">
      <c r="B68" s="47"/>
      <c r="D68" s="46"/>
      <c r="E68" s="46"/>
    </row>
    <row r="69" spans="2:5" x14ac:dyDescent="0.25">
      <c r="B69" s="47"/>
      <c r="D69" s="46"/>
      <c r="E69" s="46"/>
    </row>
    <row r="70" spans="2:5" x14ac:dyDescent="0.25">
      <c r="B70" s="47"/>
      <c r="D70" s="46"/>
      <c r="E70" s="46"/>
    </row>
    <row r="71" spans="2:5" x14ac:dyDescent="0.25">
      <c r="B71" s="47"/>
      <c r="D71" s="46"/>
      <c r="E71" s="46"/>
    </row>
    <row r="72" spans="2:5" x14ac:dyDescent="0.25">
      <c r="B72" s="47"/>
      <c r="D72" s="46"/>
      <c r="E72" s="46"/>
    </row>
    <row r="73" spans="2:5" x14ac:dyDescent="0.25">
      <c r="B73" s="47"/>
      <c r="D73" s="46"/>
      <c r="E73" s="46"/>
    </row>
    <row r="74" spans="2:5" x14ac:dyDescent="0.25">
      <c r="B74" s="47"/>
      <c r="D74" s="46"/>
      <c r="E74" s="46"/>
    </row>
    <row r="75" spans="2:5" x14ac:dyDescent="0.25">
      <c r="B75" s="47"/>
      <c r="D75" s="46"/>
      <c r="E75" s="46"/>
    </row>
    <row r="76" spans="2:5" x14ac:dyDescent="0.25">
      <c r="B76" s="47"/>
      <c r="D76" s="46"/>
      <c r="E76" s="46"/>
    </row>
    <row r="77" spans="2:5" x14ac:dyDescent="0.25">
      <c r="B77" s="47"/>
      <c r="D77" s="46"/>
      <c r="E77" s="46"/>
    </row>
    <row r="78" spans="2:5" x14ac:dyDescent="0.25">
      <c r="B78" s="47"/>
      <c r="D78" s="46"/>
      <c r="E78" s="46"/>
    </row>
  </sheetData>
  <mergeCells count="3">
    <mergeCell ref="G5:I5"/>
    <mergeCell ref="K5:M5"/>
    <mergeCell ref="O5:Q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159FA-7F62-4F9B-8472-A07B074294CC}">
  <sheetPr codeName="Sheet5"/>
  <dimension ref="B2:S77"/>
  <sheetViews>
    <sheetView workbookViewId="0">
      <selection activeCell="I18" sqref="I18"/>
    </sheetView>
  </sheetViews>
  <sheetFormatPr defaultRowHeight="15" x14ac:dyDescent="0.25"/>
  <cols>
    <col min="1" max="2" width="9.140625" style="1"/>
    <col min="3" max="3" width="4.5703125" style="1" customWidth="1"/>
    <col min="4" max="4" width="12.5703125" style="1" customWidth="1"/>
    <col min="5" max="5" width="9.140625" style="1"/>
    <col min="6" max="6" width="4.5703125" style="1" customWidth="1"/>
    <col min="7" max="9" width="12.28515625" style="1" customWidth="1"/>
    <col min="10" max="10" width="4.5703125" style="1" customWidth="1"/>
    <col min="11" max="13" width="12.28515625" style="1" customWidth="1"/>
    <col min="14" max="14" width="4.5703125" style="1" customWidth="1"/>
    <col min="15" max="17" width="12.28515625" style="1" customWidth="1"/>
    <col min="18" max="18" width="4.5703125" style="1" customWidth="1"/>
    <col min="19" max="19" width="13.42578125" style="1" customWidth="1"/>
    <col min="20" max="16384" width="9.140625" style="1"/>
  </cols>
  <sheetData>
    <row r="2" spans="2:19" x14ac:dyDescent="0.25">
      <c r="F2" s="29"/>
      <c r="G2" s="99" t="s">
        <v>13</v>
      </c>
      <c r="H2" s="98"/>
      <c r="I2" s="98"/>
      <c r="J2" s="98"/>
      <c r="K2" s="98"/>
      <c r="L2" s="98"/>
      <c r="M2" s="98"/>
      <c r="N2" s="98"/>
      <c r="O2" s="98"/>
      <c r="P2" s="98"/>
      <c r="Q2" s="97"/>
    </row>
    <row r="3" spans="2:19" x14ac:dyDescent="0.25">
      <c r="B3" s="83"/>
      <c r="C3" s="84"/>
      <c r="D3" s="84"/>
      <c r="E3" s="84"/>
      <c r="F3" s="96" t="s">
        <v>12</v>
      </c>
      <c r="G3" s="95">
        <v>42380</v>
      </c>
      <c r="H3" s="94"/>
      <c r="I3" s="93"/>
      <c r="J3" s="91"/>
      <c r="K3" s="95">
        <v>42736</v>
      </c>
      <c r="L3" s="94"/>
      <c r="M3" s="93"/>
      <c r="N3" s="91"/>
      <c r="O3" s="95">
        <v>43101</v>
      </c>
      <c r="P3" s="94"/>
      <c r="Q3" s="93"/>
      <c r="R3" s="83"/>
      <c r="S3" s="81" t="s">
        <v>11</v>
      </c>
    </row>
    <row r="4" spans="2:19" x14ac:dyDescent="0.25">
      <c r="B4" s="58"/>
      <c r="D4" s="81" t="s">
        <v>61</v>
      </c>
      <c r="F4" s="92" t="s">
        <v>10</v>
      </c>
      <c r="G4" s="90">
        <f>+K3</f>
        <v>42736</v>
      </c>
      <c r="H4" s="89"/>
      <c r="I4" s="88"/>
      <c r="J4" s="91"/>
      <c r="K4" s="90">
        <f>+O3</f>
        <v>43101</v>
      </c>
      <c r="L4" s="89"/>
      <c r="M4" s="88"/>
      <c r="N4" s="91"/>
      <c r="O4" s="90">
        <v>43220</v>
      </c>
      <c r="P4" s="89"/>
      <c r="Q4" s="88"/>
      <c r="R4" s="58"/>
      <c r="S4" s="86" t="s">
        <v>9</v>
      </c>
    </row>
    <row r="5" spans="2:19" x14ac:dyDescent="0.25">
      <c r="B5" s="58"/>
      <c r="D5" s="65" t="s">
        <v>39</v>
      </c>
      <c r="F5" s="87" t="s">
        <v>38</v>
      </c>
      <c r="G5" s="106">
        <f>+G4-G3</f>
        <v>356</v>
      </c>
      <c r="H5" s="107"/>
      <c r="I5" s="108"/>
      <c r="K5" s="106">
        <f>+K4-K3</f>
        <v>365</v>
      </c>
      <c r="L5" s="107"/>
      <c r="M5" s="108"/>
      <c r="O5" s="106">
        <f>+O4-O3</f>
        <v>119</v>
      </c>
      <c r="P5" s="107"/>
      <c r="Q5" s="108"/>
      <c r="R5" s="58"/>
      <c r="S5" s="65"/>
    </row>
    <row r="6" spans="2:19" x14ac:dyDescent="0.25">
      <c r="B6" s="58"/>
      <c r="D6" s="86" t="s">
        <v>37</v>
      </c>
      <c r="F6" s="62"/>
      <c r="G6" s="58"/>
      <c r="I6" s="62"/>
      <c r="K6" s="58"/>
      <c r="M6" s="62"/>
      <c r="O6" s="58"/>
      <c r="Q6" s="62"/>
      <c r="R6" s="58"/>
      <c r="S6" s="65"/>
    </row>
    <row r="7" spans="2:19" x14ac:dyDescent="0.25">
      <c r="B7" s="83" t="s">
        <v>5</v>
      </c>
      <c r="C7" s="84"/>
      <c r="D7" s="85">
        <f>+'[4]Attrition 09.2014 to 2016'!$Y$14</f>
        <v>-4258.4880808790831</v>
      </c>
      <c r="E7" s="84"/>
      <c r="F7" s="82"/>
      <c r="G7" s="80">
        <f>+$D7*G$5/366</f>
        <v>-4142.1359475217305</v>
      </c>
      <c r="H7" s="79"/>
      <c r="I7" s="78"/>
      <c r="J7" s="79"/>
      <c r="K7" s="80">
        <f>+$D7*K$5/365</f>
        <v>-4258.4880808790831</v>
      </c>
      <c r="L7" s="79"/>
      <c r="M7" s="78"/>
      <c r="N7" s="79"/>
      <c r="O7" s="80">
        <f>+$D7*O$5/365</f>
        <v>-1388.3837852729066</v>
      </c>
      <c r="P7" s="79"/>
      <c r="Q7" s="78"/>
      <c r="R7" s="80"/>
      <c r="S7" s="85">
        <f>+SUM(G7:O7)</f>
        <v>-9789.0078136737193</v>
      </c>
    </row>
    <row r="8" spans="2:19" x14ac:dyDescent="0.25">
      <c r="B8" s="83" t="s">
        <v>4</v>
      </c>
      <c r="C8" s="84"/>
      <c r="D8" s="85">
        <f>+'[4]Attrition 09.2014 to 2016'!$Y$15</f>
        <v>-2227.756371771914</v>
      </c>
      <c r="E8" s="84"/>
      <c r="F8" s="82"/>
      <c r="G8" s="80">
        <f>+$D8*G$5/366</f>
        <v>-2166.8887113409874</v>
      </c>
      <c r="H8" s="79"/>
      <c r="I8" s="78"/>
      <c r="J8" s="79"/>
      <c r="K8" s="80">
        <f>+$D8*K$5/365</f>
        <v>-2227.756371771914</v>
      </c>
      <c r="L8" s="79"/>
      <c r="M8" s="78"/>
      <c r="N8" s="79"/>
      <c r="O8" s="80">
        <f>+$D8*O$5/365</f>
        <v>-726.30961161878838</v>
      </c>
      <c r="P8" s="79"/>
      <c r="Q8" s="78"/>
      <c r="R8" s="80"/>
      <c r="S8" s="85">
        <f>+SUM(G8:O8)</f>
        <v>-5120.9546947316894</v>
      </c>
    </row>
    <row r="9" spans="2:19" x14ac:dyDescent="0.25">
      <c r="B9" s="69" t="s">
        <v>3</v>
      </c>
      <c r="C9" s="73"/>
      <c r="D9" s="68">
        <f>+SUM(D7:D8)</f>
        <v>-6486.2444526509971</v>
      </c>
      <c r="E9" s="73"/>
      <c r="F9" s="75"/>
      <c r="G9" s="72">
        <f>+$D9*G$5/366</f>
        <v>-6309.0246588627188</v>
      </c>
      <c r="H9" s="71"/>
      <c r="I9" s="70"/>
      <c r="J9" s="71"/>
      <c r="K9" s="72">
        <f>+$D9*K$5/365</f>
        <v>-6486.2444526509971</v>
      </c>
      <c r="L9" s="71"/>
      <c r="M9" s="70"/>
      <c r="N9" s="71"/>
      <c r="O9" s="72">
        <f>+$D9*O$5/365</f>
        <v>-2114.6933968916951</v>
      </c>
      <c r="P9" s="71"/>
      <c r="Q9" s="70"/>
      <c r="R9" s="72"/>
      <c r="S9" s="68">
        <f>+SUM(G9:O9)</f>
        <v>-14909.962508405411</v>
      </c>
    </row>
    <row r="10" spans="2:19" x14ac:dyDescent="0.25">
      <c r="B10" s="49"/>
      <c r="C10" s="52"/>
      <c r="D10" s="52"/>
      <c r="E10" s="52"/>
      <c r="F10" s="55"/>
      <c r="G10" s="64"/>
      <c r="H10" s="6"/>
      <c r="I10" s="59"/>
      <c r="J10" s="6"/>
      <c r="K10" s="64"/>
      <c r="L10" s="6"/>
      <c r="M10" s="59"/>
      <c r="N10" s="6"/>
      <c r="O10" s="80"/>
      <c r="P10" s="79"/>
      <c r="Q10" s="78"/>
      <c r="R10" s="64"/>
      <c r="S10" s="57"/>
    </row>
    <row r="11" spans="2:19" x14ac:dyDescent="0.25">
      <c r="B11" s="83"/>
      <c r="C11" s="84"/>
      <c r="D11" s="83" t="s">
        <v>36</v>
      </c>
      <c r="E11" s="82" t="s">
        <v>35</v>
      </c>
      <c r="F11" s="81"/>
      <c r="G11" s="80" t="s">
        <v>9</v>
      </c>
      <c r="H11" s="79" t="s">
        <v>9</v>
      </c>
      <c r="I11" s="78"/>
      <c r="J11" s="6"/>
      <c r="K11" s="80" t="s">
        <v>9</v>
      </c>
      <c r="L11" s="79" t="s">
        <v>9</v>
      </c>
      <c r="M11" s="78"/>
      <c r="N11" s="6"/>
      <c r="O11" s="77" t="s">
        <v>9</v>
      </c>
      <c r="P11" s="51" t="s">
        <v>9</v>
      </c>
      <c r="Q11" s="50"/>
      <c r="R11" s="64"/>
      <c r="S11" s="57"/>
    </row>
    <row r="12" spans="2:19" x14ac:dyDescent="0.25">
      <c r="B12" s="58"/>
      <c r="D12" s="58" t="s">
        <v>22</v>
      </c>
      <c r="E12" s="62" t="s">
        <v>22</v>
      </c>
      <c r="F12" s="65"/>
      <c r="G12" s="49" t="s">
        <v>34</v>
      </c>
      <c r="H12" s="52" t="s">
        <v>33</v>
      </c>
      <c r="I12" s="55" t="s">
        <v>32</v>
      </c>
      <c r="K12" s="49" t="s">
        <v>34</v>
      </c>
      <c r="L12" s="52" t="s">
        <v>33</v>
      </c>
      <c r="M12" s="55" t="s">
        <v>32</v>
      </c>
      <c r="O12" s="58" t="s">
        <v>34</v>
      </c>
      <c r="P12" s="1" t="s">
        <v>33</v>
      </c>
      <c r="Q12" s="62" t="s">
        <v>32</v>
      </c>
      <c r="R12" s="58"/>
      <c r="S12" s="65"/>
    </row>
    <row r="13" spans="2:19" x14ac:dyDescent="0.25">
      <c r="B13" s="58"/>
      <c r="D13" s="58"/>
      <c r="E13" s="62"/>
      <c r="F13" s="65"/>
      <c r="G13" s="58"/>
      <c r="I13" s="62"/>
      <c r="K13" s="58"/>
      <c r="M13" s="62"/>
      <c r="O13" s="58"/>
      <c r="Q13" s="62"/>
      <c r="R13" s="58"/>
      <c r="S13" s="65"/>
    </row>
    <row r="14" spans="2:19" x14ac:dyDescent="0.25">
      <c r="B14" s="69" t="s">
        <v>31</v>
      </c>
      <c r="C14" s="73"/>
      <c r="D14" s="76"/>
      <c r="E14" s="75"/>
      <c r="F14" s="74" t="s">
        <v>30</v>
      </c>
      <c r="G14" s="72">
        <f>+SUM(G16:G63)</f>
        <v>-6309.0246588627197</v>
      </c>
      <c r="H14" s="71">
        <f>+H63</f>
        <v>-8590.765272534758</v>
      </c>
      <c r="I14" s="70">
        <f>+SUM(I16:I63)</f>
        <v>-2343.7632883117094</v>
      </c>
      <c r="J14" s="73"/>
      <c r="K14" s="72">
        <f>+SUM(K16:K63)</f>
        <v>-6486.2444526509962</v>
      </c>
      <c r="L14" s="71">
        <f>+L63</f>
        <v>-8029.1497872084319</v>
      </c>
      <c r="M14" s="70">
        <f>+SUM(M16:M63)</f>
        <v>-1600.873318676071</v>
      </c>
      <c r="N14" s="73"/>
      <c r="O14" s="72">
        <f>+SUM(O16:O63)</f>
        <v>-2150.2344623856729</v>
      </c>
      <c r="P14" s="71">
        <f>+P63</f>
        <v>-2500.4439865121221</v>
      </c>
      <c r="Q14" s="70">
        <f>+SUM(Q16:Q63)</f>
        <v>-368.26195821238304</v>
      </c>
      <c r="R14" s="69"/>
      <c r="S14" s="68">
        <f>+P14+L14+H14</f>
        <v>-19120.359046255311</v>
      </c>
    </row>
    <row r="15" spans="2:19" x14ac:dyDescent="0.25">
      <c r="B15" s="63"/>
      <c r="C15" s="62"/>
      <c r="D15" s="61"/>
      <c r="E15" s="62"/>
      <c r="G15" s="64"/>
      <c r="H15" s="67"/>
      <c r="I15" s="66"/>
      <c r="K15" s="58"/>
      <c r="M15" s="62"/>
      <c r="O15" s="58"/>
      <c r="Q15" s="62"/>
      <c r="R15" s="58"/>
      <c r="S15" s="65"/>
    </row>
    <row r="16" spans="2:19" x14ac:dyDescent="0.25">
      <c r="B16" s="63">
        <v>42370</v>
      </c>
      <c r="C16" s="62"/>
      <c r="D16" s="61">
        <f>+'Table 4 - Interest Rates'!N14</f>
        <v>9.7664615384615378E-2</v>
      </c>
      <c r="E16" s="60">
        <f t="shared" ref="E16:E63" si="0">+D16/12</f>
        <v>8.1387179487179481E-3</v>
      </c>
      <c r="G16" s="64">
        <f>+(B17-G3)/366*D9</f>
        <v>-372.16156695538507</v>
      </c>
      <c r="H16" s="6">
        <f>+H15+G16</f>
        <v>-372.16156695538507</v>
      </c>
      <c r="I16" s="59">
        <f>+H16/2*E16</f>
        <v>-1.5144590124013944</v>
      </c>
      <c r="K16" s="58"/>
      <c r="M16" s="62"/>
      <c r="O16" s="58"/>
      <c r="Q16" s="62"/>
      <c r="R16" s="58"/>
      <c r="S16" s="57">
        <f t="shared" ref="S16:S63" si="1">+P16+L16+H16</f>
        <v>-372.16156695538507</v>
      </c>
    </row>
    <row r="17" spans="2:19" x14ac:dyDescent="0.25">
      <c r="B17" s="63">
        <f t="shared" ref="B17:B63" si="2">+EDATE(B16,1)</f>
        <v>42401</v>
      </c>
      <c r="C17" s="62"/>
      <c r="D17" s="61">
        <f t="shared" ref="D17:D39" si="3">+D16</f>
        <v>9.7664615384615378E-2</v>
      </c>
      <c r="E17" s="60">
        <f t="shared" si="0"/>
        <v>8.1387179487179481E-3</v>
      </c>
      <c r="G17" s="64">
        <f t="shared" ref="G17:G27" si="4">+(B17-B16)/366*$D$9</f>
        <v>-549.38136074366366</v>
      </c>
      <c r="H17" s="6">
        <f t="shared" ref="H17:H63" si="5">+H16+G17+I16</f>
        <v>-923.05738671145014</v>
      </c>
      <c r="I17" s="59">
        <f t="shared" ref="I17:I63" si="6">+(H16+G17/2)*E17</f>
        <v>-5.2645479954905614</v>
      </c>
      <c r="K17" s="58"/>
      <c r="M17" s="62"/>
      <c r="O17" s="58"/>
      <c r="Q17" s="62"/>
      <c r="R17" s="58"/>
      <c r="S17" s="57">
        <f t="shared" si="1"/>
        <v>-923.05738671145014</v>
      </c>
    </row>
    <row r="18" spans="2:19" x14ac:dyDescent="0.25">
      <c r="B18" s="63">
        <f t="shared" si="2"/>
        <v>42430</v>
      </c>
      <c r="C18" s="62"/>
      <c r="D18" s="61">
        <f t="shared" si="3"/>
        <v>9.7664615384615378E-2</v>
      </c>
      <c r="E18" s="60">
        <f t="shared" si="0"/>
        <v>8.1387179487179481E-3</v>
      </c>
      <c r="G18" s="64">
        <f t="shared" si="4"/>
        <v>-513.93740198600801</v>
      </c>
      <c r="H18" s="6">
        <f t="shared" si="5"/>
        <v>-1442.2593366929489</v>
      </c>
      <c r="I18" s="59">
        <f t="shared" si="6"/>
        <v>-9.6038994999556593</v>
      </c>
      <c r="K18" s="58"/>
      <c r="M18" s="62"/>
      <c r="O18" s="58"/>
      <c r="Q18" s="62"/>
      <c r="R18" s="58"/>
      <c r="S18" s="57">
        <f t="shared" si="1"/>
        <v>-1442.2593366929489</v>
      </c>
    </row>
    <row r="19" spans="2:19" x14ac:dyDescent="0.25">
      <c r="B19" s="63">
        <f t="shared" si="2"/>
        <v>42461</v>
      </c>
      <c r="C19" s="62"/>
      <c r="D19" s="61">
        <f t="shared" si="3"/>
        <v>9.7664615384615378E-2</v>
      </c>
      <c r="E19" s="60">
        <f t="shared" si="0"/>
        <v>8.1387179487179481E-3</v>
      </c>
      <c r="G19" s="64">
        <f t="shared" si="4"/>
        <v>-549.38136074366366</v>
      </c>
      <c r="H19" s="6">
        <f t="shared" si="5"/>
        <v>-2001.2445969365681</v>
      </c>
      <c r="I19" s="59">
        <f t="shared" si="6"/>
        <v>-13.973771920936718</v>
      </c>
      <c r="K19" s="58"/>
      <c r="M19" s="62"/>
      <c r="O19" s="58"/>
      <c r="Q19" s="62"/>
      <c r="R19" s="58"/>
      <c r="S19" s="57">
        <f t="shared" si="1"/>
        <v>-2001.2445969365681</v>
      </c>
    </row>
    <row r="20" spans="2:19" x14ac:dyDescent="0.25">
      <c r="B20" s="63">
        <f t="shared" si="2"/>
        <v>42491</v>
      </c>
      <c r="C20" s="62"/>
      <c r="D20" s="61">
        <f t="shared" si="3"/>
        <v>9.7664615384615378E-2</v>
      </c>
      <c r="E20" s="60">
        <f t="shared" si="0"/>
        <v>8.1387179487179481E-3</v>
      </c>
      <c r="G20" s="64">
        <f t="shared" si="4"/>
        <v>-531.65938136483578</v>
      </c>
      <c r="H20" s="6">
        <f t="shared" si="5"/>
        <v>-2546.8777502223406</v>
      </c>
      <c r="I20" s="59">
        <f t="shared" si="6"/>
        <v>-18.4510781957216</v>
      </c>
      <c r="K20" s="58"/>
      <c r="M20" s="62"/>
      <c r="O20" s="58"/>
      <c r="Q20" s="62"/>
      <c r="R20" s="58"/>
      <c r="S20" s="57">
        <f t="shared" si="1"/>
        <v>-2546.8777502223406</v>
      </c>
    </row>
    <row r="21" spans="2:19" x14ac:dyDescent="0.25">
      <c r="B21" s="63">
        <f t="shared" si="2"/>
        <v>42522</v>
      </c>
      <c r="C21" s="62"/>
      <c r="D21" s="61">
        <f t="shared" si="3"/>
        <v>9.7664615384615378E-2</v>
      </c>
      <c r="E21" s="60">
        <f t="shared" si="0"/>
        <v>8.1387179487179481E-3</v>
      </c>
      <c r="G21" s="64">
        <f t="shared" si="4"/>
        <v>-549.38136074366366</v>
      </c>
      <c r="H21" s="6">
        <f t="shared" si="5"/>
        <v>-3114.7101891617258</v>
      </c>
      <c r="I21" s="59">
        <f t="shared" si="6"/>
        <v>-22.963949629612721</v>
      </c>
      <c r="K21" s="58"/>
      <c r="M21" s="62"/>
      <c r="O21" s="58"/>
      <c r="Q21" s="62"/>
      <c r="R21" s="58"/>
      <c r="S21" s="57">
        <f t="shared" si="1"/>
        <v>-3114.7101891617258</v>
      </c>
    </row>
    <row r="22" spans="2:19" x14ac:dyDescent="0.25">
      <c r="B22" s="63">
        <f t="shared" si="2"/>
        <v>42552</v>
      </c>
      <c r="C22" s="62"/>
      <c r="D22" s="61">
        <f t="shared" si="3"/>
        <v>9.7664615384615378E-2</v>
      </c>
      <c r="E22" s="60">
        <f t="shared" si="0"/>
        <v>8.1387179487179481E-3</v>
      </c>
      <c r="G22" s="64">
        <f t="shared" si="4"/>
        <v>-531.65938136483578</v>
      </c>
      <c r="H22" s="6">
        <f t="shared" si="5"/>
        <v>-3669.3335201561745</v>
      </c>
      <c r="I22" s="59">
        <f t="shared" si="6"/>
        <v>-27.513260596444347</v>
      </c>
      <c r="K22" s="58"/>
      <c r="M22" s="62"/>
      <c r="O22" s="58"/>
      <c r="Q22" s="62"/>
      <c r="R22" s="58"/>
      <c r="S22" s="57">
        <f t="shared" si="1"/>
        <v>-3669.3335201561745</v>
      </c>
    </row>
    <row r="23" spans="2:19" x14ac:dyDescent="0.25">
      <c r="B23" s="63">
        <f t="shared" si="2"/>
        <v>42583</v>
      </c>
      <c r="C23" s="62"/>
      <c r="D23" s="61">
        <f t="shared" si="3"/>
        <v>9.7664615384615378E-2</v>
      </c>
      <c r="E23" s="60">
        <f t="shared" si="0"/>
        <v>8.1387179487179481E-3</v>
      </c>
      <c r="G23" s="64">
        <f t="shared" si="4"/>
        <v>-549.38136074366366</v>
      </c>
      <c r="H23" s="6">
        <f t="shared" si="5"/>
        <v>-4246.2281414962827</v>
      </c>
      <c r="I23" s="59">
        <f t="shared" si="6"/>
        <v>-32.09930055101524</v>
      </c>
      <c r="K23" s="58"/>
      <c r="M23" s="62"/>
      <c r="O23" s="58"/>
      <c r="Q23" s="62"/>
      <c r="R23" s="58"/>
      <c r="S23" s="57">
        <f t="shared" si="1"/>
        <v>-4246.2281414962827</v>
      </c>
    </row>
    <row r="24" spans="2:19" x14ac:dyDescent="0.25">
      <c r="B24" s="63">
        <f t="shared" si="2"/>
        <v>42614</v>
      </c>
      <c r="C24" s="62"/>
      <c r="D24" s="61">
        <f t="shared" si="3"/>
        <v>9.7664615384615378E-2</v>
      </c>
      <c r="E24" s="60">
        <f t="shared" si="0"/>
        <v>8.1387179487179481E-3</v>
      </c>
      <c r="G24" s="64">
        <f t="shared" si="4"/>
        <v>-549.38136074366366</v>
      </c>
      <c r="H24" s="6">
        <f t="shared" si="5"/>
        <v>-4827.7088027909613</v>
      </c>
      <c r="I24" s="59">
        <f t="shared" si="6"/>
        <v>-36.794483160234826</v>
      </c>
      <c r="K24" s="58"/>
      <c r="M24" s="62"/>
      <c r="O24" s="58"/>
      <c r="Q24" s="62"/>
      <c r="R24" s="58"/>
      <c r="S24" s="57">
        <f t="shared" si="1"/>
        <v>-4827.7088027909613</v>
      </c>
    </row>
    <row r="25" spans="2:19" x14ac:dyDescent="0.25">
      <c r="B25" s="63">
        <f t="shared" si="2"/>
        <v>42644</v>
      </c>
      <c r="C25" s="62"/>
      <c r="D25" s="61">
        <f t="shared" si="3"/>
        <v>9.7664615384615378E-2</v>
      </c>
      <c r="E25" s="60">
        <f t="shared" si="0"/>
        <v>8.1387179487179481E-3</v>
      </c>
      <c r="G25" s="64">
        <f t="shared" si="4"/>
        <v>-531.65938136483578</v>
      </c>
      <c r="H25" s="6">
        <f t="shared" si="5"/>
        <v>-5396.1626673160317</v>
      </c>
      <c r="I25" s="59">
        <f t="shared" si="6"/>
        <v>-41.454873159317572</v>
      </c>
      <c r="K25" s="58"/>
      <c r="M25" s="62"/>
      <c r="O25" s="58"/>
      <c r="Q25" s="62"/>
      <c r="R25" s="58"/>
      <c r="S25" s="57">
        <f t="shared" si="1"/>
        <v>-5396.1626673160317</v>
      </c>
    </row>
    <row r="26" spans="2:19" x14ac:dyDescent="0.25">
      <c r="B26" s="63">
        <f t="shared" si="2"/>
        <v>42675</v>
      </c>
      <c r="C26" s="62"/>
      <c r="D26" s="61">
        <f t="shared" si="3"/>
        <v>9.7664615384615378E-2</v>
      </c>
      <c r="E26" s="60">
        <f t="shared" si="0"/>
        <v>8.1387179487179481E-3</v>
      </c>
      <c r="G26" s="64">
        <f t="shared" si="4"/>
        <v>-549.38136074366366</v>
      </c>
      <c r="H26" s="6">
        <f t="shared" si="5"/>
        <v>-5986.9989012190135</v>
      </c>
      <c r="I26" s="59">
        <f t="shared" si="6"/>
        <v>-46.15347592537448</v>
      </c>
      <c r="K26" s="58"/>
      <c r="M26" s="62"/>
      <c r="O26" s="58"/>
      <c r="Q26" s="62"/>
      <c r="R26" s="58"/>
      <c r="S26" s="57">
        <f t="shared" si="1"/>
        <v>-5986.9989012190135</v>
      </c>
    </row>
    <row r="27" spans="2:19" x14ac:dyDescent="0.25">
      <c r="B27" s="63">
        <f t="shared" si="2"/>
        <v>42705</v>
      </c>
      <c r="C27" s="62"/>
      <c r="D27" s="61">
        <f t="shared" si="3"/>
        <v>9.7664615384615378E-2</v>
      </c>
      <c r="E27" s="60">
        <f t="shared" si="0"/>
        <v>8.1387179487179481E-3</v>
      </c>
      <c r="G27" s="64">
        <f t="shared" si="4"/>
        <v>-531.65938136483578</v>
      </c>
      <c r="H27" s="6">
        <f t="shared" si="5"/>
        <v>-6564.8117585092241</v>
      </c>
      <c r="I27" s="59">
        <f t="shared" si="6"/>
        <v>-50.890008291164953</v>
      </c>
      <c r="K27" s="58"/>
      <c r="M27" s="62"/>
      <c r="O27" s="58"/>
      <c r="Q27" s="62"/>
      <c r="R27" s="58"/>
      <c r="S27" s="57">
        <f t="shared" si="1"/>
        <v>-6564.8117585092241</v>
      </c>
    </row>
    <row r="28" spans="2:19" x14ac:dyDescent="0.25">
      <c r="B28" s="63">
        <f t="shared" si="2"/>
        <v>42736</v>
      </c>
      <c r="C28" s="62"/>
      <c r="D28" s="61">
        <f t="shared" si="3"/>
        <v>9.7664615384615378E-2</v>
      </c>
      <c r="E28" s="60">
        <f t="shared" si="0"/>
        <v>8.1387179487179481E-3</v>
      </c>
      <c r="G28" s="58"/>
      <c r="H28" s="6">
        <f t="shared" si="5"/>
        <v>-6615.7017668003891</v>
      </c>
      <c r="I28" s="59">
        <f t="shared" si="6"/>
        <v>-53.42915128893366</v>
      </c>
      <c r="K28" s="64">
        <f t="shared" ref="K28:K39" si="7">+(B28-B27)/365*$D$9</f>
        <v>-550.88651515666004</v>
      </c>
      <c r="L28" s="6">
        <f>+L27+K28</f>
        <v>-550.88651515666004</v>
      </c>
      <c r="M28" s="59">
        <f>+K28/2*E28</f>
        <v>-2.2417549843060955</v>
      </c>
      <c r="O28" s="58"/>
      <c r="Q28" s="62"/>
      <c r="R28" s="58"/>
      <c r="S28" s="57">
        <f t="shared" si="1"/>
        <v>-7166.5882819570488</v>
      </c>
    </row>
    <row r="29" spans="2:19" x14ac:dyDescent="0.25">
      <c r="B29" s="63">
        <f t="shared" si="2"/>
        <v>42767</v>
      </c>
      <c r="C29" s="62"/>
      <c r="D29" s="61">
        <f t="shared" si="3"/>
        <v>9.7664615384615378E-2</v>
      </c>
      <c r="E29" s="60">
        <f t="shared" si="0"/>
        <v>8.1387179487179481E-3</v>
      </c>
      <c r="G29" s="58"/>
      <c r="H29" s="6">
        <f t="shared" si="5"/>
        <v>-6669.1309180893231</v>
      </c>
      <c r="I29" s="59">
        <f t="shared" si="6"/>
        <v>-53.843330712823366</v>
      </c>
      <c r="K29" s="64">
        <f t="shared" si="7"/>
        <v>-550.88651515666004</v>
      </c>
      <c r="L29" s="6">
        <f t="shared" ref="L29:L63" si="8">+L28+K29+M28</f>
        <v>-1104.0147852976261</v>
      </c>
      <c r="M29" s="59">
        <f t="shared" ref="M29:M63" si="9">+(L28+K29/2)*E29</f>
        <v>-6.7252649529182857</v>
      </c>
      <c r="O29" s="58"/>
      <c r="Q29" s="62"/>
      <c r="R29" s="58"/>
      <c r="S29" s="57">
        <f t="shared" si="1"/>
        <v>-7773.1457033869492</v>
      </c>
    </row>
    <row r="30" spans="2:19" x14ac:dyDescent="0.25">
      <c r="B30" s="63">
        <f t="shared" si="2"/>
        <v>42795</v>
      </c>
      <c r="C30" s="62"/>
      <c r="D30" s="61">
        <f t="shared" si="3"/>
        <v>9.7664615384615378E-2</v>
      </c>
      <c r="E30" s="60">
        <f t="shared" si="0"/>
        <v>8.1387179487179481E-3</v>
      </c>
      <c r="G30" s="58"/>
      <c r="H30" s="6">
        <f t="shared" si="5"/>
        <v>-6722.9742488021466</v>
      </c>
      <c r="I30" s="59">
        <f t="shared" si="6"/>
        <v>-54.278175505403382</v>
      </c>
      <c r="K30" s="64">
        <f t="shared" si="7"/>
        <v>-497.57491691569294</v>
      </c>
      <c r="L30" s="6">
        <f t="shared" si="8"/>
        <v>-1608.3149671662372</v>
      </c>
      <c r="M30" s="59">
        <f t="shared" si="9"/>
        <v>-11.010075902318578</v>
      </c>
      <c r="O30" s="58"/>
      <c r="Q30" s="62"/>
      <c r="R30" s="58"/>
      <c r="S30" s="57">
        <f t="shared" si="1"/>
        <v>-8331.2892159683834</v>
      </c>
    </row>
    <row r="31" spans="2:19" x14ac:dyDescent="0.25">
      <c r="B31" s="63">
        <f t="shared" si="2"/>
        <v>42826</v>
      </c>
      <c r="C31" s="62"/>
      <c r="D31" s="61">
        <f t="shared" si="3"/>
        <v>9.7664615384615378E-2</v>
      </c>
      <c r="E31" s="60">
        <f t="shared" si="0"/>
        <v>8.1387179487179481E-3</v>
      </c>
      <c r="G31" s="58"/>
      <c r="H31" s="6">
        <f t="shared" si="5"/>
        <v>-6777.2524243075495</v>
      </c>
      <c r="I31" s="59">
        <f t="shared" si="6"/>
        <v>-54.716391187494594</v>
      </c>
      <c r="K31" s="64">
        <f t="shared" si="7"/>
        <v>-550.88651515666004</v>
      </c>
      <c r="L31" s="6">
        <f t="shared" si="8"/>
        <v>-2170.2115582252159</v>
      </c>
      <c r="M31" s="59">
        <f t="shared" si="9"/>
        <v>-15.331376874773669</v>
      </c>
      <c r="O31" s="58"/>
      <c r="Q31" s="62"/>
      <c r="R31" s="58"/>
      <c r="S31" s="57">
        <f t="shared" si="1"/>
        <v>-8947.4639825327649</v>
      </c>
    </row>
    <row r="32" spans="2:19" x14ac:dyDescent="0.25">
      <c r="B32" s="63">
        <f t="shared" si="2"/>
        <v>42856</v>
      </c>
      <c r="C32" s="62"/>
      <c r="D32" s="61">
        <f t="shared" si="3"/>
        <v>9.7664615384615378E-2</v>
      </c>
      <c r="E32" s="60">
        <f t="shared" si="0"/>
        <v>8.1387179487179481E-3</v>
      </c>
      <c r="G32" s="58"/>
      <c r="H32" s="6">
        <f t="shared" si="5"/>
        <v>-6831.9688154950445</v>
      </c>
      <c r="I32" s="59">
        <f t="shared" si="6"/>
        <v>-55.158145948704082</v>
      </c>
      <c r="K32" s="64">
        <f t="shared" si="7"/>
        <v>-533.11598240967101</v>
      </c>
      <c r="L32" s="6">
        <f t="shared" si="8"/>
        <v>-2718.6589175096601</v>
      </c>
      <c r="M32" s="59">
        <f t="shared" si="9"/>
        <v>-19.832180068835708</v>
      </c>
      <c r="O32" s="58"/>
      <c r="Q32" s="62"/>
      <c r="R32" s="58"/>
      <c r="S32" s="57">
        <f t="shared" si="1"/>
        <v>-9550.6277330047051</v>
      </c>
    </row>
    <row r="33" spans="2:19" x14ac:dyDescent="0.25">
      <c r="B33" s="63">
        <f t="shared" si="2"/>
        <v>42887</v>
      </c>
      <c r="C33" s="62"/>
      <c r="D33" s="61">
        <f t="shared" si="3"/>
        <v>9.7664615384615378E-2</v>
      </c>
      <c r="E33" s="60">
        <f t="shared" si="0"/>
        <v>8.1387179487179481E-3</v>
      </c>
      <c r="G33" s="58"/>
      <c r="H33" s="6">
        <f t="shared" si="5"/>
        <v>-6887.1269614437488</v>
      </c>
      <c r="I33" s="59">
        <f t="shared" si="6"/>
        <v>-55.603467223750819</v>
      </c>
      <c r="K33" s="64">
        <f t="shared" si="7"/>
        <v>-550.88651515666004</v>
      </c>
      <c r="L33" s="6">
        <f t="shared" si="8"/>
        <v>-3289.3776127351562</v>
      </c>
      <c r="M33" s="59">
        <f t="shared" si="9"/>
        <v>-24.368153112684073</v>
      </c>
      <c r="O33" s="58"/>
      <c r="Q33" s="62"/>
      <c r="R33" s="58"/>
      <c r="S33" s="57">
        <f t="shared" si="1"/>
        <v>-10176.504574178905</v>
      </c>
    </row>
    <row r="34" spans="2:19" x14ac:dyDescent="0.25">
      <c r="B34" s="63">
        <f t="shared" si="2"/>
        <v>42917</v>
      </c>
      <c r="C34" s="62"/>
      <c r="D34" s="61">
        <f t="shared" si="3"/>
        <v>9.7664615384615378E-2</v>
      </c>
      <c r="E34" s="60">
        <f t="shared" si="0"/>
        <v>8.1387179487179481E-3</v>
      </c>
      <c r="G34" s="58"/>
      <c r="H34" s="6">
        <f t="shared" si="5"/>
        <v>-6942.7304286674998</v>
      </c>
      <c r="I34" s="59">
        <f t="shared" si="6"/>
        <v>-56.052383816201541</v>
      </c>
      <c r="K34" s="64">
        <f t="shared" si="7"/>
        <v>-533.11598240967101</v>
      </c>
      <c r="L34" s="6">
        <f t="shared" si="8"/>
        <v>-3846.861748257511</v>
      </c>
      <c r="M34" s="59">
        <f t="shared" si="9"/>
        <v>-28.940756924271607</v>
      </c>
      <c r="O34" s="58"/>
      <c r="Q34" s="62"/>
      <c r="R34" s="58"/>
      <c r="S34" s="57">
        <f t="shared" si="1"/>
        <v>-10789.592176925011</v>
      </c>
    </row>
    <row r="35" spans="2:19" x14ac:dyDescent="0.25">
      <c r="B35" s="63">
        <f t="shared" si="2"/>
        <v>42948</v>
      </c>
      <c r="C35" s="62"/>
      <c r="D35" s="61">
        <f t="shared" si="3"/>
        <v>9.7664615384615378E-2</v>
      </c>
      <c r="E35" s="60">
        <f t="shared" si="0"/>
        <v>8.1387179487179481E-3</v>
      </c>
      <c r="G35" s="58"/>
      <c r="H35" s="6">
        <f t="shared" si="5"/>
        <v>-6998.7828124837015</v>
      </c>
      <c r="I35" s="59">
        <f t="shared" si="6"/>
        <v>-56.504924752906433</v>
      </c>
      <c r="K35" s="64">
        <f t="shared" si="7"/>
        <v>-550.88651515666004</v>
      </c>
      <c r="L35" s="6">
        <f t="shared" si="8"/>
        <v>-4426.6890203384419</v>
      </c>
      <c r="M35" s="59">
        <f t="shared" si="9"/>
        <v>-33.550277741086006</v>
      </c>
      <c r="O35" s="58"/>
      <c r="Q35" s="62"/>
      <c r="R35" s="58"/>
      <c r="S35" s="57">
        <f t="shared" si="1"/>
        <v>-11425.471832822142</v>
      </c>
    </row>
    <row r="36" spans="2:19" x14ac:dyDescent="0.25">
      <c r="B36" s="63">
        <f t="shared" si="2"/>
        <v>42979</v>
      </c>
      <c r="C36" s="62"/>
      <c r="D36" s="61">
        <f t="shared" si="3"/>
        <v>9.7664615384615378E-2</v>
      </c>
      <c r="E36" s="60">
        <f t="shared" si="0"/>
        <v>8.1387179487179481E-3</v>
      </c>
      <c r="G36" s="58"/>
      <c r="H36" s="6">
        <f t="shared" si="5"/>
        <v>-7055.2877372366083</v>
      </c>
      <c r="I36" s="59">
        <f t="shared" si="6"/>
        <v>-56.961119295139781</v>
      </c>
      <c r="K36" s="64">
        <f t="shared" si="7"/>
        <v>-550.88651515666004</v>
      </c>
      <c r="L36" s="6">
        <f t="shared" si="8"/>
        <v>-5011.1258132361872</v>
      </c>
      <c r="M36" s="59">
        <f t="shared" si="9"/>
        <v>-38.269328367527244</v>
      </c>
      <c r="O36" s="58"/>
      <c r="Q36" s="62"/>
      <c r="R36" s="58"/>
      <c r="S36" s="57">
        <f t="shared" si="1"/>
        <v>-12066.413550472796</v>
      </c>
    </row>
    <row r="37" spans="2:19" x14ac:dyDescent="0.25">
      <c r="B37" s="63">
        <f t="shared" si="2"/>
        <v>43009</v>
      </c>
      <c r="C37" s="62"/>
      <c r="D37" s="61">
        <f t="shared" si="3"/>
        <v>9.7664615384615378E-2</v>
      </c>
      <c r="E37" s="60">
        <f t="shared" si="0"/>
        <v>8.1387179487179481E-3</v>
      </c>
      <c r="G37" s="58"/>
      <c r="H37" s="6">
        <f t="shared" si="5"/>
        <v>-7112.2488565317481</v>
      </c>
      <c r="I37" s="59">
        <f t="shared" si="6"/>
        <v>-57.420996940417226</v>
      </c>
      <c r="K37" s="64">
        <f t="shared" si="7"/>
        <v>-533.11598240967101</v>
      </c>
      <c r="L37" s="6">
        <f t="shared" si="8"/>
        <v>-5582.5111240133856</v>
      </c>
      <c r="M37" s="59">
        <f t="shared" si="9"/>
        <v>-42.953579906862174</v>
      </c>
      <c r="O37" s="58"/>
      <c r="Q37" s="62"/>
      <c r="R37" s="58"/>
      <c r="S37" s="57">
        <f t="shared" si="1"/>
        <v>-12694.759980545134</v>
      </c>
    </row>
    <row r="38" spans="2:19" x14ac:dyDescent="0.25">
      <c r="B38" s="63">
        <f t="shared" si="2"/>
        <v>43040</v>
      </c>
      <c r="C38" s="62"/>
      <c r="D38" s="61">
        <f t="shared" si="3"/>
        <v>9.7664615384615378E-2</v>
      </c>
      <c r="E38" s="60">
        <f t="shared" si="0"/>
        <v>8.1387179487179481E-3</v>
      </c>
      <c r="G38" s="58"/>
      <c r="H38" s="6">
        <f t="shared" si="5"/>
        <v>-7169.6698534721654</v>
      </c>
      <c r="I38" s="59">
        <f t="shared" si="6"/>
        <v>-57.884587424403641</v>
      </c>
      <c r="K38" s="64">
        <f t="shared" si="7"/>
        <v>-550.88651515666004</v>
      </c>
      <c r="L38" s="6">
        <f t="shared" si="8"/>
        <v>-6176.3512190769079</v>
      </c>
      <c r="M38" s="59">
        <f t="shared" si="9"/>
        <v>-47.676238468231446</v>
      </c>
      <c r="O38" s="58"/>
      <c r="Q38" s="62"/>
      <c r="R38" s="58"/>
      <c r="S38" s="57">
        <f t="shared" si="1"/>
        <v>-13346.021072549072</v>
      </c>
    </row>
    <row r="39" spans="2:19" x14ac:dyDescent="0.25">
      <c r="B39" s="63">
        <f t="shared" si="2"/>
        <v>43070</v>
      </c>
      <c r="C39" s="62"/>
      <c r="D39" s="61">
        <f t="shared" si="3"/>
        <v>9.7664615384615378E-2</v>
      </c>
      <c r="E39" s="60">
        <f t="shared" si="0"/>
        <v>8.1387179487179481E-3</v>
      </c>
      <c r="G39" s="58"/>
      <c r="H39" s="6">
        <f t="shared" si="5"/>
        <v>-7227.5544408965688</v>
      </c>
      <c r="I39" s="59">
        <f t="shared" si="6"/>
        <v>-58.351920722835892</v>
      </c>
      <c r="K39" s="64">
        <f t="shared" si="7"/>
        <v>-533.11598240967101</v>
      </c>
      <c r="L39" s="6">
        <f t="shared" si="8"/>
        <v>-6757.1434399548107</v>
      </c>
      <c r="M39" s="59">
        <f t="shared" si="9"/>
        <v>-52.437020831680201</v>
      </c>
      <c r="O39" s="58"/>
      <c r="Q39" s="62"/>
      <c r="R39" s="58"/>
      <c r="S39" s="57">
        <f t="shared" si="1"/>
        <v>-13984.69788085138</v>
      </c>
    </row>
    <row r="40" spans="2:19" x14ac:dyDescent="0.25">
      <c r="B40" s="63">
        <f t="shared" si="2"/>
        <v>43101</v>
      </c>
      <c r="C40" s="62"/>
      <c r="D40" s="61">
        <f>+'Table 4 - Interest Rates'!S14</f>
        <v>8.5102784810126578E-2</v>
      </c>
      <c r="E40" s="60">
        <f t="shared" si="0"/>
        <v>7.0918987341772148E-3</v>
      </c>
      <c r="G40" s="58"/>
      <c r="H40" s="6">
        <f t="shared" si="5"/>
        <v>-7285.9063616194044</v>
      </c>
      <c r="I40" s="59">
        <f t="shared" si="6"/>
        <v>-51.257084190591286</v>
      </c>
      <c r="K40" s="58"/>
      <c r="L40" s="6">
        <f t="shared" si="8"/>
        <v>-6809.5804607864911</v>
      </c>
      <c r="M40" s="59">
        <f t="shared" si="9"/>
        <v>-47.920977008469393</v>
      </c>
      <c r="O40" s="64">
        <f>+(B40-B39)/365*$D$9</f>
        <v>-550.88651515666004</v>
      </c>
      <c r="P40" s="6">
        <f>+P39+O40</f>
        <v>-550.88651515666004</v>
      </c>
      <c r="Q40" s="59">
        <f>+O40/2*E40</f>
        <v>-1.9534156897574071</v>
      </c>
      <c r="R40" s="58"/>
      <c r="S40" s="57">
        <f t="shared" si="1"/>
        <v>-14646.373337562556</v>
      </c>
    </row>
    <row r="41" spans="2:19" x14ac:dyDescent="0.25">
      <c r="B41" s="63">
        <f t="shared" si="2"/>
        <v>43132</v>
      </c>
      <c r="C41" s="62"/>
      <c r="D41" s="61">
        <f>+D40</f>
        <v>8.5102784810126578E-2</v>
      </c>
      <c r="E41" s="60">
        <f t="shared" si="0"/>
        <v>7.0918987341772148E-3</v>
      </c>
      <c r="G41" s="58"/>
      <c r="H41" s="6">
        <f t="shared" si="5"/>
        <v>-7337.1634458099961</v>
      </c>
      <c r="I41" s="59">
        <f t="shared" si="6"/>
        <v>-51.670910103302369</v>
      </c>
      <c r="K41" s="58"/>
      <c r="L41" s="6">
        <f t="shared" si="8"/>
        <v>-6857.5014377949601</v>
      </c>
      <c r="M41" s="59">
        <f t="shared" si="9"/>
        <v>-48.29285505012961</v>
      </c>
      <c r="O41" s="64">
        <f>+(B41-B40)/365*$D$9</f>
        <v>-550.88651515666004</v>
      </c>
      <c r="P41" s="6">
        <f t="shared" ref="P41:P63" si="10">+P40+O41+Q40</f>
        <v>-1103.7264460030774</v>
      </c>
      <c r="Q41" s="59">
        <f t="shared" ref="Q41:Q63" si="11">+(P40+O41/2)*E41</f>
        <v>-5.8602470692722211</v>
      </c>
      <c r="R41" s="58"/>
      <c r="S41" s="57">
        <f t="shared" si="1"/>
        <v>-15298.391329608034</v>
      </c>
    </row>
    <row r="42" spans="2:19" x14ac:dyDescent="0.25">
      <c r="B42" s="63">
        <f t="shared" si="2"/>
        <v>43160</v>
      </c>
      <c r="C42" s="62"/>
      <c r="D42" s="61">
        <f>+D41</f>
        <v>8.5102784810126578E-2</v>
      </c>
      <c r="E42" s="60">
        <f t="shared" si="0"/>
        <v>7.0918987341772148E-3</v>
      </c>
      <c r="G42" s="58"/>
      <c r="H42" s="6">
        <f t="shared" si="5"/>
        <v>-7388.8343559132982</v>
      </c>
      <c r="I42" s="59">
        <f t="shared" si="6"/>
        <v>-52.034420153791245</v>
      </c>
      <c r="K42" s="58"/>
      <c r="L42" s="6">
        <f t="shared" si="8"/>
        <v>-6905.7942928450893</v>
      </c>
      <c r="M42" s="59">
        <f t="shared" si="9"/>
        <v>-48.632705766316505</v>
      </c>
      <c r="O42" s="64">
        <f>+(B42-B41)/365*$D$9</f>
        <v>-497.57491691569294</v>
      </c>
      <c r="P42" s="6">
        <f t="shared" si="10"/>
        <v>-1607.1616099880425</v>
      </c>
      <c r="Q42" s="59">
        <f t="shared" si="11"/>
        <v>-9.5918916470035089</v>
      </c>
      <c r="R42" s="58"/>
      <c r="S42" s="57">
        <f t="shared" si="1"/>
        <v>-15901.79025874643</v>
      </c>
    </row>
    <row r="43" spans="2:19" x14ac:dyDescent="0.25">
      <c r="B43" s="63">
        <f t="shared" si="2"/>
        <v>43191</v>
      </c>
      <c r="C43" s="62"/>
      <c r="D43" s="61">
        <f>+D42</f>
        <v>8.5102784810126578E-2</v>
      </c>
      <c r="E43" s="60">
        <f t="shared" si="0"/>
        <v>7.0918987341772148E-3</v>
      </c>
      <c r="G43" s="58"/>
      <c r="H43" s="6">
        <f t="shared" si="5"/>
        <v>-7440.8687760670891</v>
      </c>
      <c r="I43" s="59">
        <f t="shared" si="6"/>
        <v>-52.400865015746632</v>
      </c>
      <c r="K43" s="58"/>
      <c r="L43" s="6">
        <f t="shared" si="8"/>
        <v>-6954.4269986114059</v>
      </c>
      <c r="M43" s="59">
        <f t="shared" si="9"/>
        <v>-48.975193803916326</v>
      </c>
      <c r="O43" s="64">
        <f>+(B43-B42)/365*$D$9</f>
        <v>-550.88651515666004</v>
      </c>
      <c r="P43" s="6">
        <f t="shared" si="10"/>
        <v>-2167.6400167917063</v>
      </c>
      <c r="Q43" s="59">
        <f t="shared" si="11"/>
        <v>-13.351243077249821</v>
      </c>
      <c r="R43" s="58"/>
      <c r="S43" s="57">
        <f t="shared" si="1"/>
        <v>-16562.935791470201</v>
      </c>
    </row>
    <row r="44" spans="2:19" x14ac:dyDescent="0.25">
      <c r="B44" s="63">
        <f t="shared" si="2"/>
        <v>43221</v>
      </c>
      <c r="C44" s="62"/>
      <c r="D44" s="61">
        <f>+'Table 4 - Interest Rates'!S25</f>
        <v>8.7261784810126572E-2</v>
      </c>
      <c r="E44" s="60">
        <f t="shared" si="0"/>
        <v>7.2718154008438807E-3</v>
      </c>
      <c r="G44" s="58"/>
      <c r="H44" s="6">
        <f t="shared" si="5"/>
        <v>-7493.2696410828357</v>
      </c>
      <c r="I44" s="59">
        <f t="shared" si="6"/>
        <v>-54.108624161463013</v>
      </c>
      <c r="K44" s="58"/>
      <c r="L44" s="6">
        <f t="shared" si="8"/>
        <v>-7003.4021924153221</v>
      </c>
      <c r="M44" s="59">
        <f t="shared" si="9"/>
        <v>-50.571309352546905</v>
      </c>
      <c r="O44" s="58"/>
      <c r="P44" s="6">
        <f t="shared" si="10"/>
        <v>-2180.9912598689561</v>
      </c>
      <c r="Q44" s="59">
        <f t="shared" si="11"/>
        <v>-15.762678057591419</v>
      </c>
      <c r="R44" s="58"/>
      <c r="S44" s="57">
        <f t="shared" si="1"/>
        <v>-16677.663093367115</v>
      </c>
    </row>
    <row r="45" spans="2:19" x14ac:dyDescent="0.25">
      <c r="B45" s="63">
        <f t="shared" si="2"/>
        <v>43252</v>
      </c>
      <c r="C45" s="62"/>
      <c r="D45" s="61">
        <f t="shared" ref="D45:D63" si="12">+D44</f>
        <v>8.7261784810126572E-2</v>
      </c>
      <c r="E45" s="60">
        <f t="shared" si="0"/>
        <v>7.2718154008438807E-3</v>
      </c>
      <c r="G45" s="58"/>
      <c r="H45" s="6">
        <f t="shared" si="5"/>
        <v>-7547.3782652442987</v>
      </c>
      <c r="I45" s="59">
        <f t="shared" si="6"/>
        <v>-54.48967357870206</v>
      </c>
      <c r="K45" s="58"/>
      <c r="L45" s="6">
        <f t="shared" si="8"/>
        <v>-7053.9735017678686</v>
      </c>
      <c r="M45" s="59">
        <f t="shared" si="9"/>
        <v>-50.92744792110954</v>
      </c>
      <c r="O45" s="58"/>
      <c r="P45" s="6">
        <f t="shared" si="10"/>
        <v>-2196.7539379265477</v>
      </c>
      <c r="Q45" s="59">
        <f t="shared" si="11"/>
        <v>-15.859765832620974</v>
      </c>
      <c r="R45" s="58"/>
      <c r="S45" s="57">
        <f t="shared" si="1"/>
        <v>-16798.105704938716</v>
      </c>
    </row>
    <row r="46" spans="2:19" x14ac:dyDescent="0.25">
      <c r="B46" s="63">
        <f t="shared" si="2"/>
        <v>43282</v>
      </c>
      <c r="C46" s="62"/>
      <c r="D46" s="61">
        <f t="shared" si="12"/>
        <v>8.7261784810126572E-2</v>
      </c>
      <c r="E46" s="60">
        <f t="shared" si="0"/>
        <v>7.2718154008438807E-3</v>
      </c>
      <c r="G46" s="58"/>
      <c r="H46" s="6">
        <f t="shared" si="5"/>
        <v>-7601.8679388230012</v>
      </c>
      <c r="I46" s="59">
        <f t="shared" si="6"/>
        <v>-54.883141505197862</v>
      </c>
      <c r="K46" s="58"/>
      <c r="L46" s="6">
        <f t="shared" si="8"/>
        <v>-7104.9009496889785</v>
      </c>
      <c r="M46" s="59">
        <f t="shared" si="9"/>
        <v>-51.295193147300225</v>
      </c>
      <c r="O46" s="58"/>
      <c r="P46" s="6">
        <f t="shared" si="10"/>
        <v>-2212.6137037591689</v>
      </c>
      <c r="Q46" s="59">
        <f t="shared" si="11"/>
        <v>-15.974389117678712</v>
      </c>
      <c r="R46" s="58"/>
      <c r="S46" s="57">
        <f t="shared" si="1"/>
        <v>-16919.382592271148</v>
      </c>
    </row>
    <row r="47" spans="2:19" x14ac:dyDescent="0.25">
      <c r="B47" s="63">
        <f t="shared" si="2"/>
        <v>43313</v>
      </c>
      <c r="C47" s="62"/>
      <c r="D47" s="61">
        <f t="shared" si="12"/>
        <v>8.7261784810126572E-2</v>
      </c>
      <c r="E47" s="60">
        <f t="shared" si="0"/>
        <v>7.2718154008438807E-3</v>
      </c>
      <c r="G47" s="58"/>
      <c r="H47" s="6">
        <f t="shared" si="5"/>
        <v>-7656.7510803281994</v>
      </c>
      <c r="I47" s="59">
        <f t="shared" si="6"/>
        <v>-55.279380352714426</v>
      </c>
      <c r="K47" s="58"/>
      <c r="L47" s="6">
        <f t="shared" si="8"/>
        <v>-7156.1961428362783</v>
      </c>
      <c r="M47" s="59">
        <f t="shared" si="9"/>
        <v>-51.665528147418627</v>
      </c>
      <c r="O47" s="58"/>
      <c r="P47" s="6">
        <f t="shared" si="10"/>
        <v>-2228.5880928768474</v>
      </c>
      <c r="Q47" s="59">
        <f t="shared" si="11"/>
        <v>-16.089718407114145</v>
      </c>
      <c r="R47" s="58"/>
      <c r="S47" s="57">
        <f t="shared" si="1"/>
        <v>-17041.535316041325</v>
      </c>
    </row>
    <row r="48" spans="2:19" x14ac:dyDescent="0.25">
      <c r="B48" s="63">
        <f t="shared" si="2"/>
        <v>43344</v>
      </c>
      <c r="C48" s="62"/>
      <c r="D48" s="61">
        <f t="shared" si="12"/>
        <v>8.7261784810126572E-2</v>
      </c>
      <c r="E48" s="60">
        <f t="shared" si="0"/>
        <v>7.2718154008438807E-3</v>
      </c>
      <c r="G48" s="58"/>
      <c r="H48" s="6">
        <f t="shared" si="5"/>
        <v>-7712.0304606809141</v>
      </c>
      <c r="I48" s="59">
        <f t="shared" si="6"/>
        <v>-55.678480426358618</v>
      </c>
      <c r="K48" s="58"/>
      <c r="L48" s="6">
        <f t="shared" si="8"/>
        <v>-7207.861670983697</v>
      </c>
      <c r="M48" s="59">
        <f t="shared" si="9"/>
        <v>-52.038537322936428</v>
      </c>
      <c r="O48" s="58"/>
      <c r="P48" s="6">
        <f t="shared" si="10"/>
        <v>-2244.6778112839615</v>
      </c>
      <c r="Q48" s="59">
        <f t="shared" si="11"/>
        <v>-16.205881215919153</v>
      </c>
      <c r="R48" s="58"/>
      <c r="S48" s="57">
        <f t="shared" si="1"/>
        <v>-17164.569942948572</v>
      </c>
    </row>
    <row r="49" spans="2:19" x14ac:dyDescent="0.25">
      <c r="B49" s="63">
        <f t="shared" si="2"/>
        <v>43374</v>
      </c>
      <c r="C49" s="62"/>
      <c r="D49" s="61">
        <f t="shared" si="12"/>
        <v>8.7261784810126572E-2</v>
      </c>
      <c r="E49" s="60">
        <f t="shared" si="0"/>
        <v>7.2718154008438807E-3</v>
      </c>
      <c r="G49" s="58"/>
      <c r="H49" s="6">
        <f t="shared" si="5"/>
        <v>-7767.7089411072729</v>
      </c>
      <c r="I49" s="59">
        <f t="shared" si="6"/>
        <v>-56.080461875756598</v>
      </c>
      <c r="K49" s="58"/>
      <c r="L49" s="6">
        <f t="shared" si="8"/>
        <v>-7259.9002083066334</v>
      </c>
      <c r="M49" s="59">
        <f t="shared" si="9"/>
        <v>-52.414239506211558</v>
      </c>
      <c r="O49" s="58"/>
      <c r="P49" s="6">
        <f t="shared" si="10"/>
        <v>-2260.8836924998809</v>
      </c>
      <c r="Q49" s="59">
        <f t="shared" si="11"/>
        <v>-16.322882678027245</v>
      </c>
      <c r="R49" s="58"/>
      <c r="S49" s="57">
        <f t="shared" si="1"/>
        <v>-17288.492841913787</v>
      </c>
    </row>
    <row r="50" spans="2:19" x14ac:dyDescent="0.25">
      <c r="B50" s="63">
        <f t="shared" si="2"/>
        <v>43405</v>
      </c>
      <c r="C50" s="62"/>
      <c r="D50" s="61">
        <f t="shared" si="12"/>
        <v>8.7261784810126572E-2</v>
      </c>
      <c r="E50" s="60">
        <f t="shared" si="0"/>
        <v>7.2718154008438807E-3</v>
      </c>
      <c r="G50" s="58"/>
      <c r="H50" s="6">
        <f t="shared" si="5"/>
        <v>-7823.7894029830295</v>
      </c>
      <c r="I50" s="59">
        <f t="shared" si="6"/>
        <v>-56.485345507216579</v>
      </c>
      <c r="K50" s="58"/>
      <c r="L50" s="6">
        <f t="shared" si="8"/>
        <v>-7312.3144478128452</v>
      </c>
      <c r="M50" s="59">
        <f t="shared" si="9"/>
        <v>-52.792654143353872</v>
      </c>
      <c r="O50" s="58"/>
      <c r="P50" s="6">
        <f t="shared" si="10"/>
        <v>-2277.2065751779082</v>
      </c>
      <c r="Q50" s="59">
        <f t="shared" si="11"/>
        <v>-16.440728854637413</v>
      </c>
      <c r="R50" s="58"/>
      <c r="S50" s="57">
        <f t="shared" si="1"/>
        <v>-17413.310425973781</v>
      </c>
    </row>
    <row r="51" spans="2:19" x14ac:dyDescent="0.25">
      <c r="B51" s="63">
        <f t="shared" si="2"/>
        <v>43435</v>
      </c>
      <c r="C51" s="62"/>
      <c r="D51" s="61">
        <f t="shared" si="12"/>
        <v>8.7261784810126572E-2</v>
      </c>
      <c r="E51" s="60">
        <f t="shared" si="0"/>
        <v>7.2718154008438807E-3</v>
      </c>
      <c r="G51" s="58"/>
      <c r="H51" s="6">
        <f t="shared" si="5"/>
        <v>-7880.2747484902457</v>
      </c>
      <c r="I51" s="59">
        <f t="shared" si="6"/>
        <v>-56.893152273571147</v>
      </c>
      <c r="K51" s="58"/>
      <c r="L51" s="6">
        <f t="shared" si="8"/>
        <v>-7365.1071019561987</v>
      </c>
      <c r="M51" s="59">
        <f t="shared" si="9"/>
        <v>-53.173800817418666</v>
      </c>
      <c r="O51" s="58"/>
      <c r="P51" s="6">
        <f t="shared" si="10"/>
        <v>-2293.6473040325454</v>
      </c>
      <c r="Q51" s="59">
        <f t="shared" si="11"/>
        <v>-16.559425844281662</v>
      </c>
      <c r="R51" s="58"/>
      <c r="S51" s="57">
        <f t="shared" si="1"/>
        <v>-17539.029154478991</v>
      </c>
    </row>
    <row r="52" spans="2:19" x14ac:dyDescent="0.25">
      <c r="B52" s="63">
        <f t="shared" si="2"/>
        <v>43466</v>
      </c>
      <c r="C52" s="62"/>
      <c r="D52" s="61">
        <f t="shared" si="12"/>
        <v>8.7261784810126572E-2</v>
      </c>
      <c r="E52" s="60">
        <f t="shared" si="0"/>
        <v>7.2718154008438807E-3</v>
      </c>
      <c r="G52" s="58"/>
      <c r="H52" s="6">
        <f t="shared" si="5"/>
        <v>-7937.1679007638168</v>
      </c>
      <c r="I52" s="59">
        <f t="shared" si="6"/>
        <v>-57.303903278952504</v>
      </c>
      <c r="K52" s="58"/>
      <c r="L52" s="6">
        <f t="shared" si="8"/>
        <v>-7418.2809027736175</v>
      </c>
      <c r="M52" s="59">
        <f t="shared" si="9"/>
        <v>-53.557699252869725</v>
      </c>
      <c r="O52" s="58"/>
      <c r="P52" s="6">
        <f t="shared" si="10"/>
        <v>-2310.206729876827</v>
      </c>
      <c r="Q52" s="59">
        <f t="shared" si="11"/>
        <v>-16.678979789567911</v>
      </c>
      <c r="R52" s="58"/>
      <c r="S52" s="57">
        <f t="shared" si="1"/>
        <v>-17665.655533414261</v>
      </c>
    </row>
    <row r="53" spans="2:19" x14ac:dyDescent="0.25">
      <c r="B53" s="63">
        <f t="shared" si="2"/>
        <v>43497</v>
      </c>
      <c r="C53" s="62"/>
      <c r="D53" s="61">
        <f t="shared" si="12"/>
        <v>8.7261784810126572E-2</v>
      </c>
      <c r="E53" s="60">
        <f t="shared" si="0"/>
        <v>7.2718154008438807E-3</v>
      </c>
      <c r="G53" s="58"/>
      <c r="H53" s="6">
        <f t="shared" si="5"/>
        <v>-7994.4718040427697</v>
      </c>
      <c r="I53" s="59">
        <f t="shared" si="6"/>
        <v>-57.717619779858019</v>
      </c>
      <c r="K53" s="58"/>
      <c r="L53" s="6">
        <f t="shared" si="8"/>
        <v>-7471.838602026487</v>
      </c>
      <c r="M53" s="59">
        <f t="shared" si="9"/>
        <v>-53.944369316575241</v>
      </c>
      <c r="O53" s="58"/>
      <c r="P53" s="6">
        <f t="shared" si="10"/>
        <v>-2326.8857096663951</v>
      </c>
      <c r="Q53" s="59">
        <f t="shared" si="11"/>
        <v>-16.799396877451489</v>
      </c>
      <c r="R53" s="58"/>
      <c r="S53" s="57">
        <f t="shared" si="1"/>
        <v>-17793.196115735653</v>
      </c>
    </row>
    <row r="54" spans="2:19" x14ac:dyDescent="0.25">
      <c r="B54" s="63">
        <f t="shared" si="2"/>
        <v>43525</v>
      </c>
      <c r="C54" s="62"/>
      <c r="D54" s="61">
        <f t="shared" si="12"/>
        <v>8.7261784810126572E-2</v>
      </c>
      <c r="E54" s="60">
        <f t="shared" si="0"/>
        <v>7.2718154008438807E-3</v>
      </c>
      <c r="G54" s="58"/>
      <c r="H54" s="6">
        <f t="shared" si="5"/>
        <v>-8052.1894238226278</v>
      </c>
      <c r="I54" s="59">
        <f t="shared" si="6"/>
        <v>-58.134323186250377</v>
      </c>
      <c r="K54" s="58"/>
      <c r="L54" s="6">
        <f t="shared" si="8"/>
        <v>-7525.7829713430619</v>
      </c>
      <c r="M54" s="59">
        <f t="shared" si="9"/>
        <v>-54.333831018836023</v>
      </c>
      <c r="O54" s="58"/>
      <c r="P54" s="6">
        <f t="shared" si="10"/>
        <v>-2343.6851065438464</v>
      </c>
      <c r="Q54" s="59">
        <f t="shared" si="11"/>
        <v>-16.920683339555634</v>
      </c>
      <c r="R54" s="58"/>
      <c r="S54" s="57">
        <f t="shared" si="1"/>
        <v>-17921.657501709535</v>
      </c>
    </row>
    <row r="55" spans="2:19" x14ac:dyDescent="0.25">
      <c r="B55" s="63">
        <f t="shared" si="2"/>
        <v>43556</v>
      </c>
      <c r="C55" s="62"/>
      <c r="D55" s="61">
        <f t="shared" si="12"/>
        <v>8.7261784810126572E-2</v>
      </c>
      <c r="E55" s="60">
        <f t="shared" si="0"/>
        <v>7.2718154008438807E-3</v>
      </c>
      <c r="G55" s="58"/>
      <c r="H55" s="6">
        <f t="shared" si="5"/>
        <v>-8110.3237470088779</v>
      </c>
      <c r="I55" s="59">
        <f t="shared" si="6"/>
        <v>-58.554035062665598</v>
      </c>
      <c r="K55" s="58"/>
      <c r="L55" s="6">
        <f t="shared" si="8"/>
        <v>-7580.1168023618984</v>
      </c>
      <c r="M55" s="59">
        <f t="shared" si="9"/>
        <v>-54.726104514421102</v>
      </c>
      <c r="O55" s="58"/>
      <c r="P55" s="6">
        <f t="shared" si="10"/>
        <v>-2360.6057898834019</v>
      </c>
      <c r="Q55" s="59">
        <f t="shared" si="11"/>
        <v>-17.042845452493975</v>
      </c>
      <c r="R55" s="58"/>
      <c r="S55" s="57">
        <f t="shared" si="1"/>
        <v>-18051.046339254179</v>
      </c>
    </row>
    <row r="56" spans="2:19" x14ac:dyDescent="0.25">
      <c r="B56" s="63">
        <f t="shared" si="2"/>
        <v>43586</v>
      </c>
      <c r="C56" s="62"/>
      <c r="D56" s="61">
        <f t="shared" si="12"/>
        <v>8.7261784810126572E-2</v>
      </c>
      <c r="E56" s="60">
        <f t="shared" si="0"/>
        <v>7.2718154008438807E-3</v>
      </c>
      <c r="G56" s="58"/>
      <c r="H56" s="6">
        <f t="shared" si="5"/>
        <v>-8168.8777820715432</v>
      </c>
      <c r="I56" s="59">
        <f t="shared" si="6"/>
        <v>-58.976777129329008</v>
      </c>
      <c r="K56" s="58"/>
      <c r="L56" s="6">
        <f t="shared" si="8"/>
        <v>-7634.8429068763198</v>
      </c>
      <c r="M56" s="59">
        <f t="shared" si="9"/>
        <v>-55.121210103610721</v>
      </c>
      <c r="O56" s="58"/>
      <c r="P56" s="6">
        <f t="shared" si="10"/>
        <v>-2377.648635335896</v>
      </c>
      <c r="Q56" s="59">
        <f t="shared" si="11"/>
        <v>-17.165889538195355</v>
      </c>
      <c r="R56" s="58"/>
      <c r="S56" s="57">
        <f t="shared" si="1"/>
        <v>-18181.369324283758</v>
      </c>
    </row>
    <row r="57" spans="2:19" x14ac:dyDescent="0.25">
      <c r="B57" s="63">
        <f t="shared" si="2"/>
        <v>43617</v>
      </c>
      <c r="C57" s="62"/>
      <c r="D57" s="61">
        <f t="shared" si="12"/>
        <v>8.7261784810126572E-2</v>
      </c>
      <c r="E57" s="60">
        <f t="shared" si="0"/>
        <v>7.2718154008438807E-3</v>
      </c>
      <c r="G57" s="58"/>
      <c r="H57" s="6">
        <f t="shared" si="5"/>
        <v>-8227.8545592008722</v>
      </c>
      <c r="I57" s="59">
        <f t="shared" si="6"/>
        <v>-59.402571263279249</v>
      </c>
      <c r="K57" s="58"/>
      <c r="L57" s="6">
        <f t="shared" si="8"/>
        <v>-7689.9641169799306</v>
      </c>
      <c r="M57" s="59">
        <f t="shared" si="9"/>
        <v>-55.519168233246887</v>
      </c>
      <c r="O57" s="58"/>
      <c r="P57" s="6">
        <f t="shared" si="10"/>
        <v>-2394.8145248740911</v>
      </c>
      <c r="Q57" s="59">
        <f t="shared" si="11"/>
        <v>-17.289821964231002</v>
      </c>
      <c r="R57" s="58"/>
      <c r="S57" s="57">
        <f t="shared" si="1"/>
        <v>-18312.633201054894</v>
      </c>
    </row>
    <row r="58" spans="2:19" x14ac:dyDescent="0.25">
      <c r="B58" s="63">
        <f t="shared" si="2"/>
        <v>43647</v>
      </c>
      <c r="C58" s="62"/>
      <c r="D58" s="61">
        <f t="shared" si="12"/>
        <v>8.7261784810126572E-2</v>
      </c>
      <c r="E58" s="60">
        <f t="shared" si="0"/>
        <v>7.2718154008438807E-3</v>
      </c>
      <c r="G58" s="58"/>
      <c r="H58" s="6">
        <f t="shared" si="5"/>
        <v>-8287.2571304641515</v>
      </c>
      <c r="I58" s="59">
        <f t="shared" si="6"/>
        <v>-59.831439499500441</v>
      </c>
      <c r="K58" s="58"/>
      <c r="L58" s="6">
        <f t="shared" si="8"/>
        <v>-7745.4832852131776</v>
      </c>
      <c r="M58" s="59">
        <f t="shared" si="9"/>
        <v>-55.919999497791473</v>
      </c>
      <c r="O58" s="58"/>
      <c r="P58" s="6">
        <f t="shared" si="10"/>
        <v>-2412.1043468383223</v>
      </c>
      <c r="Q58" s="59">
        <f t="shared" si="11"/>
        <v>-17.414649144144036</v>
      </c>
      <c r="R58" s="58"/>
      <c r="S58" s="57">
        <f t="shared" si="1"/>
        <v>-18444.844762515651</v>
      </c>
    </row>
    <row r="59" spans="2:19" x14ac:dyDescent="0.25">
      <c r="B59" s="63">
        <f t="shared" si="2"/>
        <v>43678</v>
      </c>
      <c r="C59" s="62"/>
      <c r="D59" s="61">
        <f t="shared" si="12"/>
        <v>8.7261784810126572E-2</v>
      </c>
      <c r="E59" s="60">
        <f t="shared" si="0"/>
        <v>7.2718154008438807E-3</v>
      </c>
      <c r="G59" s="58"/>
      <c r="H59" s="6">
        <f t="shared" si="5"/>
        <v>-8347.088569963651</v>
      </c>
      <c r="I59" s="59">
        <f t="shared" si="6"/>
        <v>-60.263404032062482</v>
      </c>
      <c r="K59" s="58"/>
      <c r="L59" s="6">
        <f t="shared" si="8"/>
        <v>-7801.4032847109693</v>
      </c>
      <c r="M59" s="59">
        <f t="shared" si="9"/>
        <v>-56.323724640392044</v>
      </c>
      <c r="O59" s="58"/>
      <c r="P59" s="6">
        <f t="shared" si="10"/>
        <v>-2429.5189959824661</v>
      </c>
      <c r="Q59" s="59">
        <f t="shared" si="11"/>
        <v>-17.540377537781382</v>
      </c>
      <c r="R59" s="58"/>
      <c r="S59" s="57">
        <f t="shared" si="1"/>
        <v>-18578.010850657087</v>
      </c>
    </row>
    <row r="60" spans="2:19" x14ac:dyDescent="0.25">
      <c r="B60" s="63">
        <f t="shared" si="2"/>
        <v>43709</v>
      </c>
      <c r="C60" s="62"/>
      <c r="D60" s="61">
        <f t="shared" si="12"/>
        <v>8.7261784810126572E-2</v>
      </c>
      <c r="E60" s="60">
        <f t="shared" si="0"/>
        <v>7.2718154008438807E-3</v>
      </c>
      <c r="G60" s="58"/>
      <c r="H60" s="6">
        <f t="shared" si="5"/>
        <v>-8407.3519739957137</v>
      </c>
      <c r="I60" s="59">
        <f t="shared" si="6"/>
        <v>-60.698487215269601</v>
      </c>
      <c r="K60" s="58"/>
      <c r="L60" s="6">
        <f t="shared" si="8"/>
        <v>-7857.7270093513616</v>
      </c>
      <c r="M60" s="59">
        <f t="shared" si="9"/>
        <v>-56.730364553955262</v>
      </c>
      <c r="O60" s="58"/>
      <c r="P60" s="6">
        <f t="shared" si="10"/>
        <v>-2447.0593735202474</v>
      </c>
      <c r="Q60" s="59">
        <f t="shared" si="11"/>
        <v>-17.667013651628061</v>
      </c>
      <c r="R60" s="58"/>
      <c r="S60" s="57">
        <f t="shared" si="1"/>
        <v>-18712.138356867323</v>
      </c>
    </row>
    <row r="61" spans="2:19" x14ac:dyDescent="0.25">
      <c r="B61" s="63">
        <f t="shared" si="2"/>
        <v>43739</v>
      </c>
      <c r="C61" s="62"/>
      <c r="D61" s="61">
        <f t="shared" si="12"/>
        <v>8.7261784810126572E-2</v>
      </c>
      <c r="E61" s="60">
        <f t="shared" si="0"/>
        <v>7.2718154008438807E-3</v>
      </c>
      <c r="G61" s="58"/>
      <c r="H61" s="6">
        <f t="shared" si="5"/>
        <v>-8468.0504612109835</v>
      </c>
      <c r="I61" s="59">
        <f t="shared" si="6"/>
        <v>-61.136711564817233</v>
      </c>
      <c r="K61" s="58"/>
      <c r="L61" s="6">
        <f t="shared" si="8"/>
        <v>-7914.4573739053167</v>
      </c>
      <c r="M61" s="59">
        <f t="shared" si="9"/>
        <v>-57.13994028222816</v>
      </c>
      <c r="O61" s="58"/>
      <c r="P61" s="6">
        <f t="shared" si="10"/>
        <v>-2464.7263871718756</v>
      </c>
      <c r="Q61" s="59">
        <f t="shared" si="11"/>
        <v>-17.794564039143914</v>
      </c>
      <c r="R61" s="58"/>
      <c r="S61" s="57">
        <f t="shared" si="1"/>
        <v>-18847.234222288178</v>
      </c>
    </row>
    <row r="62" spans="2:19" x14ac:dyDescent="0.25">
      <c r="B62" s="63">
        <f t="shared" si="2"/>
        <v>43770</v>
      </c>
      <c r="C62" s="62"/>
      <c r="D62" s="61">
        <f t="shared" si="12"/>
        <v>8.7261784810126572E-2</v>
      </c>
      <c r="E62" s="60">
        <f t="shared" si="0"/>
        <v>7.2718154008438807E-3</v>
      </c>
      <c r="G62" s="58"/>
      <c r="H62" s="6">
        <f t="shared" si="5"/>
        <v>-8529.1871727758007</v>
      </c>
      <c r="I62" s="59">
        <f t="shared" si="6"/>
        <v>-61.578099758957158</v>
      </c>
      <c r="K62" s="58"/>
      <c r="L62" s="6">
        <f t="shared" si="8"/>
        <v>-7971.5973141875447</v>
      </c>
      <c r="M62" s="59">
        <f t="shared" si="9"/>
        <v>-57.552473020887099</v>
      </c>
      <c r="O62" s="58"/>
      <c r="P62" s="6">
        <f t="shared" si="10"/>
        <v>-2482.5209512110196</v>
      </c>
      <c r="Q62" s="59">
        <f t="shared" si="11"/>
        <v>-17.923035301102743</v>
      </c>
      <c r="R62" s="58"/>
      <c r="S62" s="57">
        <f t="shared" si="1"/>
        <v>-18983.305438174364</v>
      </c>
    </row>
    <row r="63" spans="2:19" x14ac:dyDescent="0.25">
      <c r="B63" s="56">
        <f t="shared" si="2"/>
        <v>43800</v>
      </c>
      <c r="C63" s="55"/>
      <c r="D63" s="54">
        <f t="shared" si="12"/>
        <v>8.7261784810126572E-2</v>
      </c>
      <c r="E63" s="53">
        <f t="shared" si="0"/>
        <v>7.2718154008438807E-3</v>
      </c>
      <c r="F63" s="52"/>
      <c r="G63" s="49"/>
      <c r="H63" s="51">
        <f t="shared" si="5"/>
        <v>-8590.765272534758</v>
      </c>
      <c r="I63" s="50">
        <f t="shared" si="6"/>
        <v>-62.022674639671145</v>
      </c>
      <c r="J63" s="52"/>
      <c r="K63" s="49"/>
      <c r="L63" s="51">
        <f t="shared" si="8"/>
        <v>-8029.1497872084319</v>
      </c>
      <c r="M63" s="50">
        <f t="shared" si="9"/>
        <v>-57.967984118634703</v>
      </c>
      <c r="N63" s="52"/>
      <c r="O63" s="49"/>
      <c r="P63" s="51">
        <f t="shared" si="10"/>
        <v>-2500.4439865121221</v>
      </c>
      <c r="Q63" s="50">
        <f t="shared" si="11"/>
        <v>-18.052434085933893</v>
      </c>
      <c r="R63" s="49"/>
      <c r="S63" s="48">
        <f t="shared" si="1"/>
        <v>-19120.359046255311</v>
      </c>
    </row>
    <row r="64" spans="2:19" x14ac:dyDescent="0.25">
      <c r="B64" s="47"/>
      <c r="D64" s="46"/>
      <c r="E64" s="46"/>
    </row>
    <row r="65" spans="2:5" x14ac:dyDescent="0.25">
      <c r="B65" s="47"/>
      <c r="D65" s="46"/>
      <c r="E65" s="46"/>
    </row>
    <row r="66" spans="2:5" x14ac:dyDescent="0.25">
      <c r="B66" s="47"/>
      <c r="D66" s="46"/>
      <c r="E66" s="46"/>
    </row>
    <row r="67" spans="2:5" x14ac:dyDescent="0.25">
      <c r="B67" s="47"/>
      <c r="D67" s="46"/>
      <c r="E67" s="46"/>
    </row>
    <row r="68" spans="2:5" x14ac:dyDescent="0.25">
      <c r="B68" s="47"/>
      <c r="D68" s="46"/>
      <c r="E68" s="46"/>
    </row>
    <row r="69" spans="2:5" x14ac:dyDescent="0.25">
      <c r="B69" s="47"/>
      <c r="D69" s="46"/>
      <c r="E69" s="46"/>
    </row>
    <row r="70" spans="2:5" x14ac:dyDescent="0.25">
      <c r="B70" s="47"/>
      <c r="D70" s="46"/>
      <c r="E70" s="46"/>
    </row>
    <row r="71" spans="2:5" x14ac:dyDescent="0.25">
      <c r="B71" s="47"/>
      <c r="D71" s="46"/>
      <c r="E71" s="46"/>
    </row>
    <row r="72" spans="2:5" x14ac:dyDescent="0.25">
      <c r="B72" s="47"/>
      <c r="D72" s="46"/>
      <c r="E72" s="46"/>
    </row>
    <row r="73" spans="2:5" x14ac:dyDescent="0.25">
      <c r="B73" s="47"/>
      <c r="D73" s="46"/>
      <c r="E73" s="46"/>
    </row>
    <row r="74" spans="2:5" x14ac:dyDescent="0.25">
      <c r="B74" s="47"/>
      <c r="D74" s="46"/>
      <c r="E74" s="46"/>
    </row>
    <row r="75" spans="2:5" x14ac:dyDescent="0.25">
      <c r="B75" s="47"/>
      <c r="D75" s="46"/>
      <c r="E75" s="46"/>
    </row>
    <row r="76" spans="2:5" x14ac:dyDescent="0.25">
      <c r="B76" s="47"/>
      <c r="D76" s="46"/>
      <c r="E76" s="46"/>
    </row>
    <row r="77" spans="2:5" x14ac:dyDescent="0.25">
      <c r="B77" s="47"/>
      <c r="D77" s="46"/>
      <c r="E77" s="46"/>
    </row>
  </sheetData>
  <mergeCells count="3">
    <mergeCell ref="G5:I5"/>
    <mergeCell ref="K5:M5"/>
    <mergeCell ref="O5:Q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SignificantOrder xmlns="dc463f71-b30c-4ab2-9473-d307f9d35888">false</SignificantOrder>
    <Date1 xmlns="dc463f71-b30c-4ab2-9473-d307f9d35888">2019-09-13T07:00:00+00:00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150204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DD24BD-82A3-4E74-8D7F-0BF3D36C7AF1}"/>
</file>

<file path=customXml/itemProps2.xml><?xml version="1.0" encoding="utf-8"?>
<ds:datastoreItem xmlns:ds="http://schemas.openxmlformats.org/officeDocument/2006/customXml" ds:itemID="{8934CC33-A087-489F-A460-D10559B09596}"/>
</file>

<file path=customXml/itemProps3.xml><?xml version="1.0" encoding="utf-8"?>
<ds:datastoreItem xmlns:ds="http://schemas.openxmlformats.org/officeDocument/2006/customXml" ds:itemID="{028F9980-00A9-4EC9-BBCF-017B71D75BDF}"/>
</file>

<file path=customXml/itemProps4.xml><?xml version="1.0" encoding="utf-8"?>
<ds:datastoreItem xmlns:ds="http://schemas.openxmlformats.org/officeDocument/2006/customXml" ds:itemID="{F83210EE-6F92-4F30-A840-108D476FF8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1 - AWEC Recommendation</vt:lpstr>
      <vt:lpstr>Tables 2 and 3 - Rate Base Comp</vt:lpstr>
      <vt:lpstr>Table 4 - Interest Rates</vt:lpstr>
      <vt:lpstr>Electric Interest Calculation</vt:lpstr>
      <vt:lpstr>Gas Interest 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</dc:creator>
  <cp:lastModifiedBy>Brad</cp:lastModifiedBy>
  <dcterms:created xsi:type="dcterms:W3CDTF">2019-09-12T08:54:31Z</dcterms:created>
  <dcterms:modified xsi:type="dcterms:W3CDTF">2019-09-13T05:54:34Z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