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SEF\3. RevReq-COS-Attrition-SUPPLEMENTAL (R)\"/>
    </mc:Choice>
  </mc:AlternateContent>
  <bookViews>
    <workbookView xWindow="14508" yWindow="48" windowWidth="14316" windowHeight="7260" tabRatio="864"/>
  </bookViews>
  <sheets>
    <sheet name="Gas Lead" sheetId="103" r:id="rId1"/>
    <sheet name="Summary COS Rev" sheetId="108" r:id="rId2"/>
  </sheets>
  <externalReferences>
    <externalReference r:id="rId3"/>
    <externalReference r:id="rId4"/>
  </externalReferences>
  <definedNames>
    <definedName name="_xlnm.Print_Area" localSheetId="1">'Summary COS Rev'!$B$1:$R$48</definedName>
    <definedName name="_xlnm.Print_Titles" localSheetId="1">'Summary COS Rev'!$A:$A</definedName>
  </definedNames>
  <calcPr calcId="162913" calcMode="autoNoTable"/>
</workbook>
</file>

<file path=xl/calcChain.xml><?xml version="1.0" encoding="utf-8"?>
<calcChain xmlns="http://schemas.openxmlformats.org/spreadsheetml/2006/main">
  <c r="H25" i="108" l="1"/>
  <c r="G25" i="108"/>
  <c r="C25" i="108"/>
  <c r="B25" i="108"/>
  <c r="H24" i="108"/>
  <c r="G24" i="108"/>
  <c r="C24" i="108"/>
  <c r="B24" i="108"/>
  <c r="C23" i="108"/>
  <c r="B23" i="108"/>
  <c r="D22" i="108"/>
  <c r="B22" i="108"/>
  <c r="D21" i="108"/>
  <c r="B21" i="108"/>
  <c r="D20" i="108"/>
  <c r="B20" i="108"/>
  <c r="D19" i="108"/>
  <c r="B19" i="108"/>
  <c r="H18" i="108"/>
  <c r="G18" i="108"/>
  <c r="C18" i="108"/>
  <c r="B18" i="108"/>
  <c r="B17" i="108"/>
  <c r="D16" i="108"/>
  <c r="B16" i="108"/>
  <c r="C15" i="108"/>
  <c r="B15" i="108"/>
  <c r="C14" i="108"/>
  <c r="B14" i="108"/>
  <c r="D13" i="108"/>
  <c r="B13" i="108"/>
  <c r="C12" i="108"/>
  <c r="B12" i="108"/>
  <c r="B11" i="108"/>
  <c r="B10" i="108"/>
  <c r="B9" i="108"/>
  <c r="C8" i="108"/>
  <c r="B8" i="108"/>
  <c r="H6" i="108"/>
  <c r="G6" i="108"/>
  <c r="D6" i="108"/>
  <c r="C6" i="108"/>
  <c r="B6" i="108"/>
  <c r="E33" i="103"/>
  <c r="E32" i="103"/>
  <c r="C37" i="103" l="1"/>
  <c r="F13" i="103" l="1"/>
  <c r="E25" i="108" l="1"/>
  <c r="E24" i="108"/>
  <c r="E23" i="108"/>
  <c r="E22" i="108"/>
  <c r="E21" i="108"/>
  <c r="E20" i="108"/>
  <c r="N20" i="108" s="1"/>
  <c r="E19" i="108"/>
  <c r="L18" i="108"/>
  <c r="E15" i="108"/>
  <c r="E14" i="108"/>
  <c r="M13" i="108"/>
  <c r="L12" i="108"/>
  <c r="J8" i="108"/>
  <c r="K18" i="108"/>
  <c r="K15" i="108"/>
  <c r="K12" i="108"/>
  <c r="F9" i="108"/>
  <c r="E8" i="108"/>
  <c r="E9" i="108"/>
  <c r="E10" i="108"/>
  <c r="E11" i="108"/>
  <c r="N16" i="108"/>
  <c r="E17" i="108"/>
  <c r="F17" i="108" s="1"/>
  <c r="K23" i="108"/>
  <c r="P26" i="108"/>
  <c r="P28" i="108"/>
  <c r="F39" i="108"/>
  <c r="P39" i="108"/>
  <c r="M16" i="108" s="1"/>
  <c r="F47" i="108"/>
  <c r="P48" i="108"/>
  <c r="E22" i="103" l="1"/>
  <c r="G13" i="103"/>
  <c r="L23" i="108"/>
  <c r="R23" i="108" s="1"/>
  <c r="R20" i="108"/>
  <c r="E24" i="103"/>
  <c r="E13" i="108"/>
  <c r="F13" i="108" s="1"/>
  <c r="F11" i="108"/>
  <c r="I11" i="108" s="1"/>
  <c r="R11" i="108" s="1"/>
  <c r="S11" i="108" s="1"/>
  <c r="I14" i="108"/>
  <c r="I8" i="108"/>
  <c r="R8" i="108" s="1"/>
  <c r="F10" i="108"/>
  <c r="I10" i="108" s="1"/>
  <c r="R10" i="108" s="1"/>
  <c r="S10" i="108" s="1"/>
  <c r="L15" i="108"/>
  <c r="L26" i="108" s="1"/>
  <c r="F24" i="108"/>
  <c r="K24" i="108" s="1"/>
  <c r="R24" i="108" s="1"/>
  <c r="S24" i="108" s="1"/>
  <c r="E6" i="108"/>
  <c r="F6" i="108" s="1"/>
  <c r="F20" i="108"/>
  <c r="F22" i="108"/>
  <c r="N22" i="108" s="1"/>
  <c r="G26" i="108"/>
  <c r="G28" i="108" s="1"/>
  <c r="F19" i="108"/>
  <c r="N19" i="108" s="1"/>
  <c r="F23" i="108"/>
  <c r="J14" i="108"/>
  <c r="H26" i="108"/>
  <c r="H28" i="108" s="1"/>
  <c r="E18" i="108"/>
  <c r="F18" i="108" s="1"/>
  <c r="R18" i="108"/>
  <c r="C26" i="108"/>
  <c r="C28" i="108" s="1"/>
  <c r="M26" i="108"/>
  <c r="M28" i="108" s="1"/>
  <c r="R12" i="108"/>
  <c r="E12" i="108"/>
  <c r="F12" i="108" s="1"/>
  <c r="B26" i="108"/>
  <c r="B28" i="108" s="1"/>
  <c r="E16" i="108"/>
  <c r="F16" i="108" s="1"/>
  <c r="D26" i="108"/>
  <c r="D28" i="108" s="1"/>
  <c r="F25" i="108"/>
  <c r="F21" i="108"/>
  <c r="F15" i="108"/>
  <c r="F14" i="108"/>
  <c r="Q17" i="108"/>
  <c r="I9" i="108"/>
  <c r="F8" i="108"/>
  <c r="I13" i="108"/>
  <c r="R15" i="108" l="1"/>
  <c r="R22" i="108"/>
  <c r="S22" i="108" s="1"/>
  <c r="E26" i="103"/>
  <c r="S20" i="108"/>
  <c r="R13" i="108"/>
  <c r="S13" i="108" s="1"/>
  <c r="R14" i="108"/>
  <c r="S14" i="108" s="1"/>
  <c r="S23" i="108"/>
  <c r="S15" i="108"/>
  <c r="J26" i="108"/>
  <c r="S18" i="108"/>
  <c r="S12" i="108"/>
  <c r="E26" i="108"/>
  <c r="E28" i="108" s="1"/>
  <c r="R9" i="108"/>
  <c r="O25" i="108"/>
  <c r="R17" i="108"/>
  <c r="S17" i="108" s="1"/>
  <c r="Q26" i="108"/>
  <c r="Q28" i="108" s="1"/>
  <c r="N21" i="108"/>
  <c r="R21" i="108" s="1"/>
  <c r="S21" i="108" s="1"/>
  <c r="S8" i="108"/>
  <c r="F26" i="108"/>
  <c r="F28" i="108" s="1"/>
  <c r="F29" i="108" s="1"/>
  <c r="A1" i="108" s="1"/>
  <c r="R19" i="108"/>
  <c r="S19" i="108" s="1"/>
  <c r="R25" i="108" l="1"/>
  <c r="S25" i="108" s="1"/>
  <c r="O26" i="108"/>
  <c r="O28" i="108" s="1"/>
  <c r="S9" i="108"/>
  <c r="N26" i="108"/>
  <c r="G26" i="103" l="1"/>
  <c r="G25" i="103"/>
  <c r="G24" i="103"/>
  <c r="G23" i="103"/>
  <c r="G22" i="103"/>
  <c r="E16" i="103"/>
  <c r="E15" i="103"/>
  <c r="E21" i="103" l="1"/>
  <c r="E14" i="103" l="1"/>
  <c r="G21" i="103"/>
  <c r="D18" i="103" l="1"/>
  <c r="F16" i="103" l="1"/>
  <c r="G16" i="103" l="1"/>
  <c r="F14" i="103"/>
  <c r="H16" i="103" l="1"/>
  <c r="D34" i="103"/>
  <c r="F32" i="103"/>
  <c r="G14" i="103"/>
  <c r="H14" i="103" l="1"/>
  <c r="G32" i="103"/>
  <c r="E34" i="103"/>
  <c r="F26" i="103"/>
  <c r="H26" i="103"/>
  <c r="H25" i="103"/>
  <c r="H24" i="103"/>
  <c r="H23" i="103"/>
  <c r="D27" i="103"/>
  <c r="D29" i="103" s="1"/>
  <c r="E27" i="103"/>
  <c r="H13" i="103" l="1"/>
  <c r="H32" i="103"/>
  <c r="F24" i="103"/>
  <c r="F15" i="103" l="1"/>
  <c r="F22" i="103" l="1"/>
  <c r="H22" i="103" l="1"/>
  <c r="G15" i="103"/>
  <c r="H15" i="103" l="1"/>
  <c r="A13" i="103" l="1"/>
  <c r="A14" i="103" s="1"/>
  <c r="A15" i="103" s="1"/>
  <c r="A16" i="103" s="1"/>
  <c r="A17" i="103" s="1"/>
  <c r="A18" i="103" s="1"/>
  <c r="A19" i="103" s="1"/>
  <c r="A20" i="103" s="1"/>
  <c r="A21" i="103" s="1"/>
  <c r="A22" i="103" s="1"/>
  <c r="A23" i="103" s="1"/>
  <c r="A24" i="103" s="1"/>
  <c r="A25" i="103" s="1"/>
  <c r="A26" i="103" s="1"/>
  <c r="A27" i="103" s="1"/>
  <c r="A28" i="103" s="1"/>
  <c r="A29" i="103" s="1"/>
  <c r="A30" i="103" s="1"/>
  <c r="A31" i="103" s="1"/>
  <c r="A32" i="103" s="1"/>
  <c r="A33" i="103" s="1"/>
  <c r="A34" i="103" s="1"/>
  <c r="A35" i="103" s="1"/>
  <c r="A36" i="103" s="1"/>
  <c r="A37" i="103" s="1"/>
  <c r="A38" i="103" s="1"/>
  <c r="A39" i="103" s="1"/>
  <c r="A40" i="103" s="1"/>
  <c r="A41" i="103" s="1"/>
  <c r="A42" i="103" s="1"/>
  <c r="A43" i="103" s="1"/>
  <c r="F25" i="103"/>
  <c r="F23" i="103" l="1"/>
  <c r="F21" i="103" l="1"/>
  <c r="F27" i="103" l="1"/>
  <c r="H21" i="103" l="1"/>
  <c r="G27" i="103"/>
  <c r="F33" i="103"/>
  <c r="H27" i="103" l="1"/>
  <c r="G33" i="103"/>
  <c r="F34" i="103"/>
  <c r="H33" i="103" l="1"/>
  <c r="G34" i="103"/>
  <c r="H34" i="103" l="1"/>
  <c r="C36" i="103" l="1"/>
  <c r="C38" i="103" l="1"/>
  <c r="P40" i="108" l="1"/>
  <c r="P41" i="108" s="1"/>
  <c r="I16" i="108" s="1"/>
  <c r="F40" i="108"/>
  <c r="F41" i="108" s="1"/>
  <c r="K16" i="108" l="1"/>
  <c r="R16" i="108" s="1"/>
  <c r="I26" i="108"/>
  <c r="I28" i="108" s="1"/>
  <c r="R26" i="108" l="1"/>
  <c r="S16" i="108"/>
  <c r="E17" i="103"/>
  <c r="K26" i="108"/>
  <c r="K28" i="108" s="1"/>
  <c r="S26" i="108" l="1"/>
  <c r="R28" i="108"/>
  <c r="F17" i="103"/>
  <c r="E18" i="103"/>
  <c r="E29" i="103" s="1"/>
  <c r="E37" i="103" l="1"/>
  <c r="E36" i="103"/>
  <c r="E38" i="103"/>
  <c r="F18" i="103"/>
  <c r="F29" i="103" s="1"/>
  <c r="G17" i="103"/>
  <c r="E39" i="103" l="1"/>
  <c r="E41" i="103" s="1"/>
  <c r="E42" i="103" s="1"/>
  <c r="E43" i="103" s="1"/>
  <c r="F36" i="103"/>
  <c r="F38" i="103"/>
  <c r="F37" i="103"/>
  <c r="H17" i="103"/>
  <c r="H18" i="103" s="1"/>
  <c r="H29" i="103" s="1"/>
  <c r="G18" i="103"/>
  <c r="G29" i="103" s="1"/>
  <c r="F39" i="103" l="1"/>
  <c r="F41" i="103" s="1"/>
  <c r="F42" i="103" s="1"/>
  <c r="F43" i="103" s="1"/>
  <c r="G36" i="103"/>
  <c r="G37" i="103"/>
  <c r="G38" i="103"/>
  <c r="H38" i="103"/>
  <c r="H36" i="103"/>
  <c r="H37" i="103"/>
  <c r="H39" i="103" l="1"/>
  <c r="H41" i="103" s="1"/>
  <c r="G39" i="103"/>
  <c r="G41" i="103" s="1"/>
  <c r="G42" i="103" l="1"/>
  <c r="G43" i="103" s="1"/>
  <c r="H42" i="103"/>
  <c r="H43" i="103" s="1"/>
  <c r="H35" i="103" l="1"/>
</calcChain>
</file>

<file path=xl/sharedStrings.xml><?xml version="1.0" encoding="utf-8"?>
<sst xmlns="http://schemas.openxmlformats.org/spreadsheetml/2006/main" count="131" uniqueCount="114">
  <si>
    <t>INCREASE (DECREASE) NOI</t>
  </si>
  <si>
    <t>INCREASE (DECREASE) FIT @</t>
  </si>
  <si>
    <t>INCREASE (DECREASE) OPERATING INCOME</t>
  </si>
  <si>
    <t>STATE UTILITY TAX @</t>
  </si>
  <si>
    <t>ANNUAL FILING FEE @</t>
  </si>
  <si>
    <t>UNCOLLECTIBLES @</t>
  </si>
  <si>
    <t>OPERTATING EXPENSES:</t>
  </si>
  <si>
    <t>TOTAL INCREASE (DECREASE) IN REVENUES</t>
  </si>
  <si>
    <t>REMOVE REVENUE DEFERRALS FOR TAX REFORM</t>
  </si>
  <si>
    <t>REMOVE DECOUPLING DEFERRALS FROM TEST YEAR</t>
  </si>
  <si>
    <t>OTHER OPERATING REVENUES</t>
  </si>
  <si>
    <t>ADJUSTMENT</t>
  </si>
  <si>
    <t>RESTATED</t>
  </si>
  <si>
    <t>DESCRIPTION</t>
  </si>
  <si>
    <t>NO.</t>
  </si>
  <si>
    <t>LINE</t>
  </si>
  <si>
    <t>REVENUE ADJUSTMENT</t>
  </si>
  <si>
    <t>PUGET SOUND ENERGY-GAS</t>
  </si>
  <si>
    <t>49500064  G Decoup Rev 41, 41T, 86 &amp; 86T</t>
  </si>
  <si>
    <t>49500063  G Decoup Rev Schedule 31 &amp; 31T</t>
  </si>
  <si>
    <t>49500112  9900-Gas Non-Residential Decoupling Rev</t>
  </si>
  <si>
    <t>49500102  9900-Gas Residential Decoupling Revenue</t>
  </si>
  <si>
    <t>ACTUAL</t>
  </si>
  <si>
    <t>49500101  9900 - Gas ROR Accrual-Residential</t>
  </si>
  <si>
    <t>49500115  9900 - Gas ROR Accrual-Commercial</t>
  </si>
  <si>
    <t>49500116  9900 - Gas ROR Accrual-Industrial</t>
  </si>
  <si>
    <t>REMOVE EARNINGS SHARING ACCRUALS</t>
  </si>
  <si>
    <t>FOR THE TWELVE MONTHS ENDED DECEMBER 31, 2018</t>
  </si>
  <si>
    <t>2019 GENERAL RATE CASE</t>
  </si>
  <si>
    <t>TY</t>
  </si>
  <si>
    <t>PROFORMA</t>
  </si>
  <si>
    <t>%'s</t>
  </si>
  <si>
    <t>(a)</t>
  </si>
  <si>
    <t>(b)</t>
  </si>
  <si>
    <t>(c)=(b)-(a)</t>
  </si>
  <si>
    <t>(d)</t>
  </si>
  <si>
    <t>(e)=(d)-(b)</t>
  </si>
  <si>
    <t>SALES TO CUSTOMERS</t>
  </si>
  <si>
    <t>REMOVE PGA CURTAILMENT</t>
  </si>
  <si>
    <t>REMOVE JACKSON PRAIRIE</t>
  </si>
  <si>
    <t xml:space="preserve">  REMOVE SCHEDULE 141</t>
  </si>
  <si>
    <t xml:space="preserve">  ANNUALIZE PGA RATE</t>
  </si>
  <si>
    <t xml:space="preserve">  REMOVE MERGER RATE CREDIT SCHEDULE 132</t>
  </si>
  <si>
    <t xml:space="preserve">          SUB-TOTAL OTHER OPERATING REVNUE</t>
  </si>
  <si>
    <t xml:space="preserve">          SUB-TOTAL RETAIL REVNUE</t>
  </si>
  <si>
    <t>TOTAL INCREASE (DECREASE) IN COSTS</t>
  </si>
  <si>
    <t>INCREASE (DECREASE) TAXES OTHER THAN FIT</t>
  </si>
  <si>
    <t xml:space="preserve"> OTHER</t>
  </si>
  <si>
    <t>Total Deferral Orders</t>
  </si>
  <si>
    <t>Total Earnings Sharing Accruals</t>
  </si>
  <si>
    <t>Deferral Orders</t>
  </si>
  <si>
    <t>E/S Accrual Orders</t>
  </si>
  <si>
    <t>Gas Sch 142 Deferral Amort Revenue</t>
  </si>
  <si>
    <t>Gas Sch 142 ROR Amort Revenue</t>
  </si>
  <si>
    <t>Gas Conversion Factor</t>
  </si>
  <si>
    <t>Total Deferral Amortization</t>
  </si>
  <si>
    <t>Total Earnings Sharing Amortization</t>
  </si>
  <si>
    <t>49500067  G Decoup Amort Sch 142-Sch 41,41T,86,86T</t>
  </si>
  <si>
    <t>49500142  9900 - Gas ROR Refund-AMORT-Residential</t>
  </si>
  <si>
    <t>49500066  G Decoup Amort Sch 142 - Sch 31 &amp; 31T in</t>
  </si>
  <si>
    <t>49500114  9900 - Gas ROR Refund AMORT-Industrial</t>
  </si>
  <si>
    <t>49500132  9900- Amort Sch 142 Gas NonResid in Rate</t>
  </si>
  <si>
    <t>49500113  9900 - Gas ROR Refund AMORT-Commercial</t>
  </si>
  <si>
    <t>49500122  9900- Amort Sch 142 Gas Resid in Rates</t>
  </si>
  <si>
    <t>Deferral Amort Orders</t>
  </si>
  <si>
    <t>E/S Amort Orders</t>
  </si>
  <si>
    <t>Total Adjusted Revenue</t>
  </si>
  <si>
    <t xml:space="preserve"> Total Adjustments</t>
  </si>
  <si>
    <t>Weather Normalization Adjustment</t>
  </si>
  <si>
    <t>PGA Adjustment Sch. 101 (5)</t>
  </si>
  <si>
    <t>2018 Tax Reform  Adjustment (4)</t>
  </si>
  <si>
    <t>Remove Storage Rent Revenue (3)</t>
  </si>
  <si>
    <t>Remove PGA Curtailment Revenue (2)</t>
  </si>
  <si>
    <t>Remove Tax Reform Deferrals (1)</t>
  </si>
  <si>
    <t>Remove Decoupling Deferrals</t>
  </si>
  <si>
    <t>Other Adjustments</t>
  </si>
  <si>
    <t>Remove CRM Sch. 149</t>
  </si>
  <si>
    <t>Remove Decoupling Sch. 142</t>
  </si>
  <si>
    <t>Remove ERF Sch. 141</t>
  </si>
  <si>
    <t>Remove Property Tax  Sch. 140</t>
  </si>
  <si>
    <t>Remove Carbon Offset Sch. 137</t>
  </si>
  <si>
    <t>Remove Merger Credit Sch. 132</t>
  </si>
  <si>
    <t>Remove Low Income Sch. 129</t>
  </si>
  <si>
    <t>Remove Conservation Sch. 120</t>
  </si>
  <si>
    <t>Remove PGA Amort. Sch. 106</t>
  </si>
  <si>
    <t>Remove Municipal Taxes Sch. 81</t>
  </si>
  <si>
    <t>Income Statement</t>
  </si>
  <si>
    <t>Sales</t>
  </si>
  <si>
    <t>Other</t>
  </si>
  <si>
    <t>check</t>
  </si>
  <si>
    <t>Total</t>
  </si>
  <si>
    <t>CRM</t>
  </si>
  <si>
    <t>Rent</t>
  </si>
  <si>
    <t>Temp Norm</t>
  </si>
  <si>
    <t>R&amp;E Other</t>
  </si>
  <si>
    <t>P/T Other</t>
  </si>
  <si>
    <t>R&amp;E W/H'S</t>
  </si>
  <si>
    <t>R&amp;E Sales</t>
  </si>
  <si>
    <t>P/T W/H'S</t>
  </si>
  <si>
    <t>P/T Sales</t>
  </si>
  <si>
    <t>Gas Costs</t>
  </si>
  <si>
    <t>Gas Cost Revenues</t>
  </si>
  <si>
    <t>Total Revenue</t>
  </si>
  <si>
    <t>Total Other</t>
  </si>
  <si>
    <t>Water Heaters</t>
  </si>
  <si>
    <t>Description</t>
  </si>
  <si>
    <t>Susan</t>
  </si>
  <si>
    <t>Jon</t>
  </si>
  <si>
    <t>RENTALS - MERGER RATE CREDIT ON SCH 132</t>
  </si>
  <si>
    <t>OTHER</t>
  </si>
  <si>
    <t>ANNUALIZE PGA GAS COSTS</t>
  </si>
  <si>
    <t xml:space="preserve"> ANNUALIZE TAX REFORM  (DOCKET UG-180283)</t>
  </si>
  <si>
    <t>General</t>
  </si>
  <si>
    <t>Ledger 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</si>
</sst>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0000"/>
    <numFmt numFmtId="165" formatCode="0.00000"/>
    <numFmt numFmtId="166" formatCode="_(&quot;$&quot;* #,##0_);_(&quot;$&quot;* \(#,##0\);_(&quot;$&quot;* &quot;-&quot;??_);_(@_)"/>
    <numFmt numFmtId="167" formatCode="0.00000%"/>
    <numFmt numFmtId="168" formatCode="_-* #,##0.00\ _D_M_-;\-* #,##0.00\ _D_M_-;_-* &quot;-&quot;??\ _D_M_-;_-@_-"/>
    <numFmt numFmtId="169" formatCode="_(* #,##0_);_(* \(#,##0\);_(* &quot;-&quot;??_);_(@_)"/>
    <numFmt numFmtId="170" formatCode="_(* #,##0.000000_);_(* \(#,##0.000000\);_(* &quot;-&quot;??????_);_(@_)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12">
    <xf numFmtId="0" fontId="0" fillId="0" borderId="0"/>
    <xf numFmtId="164" fontId="5" fillId="0" borderId="0">
      <alignment horizontal="left" wrapText="1"/>
    </xf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4" fillId="0" borderId="0"/>
    <xf numFmtId="168" fontId="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164" fontId="5" fillId="0" borderId="0" xfId="1" applyAlignment="1"/>
    <xf numFmtId="164" fontId="5" fillId="0" borderId="0" xfId="1" applyFill="1" applyAlignment="1"/>
    <xf numFmtId="1" fontId="6" fillId="0" borderId="0" xfId="1" applyNumberFormat="1" applyFont="1" applyFill="1" applyAlignment="1">
      <alignment horizontal="center"/>
    </xf>
    <xf numFmtId="164" fontId="4" fillId="0" borderId="0" xfId="1" applyFont="1" applyFill="1" applyAlignment="1">
      <alignment horizontal="left" wrapText="1"/>
    </xf>
    <xf numFmtId="0" fontId="6" fillId="0" borderId="0" xfId="1" applyNumberFormat="1" applyFont="1" applyFill="1" applyAlignment="1"/>
    <xf numFmtId="42" fontId="6" fillId="0" borderId="0" xfId="1" applyNumberFormat="1" applyFont="1" applyFill="1" applyBorder="1" applyAlignment="1"/>
    <xf numFmtId="164" fontId="6" fillId="0" borderId="0" xfId="1" applyFont="1" applyFill="1" applyBorder="1" applyAlignment="1">
      <alignment horizontal="left" wrapText="1"/>
    </xf>
    <xf numFmtId="164" fontId="7" fillId="0" borderId="0" xfId="1" applyFont="1" applyFill="1" applyBorder="1" applyAlignment="1">
      <alignment horizontal="left" wrapText="1"/>
    </xf>
    <xf numFmtId="42" fontId="6" fillId="0" borderId="3" xfId="1" applyNumberFormat="1" applyFont="1" applyFill="1" applyBorder="1" applyAlignment="1"/>
    <xf numFmtId="164" fontId="6" fillId="0" borderId="0" xfId="1" applyFont="1" applyFill="1" applyAlignment="1"/>
    <xf numFmtId="164" fontId="6" fillId="0" borderId="0" xfId="1" applyFont="1" applyFill="1" applyAlignment="1">
      <alignment horizontal="left"/>
    </xf>
    <xf numFmtId="41" fontId="6" fillId="0" borderId="0" xfId="1" applyNumberFormat="1" applyFont="1" applyFill="1" applyBorder="1" applyAlignment="1"/>
    <xf numFmtId="9" fontId="6" fillId="0" borderId="0" xfId="1" applyNumberFormat="1" applyFont="1" applyFill="1" applyAlignment="1">
      <alignment horizontal="right"/>
    </xf>
    <xf numFmtId="41" fontId="6" fillId="0" borderId="1" xfId="1" applyNumberFormat="1" applyFont="1" applyFill="1" applyBorder="1" applyAlignment="1"/>
    <xf numFmtId="37" fontId="6" fillId="0" borderId="0" xfId="1" applyNumberFormat="1" applyFont="1" applyFill="1" applyBorder="1" applyAlignment="1"/>
    <xf numFmtId="164" fontId="6" fillId="0" borderId="0" xfId="1" quotePrefix="1" applyFont="1" applyFill="1" applyAlignment="1">
      <alignment horizontal="left"/>
    </xf>
    <xf numFmtId="41" fontId="6" fillId="0" borderId="0" xfId="1" applyNumberFormat="1" applyFont="1" applyFill="1" applyAlignment="1"/>
    <xf numFmtId="165" fontId="6" fillId="0" borderId="0" xfId="1" applyNumberFormat="1" applyFont="1" applyFill="1" applyAlignment="1"/>
    <xf numFmtId="167" fontId="6" fillId="0" borderId="0" xfId="1" applyNumberFormat="1" applyFont="1" applyFill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/>
    <xf numFmtId="166" fontId="6" fillId="0" borderId="0" xfId="1" applyNumberFormat="1" applyFont="1" applyFill="1" applyBorder="1" applyAlignment="1"/>
    <xf numFmtId="164" fontId="6" fillId="0" borderId="0" xfId="1" applyFont="1" applyFill="1" applyAlignment="1">
      <alignment horizontal="left" indent="1"/>
    </xf>
    <xf numFmtId="164" fontId="7" fillId="0" borderId="0" xfId="1" applyFont="1" applyFill="1" applyAlignment="1"/>
    <xf numFmtId="41" fontId="6" fillId="0" borderId="0" xfId="1" applyNumberFormat="1" applyFont="1" applyAlignment="1"/>
    <xf numFmtId="0" fontId="6" fillId="0" borderId="0" xfId="1" applyNumberFormat="1" applyFont="1" applyFill="1" applyBorder="1" applyAlignment="1">
      <alignment horizontal="left" indent="1"/>
    </xf>
    <xf numFmtId="164" fontId="5" fillId="0" borderId="0" xfId="1" applyFill="1" applyAlignment="1">
      <alignment horizontal="centerContinuous" vertical="center"/>
    </xf>
    <xf numFmtId="164" fontId="7" fillId="0" borderId="0" xfId="1" applyFont="1" applyFill="1" applyAlignment="1" applyProtection="1">
      <alignment horizontal="centerContinuous" vertical="center"/>
      <protection locked="0"/>
    </xf>
    <xf numFmtId="164" fontId="7" fillId="0" borderId="0" xfId="1" applyFont="1" applyFill="1" applyAlignment="1">
      <alignment horizontal="centerContinuous" vertical="center"/>
    </xf>
    <xf numFmtId="164" fontId="5" fillId="0" borderId="0" xfId="1" applyAlignment="1">
      <alignment horizontal="centerContinuous" vertical="center"/>
    </xf>
    <xf numFmtId="164" fontId="7" fillId="0" borderId="0" xfId="1" applyFont="1" applyFill="1" applyAlignment="1" applyProtection="1">
      <alignment horizontal="left"/>
      <protection locked="0"/>
    </xf>
    <xf numFmtId="15" fontId="7" fillId="0" borderId="0" xfId="1" applyNumberFormat="1" applyFont="1" applyFill="1" applyAlignment="1"/>
    <xf numFmtId="14" fontId="8" fillId="0" borderId="0" xfId="1" applyNumberFormat="1" applyFont="1" applyFill="1" applyAlignment="1"/>
    <xf numFmtId="164" fontId="8" fillId="0" borderId="0" xfId="1" applyFont="1" applyFill="1" applyAlignment="1"/>
    <xf numFmtId="164" fontId="7" fillId="0" borderId="0" xfId="1" quotePrefix="1" applyFont="1" applyFill="1" applyBorder="1" applyAlignment="1">
      <alignment horizontal="right"/>
    </xf>
    <xf numFmtId="0" fontId="7" fillId="0" borderId="0" xfId="0" quotePrefix="1" applyNumberFormat="1" applyFont="1" applyFill="1" applyBorder="1" applyAlignment="1">
      <alignment horizontal="centerContinuous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Continuous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164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left" wrapText="1"/>
    </xf>
    <xf numFmtId="0" fontId="7" fillId="0" borderId="0" xfId="0" applyNumberFormat="1" applyFont="1" applyFill="1" applyAlignment="1"/>
    <xf numFmtId="164" fontId="7" fillId="0" borderId="2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left"/>
    </xf>
    <xf numFmtId="0" fontId="7" fillId="0" borderId="2" xfId="0" quotePrefix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164" fontId="6" fillId="0" borderId="0" xfId="1" applyFont="1" applyFill="1" applyAlignment="1">
      <alignment horizontal="right"/>
    </xf>
    <xf numFmtId="42" fontId="6" fillId="0" borderId="0" xfId="1" applyNumberFormat="1" applyFont="1" applyFill="1" applyAlignment="1"/>
    <xf numFmtId="169" fontId="6" fillId="0" borderId="0" xfId="1" applyNumberFormat="1" applyFont="1" applyFill="1" applyBorder="1" applyAlignment="1"/>
    <xf numFmtId="0" fontId="9" fillId="0" borderId="2" xfId="0" applyFont="1" applyFill="1" applyBorder="1" applyAlignment="1">
      <alignment horizontal="center"/>
    </xf>
    <xf numFmtId="42" fontId="1" fillId="0" borderId="3" xfId="9" applyNumberFormat="1" applyFill="1" applyBorder="1"/>
    <xf numFmtId="0" fontId="1" fillId="0" borderId="0" xfId="10" applyFill="1"/>
    <xf numFmtId="41" fontId="1" fillId="0" borderId="1" xfId="9" applyNumberFormat="1" applyFill="1" applyBorder="1"/>
    <xf numFmtId="41" fontId="1" fillId="0" borderId="0" xfId="9" applyNumberFormat="1" applyFill="1" applyBorder="1"/>
    <xf numFmtId="41" fontId="1" fillId="0" borderId="16" xfId="9" applyNumberFormat="1" applyFill="1" applyBorder="1"/>
    <xf numFmtId="37" fontId="10" fillId="0" borderId="0" xfId="9" applyNumberFormat="1" applyFont="1" applyFill="1"/>
    <xf numFmtId="42" fontId="1" fillId="0" borderId="0" xfId="9" applyNumberFormat="1" applyFill="1" applyBorder="1"/>
    <xf numFmtId="42" fontId="1" fillId="0" borderId="16" xfId="9" applyNumberFormat="1" applyFill="1" applyBorder="1"/>
    <xf numFmtId="0" fontId="11" fillId="0" borderId="0" xfId="9" applyFont="1" applyFill="1" applyBorder="1" applyAlignment="1">
      <alignment horizontal="center"/>
    </xf>
    <xf numFmtId="1" fontId="10" fillId="0" borderId="0" xfId="9" applyNumberFormat="1" applyFont="1" applyFill="1" applyAlignment="1">
      <alignment horizontal="center"/>
    </xf>
    <xf numFmtId="0" fontId="1" fillId="0" borderId="0" xfId="9" applyFill="1"/>
    <xf numFmtId="0" fontId="1" fillId="0" borderId="21" xfId="9" applyFill="1" applyBorder="1"/>
    <xf numFmtId="0" fontId="1" fillId="0" borderId="20" xfId="9" applyFill="1" applyBorder="1"/>
    <xf numFmtId="0" fontId="1" fillId="0" borderId="19" xfId="9" applyFill="1" applyBorder="1"/>
    <xf numFmtId="0" fontId="9" fillId="0" borderId="16" xfId="9" applyFont="1" applyFill="1" applyBorder="1" applyAlignment="1">
      <alignment horizontal="centerContinuous"/>
    </xf>
    <xf numFmtId="0" fontId="9" fillId="0" borderId="0" xfId="9" applyFont="1" applyFill="1" applyBorder="1" applyAlignment="1">
      <alignment horizontal="centerContinuous"/>
    </xf>
    <xf numFmtId="0" fontId="9" fillId="0" borderId="15" xfId="9" applyFont="1" applyFill="1" applyBorder="1" applyAlignment="1">
      <alignment horizontal="centerContinuous"/>
    </xf>
    <xf numFmtId="0" fontId="9" fillId="0" borderId="2" xfId="9" applyFont="1" applyFill="1" applyBorder="1" applyAlignment="1">
      <alignment horizontal="center"/>
    </xf>
    <xf numFmtId="0" fontId="9" fillId="0" borderId="18" xfId="9" applyFont="1" applyFill="1" applyBorder="1" applyAlignment="1">
      <alignment horizontal="center"/>
    </xf>
    <xf numFmtId="0" fontId="12" fillId="0" borderId="2" xfId="9" applyFont="1" applyFill="1" applyBorder="1" applyAlignment="1">
      <alignment horizontal="center"/>
    </xf>
    <xf numFmtId="0" fontId="9" fillId="0" borderId="17" xfId="9" applyFont="1" applyFill="1" applyBorder="1" applyAlignment="1">
      <alignment horizontal="center"/>
    </xf>
    <xf numFmtId="0" fontId="1" fillId="0" borderId="16" xfId="9" applyFill="1" applyBorder="1"/>
    <xf numFmtId="0" fontId="1" fillId="0" borderId="0" xfId="9" applyFill="1" applyBorder="1"/>
    <xf numFmtId="0" fontId="1" fillId="0" borderId="15" xfId="9" applyFill="1" applyBorder="1"/>
    <xf numFmtId="0" fontId="10" fillId="0" borderId="16" xfId="9" applyFont="1" applyFill="1" applyBorder="1" applyAlignment="1">
      <alignment horizontal="center"/>
    </xf>
    <xf numFmtId="0" fontId="10" fillId="0" borderId="0" xfId="9" applyFont="1" applyFill="1" applyBorder="1" applyAlignment="1">
      <alignment horizontal="center"/>
    </xf>
    <xf numFmtId="42" fontId="1" fillId="0" borderId="15" xfId="9" applyNumberFormat="1" applyFill="1" applyBorder="1"/>
    <xf numFmtId="42" fontId="1" fillId="0" borderId="11" xfId="9" applyNumberFormat="1" applyFill="1" applyBorder="1"/>
    <xf numFmtId="42" fontId="1" fillId="0" borderId="1" xfId="9" applyNumberFormat="1" applyFill="1" applyBorder="1"/>
    <xf numFmtId="42" fontId="1" fillId="0" borderId="10" xfId="9" applyNumberFormat="1" applyFill="1" applyBorder="1"/>
    <xf numFmtId="41" fontId="1" fillId="0" borderId="15" xfId="9" applyNumberFormat="1" applyFill="1" applyBorder="1"/>
    <xf numFmtId="41" fontId="1" fillId="0" borderId="0" xfId="9" applyNumberFormat="1" applyFill="1"/>
    <xf numFmtId="42" fontId="1" fillId="0" borderId="14" xfId="9" applyNumberFormat="1" applyFill="1" applyBorder="1"/>
    <xf numFmtId="42" fontId="1" fillId="0" borderId="13" xfId="9" applyNumberFormat="1" applyFill="1" applyBorder="1"/>
    <xf numFmtId="42" fontId="1" fillId="0" borderId="12" xfId="9" applyNumberFormat="1" applyFill="1" applyBorder="1"/>
    <xf numFmtId="41" fontId="1" fillId="0" borderId="11" xfId="9" applyNumberFormat="1" applyFill="1" applyBorder="1"/>
    <xf numFmtId="41" fontId="1" fillId="0" borderId="10" xfId="9" applyNumberFormat="1" applyFill="1" applyBorder="1"/>
    <xf numFmtId="42" fontId="1" fillId="0" borderId="9" xfId="9" applyNumberFormat="1" applyFill="1" applyBorder="1"/>
    <xf numFmtId="42" fontId="1" fillId="0" borderId="4" xfId="9" applyNumberFormat="1" applyFill="1" applyBorder="1"/>
    <xf numFmtId="42" fontId="1" fillId="0" borderId="8" xfId="9" applyNumberFormat="1" applyFill="1" applyBorder="1"/>
    <xf numFmtId="0" fontId="1" fillId="0" borderId="7" xfId="9" applyFill="1" applyBorder="1"/>
    <xf numFmtId="0" fontId="1" fillId="0" borderId="6" xfId="9" applyFill="1" applyBorder="1"/>
    <xf numFmtId="1" fontId="10" fillId="0" borderId="6" xfId="9" applyNumberFormat="1" applyFont="1" applyFill="1" applyBorder="1"/>
    <xf numFmtId="0" fontId="1" fillId="0" borderId="5" xfId="9" applyFill="1" applyBorder="1"/>
    <xf numFmtId="0" fontId="1" fillId="0" borderId="0" xfId="9" applyFill="1" applyAlignment="1">
      <alignment horizontal="center"/>
    </xf>
    <xf numFmtId="0" fontId="1" fillId="0" borderId="2" xfId="9" applyFill="1" applyBorder="1" applyAlignment="1">
      <alignment horizontal="centerContinuous"/>
    </xf>
    <xf numFmtId="0" fontId="1" fillId="0" borderId="2" xfId="9" applyFill="1" applyBorder="1" applyAlignment="1">
      <alignment horizontal="center"/>
    </xf>
    <xf numFmtId="0" fontId="1" fillId="0" borderId="0" xfId="9" applyFill="1" applyBorder="1" applyAlignment="1">
      <alignment horizontal="center"/>
    </xf>
    <xf numFmtId="41" fontId="1" fillId="0" borderId="0" xfId="11" applyNumberFormat="1" applyFont="1" applyFill="1"/>
    <xf numFmtId="170" fontId="1" fillId="0" borderId="0" xfId="9" applyNumberFormat="1" applyFill="1"/>
  </cellXfs>
  <cellStyles count="12">
    <cellStyle name="Comma 2" xfId="2"/>
    <cellStyle name="Comma 2 2" xfId="11"/>
    <cellStyle name="Comma 3" xfId="7"/>
    <cellStyle name="Normal" xfId="0" builtinId="0"/>
    <cellStyle name="Normal 2" xfId="1"/>
    <cellStyle name="Normal 2 2" xfId="3"/>
    <cellStyle name="Normal 2 3" xfId="9"/>
    <cellStyle name="Normal 4" xfId="6"/>
    <cellStyle name="Normal 6" xfId="8"/>
    <cellStyle name="Normal 6 2" xfId="10"/>
    <cellStyle name="Normal 8" xfId="4"/>
    <cellStyle name="Normal 9" xfId="5"/>
  </cellStyles>
  <dxfs count="0"/>
  <tableStyles count="0" defaultTableStyle="TableStyleMedium9" defaultPivotStyle="PivotStyleLight16"/>
  <colors>
    <mruColors>
      <color rgb="FFCCFF33"/>
      <color rgb="FF00FFFF"/>
      <color rgb="FFFF66CC"/>
      <color rgb="FF00FF00"/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4-GAS-NORMALIZED-REVENUE-19GRC-06-2019%20(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2">
          <cell r="M12">
            <v>5.1240000000000001E-3</v>
          </cell>
        </row>
        <row r="13">
          <cell r="M13">
            <v>2E-3</v>
          </cell>
        </row>
        <row r="14">
          <cell r="M14">
            <v>3.8323000000000003E-2</v>
          </cell>
        </row>
        <row r="18">
          <cell r="M18">
            <v>0.95455299999999998</v>
          </cell>
        </row>
      </sheetData>
      <sheetData sheetId="1"/>
      <sheetData sheetId="2"/>
      <sheetData sheetId="3"/>
      <sheetData sheetId="4">
        <row r="21">
          <cell r="AD21">
            <v>-12917116.381072458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acted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R) Bills &amp; Demand Data"/>
      <sheetName val="Actual Therms"/>
      <sheetName val="(R) Actual Therms By Block"/>
      <sheetName val="(R) Rev at Actual Rates"/>
      <sheetName val="(R) Rev at 2018TR Rates"/>
      <sheetName val="(R) Rev at 2018PGA Rates"/>
      <sheetName val="(R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D27">
            <v>876657675.66999996</v>
          </cell>
          <cell r="E27">
            <v>-41329081.230000004</v>
          </cell>
          <cell r="F27">
            <v>24621258.285291649</v>
          </cell>
          <cell r="G27">
            <v>-15312447.357404472</v>
          </cell>
          <cell r="H27">
            <v>-5022860.7894830378</v>
          </cell>
          <cell r="I27">
            <v>2929656.4452484697</v>
          </cell>
          <cell r="J27">
            <v>-154860.41999999998</v>
          </cell>
          <cell r="K27">
            <v>-22625480.126507826</v>
          </cell>
          <cell r="L27">
            <v>50971.28</v>
          </cell>
          <cell r="M27">
            <v>-42361751.418104276</v>
          </cell>
          <cell r="N27">
            <v>-6980521.1700718822</v>
          </cell>
          <cell r="O27">
            <v>-2705331.2140673227</v>
          </cell>
          <cell r="P27"/>
          <cell r="Q27">
            <v>0</v>
          </cell>
          <cell r="R27">
            <v>0</v>
          </cell>
          <cell r="S27">
            <v>0</v>
          </cell>
          <cell r="T27">
            <v>-11165964.627245229</v>
          </cell>
          <cell r="U27">
            <v>-39807519.093474321</v>
          </cell>
          <cell r="V27">
            <v>35164423.965989925</v>
          </cell>
        </row>
        <row r="29">
          <cell r="D29">
            <v>5803926.3700000001</v>
          </cell>
        </row>
        <row r="30">
          <cell r="D30">
            <v>9553391.6400000006</v>
          </cell>
        </row>
        <row r="31">
          <cell r="D31">
            <v>-40460165.059999995</v>
          </cell>
        </row>
        <row r="32">
          <cell r="D32">
            <v>-10523931</v>
          </cell>
        </row>
        <row r="33">
          <cell r="D33">
            <v>3747914.02</v>
          </cell>
        </row>
        <row r="34">
          <cell r="D34">
            <v>5968865.4500000002</v>
          </cell>
        </row>
        <row r="35">
          <cell r="E35">
            <v>-308145.35000000003</v>
          </cell>
          <cell r="I35">
            <v>48508.420000000006</v>
          </cell>
          <cell r="J35">
            <v>52671.83</v>
          </cell>
          <cell r="K35">
            <v>-242193.71000000005</v>
          </cell>
          <cell r="L35">
            <v>311.2299999999999</v>
          </cell>
          <cell r="M35">
            <v>40460165.059999995</v>
          </cell>
          <cell r="O35">
            <v>107413.1799999997</v>
          </cell>
          <cell r="P35">
            <v>-9553391.6400000006</v>
          </cell>
          <cell r="Q35">
            <v>10523931</v>
          </cell>
          <cell r="R35">
            <v>-3747914.02</v>
          </cell>
          <cell r="S35">
            <v>-981624</v>
          </cell>
          <cell r="T35">
            <v>-99439.450000001118</v>
          </cell>
          <cell r="U35">
            <v>0</v>
          </cell>
          <cell r="V35">
            <v>0</v>
          </cell>
        </row>
        <row r="39">
          <cell r="D39">
            <v>335451650.97670281</v>
          </cell>
          <cell r="O39">
            <v>-5874715.219819963</v>
          </cell>
          <cell r="U39">
            <v>-39807519.093474209</v>
          </cell>
          <cell r="V39">
            <v>17388402.346179962</v>
          </cell>
        </row>
        <row r="40">
          <cell r="D40">
            <v>320201348.01999992</v>
          </cell>
          <cell r="O40">
            <v>-5257549.66233325</v>
          </cell>
          <cell r="U40">
            <v>-38339579.111994386</v>
          </cell>
          <cell r="V40">
            <v>16597941.863750041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A16" workbookViewId="0">
      <selection activeCell="G23" sqref="G23"/>
    </sheetView>
  </sheetViews>
  <sheetFormatPr defaultColWidth="9.109375" defaultRowHeight="10.199999999999999" outlineLevelCol="1" x14ac:dyDescent="0.2"/>
  <cols>
    <col min="1" max="1" width="7" style="1" bestFit="1" customWidth="1"/>
    <col min="2" max="2" width="46.5546875" style="1" customWidth="1"/>
    <col min="3" max="3" width="11" style="1" customWidth="1" outlineLevel="1"/>
    <col min="4" max="4" width="8.33203125" style="1" customWidth="1" outlineLevel="1"/>
    <col min="5" max="5" width="16.6640625" style="1" customWidth="1" outlineLevel="1"/>
    <col min="6" max="8" width="18.109375" style="1" customWidth="1" outlineLevel="1"/>
    <col min="9" max="9" width="3" style="2" customWidth="1" outlineLevel="1"/>
    <col min="10" max="16384" width="9.109375" style="1"/>
  </cols>
  <sheetData>
    <row r="1" spans="1:9" ht="13.2" x14ac:dyDescent="0.25">
      <c r="A1" s="34"/>
      <c r="B1" s="10"/>
      <c r="C1" s="10"/>
      <c r="D1" s="10"/>
      <c r="E1" s="33"/>
      <c r="H1"/>
      <c r="I1" s="1"/>
    </row>
    <row r="2" spans="1:9" ht="13.2" x14ac:dyDescent="0.25">
      <c r="A2" s="10"/>
      <c r="B2" s="10"/>
      <c r="C2" s="10"/>
      <c r="D2" s="10"/>
      <c r="G2" s="35"/>
      <c r="H2"/>
      <c r="I2" s="1"/>
    </row>
    <row r="3" spans="1:9" ht="13.2" x14ac:dyDescent="0.25">
      <c r="A3" s="24"/>
      <c r="B3" s="32"/>
      <c r="C3" s="32"/>
      <c r="D3" s="31"/>
      <c r="E3" s="24"/>
      <c r="H3"/>
      <c r="I3" s="1"/>
    </row>
    <row r="4" spans="1:9" ht="13.2" x14ac:dyDescent="0.25">
      <c r="A4" s="28" t="s">
        <v>17</v>
      </c>
      <c r="B4" s="29"/>
      <c r="C4" s="29"/>
      <c r="D4" s="29"/>
      <c r="E4" s="29"/>
      <c r="F4" s="30"/>
      <c r="G4" s="30"/>
      <c r="H4"/>
      <c r="I4" s="1"/>
    </row>
    <row r="5" spans="1:9" ht="13.2" x14ac:dyDescent="0.25">
      <c r="A5" s="28" t="s">
        <v>16</v>
      </c>
      <c r="B5" s="29"/>
      <c r="C5" s="29"/>
      <c r="D5" s="28"/>
      <c r="E5" s="29"/>
      <c r="F5" s="27"/>
      <c r="G5" s="27"/>
      <c r="H5"/>
      <c r="I5" s="1"/>
    </row>
    <row r="6" spans="1:9" ht="13.2" x14ac:dyDescent="0.2">
      <c r="A6" s="29" t="s">
        <v>27</v>
      </c>
      <c r="B6" s="29"/>
      <c r="C6" s="29"/>
      <c r="D6" s="28"/>
      <c r="E6" s="29"/>
      <c r="F6" s="27"/>
      <c r="G6" s="27"/>
      <c r="H6" s="27"/>
      <c r="I6" s="1"/>
    </row>
    <row r="7" spans="1:9" ht="13.2" x14ac:dyDescent="0.2">
      <c r="A7" s="28" t="s">
        <v>28</v>
      </c>
      <c r="B7" s="29"/>
      <c r="C7" s="29"/>
      <c r="D7" s="28"/>
      <c r="E7" s="28"/>
      <c r="F7" s="27"/>
      <c r="G7" s="27"/>
      <c r="H7" s="27"/>
      <c r="I7" s="1"/>
    </row>
    <row r="8" spans="1:9" ht="13.2" x14ac:dyDescent="0.25">
      <c r="A8"/>
      <c r="B8"/>
      <c r="C8" s="36"/>
      <c r="D8" s="37" t="s">
        <v>29</v>
      </c>
      <c r="E8" s="38"/>
      <c r="F8" s="39" t="s">
        <v>12</v>
      </c>
      <c r="G8" s="38"/>
      <c r="H8" s="39" t="s">
        <v>30</v>
      </c>
      <c r="I8" s="1"/>
    </row>
    <row r="9" spans="1:9" ht="13.2" x14ac:dyDescent="0.25">
      <c r="A9" s="40" t="s">
        <v>15</v>
      </c>
      <c r="B9" s="41"/>
      <c r="C9" s="42"/>
      <c r="D9" s="39" t="s">
        <v>22</v>
      </c>
      <c r="E9" s="39" t="s">
        <v>12</v>
      </c>
      <c r="F9" s="39" t="s">
        <v>11</v>
      </c>
      <c r="G9" s="39" t="s">
        <v>30</v>
      </c>
      <c r="H9" s="39" t="s">
        <v>11</v>
      </c>
      <c r="I9" s="1"/>
    </row>
    <row r="10" spans="1:9" ht="14.4" x14ac:dyDescent="0.3">
      <c r="A10" s="43" t="s">
        <v>14</v>
      </c>
      <c r="B10" s="44" t="s">
        <v>13</v>
      </c>
      <c r="C10" s="45" t="s">
        <v>31</v>
      </c>
      <c r="D10" s="46" t="s">
        <v>32</v>
      </c>
      <c r="E10" s="47" t="s">
        <v>33</v>
      </c>
      <c r="F10" s="51" t="s">
        <v>34</v>
      </c>
      <c r="G10" s="47" t="s">
        <v>35</v>
      </c>
      <c r="H10" s="51" t="s">
        <v>36</v>
      </c>
      <c r="I10" s="1"/>
    </row>
    <row r="11" spans="1:9" x14ac:dyDescent="0.2">
      <c r="F11" s="2"/>
      <c r="G11" s="2"/>
      <c r="H11" s="2"/>
    </row>
    <row r="12" spans="1:9" ht="13.2" x14ac:dyDescent="0.25">
      <c r="A12" s="3">
        <v>1</v>
      </c>
      <c r="B12" s="24" t="s">
        <v>37</v>
      </c>
      <c r="C12" s="24"/>
      <c r="D12" s="10"/>
      <c r="E12" s="10"/>
      <c r="F12" s="10"/>
      <c r="G12" s="10"/>
      <c r="H12" s="10"/>
      <c r="I12" s="1"/>
    </row>
    <row r="13" spans="1:9" ht="13.2" x14ac:dyDescent="0.25">
      <c r="A13" s="3">
        <f t="shared" ref="A13:A43" si="0">+A12+1</f>
        <v>2</v>
      </c>
      <c r="B13" s="23" t="s">
        <v>40</v>
      </c>
      <c r="C13" s="5"/>
      <c r="D13" s="6"/>
      <c r="E13" s="6"/>
      <c r="F13" s="12">
        <f>+E13-D13</f>
        <v>0</v>
      </c>
      <c r="G13" s="49">
        <f>'Summary COS Rev'!$K$15</f>
        <v>50971.28</v>
      </c>
      <c r="H13" s="17">
        <f t="shared" ref="H13:H15" si="1">+G13-E13</f>
        <v>50971.28</v>
      </c>
      <c r="I13" s="1"/>
    </row>
    <row r="14" spans="1:9" ht="13.2" x14ac:dyDescent="0.25">
      <c r="A14" s="3">
        <f t="shared" si="0"/>
        <v>3</v>
      </c>
      <c r="B14" s="23" t="s">
        <v>41</v>
      </c>
      <c r="C14" s="5"/>
      <c r="D14" s="6"/>
      <c r="E14" s="12">
        <f>'Summary COS Rev'!$K$24</f>
        <v>-39807519.093474321</v>
      </c>
      <c r="F14" s="12">
        <f>+E14-D14</f>
        <v>-39807519.093474321</v>
      </c>
      <c r="G14" s="12">
        <f t="shared" ref="G14" si="2">+F14</f>
        <v>-39807519.093474321</v>
      </c>
      <c r="H14" s="17">
        <f t="shared" si="1"/>
        <v>0</v>
      </c>
      <c r="I14" s="1"/>
    </row>
    <row r="15" spans="1:9" ht="13.2" x14ac:dyDescent="0.25">
      <c r="A15" s="3">
        <f t="shared" si="0"/>
        <v>4</v>
      </c>
      <c r="B15" s="23" t="s">
        <v>42</v>
      </c>
      <c r="C15" s="48"/>
      <c r="D15" s="12"/>
      <c r="E15" s="12">
        <f>'Summary COS Rev'!$K$12</f>
        <v>2929656.4452484697</v>
      </c>
      <c r="F15" s="12">
        <f>+E15-D15</f>
        <v>2929656.4452484697</v>
      </c>
      <c r="G15" s="12">
        <f>+F15</f>
        <v>2929656.4452484697</v>
      </c>
      <c r="H15" s="17">
        <f t="shared" si="1"/>
        <v>0</v>
      </c>
      <c r="I15" s="1"/>
    </row>
    <row r="16" spans="1:9" ht="13.2" x14ac:dyDescent="0.25">
      <c r="A16" s="3">
        <f t="shared" si="0"/>
        <v>5</v>
      </c>
      <c r="B16" s="23" t="s">
        <v>111</v>
      </c>
      <c r="C16" s="48"/>
      <c r="D16" s="12"/>
      <c r="E16" s="12">
        <f>'Summary COS Rev'!$K$23</f>
        <v>-11165964.627245229</v>
      </c>
      <c r="F16" s="12">
        <f>+E16-D17</f>
        <v>-11165964.627245229</v>
      </c>
      <c r="G16" s="12">
        <f>+F16</f>
        <v>-11165964.627245229</v>
      </c>
      <c r="H16" s="25">
        <f>+G16-E16</f>
        <v>0</v>
      </c>
      <c r="I16" s="1"/>
    </row>
    <row r="17" spans="1:9" ht="13.2" x14ac:dyDescent="0.25">
      <c r="A17" s="3">
        <f t="shared" si="0"/>
        <v>6</v>
      </c>
      <c r="B17" s="23" t="s">
        <v>47</v>
      </c>
      <c r="E17" s="12">
        <f>SUM('Summary COS Rev'!K18,'Summary COS Rev'!K16)</f>
        <v>945501.50930613512</v>
      </c>
      <c r="F17" s="12">
        <f>+E17-D18</f>
        <v>945501.50930613512</v>
      </c>
      <c r="G17" s="12">
        <f>+F17</f>
        <v>945501.50930613512</v>
      </c>
      <c r="H17" s="25">
        <f t="shared" ref="H17" si="3">+G17-E17</f>
        <v>0</v>
      </c>
      <c r="I17" s="1"/>
    </row>
    <row r="18" spans="1:9" ht="13.2" x14ac:dyDescent="0.25">
      <c r="A18" s="3">
        <f t="shared" si="0"/>
        <v>7</v>
      </c>
      <c r="B18" s="26" t="s">
        <v>44</v>
      </c>
      <c r="D18" s="21">
        <f>SUM(D13:D17)</f>
        <v>0</v>
      </c>
      <c r="E18" s="21">
        <f>SUM(E13:E17)</f>
        <v>-47098325.766164944</v>
      </c>
      <c r="F18" s="21">
        <f>SUM(F13:F17)</f>
        <v>-47098325.766164944</v>
      </c>
      <c r="G18" s="21">
        <f>SUM(G13:G17)</f>
        <v>-47047354.486164942</v>
      </c>
      <c r="H18" s="21">
        <f>SUM(H13:H17)</f>
        <v>50971.28</v>
      </c>
      <c r="I18" s="1"/>
    </row>
    <row r="19" spans="1:9" ht="13.2" x14ac:dyDescent="0.25">
      <c r="A19" s="3">
        <f t="shared" si="0"/>
        <v>8</v>
      </c>
      <c r="B19" s="23"/>
      <c r="C19" s="23"/>
      <c r="D19" s="12"/>
      <c r="E19" s="12"/>
      <c r="F19" s="17"/>
      <c r="G19" s="17"/>
      <c r="H19" s="25"/>
      <c r="I19" s="1"/>
    </row>
    <row r="20" spans="1:9" ht="13.2" x14ac:dyDescent="0.25">
      <c r="A20" s="3">
        <f t="shared" si="0"/>
        <v>9</v>
      </c>
      <c r="B20" s="24" t="s">
        <v>10</v>
      </c>
      <c r="C20" s="24"/>
      <c r="D20" s="2"/>
      <c r="E20" s="12"/>
      <c r="F20" s="17"/>
      <c r="G20" s="17"/>
      <c r="H20" s="25"/>
      <c r="I20" s="1"/>
    </row>
    <row r="21" spans="1:9" ht="13.2" x14ac:dyDescent="0.25">
      <c r="A21" s="3">
        <f t="shared" si="0"/>
        <v>10</v>
      </c>
      <c r="B21" s="23" t="s">
        <v>108</v>
      </c>
      <c r="C21" s="23"/>
      <c r="D21" s="12"/>
      <c r="E21" s="6">
        <f>'Summary COS Rev'!$L$12</f>
        <v>48508.420000000006</v>
      </c>
      <c r="F21" s="17">
        <f t="shared" ref="F21:F26" si="4">E21-D21</f>
        <v>48508.420000000006</v>
      </c>
      <c r="G21" s="17">
        <f>'Summary COS Rev'!$L$26</f>
        <v>56793.379999998608</v>
      </c>
      <c r="H21" s="25">
        <f t="shared" ref="H21:H26" si="5">+G21-E21</f>
        <v>8284.9599999986021</v>
      </c>
      <c r="I21" s="1"/>
    </row>
    <row r="22" spans="1:9" ht="13.2" x14ac:dyDescent="0.25">
      <c r="A22" s="3">
        <f t="shared" si="0"/>
        <v>11</v>
      </c>
      <c r="B22" s="23" t="s">
        <v>26</v>
      </c>
      <c r="C22" s="23"/>
      <c r="D22" s="12"/>
      <c r="E22" s="12">
        <f>'Summary COS Rev'!$F$39+'Summary COS Rev'!$F$47</f>
        <v>-6899336.8599999994</v>
      </c>
      <c r="F22" s="17">
        <f t="shared" si="4"/>
        <v>-6899336.8599999994</v>
      </c>
      <c r="G22" s="17">
        <f>'Summary COS Rev'!$F$39+'Summary COS Rev'!$F$47</f>
        <v>-6899336.8599999994</v>
      </c>
      <c r="H22" s="25">
        <f t="shared" si="5"/>
        <v>0</v>
      </c>
      <c r="I22" s="1"/>
    </row>
    <row r="23" spans="1:9" ht="13.2" x14ac:dyDescent="0.25">
      <c r="A23" s="3">
        <f t="shared" si="0"/>
        <v>12</v>
      </c>
      <c r="B23" s="23" t="s">
        <v>9</v>
      </c>
      <c r="C23" s="23"/>
      <c r="D23" s="12"/>
      <c r="E23" s="12"/>
      <c r="F23" s="17">
        <f t="shared" si="4"/>
        <v>0</v>
      </c>
      <c r="G23" s="17">
        <f>'Summary COS Rev'!$P$48</f>
        <v>-6115339.9499999993</v>
      </c>
      <c r="H23" s="25">
        <f t="shared" si="5"/>
        <v>-6115339.9499999993</v>
      </c>
      <c r="I23" s="1"/>
    </row>
    <row r="24" spans="1:9" ht="13.2" x14ac:dyDescent="0.25">
      <c r="A24" s="3">
        <f t="shared" si="0"/>
        <v>13</v>
      </c>
      <c r="B24" s="26" t="s">
        <v>8</v>
      </c>
      <c r="C24" s="23"/>
      <c r="D24" s="12"/>
      <c r="E24" s="12">
        <f>'Summary COS Rev'!$N$20</f>
        <v>10523931</v>
      </c>
      <c r="F24" s="17">
        <f t="shared" si="4"/>
        <v>10523931</v>
      </c>
      <c r="G24" s="17">
        <f>'Summary COS Rev'!$N$20</f>
        <v>10523931</v>
      </c>
      <c r="H24" s="25">
        <f t="shared" si="5"/>
        <v>0</v>
      </c>
      <c r="I24" s="1"/>
    </row>
    <row r="25" spans="1:9" ht="13.2" x14ac:dyDescent="0.25">
      <c r="A25" s="3">
        <f t="shared" si="0"/>
        <v>14</v>
      </c>
      <c r="B25" s="26" t="s">
        <v>38</v>
      </c>
      <c r="C25" s="26"/>
      <c r="D25" s="12"/>
      <c r="E25" s="12"/>
      <c r="F25" s="17">
        <f t="shared" si="4"/>
        <v>0</v>
      </c>
      <c r="G25" s="17">
        <f>'Summary COS Rev'!$N$21</f>
        <v>-3747914.02</v>
      </c>
      <c r="H25" s="25">
        <f t="shared" si="5"/>
        <v>-3747914.02</v>
      </c>
      <c r="I25" s="1"/>
    </row>
    <row r="26" spans="1:9" ht="13.2" x14ac:dyDescent="0.25">
      <c r="A26" s="3">
        <f t="shared" si="0"/>
        <v>15</v>
      </c>
      <c r="B26" s="26" t="s">
        <v>39</v>
      </c>
      <c r="C26" s="26"/>
      <c r="D26" s="12"/>
      <c r="E26" s="12">
        <f>'Summary COS Rev'!$N$22</f>
        <v>-981624</v>
      </c>
      <c r="F26" s="17">
        <f t="shared" si="4"/>
        <v>-981624</v>
      </c>
      <c r="G26" s="17">
        <f>'Summary COS Rev'!$N$22</f>
        <v>-981624</v>
      </c>
      <c r="H26" s="25">
        <f t="shared" si="5"/>
        <v>0</v>
      </c>
      <c r="I26" s="1"/>
    </row>
    <row r="27" spans="1:9" ht="13.2" x14ac:dyDescent="0.25">
      <c r="A27" s="3">
        <f t="shared" si="0"/>
        <v>16</v>
      </c>
      <c r="B27" s="26" t="s">
        <v>43</v>
      </c>
      <c r="C27" s="26"/>
      <c r="D27" s="21">
        <f>SUM(D21:D26)</f>
        <v>0</v>
      </c>
      <c r="E27" s="21">
        <f>SUM(E21:E26)</f>
        <v>2691478.5600000005</v>
      </c>
      <c r="F27" s="21">
        <f>SUM(F21:F26)</f>
        <v>2691478.5600000005</v>
      </c>
      <c r="G27" s="21">
        <f t="shared" ref="G27:H27" si="6">SUM(G21:G26)</f>
        <v>-7163490.4499999993</v>
      </c>
      <c r="H27" s="21">
        <f t="shared" si="6"/>
        <v>-9854969.0099999998</v>
      </c>
      <c r="I27" s="1"/>
    </row>
    <row r="28" spans="1:9" ht="13.2" x14ac:dyDescent="0.25">
      <c r="A28" s="3">
        <f t="shared" si="0"/>
        <v>17</v>
      </c>
      <c r="B28" s="10"/>
      <c r="C28" s="10"/>
      <c r="D28" s="10"/>
      <c r="E28" s="12"/>
      <c r="F28" s="22"/>
      <c r="G28" s="22"/>
      <c r="H28" s="22"/>
      <c r="I28" s="1"/>
    </row>
    <row r="29" spans="1:9" ht="13.2" x14ac:dyDescent="0.25">
      <c r="A29" s="3">
        <f t="shared" si="0"/>
        <v>18</v>
      </c>
      <c r="B29" s="10" t="s">
        <v>7</v>
      </c>
      <c r="C29" s="10"/>
      <c r="D29" s="21">
        <f>+D18+D27</f>
        <v>0</v>
      </c>
      <c r="E29" s="21">
        <f t="shared" ref="E29:H29" si="7">+E18+E27</f>
        <v>-44406847.206164941</v>
      </c>
      <c r="F29" s="21">
        <f t="shared" si="7"/>
        <v>-44406847.206164941</v>
      </c>
      <c r="G29" s="21">
        <f t="shared" si="7"/>
        <v>-54210844.936164945</v>
      </c>
      <c r="H29" s="21">
        <f t="shared" si="7"/>
        <v>-9803997.7300000004</v>
      </c>
      <c r="I29" s="1"/>
    </row>
    <row r="30" spans="1:9" ht="13.2" x14ac:dyDescent="0.25">
      <c r="A30" s="3">
        <f t="shared" si="0"/>
        <v>19</v>
      </c>
      <c r="B30" s="10"/>
      <c r="C30" s="10"/>
      <c r="D30" s="22"/>
      <c r="E30" s="22"/>
      <c r="F30" s="22"/>
      <c r="G30" s="22"/>
      <c r="H30" s="22"/>
    </row>
    <row r="31" spans="1:9" ht="13.2" x14ac:dyDescent="0.25">
      <c r="A31" s="3">
        <f t="shared" si="0"/>
        <v>20</v>
      </c>
      <c r="B31" s="24" t="s">
        <v>6</v>
      </c>
      <c r="C31" s="24"/>
      <c r="D31" s="22"/>
      <c r="E31" s="22"/>
      <c r="F31" s="22"/>
      <c r="G31" s="22"/>
      <c r="H31" s="22"/>
    </row>
    <row r="32" spans="1:9" ht="13.2" x14ac:dyDescent="0.25">
      <c r="A32" s="3">
        <f t="shared" si="0"/>
        <v>21</v>
      </c>
      <c r="B32" s="23" t="s">
        <v>109</v>
      </c>
      <c r="C32" s="24"/>
      <c r="D32" s="22"/>
      <c r="E32" s="22">
        <f>'[2]Revenue Adj. Detail'!$O$40</f>
        <v>-5257549.66233325</v>
      </c>
      <c r="F32" s="22">
        <f>+E32-D32</f>
        <v>-5257549.66233325</v>
      </c>
      <c r="G32" s="49">
        <f>+F32</f>
        <v>-5257549.66233325</v>
      </c>
      <c r="H32" s="25">
        <f t="shared" ref="H32:H33" si="8">+G32-E32</f>
        <v>0</v>
      </c>
    </row>
    <row r="33" spans="1:14" ht="13.2" x14ac:dyDescent="0.25">
      <c r="A33" s="3">
        <f t="shared" si="0"/>
        <v>22</v>
      </c>
      <c r="B33" s="23" t="s">
        <v>110</v>
      </c>
      <c r="C33" s="23"/>
      <c r="D33" s="22"/>
      <c r="E33" s="12">
        <f>+'[2]Revenue Adj. Detail'!$U$40</f>
        <v>-38339579.111994386</v>
      </c>
      <c r="F33" s="12">
        <f>+E33-D33</f>
        <v>-38339579.111994386</v>
      </c>
      <c r="G33" s="12">
        <f>+F33</f>
        <v>-38339579.111994386</v>
      </c>
      <c r="H33" s="25">
        <f t="shared" si="8"/>
        <v>0</v>
      </c>
    </row>
    <row r="34" spans="1:14" ht="13.2" x14ac:dyDescent="0.25">
      <c r="A34" s="3">
        <f t="shared" si="0"/>
        <v>23</v>
      </c>
      <c r="B34" s="10" t="s">
        <v>45</v>
      </c>
      <c r="C34" s="10"/>
      <c r="D34" s="21">
        <f>SUM(D32:D33)</f>
        <v>0</v>
      </c>
      <c r="E34" s="21">
        <f>SUM(E32:E33)</f>
        <v>-43597128.774327636</v>
      </c>
      <c r="F34" s="21">
        <f t="shared" ref="F34:H34" si="9">SUM(F32:F33)</f>
        <v>-43597128.774327636</v>
      </c>
      <c r="G34" s="21">
        <f t="shared" si="9"/>
        <v>-43597128.774327636</v>
      </c>
      <c r="H34" s="21">
        <f t="shared" si="9"/>
        <v>0</v>
      </c>
    </row>
    <row r="35" spans="1:14" ht="15.75" customHeight="1" x14ac:dyDescent="0.25">
      <c r="A35" s="3">
        <f t="shared" si="0"/>
        <v>24</v>
      </c>
      <c r="E35" s="2"/>
      <c r="F35" s="2"/>
      <c r="G35" s="2"/>
      <c r="H35" s="17">
        <f>+'[1]Common Adj'!$AD$21</f>
        <v>-12917116.381072458</v>
      </c>
    </row>
    <row r="36" spans="1:14" ht="13.2" x14ac:dyDescent="0.25">
      <c r="A36" s="3">
        <f t="shared" si="0"/>
        <v>25</v>
      </c>
      <c r="B36" s="11" t="s">
        <v>5</v>
      </c>
      <c r="C36" s="19">
        <f>'[1]COC, Def, ConvF'!$M$12</f>
        <v>5.1240000000000001E-3</v>
      </c>
      <c r="E36" s="20">
        <f>E29*$C36</f>
        <v>-227540.68508438917</v>
      </c>
      <c r="F36" s="20">
        <f>F29*$C36</f>
        <v>-227540.68508438917</v>
      </c>
      <c r="G36" s="20">
        <f>G29*$C36</f>
        <v>-277776.36945290916</v>
      </c>
      <c r="H36" s="20">
        <f>H29*$C36</f>
        <v>-50235.68436852</v>
      </c>
    </row>
    <row r="37" spans="1:14" ht="13.2" x14ac:dyDescent="0.25">
      <c r="A37" s="3">
        <f t="shared" si="0"/>
        <v>26</v>
      </c>
      <c r="B37" s="11" t="s">
        <v>4</v>
      </c>
      <c r="C37" s="19">
        <f>'[1]COC, Def, ConvF'!$M$13</f>
        <v>2E-3</v>
      </c>
      <c r="E37" s="20">
        <f>E29*$C37</f>
        <v>-88813.694412329889</v>
      </c>
      <c r="F37" s="20">
        <f>F29*$C37</f>
        <v>-88813.694412329889</v>
      </c>
      <c r="G37" s="20">
        <f>G29*$C37</f>
        <v>-108421.68987232989</v>
      </c>
      <c r="H37" s="20">
        <f>H29*$C37</f>
        <v>-19607.995460000002</v>
      </c>
    </row>
    <row r="38" spans="1:14" ht="13.2" x14ac:dyDescent="0.25">
      <c r="A38" s="3">
        <f t="shared" si="0"/>
        <v>27</v>
      </c>
      <c r="B38" s="11" t="s">
        <v>3</v>
      </c>
      <c r="C38" s="19">
        <f>'[1]COC, Def, ConvF'!$M$14</f>
        <v>3.8323000000000003E-2</v>
      </c>
      <c r="E38" s="6">
        <f>E29*$C38</f>
        <v>-1701803.6054818591</v>
      </c>
      <c r="F38" s="6">
        <f>F29*$C38</f>
        <v>-1701803.6054818591</v>
      </c>
      <c r="G38" s="6">
        <f>G29*$C38</f>
        <v>-2077522.2104886493</v>
      </c>
      <c r="H38" s="6">
        <f>H29*$C38</f>
        <v>-375718.60500679002</v>
      </c>
    </row>
    <row r="39" spans="1:14" ht="13.2" x14ac:dyDescent="0.25">
      <c r="A39" s="3">
        <f t="shared" si="0"/>
        <v>28</v>
      </c>
      <c r="B39" s="16" t="s">
        <v>46</v>
      </c>
      <c r="C39" s="16"/>
      <c r="D39" s="18"/>
      <c r="E39" s="14">
        <f>SUM(E36:E38)</f>
        <v>-2018157.9849785781</v>
      </c>
      <c r="F39" s="14">
        <f t="shared" ref="F39:H39" si="10">SUM(F36:F38)</f>
        <v>-2018157.9849785781</v>
      </c>
      <c r="G39" s="14">
        <f t="shared" si="10"/>
        <v>-2463720.2698138882</v>
      </c>
      <c r="H39" s="14">
        <f t="shared" si="10"/>
        <v>-445562.28483531001</v>
      </c>
    </row>
    <row r="40" spans="1:14" ht="13.2" x14ac:dyDescent="0.25">
      <c r="A40" s="3">
        <f t="shared" si="0"/>
        <v>29</v>
      </c>
      <c r="B40" s="11"/>
      <c r="C40" s="11"/>
      <c r="D40" s="18"/>
      <c r="E40" s="15"/>
      <c r="F40" s="15"/>
      <c r="G40" s="15"/>
      <c r="H40" s="15"/>
    </row>
    <row r="41" spans="1:14" ht="13.2" x14ac:dyDescent="0.25">
      <c r="A41" s="3">
        <f t="shared" si="0"/>
        <v>30</v>
      </c>
      <c r="B41" s="11" t="s">
        <v>2</v>
      </c>
      <c r="C41" s="11"/>
      <c r="D41" s="10"/>
      <c r="E41" s="12">
        <f>+E29-E34-E39</f>
        <v>1208439.5531412726</v>
      </c>
      <c r="F41" s="12">
        <f>+F29-F34-F39</f>
        <v>1208439.5531412726</v>
      </c>
      <c r="G41" s="12">
        <f>+G29-G34-G39</f>
        <v>-8149995.8920234218</v>
      </c>
      <c r="H41" s="12">
        <f>+H29-H34-H39</f>
        <v>-9358435.4451646898</v>
      </c>
    </row>
    <row r="42" spans="1:14" ht="13.2" x14ac:dyDescent="0.25">
      <c r="A42" s="3">
        <f t="shared" si="0"/>
        <v>31</v>
      </c>
      <c r="B42" s="11" t="s">
        <v>1</v>
      </c>
      <c r="C42" s="13">
        <v>0.21</v>
      </c>
      <c r="E42" s="50">
        <f>E41*$C$42</f>
        <v>253772.30615966723</v>
      </c>
      <c r="F42" s="50">
        <f>F41*$C$42</f>
        <v>253772.30615966723</v>
      </c>
      <c r="G42" s="50">
        <f>G41*$C$42</f>
        <v>-1711499.1373249185</v>
      </c>
      <c r="H42" s="50">
        <f>H41*$C$42</f>
        <v>-1965271.4434845848</v>
      </c>
    </row>
    <row r="43" spans="1:14" ht="13.8" thickBot="1" x14ac:dyDescent="0.3">
      <c r="A43" s="3">
        <f t="shared" si="0"/>
        <v>32</v>
      </c>
      <c r="B43" s="11" t="s">
        <v>0</v>
      </c>
      <c r="C43" s="11"/>
      <c r="D43" s="10"/>
      <c r="E43" s="9">
        <f>E41-E42</f>
        <v>954667.24698160542</v>
      </c>
      <c r="F43" s="9">
        <f t="shared" ref="F43:H43" si="11">F41-F42</f>
        <v>954667.24698160542</v>
      </c>
      <c r="G43" s="9">
        <f t="shared" si="11"/>
        <v>-6438496.7546985038</v>
      </c>
      <c r="H43" s="9">
        <f t="shared" si="11"/>
        <v>-7393164.001680105</v>
      </c>
    </row>
    <row r="44" spans="1:14" ht="10.8" thickTop="1" x14ac:dyDescent="0.2"/>
    <row r="45" spans="1:14" ht="13.2" x14ac:dyDescent="0.25">
      <c r="A45" s="3"/>
      <c r="B45" s="8"/>
      <c r="C45" s="8"/>
      <c r="D45" s="7"/>
      <c r="E45"/>
      <c r="F45"/>
      <c r="G45"/>
      <c r="H45"/>
      <c r="I45"/>
      <c r="J45"/>
      <c r="K45"/>
      <c r="L45"/>
      <c r="M45"/>
      <c r="N45"/>
    </row>
    <row r="46" spans="1:14" ht="13.2" x14ac:dyDescent="0.25">
      <c r="A46" s="3"/>
      <c r="B46" s="5"/>
      <c r="C46" s="5"/>
      <c r="D46" s="4"/>
      <c r="E46"/>
      <c r="F46"/>
      <c r="G46"/>
      <c r="H46"/>
      <c r="I46"/>
      <c r="J46"/>
      <c r="K46"/>
      <c r="L46"/>
      <c r="M46"/>
      <c r="N46"/>
    </row>
    <row r="47" spans="1:14" ht="13.2" x14ac:dyDescent="0.25">
      <c r="E47"/>
      <c r="F47"/>
      <c r="G47"/>
      <c r="H47"/>
      <c r="I47"/>
      <c r="J47"/>
      <c r="K47"/>
      <c r="L47"/>
      <c r="M47"/>
      <c r="N47"/>
    </row>
    <row r="48" spans="1:14" ht="13.2" x14ac:dyDescent="0.25">
      <c r="E48"/>
      <c r="F48"/>
      <c r="G48"/>
      <c r="H48"/>
      <c r="I48"/>
      <c r="J48"/>
      <c r="K48"/>
      <c r="L48"/>
      <c r="M48"/>
      <c r="N48"/>
    </row>
    <row r="49" spans="5:14" ht="13.2" x14ac:dyDescent="0.25">
      <c r="E49"/>
      <c r="F49"/>
      <c r="G49"/>
      <c r="H49"/>
      <c r="I49"/>
      <c r="J49"/>
      <c r="K49"/>
      <c r="L49"/>
      <c r="M49"/>
      <c r="N49"/>
    </row>
    <row r="50" spans="5:14" ht="13.2" x14ac:dyDescent="0.25">
      <c r="E50"/>
      <c r="F50"/>
      <c r="G50"/>
      <c r="H50"/>
      <c r="I50"/>
      <c r="J50"/>
      <c r="K50"/>
      <c r="L50"/>
      <c r="M50"/>
      <c r="N50"/>
    </row>
    <row r="51" spans="5:14" ht="13.2" x14ac:dyDescent="0.25">
      <c r="E51"/>
      <c r="F51"/>
      <c r="G51"/>
      <c r="H51"/>
      <c r="I51"/>
      <c r="J51"/>
      <c r="K51"/>
      <c r="L51"/>
      <c r="M51"/>
      <c r="N51"/>
    </row>
    <row r="52" spans="5:14" ht="13.2" x14ac:dyDescent="0.25">
      <c r="E52"/>
      <c r="F52"/>
      <c r="G52"/>
      <c r="H52"/>
      <c r="I52"/>
      <c r="J52"/>
      <c r="K52"/>
      <c r="L52"/>
      <c r="M52"/>
      <c r="N52"/>
    </row>
    <row r="53" spans="5:14" ht="13.2" x14ac:dyDescent="0.25">
      <c r="E53"/>
      <c r="F53"/>
      <c r="G53"/>
      <c r="H53"/>
      <c r="I53"/>
      <c r="J53"/>
      <c r="K53"/>
      <c r="L53"/>
      <c r="M53"/>
      <c r="N53"/>
    </row>
    <row r="54" spans="5:14" ht="13.2" x14ac:dyDescent="0.25">
      <c r="E54"/>
      <c r="F54"/>
      <c r="G54"/>
      <c r="H54"/>
      <c r="I54"/>
      <c r="J54"/>
      <c r="K54"/>
      <c r="L54"/>
      <c r="M54"/>
      <c r="N54"/>
    </row>
    <row r="55" spans="5:14" ht="13.2" x14ac:dyDescent="0.25">
      <c r="E55"/>
      <c r="F55"/>
      <c r="G55"/>
      <c r="H55"/>
      <c r="I55"/>
      <c r="J55"/>
      <c r="K55"/>
      <c r="L55"/>
      <c r="M55"/>
      <c r="N55"/>
    </row>
    <row r="56" spans="5:14" ht="13.2" x14ac:dyDescent="0.25">
      <c r="E56"/>
      <c r="F56"/>
      <c r="G56"/>
      <c r="H56"/>
      <c r="I56"/>
      <c r="J56"/>
      <c r="K56"/>
      <c r="L56"/>
      <c r="M56"/>
      <c r="N56"/>
    </row>
    <row r="57" spans="5:14" ht="13.2" x14ac:dyDescent="0.25">
      <c r="E57"/>
      <c r="F57"/>
      <c r="G57"/>
      <c r="H57"/>
      <c r="I57"/>
      <c r="J57"/>
      <c r="K57"/>
      <c r="L57"/>
      <c r="M57"/>
      <c r="N57"/>
    </row>
    <row r="58" spans="5:14" ht="13.2" x14ac:dyDescent="0.25">
      <c r="E58"/>
      <c r="F58"/>
      <c r="G58"/>
      <c r="H58"/>
      <c r="I58"/>
      <c r="J58"/>
      <c r="K58"/>
      <c r="L58"/>
      <c r="M58"/>
      <c r="N58"/>
    </row>
    <row r="59" spans="5:14" ht="13.2" x14ac:dyDescent="0.25">
      <c r="E59"/>
      <c r="F59"/>
      <c r="G59"/>
      <c r="H59"/>
      <c r="I59"/>
      <c r="J59"/>
      <c r="K59"/>
      <c r="L59"/>
      <c r="M59"/>
      <c r="N59"/>
    </row>
    <row r="60" spans="5:14" ht="13.2" x14ac:dyDescent="0.25">
      <c r="E60"/>
      <c r="F60"/>
      <c r="G60"/>
      <c r="H60"/>
      <c r="I60"/>
      <c r="J60"/>
      <c r="K60"/>
      <c r="L60"/>
      <c r="M60"/>
      <c r="N60"/>
    </row>
    <row r="61" spans="5:14" ht="13.2" x14ac:dyDescent="0.25">
      <c r="E61"/>
      <c r="F61"/>
      <c r="G61"/>
      <c r="H61"/>
      <c r="I61"/>
      <c r="J61"/>
      <c r="K61"/>
      <c r="L61"/>
      <c r="M61"/>
      <c r="N61"/>
    </row>
    <row r="62" spans="5:14" ht="13.2" x14ac:dyDescent="0.25">
      <c r="E62"/>
      <c r="F62"/>
      <c r="G62"/>
      <c r="H62"/>
      <c r="I62"/>
      <c r="J62"/>
      <c r="K62"/>
      <c r="L62"/>
      <c r="M62"/>
      <c r="N62"/>
    </row>
    <row r="63" spans="5:14" ht="13.2" x14ac:dyDescent="0.25">
      <c r="E63"/>
      <c r="F63"/>
      <c r="G63"/>
      <c r="H63"/>
      <c r="I63"/>
      <c r="J63"/>
      <c r="K63"/>
      <c r="L63"/>
      <c r="M63"/>
      <c r="N63"/>
    </row>
    <row r="64" spans="5:14" ht="13.2" x14ac:dyDescent="0.25">
      <c r="E64"/>
      <c r="F64"/>
      <c r="G64"/>
      <c r="H64"/>
      <c r="I64"/>
      <c r="J64"/>
      <c r="K64"/>
      <c r="L64"/>
      <c r="M64"/>
      <c r="N64"/>
    </row>
    <row r="65" spans="5:14" ht="13.2" x14ac:dyDescent="0.25">
      <c r="E65"/>
      <c r="F65"/>
      <c r="G65"/>
      <c r="H65"/>
      <c r="I65"/>
      <c r="J65"/>
      <c r="K65"/>
      <c r="L65"/>
      <c r="M65"/>
      <c r="N65"/>
    </row>
    <row r="66" spans="5:14" ht="13.2" x14ac:dyDescent="0.25">
      <c r="E66"/>
      <c r="F66"/>
      <c r="G66"/>
      <c r="H66"/>
      <c r="I66"/>
      <c r="J66"/>
      <c r="K66"/>
      <c r="L66"/>
      <c r="M66"/>
      <c r="N66"/>
    </row>
    <row r="67" spans="5:14" ht="13.2" x14ac:dyDescent="0.25">
      <c r="E67"/>
      <c r="F67"/>
      <c r="G67"/>
      <c r="H67"/>
      <c r="I67"/>
      <c r="J67"/>
      <c r="K67"/>
      <c r="L67"/>
      <c r="M67"/>
      <c r="N67"/>
    </row>
    <row r="68" spans="5:14" ht="13.2" x14ac:dyDescent="0.25">
      <c r="E68"/>
      <c r="F68"/>
      <c r="G68"/>
      <c r="H68"/>
      <c r="I68"/>
      <c r="J68"/>
      <c r="K68"/>
      <c r="L68"/>
      <c r="M68"/>
      <c r="N68"/>
    </row>
    <row r="69" spans="5:14" ht="13.2" x14ac:dyDescent="0.25">
      <c r="E69"/>
      <c r="F69"/>
      <c r="G69"/>
      <c r="H69"/>
      <c r="I69"/>
      <c r="J69"/>
      <c r="K69"/>
      <c r="L69"/>
      <c r="M69"/>
      <c r="N69"/>
    </row>
    <row r="70" spans="5:14" ht="13.2" x14ac:dyDescent="0.25">
      <c r="E70"/>
      <c r="F70"/>
      <c r="G70"/>
      <c r="H70"/>
      <c r="I70"/>
      <c r="J70"/>
      <c r="K70"/>
      <c r="L70"/>
      <c r="M70"/>
      <c r="N70"/>
    </row>
    <row r="71" spans="5:14" ht="13.2" x14ac:dyDescent="0.25">
      <c r="E71"/>
      <c r="F71"/>
      <c r="G71"/>
      <c r="H71"/>
      <c r="I71"/>
      <c r="J71"/>
      <c r="K71"/>
      <c r="L71"/>
      <c r="M71"/>
      <c r="N71"/>
    </row>
    <row r="72" spans="5:14" ht="13.2" x14ac:dyDescent="0.25">
      <c r="E72"/>
      <c r="F72"/>
      <c r="G72"/>
      <c r="H72"/>
      <c r="I72"/>
      <c r="J72"/>
      <c r="K72"/>
      <c r="L72"/>
      <c r="M72"/>
      <c r="N72"/>
    </row>
    <row r="73" spans="5:14" ht="13.2" x14ac:dyDescent="0.25">
      <c r="E73"/>
      <c r="F73"/>
      <c r="G73"/>
      <c r="H73"/>
      <c r="I73"/>
      <c r="J73"/>
      <c r="K73"/>
      <c r="L73"/>
      <c r="M73"/>
      <c r="N73"/>
    </row>
    <row r="74" spans="5:14" ht="13.2" x14ac:dyDescent="0.25">
      <c r="E74"/>
      <c r="F74"/>
      <c r="G74"/>
      <c r="H74"/>
      <c r="I74"/>
      <c r="J74"/>
      <c r="K74"/>
      <c r="L74"/>
      <c r="M74"/>
      <c r="N74"/>
    </row>
    <row r="75" spans="5:14" ht="13.2" x14ac:dyDescent="0.25">
      <c r="E75"/>
      <c r="F75"/>
      <c r="G75"/>
      <c r="H75"/>
      <c r="I75"/>
      <c r="J75"/>
      <c r="K75"/>
      <c r="L75"/>
      <c r="M75"/>
      <c r="N75"/>
    </row>
    <row r="76" spans="5:14" ht="13.2" x14ac:dyDescent="0.25">
      <c r="E76"/>
      <c r="F76"/>
      <c r="G76"/>
      <c r="H76"/>
      <c r="I76"/>
      <c r="J76"/>
      <c r="K76"/>
      <c r="L76"/>
      <c r="M76"/>
      <c r="N76"/>
    </row>
    <row r="77" spans="5:14" ht="13.2" x14ac:dyDescent="0.25">
      <c r="E77"/>
      <c r="F77"/>
      <c r="G77"/>
      <c r="H77"/>
      <c r="I77"/>
      <c r="J77"/>
      <c r="K77"/>
      <c r="L77"/>
      <c r="M77"/>
      <c r="N77"/>
    </row>
    <row r="78" spans="5:14" ht="13.2" x14ac:dyDescent="0.25">
      <c r="E78"/>
      <c r="F78"/>
      <c r="G78"/>
      <c r="H78"/>
      <c r="I78"/>
      <c r="J78"/>
      <c r="K78"/>
      <c r="L78"/>
      <c r="M78"/>
      <c r="N78"/>
    </row>
  </sheetData>
  <pageMargins left="0.45" right="0.45" top="0.5" bottom="0.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="85" zoomScaleNormal="85" workbookViewId="0">
      <pane xSplit="1" ySplit="4" topLeftCell="L5" activePane="bottomRight" state="frozen"/>
      <selection activeCell="F34" sqref="F34"/>
      <selection pane="topRight" activeCell="F34" sqref="F34"/>
      <selection pane="bottomLeft" activeCell="F34" sqref="F34"/>
      <selection pane="bottomRight" activeCell="G19" sqref="G19"/>
    </sheetView>
  </sheetViews>
  <sheetFormatPr defaultColWidth="9.109375" defaultRowHeight="14.4" outlineLevelRow="1" x14ac:dyDescent="0.3"/>
  <cols>
    <col min="1" max="1" width="35.44140625" style="62" bestFit="1" customWidth="1"/>
    <col min="2" max="2" width="14.44140625" style="62" customWidth="1"/>
    <col min="3" max="6" width="13.6640625" style="62" bestFit="1" customWidth="1"/>
    <col min="7" max="7" width="13.6640625" style="62" customWidth="1"/>
    <col min="8" max="8" width="13.6640625" style="62" bestFit="1" customWidth="1"/>
    <col min="9" max="10" width="14.6640625" style="62" customWidth="1"/>
    <col min="11" max="11" width="13.6640625" style="62" bestFit="1" customWidth="1"/>
    <col min="12" max="14" width="13.6640625" style="62" customWidth="1"/>
    <col min="15" max="18" width="13.6640625" style="62" bestFit="1" customWidth="1"/>
    <col min="19" max="19" width="8.33203125" style="62" bestFit="1" customWidth="1"/>
    <col min="20" max="23" width="11.5546875" style="62" bestFit="1" customWidth="1"/>
    <col min="24" max="16384" width="9.109375" style="62"/>
  </cols>
  <sheetData>
    <row r="1" spans="1:23" x14ac:dyDescent="0.3">
      <c r="A1" s="61">
        <f>F29</f>
        <v>-0.17017149925231934</v>
      </c>
    </row>
    <row r="2" spans="1:23" x14ac:dyDescent="0.3">
      <c r="B2" s="63"/>
      <c r="C2" s="64"/>
      <c r="D2" s="64"/>
      <c r="E2" s="64"/>
      <c r="F2" s="64"/>
      <c r="G2" s="64"/>
      <c r="H2" s="65"/>
      <c r="I2" s="63"/>
      <c r="J2" s="64"/>
      <c r="K2" s="64"/>
      <c r="L2" s="64"/>
      <c r="M2" s="64"/>
      <c r="N2" s="64"/>
      <c r="O2" s="64"/>
      <c r="P2" s="64"/>
      <c r="Q2" s="64"/>
      <c r="R2" s="65"/>
    </row>
    <row r="3" spans="1:23" x14ac:dyDescent="0.3">
      <c r="B3" s="66" t="s">
        <v>107</v>
      </c>
      <c r="C3" s="67"/>
      <c r="D3" s="67"/>
      <c r="E3" s="67"/>
      <c r="F3" s="67"/>
      <c r="G3" s="67"/>
      <c r="H3" s="68"/>
      <c r="I3" s="66" t="s">
        <v>106</v>
      </c>
      <c r="J3" s="67"/>
      <c r="K3" s="67"/>
      <c r="L3" s="67"/>
      <c r="M3" s="67"/>
      <c r="N3" s="67"/>
      <c r="O3" s="67"/>
      <c r="P3" s="67"/>
      <c r="Q3" s="67"/>
      <c r="R3" s="68"/>
    </row>
    <row r="4" spans="1:23" x14ac:dyDescent="0.3">
      <c r="A4" s="69" t="s">
        <v>105</v>
      </c>
      <c r="B4" s="70" t="s">
        <v>87</v>
      </c>
      <c r="C4" s="69" t="s">
        <v>104</v>
      </c>
      <c r="D4" s="69" t="s">
        <v>88</v>
      </c>
      <c r="E4" s="69" t="s">
        <v>103</v>
      </c>
      <c r="F4" s="69" t="s">
        <v>102</v>
      </c>
      <c r="G4" s="71" t="s">
        <v>101</v>
      </c>
      <c r="H4" s="72" t="s">
        <v>100</v>
      </c>
      <c r="I4" s="70" t="s">
        <v>99</v>
      </c>
      <c r="J4" s="69" t="s">
        <v>98</v>
      </c>
      <c r="K4" s="69" t="s">
        <v>97</v>
      </c>
      <c r="L4" s="69" t="s">
        <v>96</v>
      </c>
      <c r="M4" s="69" t="s">
        <v>95</v>
      </c>
      <c r="N4" s="69" t="s">
        <v>94</v>
      </c>
      <c r="O4" s="69" t="s">
        <v>93</v>
      </c>
      <c r="P4" s="69" t="s">
        <v>92</v>
      </c>
      <c r="Q4" s="69" t="s">
        <v>91</v>
      </c>
      <c r="R4" s="72" t="s">
        <v>90</v>
      </c>
      <c r="S4" s="60" t="s">
        <v>89</v>
      </c>
    </row>
    <row r="5" spans="1:23" x14ac:dyDescent="0.3">
      <c r="B5" s="73"/>
      <c r="C5" s="74"/>
      <c r="D5" s="74"/>
      <c r="E5" s="74"/>
      <c r="F5" s="74"/>
      <c r="G5" s="74"/>
      <c r="H5" s="75"/>
      <c r="I5" s="76" t="s">
        <v>87</v>
      </c>
      <c r="J5" s="77"/>
      <c r="K5" s="77" t="s">
        <v>87</v>
      </c>
      <c r="L5" s="77"/>
      <c r="M5" s="77" t="s">
        <v>88</v>
      </c>
      <c r="N5" s="77" t="s">
        <v>88</v>
      </c>
      <c r="O5" s="77" t="s">
        <v>87</v>
      </c>
      <c r="P5" s="77" t="s">
        <v>88</v>
      </c>
      <c r="Q5" s="77" t="s">
        <v>87</v>
      </c>
      <c r="R5" s="75"/>
    </row>
    <row r="6" spans="1:23" outlineLevel="1" x14ac:dyDescent="0.3">
      <c r="A6" s="62" t="s">
        <v>86</v>
      </c>
      <c r="B6" s="59">
        <f>+'[2]Revenue Adj. Detail'!$D$27</f>
        <v>876657675.66999996</v>
      </c>
      <c r="C6" s="58">
        <f>+'[2]Revenue Adj. Detail'!$D$29</f>
        <v>5803926.3700000001</v>
      </c>
      <c r="D6" s="58">
        <f>SUM('[2]Revenue Adj. Detail'!$D$30:$D$34)</f>
        <v>-31713924.949999992</v>
      </c>
      <c r="E6" s="58">
        <f>SUM(C6:D6)</f>
        <v>-25909998.579999991</v>
      </c>
      <c r="F6" s="58">
        <f>B6+E6</f>
        <v>850747677.08999991</v>
      </c>
      <c r="G6" s="58">
        <f>+'[2]Revenue Adj. Detail'!$D$39</f>
        <v>335451650.97670281</v>
      </c>
      <c r="H6" s="78">
        <f>+'[2]Revenue Adj. Detail'!$D$40</f>
        <v>320201348.01999992</v>
      </c>
      <c r="I6" s="59"/>
      <c r="J6" s="58"/>
      <c r="K6" s="58"/>
      <c r="L6" s="58"/>
      <c r="M6" s="58"/>
      <c r="N6" s="58"/>
      <c r="O6" s="58"/>
      <c r="P6" s="58"/>
      <c r="Q6" s="58"/>
      <c r="R6" s="78"/>
    </row>
    <row r="7" spans="1:23" outlineLevel="1" x14ac:dyDescent="0.3">
      <c r="B7" s="79"/>
      <c r="C7" s="80"/>
      <c r="D7" s="80"/>
      <c r="E7" s="80"/>
      <c r="F7" s="80"/>
      <c r="G7" s="80"/>
      <c r="H7" s="81"/>
      <c r="I7" s="79"/>
      <c r="J7" s="80"/>
      <c r="K7" s="80"/>
      <c r="L7" s="80"/>
      <c r="M7" s="80"/>
      <c r="N7" s="80"/>
      <c r="O7" s="80"/>
      <c r="P7" s="80"/>
      <c r="Q7" s="80"/>
      <c r="R7" s="81"/>
    </row>
    <row r="8" spans="1:23" x14ac:dyDescent="0.3">
      <c r="A8" s="62" t="s">
        <v>85</v>
      </c>
      <c r="B8" s="59">
        <f>+'[2]Revenue Adj. Detail'!$E$27</f>
        <v>-41329081.230000004</v>
      </c>
      <c r="C8" s="58">
        <f>+'[2]Revenue Adj. Detail'!$E$35</f>
        <v>-308145.35000000003</v>
      </c>
      <c r="D8" s="58"/>
      <c r="E8" s="58">
        <f t="shared" ref="E8:E25" si="0">SUM(C8:D8)</f>
        <v>-308145.35000000003</v>
      </c>
      <c r="F8" s="58">
        <f t="shared" ref="F8:F25" si="1">B8+E8</f>
        <v>-41637226.580000006</v>
      </c>
      <c r="G8" s="58"/>
      <c r="H8" s="78"/>
      <c r="I8" s="59">
        <f>B8</f>
        <v>-41329081.230000004</v>
      </c>
      <c r="J8" s="58">
        <f>C8</f>
        <v>-308145.35000000003</v>
      </c>
      <c r="K8" s="58"/>
      <c r="L8" s="58"/>
      <c r="M8" s="58"/>
      <c r="N8" s="58"/>
      <c r="O8" s="58"/>
      <c r="P8" s="58"/>
      <c r="Q8" s="58"/>
      <c r="R8" s="78">
        <f t="shared" ref="R8:R25" si="2">SUM(I8:Q8)</f>
        <v>-41637226.580000006</v>
      </c>
      <c r="S8" s="57">
        <f t="shared" ref="S8:S26" si="3">F8-R8</f>
        <v>0</v>
      </c>
    </row>
    <row r="9" spans="1:23" x14ac:dyDescent="0.3">
      <c r="A9" s="62" t="s">
        <v>84</v>
      </c>
      <c r="B9" s="56">
        <f>+'[2]Revenue Adj. Detail'!$F$27</f>
        <v>24621258.285291649</v>
      </c>
      <c r="C9" s="55"/>
      <c r="D9" s="55"/>
      <c r="E9" s="55">
        <f t="shared" si="0"/>
        <v>0</v>
      </c>
      <c r="F9" s="55">
        <f t="shared" si="1"/>
        <v>24621258.285291649</v>
      </c>
      <c r="G9" s="55"/>
      <c r="H9" s="82"/>
      <c r="I9" s="56">
        <f>F9</f>
        <v>24621258.285291649</v>
      </c>
      <c r="J9" s="55"/>
      <c r="K9" s="55"/>
      <c r="L9" s="55"/>
      <c r="M9" s="55"/>
      <c r="N9" s="55"/>
      <c r="O9" s="55"/>
      <c r="P9" s="55"/>
      <c r="Q9" s="55"/>
      <c r="R9" s="82">
        <f t="shared" si="2"/>
        <v>24621258.285291649</v>
      </c>
      <c r="S9" s="57">
        <f t="shared" si="3"/>
        <v>0</v>
      </c>
    </row>
    <row r="10" spans="1:23" x14ac:dyDescent="0.3">
      <c r="A10" s="62" t="s">
        <v>83</v>
      </c>
      <c r="B10" s="56">
        <f>+'[2]Revenue Adj. Detail'!$G$27</f>
        <v>-15312447.357404472</v>
      </c>
      <c r="C10" s="55"/>
      <c r="D10" s="55"/>
      <c r="E10" s="55">
        <f t="shared" si="0"/>
        <v>0</v>
      </c>
      <c r="F10" s="55">
        <f t="shared" si="1"/>
        <v>-15312447.357404472</v>
      </c>
      <c r="G10" s="55"/>
      <c r="H10" s="82"/>
      <c r="I10" s="56">
        <f>F10</f>
        <v>-15312447.357404472</v>
      </c>
      <c r="J10" s="55"/>
      <c r="K10" s="55"/>
      <c r="L10" s="55"/>
      <c r="M10" s="55"/>
      <c r="N10" s="55"/>
      <c r="O10" s="55"/>
      <c r="P10" s="55"/>
      <c r="Q10" s="55"/>
      <c r="R10" s="82">
        <f t="shared" si="2"/>
        <v>-15312447.357404472</v>
      </c>
      <c r="S10" s="57">
        <f t="shared" si="3"/>
        <v>0</v>
      </c>
      <c r="T10" s="83"/>
      <c r="U10" s="83"/>
      <c r="V10" s="83"/>
      <c r="W10" s="83"/>
    </row>
    <row r="11" spans="1:23" x14ac:dyDescent="0.3">
      <c r="A11" s="62" t="s">
        <v>82</v>
      </c>
      <c r="B11" s="56">
        <f>+'[2]Revenue Adj. Detail'!$H$27</f>
        <v>-5022860.7894830378</v>
      </c>
      <c r="C11" s="55"/>
      <c r="D11" s="55"/>
      <c r="E11" s="55">
        <f t="shared" si="0"/>
        <v>0</v>
      </c>
      <c r="F11" s="55">
        <f t="shared" si="1"/>
        <v>-5022860.7894830378</v>
      </c>
      <c r="G11" s="55"/>
      <c r="H11" s="82"/>
      <c r="I11" s="56">
        <f>F11</f>
        <v>-5022860.7894830378</v>
      </c>
      <c r="J11" s="55"/>
      <c r="K11" s="55"/>
      <c r="L11" s="55"/>
      <c r="M11" s="55"/>
      <c r="N11" s="55"/>
      <c r="O11" s="55"/>
      <c r="P11" s="55"/>
      <c r="Q11" s="55"/>
      <c r="R11" s="82">
        <f t="shared" si="2"/>
        <v>-5022860.7894830378</v>
      </c>
      <c r="S11" s="57">
        <f t="shared" si="3"/>
        <v>0</v>
      </c>
    </row>
    <row r="12" spans="1:23" x14ac:dyDescent="0.3">
      <c r="A12" s="62" t="s">
        <v>81</v>
      </c>
      <c r="B12" s="56">
        <f>+'[2]Revenue Adj. Detail'!$I$27</f>
        <v>2929656.4452484697</v>
      </c>
      <c r="C12" s="55">
        <f>+'[2]Revenue Adj. Detail'!$I$35</f>
        <v>48508.420000000006</v>
      </c>
      <c r="D12" s="55"/>
      <c r="E12" s="55">
        <f t="shared" si="0"/>
        <v>48508.420000000006</v>
      </c>
      <c r="F12" s="55">
        <f t="shared" si="1"/>
        <v>2978164.8652484696</v>
      </c>
      <c r="G12" s="55"/>
      <c r="H12" s="82"/>
      <c r="I12" s="56"/>
      <c r="J12" s="55"/>
      <c r="K12" s="55">
        <f>B12</f>
        <v>2929656.4452484697</v>
      </c>
      <c r="L12" s="55">
        <f>C12</f>
        <v>48508.420000000006</v>
      </c>
      <c r="M12" s="55"/>
      <c r="N12" s="55"/>
      <c r="O12" s="55"/>
      <c r="P12" s="55"/>
      <c r="Q12" s="55"/>
      <c r="R12" s="82">
        <f t="shared" si="2"/>
        <v>2978164.8652484696</v>
      </c>
      <c r="S12" s="57">
        <f t="shared" si="3"/>
        <v>0</v>
      </c>
    </row>
    <row r="13" spans="1:23" x14ac:dyDescent="0.3">
      <c r="A13" s="62" t="s">
        <v>80</v>
      </c>
      <c r="B13" s="56">
        <f>+'[2]Revenue Adj. Detail'!$J$27</f>
        <v>-154860.41999999998</v>
      </c>
      <c r="C13" s="55"/>
      <c r="D13" s="55">
        <f>+'[2]Revenue Adj. Detail'!$J$35</f>
        <v>52671.83</v>
      </c>
      <c r="E13" s="55">
        <f t="shared" si="0"/>
        <v>52671.83</v>
      </c>
      <c r="F13" s="55">
        <f t="shared" si="1"/>
        <v>-102188.58999999998</v>
      </c>
      <c r="G13" s="55"/>
      <c r="H13" s="82"/>
      <c r="I13" s="56">
        <f>B13</f>
        <v>-154860.41999999998</v>
      </c>
      <c r="J13" s="55"/>
      <c r="K13" s="55"/>
      <c r="L13" s="55"/>
      <c r="M13" s="55">
        <f>D13</f>
        <v>52671.83</v>
      </c>
      <c r="N13" s="55"/>
      <c r="O13" s="55"/>
      <c r="P13" s="55"/>
      <c r="Q13" s="55"/>
      <c r="R13" s="82">
        <f t="shared" si="2"/>
        <v>-102188.58999999998</v>
      </c>
      <c r="S13" s="57">
        <f t="shared" si="3"/>
        <v>0</v>
      </c>
    </row>
    <row r="14" spans="1:23" x14ac:dyDescent="0.3">
      <c r="A14" s="62" t="s">
        <v>79</v>
      </c>
      <c r="B14" s="56">
        <f>+'[2]Revenue Adj. Detail'!$K$27</f>
        <v>-22625480.126507826</v>
      </c>
      <c r="C14" s="55">
        <f>+'[2]Revenue Adj. Detail'!$K$35</f>
        <v>-242193.71000000005</v>
      </c>
      <c r="D14" s="55"/>
      <c r="E14" s="55">
        <f t="shared" si="0"/>
        <v>-242193.71000000005</v>
      </c>
      <c r="F14" s="55">
        <f t="shared" si="1"/>
        <v>-22867673.836507827</v>
      </c>
      <c r="G14" s="55"/>
      <c r="H14" s="82"/>
      <c r="I14" s="56">
        <f>B14</f>
        <v>-22625480.126507826</v>
      </c>
      <c r="J14" s="55">
        <f>C14</f>
        <v>-242193.71000000005</v>
      </c>
      <c r="K14" s="55"/>
      <c r="L14" s="55"/>
      <c r="M14" s="55"/>
      <c r="N14" s="55"/>
      <c r="O14" s="55"/>
      <c r="P14" s="55"/>
      <c r="Q14" s="55"/>
      <c r="R14" s="82">
        <f t="shared" si="2"/>
        <v>-22867673.836507827</v>
      </c>
      <c r="S14" s="57">
        <f t="shared" si="3"/>
        <v>0</v>
      </c>
    </row>
    <row r="15" spans="1:23" x14ac:dyDescent="0.3">
      <c r="A15" s="62" t="s">
        <v>78</v>
      </c>
      <c r="B15" s="56">
        <f>+'[2]Revenue Adj. Detail'!$L$27</f>
        <v>50971.28</v>
      </c>
      <c r="C15" s="55">
        <f>+'[2]Revenue Adj. Detail'!$L$35</f>
        <v>311.2299999999999</v>
      </c>
      <c r="D15" s="55"/>
      <c r="E15" s="55">
        <f t="shared" si="0"/>
        <v>311.2299999999999</v>
      </c>
      <c r="F15" s="55">
        <f t="shared" si="1"/>
        <v>51282.51</v>
      </c>
      <c r="G15" s="55"/>
      <c r="H15" s="82"/>
      <c r="I15" s="56"/>
      <c r="J15" s="55"/>
      <c r="K15" s="55">
        <f>B15</f>
        <v>50971.28</v>
      </c>
      <c r="L15" s="55">
        <f>C15</f>
        <v>311.2299999999999</v>
      </c>
      <c r="M15" s="55"/>
      <c r="N15" s="55"/>
      <c r="O15" s="55"/>
      <c r="P15" s="55"/>
      <c r="Q15" s="55"/>
      <c r="R15" s="82">
        <f t="shared" si="2"/>
        <v>51282.51</v>
      </c>
      <c r="S15" s="57">
        <f t="shared" si="3"/>
        <v>0</v>
      </c>
    </row>
    <row r="16" spans="1:23" x14ac:dyDescent="0.3">
      <c r="A16" s="62" t="s">
        <v>77</v>
      </c>
      <c r="B16" s="56">
        <f>+'[2]Revenue Adj. Detail'!$M$27</f>
        <v>-42361751.418104276</v>
      </c>
      <c r="C16" s="55"/>
      <c r="D16" s="55">
        <f>+'[2]Revenue Adj. Detail'!$M$35</f>
        <v>40460165.059999995</v>
      </c>
      <c r="E16" s="55">
        <f t="shared" si="0"/>
        <v>40460165.059999995</v>
      </c>
      <c r="F16" s="55">
        <f t="shared" si="1"/>
        <v>-1901586.3581042811</v>
      </c>
      <c r="G16" s="55"/>
      <c r="H16" s="82"/>
      <c r="I16" s="56">
        <f>P41</f>
        <v>-46012584.141477734</v>
      </c>
      <c r="J16" s="55"/>
      <c r="K16" s="55">
        <f>B16-I16</f>
        <v>3650832.7233734578</v>
      </c>
      <c r="L16" s="55"/>
      <c r="M16" s="55">
        <f>P39</f>
        <v>43921450.229999997</v>
      </c>
      <c r="N16" s="55">
        <f>+F39</f>
        <v>-3461285.17</v>
      </c>
      <c r="O16" s="55"/>
      <c r="P16" s="55"/>
      <c r="Q16" s="55"/>
      <c r="R16" s="82">
        <f t="shared" si="2"/>
        <v>-1901586.3581042793</v>
      </c>
      <c r="S16" s="57">
        <f t="shared" si="3"/>
        <v>-1.862645149230957E-9</v>
      </c>
    </row>
    <row r="17" spans="1:19" x14ac:dyDescent="0.3">
      <c r="A17" s="62" t="s">
        <v>76</v>
      </c>
      <c r="B17" s="56">
        <f>+'[2]Revenue Adj. Detail'!$N$27</f>
        <v>-6980521.1700718822</v>
      </c>
      <c r="C17" s="55"/>
      <c r="D17" s="55"/>
      <c r="E17" s="55">
        <f t="shared" si="0"/>
        <v>0</v>
      </c>
      <c r="F17" s="55">
        <f t="shared" si="1"/>
        <v>-6980521.1700718822</v>
      </c>
      <c r="G17" s="55"/>
      <c r="H17" s="82"/>
      <c r="I17" s="56"/>
      <c r="J17" s="55"/>
      <c r="K17" s="55"/>
      <c r="L17" s="55"/>
      <c r="M17" s="55"/>
      <c r="N17" s="55"/>
      <c r="O17" s="55"/>
      <c r="P17" s="55"/>
      <c r="Q17" s="55">
        <f>F17</f>
        <v>-6980521.1700718822</v>
      </c>
      <c r="R17" s="82">
        <f t="shared" si="2"/>
        <v>-6980521.1700718822</v>
      </c>
      <c r="S17" s="57">
        <f t="shared" si="3"/>
        <v>0</v>
      </c>
    </row>
    <row r="18" spans="1:19" x14ac:dyDescent="0.3">
      <c r="A18" s="62" t="s">
        <v>75</v>
      </c>
      <c r="B18" s="56">
        <f>+'[2]Revenue Adj. Detail'!$O$27</f>
        <v>-2705331.2140673227</v>
      </c>
      <c r="C18" s="55">
        <f>+'[2]Revenue Adj. Detail'!$O$35</f>
        <v>107413.1799999997</v>
      </c>
      <c r="D18" s="55"/>
      <c r="E18" s="55">
        <f t="shared" si="0"/>
        <v>107413.1799999997</v>
      </c>
      <c r="F18" s="55">
        <f t="shared" si="1"/>
        <v>-2597918.034067323</v>
      </c>
      <c r="G18" s="55">
        <f>+'[2]Revenue Adj. Detail'!$O$39</f>
        <v>-5874715.219819963</v>
      </c>
      <c r="H18" s="82">
        <f>+'[2]Revenue Adj. Detail'!$O$40</f>
        <v>-5257549.66233325</v>
      </c>
      <c r="I18" s="56"/>
      <c r="J18" s="55"/>
      <c r="K18" s="55">
        <f>B18</f>
        <v>-2705331.2140673227</v>
      </c>
      <c r="L18" s="55">
        <f>C18</f>
        <v>107413.1799999997</v>
      </c>
      <c r="M18" s="55"/>
      <c r="N18" s="55"/>
      <c r="O18" s="55"/>
      <c r="P18" s="55"/>
      <c r="Q18" s="55"/>
      <c r="R18" s="82">
        <f t="shared" si="2"/>
        <v>-2597918.034067323</v>
      </c>
      <c r="S18" s="57">
        <f t="shared" si="3"/>
        <v>0</v>
      </c>
    </row>
    <row r="19" spans="1:19" x14ac:dyDescent="0.3">
      <c r="A19" s="62" t="s">
        <v>74</v>
      </c>
      <c r="B19" s="56">
        <f>+'[2]Revenue Adj. Detail'!$P$27</f>
        <v>0</v>
      </c>
      <c r="C19" s="55"/>
      <c r="D19" s="55">
        <f>+'[2]Revenue Adj. Detail'!$P$35</f>
        <v>-9553391.6400000006</v>
      </c>
      <c r="E19" s="55">
        <f t="shared" si="0"/>
        <v>-9553391.6400000006</v>
      </c>
      <c r="F19" s="55">
        <f t="shared" si="1"/>
        <v>-9553391.6400000006</v>
      </c>
      <c r="G19" s="55"/>
      <c r="H19" s="82"/>
      <c r="I19" s="56"/>
      <c r="J19" s="55"/>
      <c r="K19" s="55"/>
      <c r="L19" s="55"/>
      <c r="M19" s="55"/>
      <c r="N19" s="55">
        <f>F19</f>
        <v>-9553391.6400000006</v>
      </c>
      <c r="O19" s="55"/>
      <c r="P19" s="55"/>
      <c r="Q19" s="55"/>
      <c r="R19" s="82">
        <f t="shared" si="2"/>
        <v>-9553391.6400000006</v>
      </c>
      <c r="S19" s="57">
        <f t="shared" si="3"/>
        <v>0</v>
      </c>
    </row>
    <row r="20" spans="1:19" x14ac:dyDescent="0.3">
      <c r="A20" s="62" t="s">
        <v>73</v>
      </c>
      <c r="B20" s="56">
        <f>+'[2]Revenue Adj. Detail'!$Q$27</f>
        <v>0</v>
      </c>
      <c r="C20" s="55"/>
      <c r="D20" s="55">
        <f>+'[2]Revenue Adj. Detail'!$Q$35</f>
        <v>10523931</v>
      </c>
      <c r="E20" s="55">
        <f t="shared" si="0"/>
        <v>10523931</v>
      </c>
      <c r="F20" s="55">
        <f t="shared" si="1"/>
        <v>10523931</v>
      </c>
      <c r="G20" s="55"/>
      <c r="H20" s="82"/>
      <c r="I20" s="56"/>
      <c r="J20" s="55"/>
      <c r="K20" s="55"/>
      <c r="L20" s="55"/>
      <c r="M20" s="55"/>
      <c r="N20" s="55">
        <f>E20</f>
        <v>10523931</v>
      </c>
      <c r="O20" s="55"/>
      <c r="P20" s="55"/>
      <c r="Q20" s="55"/>
      <c r="R20" s="82">
        <f t="shared" si="2"/>
        <v>10523931</v>
      </c>
      <c r="S20" s="57">
        <f t="shared" si="3"/>
        <v>0</v>
      </c>
    </row>
    <row r="21" spans="1:19" x14ac:dyDescent="0.3">
      <c r="A21" s="62" t="s">
        <v>72</v>
      </c>
      <c r="B21" s="56">
        <f>+'[2]Revenue Adj. Detail'!$R$27</f>
        <v>0</v>
      </c>
      <c r="C21" s="55"/>
      <c r="D21" s="55">
        <f>+'[2]Revenue Adj. Detail'!$R$35</f>
        <v>-3747914.02</v>
      </c>
      <c r="E21" s="55">
        <f t="shared" si="0"/>
        <v>-3747914.02</v>
      </c>
      <c r="F21" s="55">
        <f t="shared" si="1"/>
        <v>-3747914.02</v>
      </c>
      <c r="G21" s="55"/>
      <c r="H21" s="82"/>
      <c r="I21" s="56"/>
      <c r="J21" s="55"/>
      <c r="K21" s="55"/>
      <c r="L21" s="55"/>
      <c r="M21" s="55"/>
      <c r="N21" s="55">
        <f>F21</f>
        <v>-3747914.02</v>
      </c>
      <c r="O21" s="55"/>
      <c r="P21" s="55"/>
      <c r="Q21" s="55"/>
      <c r="R21" s="82">
        <f t="shared" si="2"/>
        <v>-3747914.02</v>
      </c>
      <c r="S21" s="57">
        <f t="shared" si="3"/>
        <v>0</v>
      </c>
    </row>
    <row r="22" spans="1:19" x14ac:dyDescent="0.3">
      <c r="A22" s="62" t="s">
        <v>71</v>
      </c>
      <c r="B22" s="56">
        <f>+'[2]Revenue Adj. Detail'!$S$27</f>
        <v>0</v>
      </c>
      <c r="C22" s="55"/>
      <c r="D22" s="55">
        <f>+'[2]Revenue Adj. Detail'!$S$35</f>
        <v>-981624</v>
      </c>
      <c r="E22" s="55">
        <f t="shared" si="0"/>
        <v>-981624</v>
      </c>
      <c r="F22" s="55">
        <f t="shared" si="1"/>
        <v>-981624</v>
      </c>
      <c r="G22" s="55"/>
      <c r="H22" s="82"/>
      <c r="I22" s="56"/>
      <c r="J22" s="55"/>
      <c r="K22" s="55"/>
      <c r="L22" s="55"/>
      <c r="M22" s="55"/>
      <c r="N22" s="55">
        <f>F22</f>
        <v>-981624</v>
      </c>
      <c r="O22" s="55"/>
      <c r="P22" s="55"/>
      <c r="Q22" s="55"/>
      <c r="R22" s="82">
        <f t="shared" si="2"/>
        <v>-981624</v>
      </c>
      <c r="S22" s="57">
        <f t="shared" si="3"/>
        <v>0</v>
      </c>
    </row>
    <row r="23" spans="1:19" x14ac:dyDescent="0.3">
      <c r="A23" s="62" t="s">
        <v>70</v>
      </c>
      <c r="B23" s="56">
        <f>+'[2]Revenue Adj. Detail'!$T$27</f>
        <v>-11165964.627245229</v>
      </c>
      <c r="C23" s="55">
        <f>+'[2]Revenue Adj. Detail'!$T$35</f>
        <v>-99439.450000001118</v>
      </c>
      <c r="D23" s="55"/>
      <c r="E23" s="55">
        <f t="shared" si="0"/>
        <v>-99439.450000001118</v>
      </c>
      <c r="F23" s="55">
        <f t="shared" si="1"/>
        <v>-11265404.07724523</v>
      </c>
      <c r="G23" s="55"/>
      <c r="H23" s="82"/>
      <c r="I23" s="56"/>
      <c r="J23" s="55"/>
      <c r="K23" s="55">
        <f>B23</f>
        <v>-11165964.627245229</v>
      </c>
      <c r="L23" s="55">
        <f>C23</f>
        <v>-99439.450000001118</v>
      </c>
      <c r="M23" s="55"/>
      <c r="N23" s="55"/>
      <c r="O23" s="55"/>
      <c r="P23" s="55"/>
      <c r="Q23" s="55"/>
      <c r="R23" s="82">
        <f t="shared" si="2"/>
        <v>-11265404.07724523</v>
      </c>
      <c r="S23" s="57">
        <f t="shared" si="3"/>
        <v>0</v>
      </c>
    </row>
    <row r="24" spans="1:19" x14ac:dyDescent="0.3">
      <c r="A24" s="62" t="s">
        <v>69</v>
      </c>
      <c r="B24" s="56">
        <f>+'[2]Revenue Adj. Detail'!$U$27</f>
        <v>-39807519.093474321</v>
      </c>
      <c r="C24" s="55">
        <f>+'[2]Revenue Adj. Detail'!$U$35</f>
        <v>0</v>
      </c>
      <c r="D24" s="55"/>
      <c r="E24" s="55">
        <f t="shared" si="0"/>
        <v>0</v>
      </c>
      <c r="F24" s="55">
        <f t="shared" si="1"/>
        <v>-39807519.093474321</v>
      </c>
      <c r="G24" s="55">
        <f>+'[2]Revenue Adj. Detail'!$U$39</f>
        <v>-39807519.093474209</v>
      </c>
      <c r="H24" s="82">
        <f>+'[2]Revenue Adj. Detail'!$U$40</f>
        <v>-38339579.111994386</v>
      </c>
      <c r="I24" s="56"/>
      <c r="J24" s="55"/>
      <c r="K24" s="55">
        <f>F24</f>
        <v>-39807519.093474321</v>
      </c>
      <c r="L24" s="55"/>
      <c r="M24" s="55"/>
      <c r="N24" s="55"/>
      <c r="O24" s="55"/>
      <c r="P24" s="55"/>
      <c r="Q24" s="55"/>
      <c r="R24" s="82">
        <f t="shared" si="2"/>
        <v>-39807519.093474321</v>
      </c>
      <c r="S24" s="57">
        <f t="shared" si="3"/>
        <v>0</v>
      </c>
    </row>
    <row r="25" spans="1:19" x14ac:dyDescent="0.3">
      <c r="A25" s="62" t="s">
        <v>68</v>
      </c>
      <c r="B25" s="56">
        <f>+'[2]Revenue Adj. Detail'!$V$27</f>
        <v>35164423.965989925</v>
      </c>
      <c r="C25" s="55">
        <f>+'[2]Revenue Adj. Detail'!$V$35</f>
        <v>0</v>
      </c>
      <c r="D25" s="55"/>
      <c r="E25" s="55">
        <f t="shared" si="0"/>
        <v>0</v>
      </c>
      <c r="F25" s="55">
        <f t="shared" si="1"/>
        <v>35164423.965989925</v>
      </c>
      <c r="G25" s="55">
        <f>+'[2]Revenue Adj. Detail'!$V$39</f>
        <v>17388402.346179962</v>
      </c>
      <c r="H25" s="82">
        <f>+'[2]Revenue Adj. Detail'!$V$40</f>
        <v>16597941.863750041</v>
      </c>
      <c r="I25" s="56"/>
      <c r="J25" s="55"/>
      <c r="K25" s="55"/>
      <c r="L25" s="55"/>
      <c r="M25" s="55"/>
      <c r="N25" s="55"/>
      <c r="O25" s="55">
        <f>F25</f>
        <v>35164423.965989925</v>
      </c>
      <c r="P25" s="55"/>
      <c r="Q25" s="55"/>
      <c r="R25" s="82">
        <f t="shared" si="2"/>
        <v>35164423.965989925</v>
      </c>
      <c r="S25" s="57">
        <f t="shared" si="3"/>
        <v>0</v>
      </c>
    </row>
    <row r="26" spans="1:19" x14ac:dyDescent="0.3">
      <c r="A26" s="62" t="s">
        <v>67</v>
      </c>
      <c r="B26" s="84">
        <f t="shared" ref="B26:R26" si="4">SUM(B8:B25)</f>
        <v>-124699507.46982834</v>
      </c>
      <c r="C26" s="85">
        <f t="shared" si="4"/>
        <v>-493545.68000000151</v>
      </c>
      <c r="D26" s="85">
        <f t="shared" si="4"/>
        <v>36753838.229999989</v>
      </c>
      <c r="E26" s="85">
        <f t="shared" si="4"/>
        <v>36260292.54999999</v>
      </c>
      <c r="F26" s="85">
        <f t="shared" si="4"/>
        <v>-88439214.919828355</v>
      </c>
      <c r="G26" s="85">
        <f t="shared" si="4"/>
        <v>-28293831.96711421</v>
      </c>
      <c r="H26" s="86">
        <f t="shared" si="4"/>
        <v>-26999186.910577595</v>
      </c>
      <c r="I26" s="84">
        <f t="shared" si="4"/>
        <v>-105836055.77958143</v>
      </c>
      <c r="J26" s="85">
        <f t="shared" si="4"/>
        <v>-550339.06000000006</v>
      </c>
      <c r="K26" s="85">
        <f t="shared" si="4"/>
        <v>-47047354.486164942</v>
      </c>
      <c r="L26" s="85">
        <f t="shared" si="4"/>
        <v>56793.379999998608</v>
      </c>
      <c r="M26" s="85">
        <f t="shared" si="4"/>
        <v>43974122.059999995</v>
      </c>
      <c r="N26" s="85">
        <f t="shared" si="4"/>
        <v>-7220283.8300000001</v>
      </c>
      <c r="O26" s="85">
        <f t="shared" si="4"/>
        <v>35164423.965989925</v>
      </c>
      <c r="P26" s="85">
        <f t="shared" si="4"/>
        <v>0</v>
      </c>
      <c r="Q26" s="85">
        <f t="shared" si="4"/>
        <v>-6980521.1700718822</v>
      </c>
      <c r="R26" s="86">
        <f t="shared" si="4"/>
        <v>-88439214.919828355</v>
      </c>
      <c r="S26" s="57">
        <f t="shared" si="3"/>
        <v>0</v>
      </c>
    </row>
    <row r="27" spans="1:19" outlineLevel="1" x14ac:dyDescent="0.3">
      <c r="B27" s="87"/>
      <c r="C27" s="54"/>
      <c r="D27" s="54"/>
      <c r="E27" s="54"/>
      <c r="F27" s="54"/>
      <c r="G27" s="54"/>
      <c r="H27" s="88"/>
      <c r="I27" s="87"/>
      <c r="J27" s="54"/>
      <c r="K27" s="54"/>
      <c r="L27" s="54"/>
      <c r="M27" s="54"/>
      <c r="N27" s="54"/>
      <c r="O27" s="54"/>
      <c r="P27" s="54"/>
      <c r="Q27" s="54"/>
      <c r="R27" s="88"/>
    </row>
    <row r="28" spans="1:19" ht="15" outlineLevel="1" thickBot="1" x14ac:dyDescent="0.35">
      <c r="A28" s="62" t="s">
        <v>66</v>
      </c>
      <c r="B28" s="89">
        <f t="shared" ref="B28:I28" si="5">B6+B26</f>
        <v>751958168.20017159</v>
      </c>
      <c r="C28" s="90">
        <f t="shared" si="5"/>
        <v>5310380.6899999985</v>
      </c>
      <c r="D28" s="90">
        <f t="shared" si="5"/>
        <v>5039913.2799999975</v>
      </c>
      <c r="E28" s="90">
        <f t="shared" si="5"/>
        <v>10350293.969999999</v>
      </c>
      <c r="F28" s="90">
        <f t="shared" si="5"/>
        <v>762308462.1701715</v>
      </c>
      <c r="G28" s="90">
        <f t="shared" si="5"/>
        <v>307157819.0095886</v>
      </c>
      <c r="H28" s="91">
        <f t="shared" si="5"/>
        <v>293202161.10942233</v>
      </c>
      <c r="I28" s="89">
        <f t="shared" si="5"/>
        <v>-105836055.77958143</v>
      </c>
      <c r="J28" s="90"/>
      <c r="K28" s="90">
        <f>K6+K26</f>
        <v>-47047354.486164942</v>
      </c>
      <c r="L28" s="90"/>
      <c r="M28" s="90">
        <f>M6+M26</f>
        <v>43974122.059999995</v>
      </c>
      <c r="N28" s="90"/>
      <c r="O28" s="90">
        <f>O6+O26</f>
        <v>35164423.965989925</v>
      </c>
      <c r="P28" s="90">
        <f>P6+P26</f>
        <v>0</v>
      </c>
      <c r="Q28" s="90">
        <f>Q6+Q26</f>
        <v>-6980521.1700718822</v>
      </c>
      <c r="R28" s="91">
        <f>R6+R26</f>
        <v>-88439214.919828355</v>
      </c>
    </row>
    <row r="29" spans="1:19" ht="15" thickTop="1" x14ac:dyDescent="0.3">
      <c r="B29" s="92"/>
      <c r="C29" s="93"/>
      <c r="D29" s="93"/>
      <c r="E29" s="93"/>
      <c r="F29" s="94">
        <f>762308462-F28</f>
        <v>-0.17017149925231934</v>
      </c>
      <c r="G29" s="93"/>
      <c r="H29" s="95"/>
      <c r="I29" s="92"/>
      <c r="J29" s="93"/>
      <c r="K29" s="93"/>
      <c r="L29" s="93"/>
      <c r="M29" s="93"/>
      <c r="N29" s="93"/>
      <c r="O29" s="93"/>
      <c r="P29" s="93"/>
      <c r="Q29" s="93"/>
      <c r="R29" s="95"/>
    </row>
    <row r="33" spans="2:16" x14ac:dyDescent="0.3">
      <c r="F33" s="96" t="s">
        <v>112</v>
      </c>
      <c r="P33" s="96" t="s">
        <v>112</v>
      </c>
    </row>
    <row r="34" spans="2:16" x14ac:dyDescent="0.3">
      <c r="B34" s="97" t="s">
        <v>65</v>
      </c>
      <c r="C34" s="97"/>
      <c r="D34" s="97"/>
      <c r="E34" s="97"/>
      <c r="F34" s="98" t="s">
        <v>113</v>
      </c>
      <c r="I34" s="97" t="s">
        <v>64</v>
      </c>
      <c r="J34" s="97"/>
      <c r="K34" s="97"/>
      <c r="L34" s="97"/>
      <c r="M34" s="97"/>
      <c r="N34" s="97"/>
      <c r="O34" s="97"/>
      <c r="P34" s="98" t="s">
        <v>113</v>
      </c>
    </row>
    <row r="35" spans="2:16" x14ac:dyDescent="0.3">
      <c r="F35" s="99"/>
      <c r="I35" s="62" t="s">
        <v>63</v>
      </c>
      <c r="P35" s="58">
        <v>35545775.869999997</v>
      </c>
    </row>
    <row r="36" spans="2:16" x14ac:dyDescent="0.3">
      <c r="B36" s="53" t="s">
        <v>62</v>
      </c>
      <c r="D36" s="53"/>
      <c r="F36" s="58">
        <v>-1174050.31</v>
      </c>
      <c r="I36" s="53" t="s">
        <v>61</v>
      </c>
      <c r="J36" s="53"/>
      <c r="K36" s="100"/>
      <c r="L36" s="100"/>
      <c r="N36" s="100"/>
      <c r="P36" s="100">
        <v>1274251.07</v>
      </c>
    </row>
    <row r="37" spans="2:16" x14ac:dyDescent="0.3">
      <c r="B37" s="53" t="s">
        <v>60</v>
      </c>
      <c r="D37" s="53"/>
      <c r="F37" s="100">
        <v>-100200.76</v>
      </c>
      <c r="I37" s="53" t="s">
        <v>59</v>
      </c>
      <c r="J37" s="53"/>
      <c r="K37" s="100"/>
      <c r="L37" s="100"/>
      <c r="N37" s="100"/>
      <c r="P37" s="100">
        <v>5208830.6900000004</v>
      </c>
    </row>
    <row r="38" spans="2:16" x14ac:dyDescent="0.3">
      <c r="B38" s="53" t="s">
        <v>58</v>
      </c>
      <c r="D38" s="53"/>
      <c r="F38" s="100">
        <v>-2187034.1</v>
      </c>
      <c r="I38" s="53" t="s">
        <v>57</v>
      </c>
      <c r="J38" s="53"/>
      <c r="K38" s="100"/>
      <c r="L38" s="100"/>
      <c r="N38" s="100"/>
      <c r="P38" s="100">
        <v>1892592.6</v>
      </c>
    </row>
    <row r="39" spans="2:16" x14ac:dyDescent="0.3">
      <c r="B39" s="53" t="s">
        <v>56</v>
      </c>
      <c r="F39" s="54">
        <f>SUM(F36:F38)</f>
        <v>-3461285.17</v>
      </c>
      <c r="I39" s="53" t="s">
        <v>55</v>
      </c>
      <c r="J39" s="53"/>
      <c r="P39" s="54">
        <f>SUM(P35:P38)</f>
        <v>43921450.229999997</v>
      </c>
    </row>
    <row r="40" spans="2:16" x14ac:dyDescent="0.3">
      <c r="B40" s="62" t="s">
        <v>54</v>
      </c>
      <c r="F40" s="101">
        <f>'[1]COC, Def, ConvF'!$M$18</f>
        <v>0.95455299999999998</v>
      </c>
      <c r="I40" s="62" t="s">
        <v>54</v>
      </c>
      <c r="P40" s="101">
        <f>'[1]COC, Def, ConvF'!$M$18</f>
        <v>0.95455299999999998</v>
      </c>
    </row>
    <row r="41" spans="2:16" ht="15" thickBot="1" x14ac:dyDescent="0.35">
      <c r="B41" s="62" t="s">
        <v>53</v>
      </c>
      <c r="F41" s="52">
        <f>-F39/F40</f>
        <v>3626079.6100373683</v>
      </c>
      <c r="I41" s="62" t="s">
        <v>52</v>
      </c>
      <c r="P41" s="52">
        <f>-P39/P40</f>
        <v>-46012584.141477734</v>
      </c>
    </row>
    <row r="42" spans="2:16" ht="15" thickTop="1" x14ac:dyDescent="0.3">
      <c r="F42" s="96" t="s">
        <v>112</v>
      </c>
      <c r="P42" s="96" t="s">
        <v>112</v>
      </c>
    </row>
    <row r="43" spans="2:16" x14ac:dyDescent="0.3">
      <c r="B43" s="97" t="s">
        <v>51</v>
      </c>
      <c r="C43" s="97"/>
      <c r="D43" s="97"/>
      <c r="E43" s="97"/>
      <c r="F43" s="98" t="s">
        <v>113</v>
      </c>
      <c r="I43" s="97" t="s">
        <v>50</v>
      </c>
      <c r="J43" s="97"/>
      <c r="K43" s="97"/>
      <c r="L43" s="97"/>
      <c r="M43" s="97"/>
      <c r="N43" s="97"/>
      <c r="O43" s="97"/>
      <c r="P43" s="98" t="s">
        <v>113</v>
      </c>
    </row>
    <row r="44" spans="2:16" x14ac:dyDescent="0.3">
      <c r="B44" s="62" t="s">
        <v>23</v>
      </c>
      <c r="F44" s="58">
        <v>-2308486.7999999998</v>
      </c>
      <c r="I44" s="62" t="s">
        <v>21</v>
      </c>
      <c r="P44" s="58">
        <v>-8679562.2799999993</v>
      </c>
    </row>
    <row r="45" spans="2:16" x14ac:dyDescent="0.3">
      <c r="B45" s="62" t="s">
        <v>24</v>
      </c>
      <c r="F45" s="100">
        <v>-1047509.88</v>
      </c>
      <c r="I45" s="62" t="s">
        <v>20</v>
      </c>
      <c r="P45" s="100">
        <v>0</v>
      </c>
    </row>
    <row r="46" spans="2:16" x14ac:dyDescent="0.3">
      <c r="B46" s="62" t="s">
        <v>25</v>
      </c>
      <c r="F46" s="100">
        <v>-82055.009999999995</v>
      </c>
      <c r="I46" s="62" t="s">
        <v>19</v>
      </c>
      <c r="P46" s="100">
        <v>2236606.29</v>
      </c>
    </row>
    <row r="47" spans="2:16" ht="15" thickBot="1" x14ac:dyDescent="0.35">
      <c r="B47" s="53" t="s">
        <v>49</v>
      </c>
      <c r="F47" s="52">
        <f>SUM(F44:F46)</f>
        <v>-3438051.6899999995</v>
      </c>
      <c r="I47" s="62" t="s">
        <v>18</v>
      </c>
      <c r="P47" s="100">
        <v>327616.03999999998</v>
      </c>
    </row>
    <row r="48" spans="2:16" ht="15.6" thickTop="1" thickBot="1" x14ac:dyDescent="0.35">
      <c r="I48" s="53" t="s">
        <v>48</v>
      </c>
      <c r="J48" s="53"/>
      <c r="P48" s="52">
        <f>SUM(P44:P47)</f>
        <v>-6115339.9499999993</v>
      </c>
    </row>
    <row r="49" ht="15" thickTop="1" x14ac:dyDescent="0.3"/>
  </sheetData>
  <pageMargins left="0.7" right="0.7" top="0.75" bottom="0.7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1E01B49-36C2-4AD9-BFC8-34E1CEEC6BBD}"/>
</file>

<file path=customXml/itemProps2.xml><?xml version="1.0" encoding="utf-8"?>
<ds:datastoreItem xmlns:ds="http://schemas.openxmlformats.org/officeDocument/2006/customXml" ds:itemID="{AC03A246-8797-4135-96F7-C624819D15E8}"/>
</file>

<file path=customXml/itemProps3.xml><?xml version="1.0" encoding="utf-8"?>
<ds:datastoreItem xmlns:ds="http://schemas.openxmlformats.org/officeDocument/2006/customXml" ds:itemID="{83591006-7E75-4C67-A3BC-AA1B7C274D37}"/>
</file>

<file path=customXml/itemProps4.xml><?xml version="1.0" encoding="utf-8"?>
<ds:datastoreItem xmlns:ds="http://schemas.openxmlformats.org/officeDocument/2006/customXml" ds:itemID="{B24F4646-F45D-406A-A85F-DA81468D06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Gas Lead</vt:lpstr>
      <vt:lpstr>Summary COS Rev</vt:lpstr>
      <vt:lpstr>'Summary COS Rev'!Print_Area</vt:lpstr>
      <vt:lpstr>'Summary COS Rev'!Print_Titles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Phelps</dc:creator>
  <cp:lastModifiedBy>Iov, Marina</cp:lastModifiedBy>
  <cp:lastPrinted>2019-05-31T17:17:07Z</cp:lastPrinted>
  <dcterms:created xsi:type="dcterms:W3CDTF">2005-10-10T18:21:10Z</dcterms:created>
  <dcterms:modified xsi:type="dcterms:W3CDTF">2019-09-20T15:34:40Z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