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0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13260" yWindow="1836" windowWidth="9636" windowHeight="7332" tabRatio="833"/>
  </bookViews>
  <sheets>
    <sheet name="Lead Electric" sheetId="79" r:id="rId1"/>
    <sheet name="Rev Req Summary" sheetId="85" r:id="rId2"/>
    <sheet name="Powerex for Microsoft" sheetId="84" r:id="rId3"/>
    <sheet name="SCh 95A Amort 12ME 12-2018" sheetId="71" r:id="rId4"/>
    <sheet name="456 Decoup Rev 12ME 12-2018" sheetId="70" r:id="rId5"/>
    <sheet name="FIT Over Coll 12ME 12-2018" sheetId="72" r:id="rId6"/>
    <sheet name="ZO12 45600154 GAAP 12ME 12-2018" sheetId="73" r:id="rId7"/>
    <sheet name="PTC" sheetId="74" r:id="rId8"/>
    <sheet name="Transp Oth Op" sheetId="75" r:id="rId9"/>
    <sheet name="Sch 142 break out" sheetId="76" r:id="rId10"/>
  </sheets>
  <externalReferences>
    <externalReference r:id="rId11"/>
    <externalReference r:id="rId12"/>
  </externalReferences>
  <definedNames>
    <definedName name="_xlnm.Print_Area" localSheetId="4">'456 Decoup Rev 12ME 12-2018'!$A$1:$D$26</definedName>
  </definedNames>
  <calcPr calcId="162913"/>
</workbook>
</file>

<file path=xl/calcChain.xml><?xml version="1.0" encoding="utf-8"?>
<calcChain xmlns="http://schemas.openxmlformats.org/spreadsheetml/2006/main">
  <c r="F38" i="85" l="1"/>
  <c r="E38" i="85"/>
  <c r="D38" i="85"/>
  <c r="C38" i="85"/>
  <c r="F33" i="85"/>
  <c r="E33" i="85"/>
  <c r="D33" i="85"/>
  <c r="F32" i="85"/>
  <c r="E32" i="85"/>
  <c r="D32" i="85"/>
  <c r="F31" i="85"/>
  <c r="E31" i="85"/>
  <c r="D31" i="85"/>
  <c r="F30" i="85"/>
  <c r="E30" i="85"/>
  <c r="D30" i="85"/>
  <c r="F29" i="85"/>
  <c r="E29" i="85"/>
  <c r="D29" i="85"/>
  <c r="F23" i="85"/>
  <c r="E23" i="85"/>
  <c r="D23" i="85"/>
  <c r="F22" i="85"/>
  <c r="E22" i="85"/>
  <c r="D22" i="85"/>
  <c r="F21" i="85"/>
  <c r="E21" i="85"/>
  <c r="D21" i="85"/>
  <c r="F20" i="85"/>
  <c r="E20" i="85"/>
  <c r="D20" i="85"/>
  <c r="F19" i="85"/>
  <c r="E19" i="85"/>
  <c r="D19" i="85"/>
  <c r="F18" i="85"/>
  <c r="E18" i="85"/>
  <c r="D18" i="85"/>
  <c r="F17" i="85"/>
  <c r="E17" i="85"/>
  <c r="D17" i="85"/>
  <c r="F16" i="85"/>
  <c r="E16" i="85"/>
  <c r="D16" i="85"/>
  <c r="F15" i="85"/>
  <c r="E15" i="85"/>
  <c r="D15" i="85"/>
  <c r="F14" i="85"/>
  <c r="E14" i="85"/>
  <c r="D14" i="85"/>
  <c r="F13" i="85"/>
  <c r="E13" i="85"/>
  <c r="D13" i="85"/>
  <c r="F12" i="85"/>
  <c r="E12" i="85"/>
  <c r="D12" i="85"/>
  <c r="F11" i="85"/>
  <c r="E11" i="85"/>
  <c r="D11" i="85"/>
  <c r="F8" i="85"/>
  <c r="E8" i="85"/>
  <c r="D8" i="85"/>
  <c r="C42" i="79" l="1"/>
  <c r="C41" i="79"/>
  <c r="C40" i="79"/>
  <c r="H33" i="79" l="1"/>
  <c r="D30" i="79"/>
  <c r="E26" i="79"/>
  <c r="G26" i="79" s="1"/>
  <c r="G28" i="79" l="1"/>
  <c r="B32" i="76" l="1"/>
  <c r="E37" i="79" l="1"/>
  <c r="E36" i="79"/>
  <c r="E20" i="79"/>
  <c r="G20" i="79" l="1"/>
  <c r="H20" i="79" l="1"/>
  <c r="E17" i="79"/>
  <c r="C8" i="85"/>
  <c r="A9" i="85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D24" i="85"/>
  <c r="E24" i="85"/>
  <c r="F24" i="85"/>
  <c r="C29" i="85"/>
  <c r="C30" i="85"/>
  <c r="C31" i="85"/>
  <c r="C32" i="85"/>
  <c r="G15" i="79" l="1"/>
  <c r="B2" i="76"/>
  <c r="E14" i="79"/>
  <c r="E13" i="79"/>
  <c r="E21" i="79"/>
  <c r="G16" i="79"/>
  <c r="F26" i="85"/>
  <c r="E26" i="85"/>
  <c r="D26" i="85"/>
  <c r="G17" i="79"/>
  <c r="C33" i="85"/>
  <c r="G19" i="79"/>
  <c r="C24" i="85"/>
  <c r="F17" i="79"/>
  <c r="H17" i="79" l="1"/>
  <c r="G21" i="79"/>
  <c r="F13" i="79"/>
  <c r="F36" i="85"/>
  <c r="E36" i="85"/>
  <c r="D36" i="85"/>
  <c r="C26" i="85"/>
  <c r="C36" i="85" s="1"/>
  <c r="F21" i="84"/>
  <c r="J20" i="84"/>
  <c r="H20" i="84"/>
  <c r="J19" i="84"/>
  <c r="H19" i="84"/>
  <c r="J18" i="84"/>
  <c r="H18" i="84"/>
  <c r="J17" i="84"/>
  <c r="H17" i="84"/>
  <c r="J16" i="84"/>
  <c r="H16" i="84"/>
  <c r="J15" i="84"/>
  <c r="H15" i="84"/>
  <c r="J14" i="84"/>
  <c r="H14" i="84"/>
  <c r="J21" i="84" l="1"/>
  <c r="H21" i="84"/>
  <c r="G29" i="79"/>
  <c r="H29" i="79" s="1"/>
  <c r="H21" i="79"/>
  <c r="F39" i="85"/>
  <c r="E39" i="85"/>
  <c r="D39" i="85"/>
  <c r="C39" i="85"/>
  <c r="F28" i="79"/>
  <c r="F26" i="79"/>
  <c r="F25" i="79"/>
  <c r="F15" i="79"/>
  <c r="F16" i="79"/>
  <c r="F19" i="79"/>
  <c r="F20" i="79"/>
  <c r="F21" i="79"/>
  <c r="D38" i="79"/>
  <c r="D22" i="79"/>
  <c r="H19" i="79" l="1"/>
  <c r="H15" i="79"/>
  <c r="H16" i="79"/>
  <c r="D31" i="79"/>
  <c r="G13" i="79" l="1"/>
  <c r="A14" i="79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A45" i="79" s="1"/>
  <c r="A46" i="79" s="1"/>
  <c r="A47" i="79" s="1"/>
  <c r="A48" i="79" s="1"/>
  <c r="F14" i="79"/>
  <c r="H13" i="79" l="1"/>
  <c r="G14" i="79"/>
  <c r="H14" i="79" l="1"/>
  <c r="H28" i="79" l="1"/>
  <c r="H26" i="79"/>
  <c r="D16" i="70"/>
  <c r="D15" i="70"/>
  <c r="D14" i="70"/>
  <c r="D13" i="70"/>
  <c r="D11" i="70"/>
  <c r="D7" i="70"/>
  <c r="C25" i="70"/>
  <c r="C24" i="70"/>
  <c r="C23" i="70"/>
  <c r="C22" i="70"/>
  <c r="C21" i="70"/>
  <c r="C20" i="70"/>
  <c r="C19" i="70"/>
  <c r="C18" i="70"/>
  <c r="C17" i="70"/>
  <c r="C12" i="70"/>
  <c r="C10" i="70"/>
  <c r="C9" i="70"/>
  <c r="C8" i="70"/>
  <c r="C6" i="70"/>
  <c r="B3" i="76" l="1"/>
  <c r="B16" i="75"/>
  <c r="E27" i="79" s="1"/>
  <c r="E18" i="79" l="1"/>
  <c r="G27" i="79"/>
  <c r="H27" i="79" s="1"/>
  <c r="F27" i="79"/>
  <c r="F18" i="79" l="1"/>
  <c r="F22" i="79" s="1"/>
  <c r="G18" i="79"/>
  <c r="H18" i="79" s="1"/>
  <c r="E22" i="79"/>
  <c r="H22" i="79"/>
  <c r="G22" i="79"/>
  <c r="F37" i="79" l="1"/>
  <c r="G37" i="79" l="1"/>
  <c r="H37" i="79" l="1"/>
  <c r="B26" i="70"/>
  <c r="F36" i="79" l="1"/>
  <c r="E38" i="79"/>
  <c r="D26" i="70"/>
  <c r="E24" i="79" s="1"/>
  <c r="E30" i="79" s="1"/>
  <c r="C26" i="70"/>
  <c r="H25" i="79" l="1"/>
  <c r="G25" i="79"/>
  <c r="F38" i="79"/>
  <c r="G36" i="79"/>
  <c r="F24" i="79"/>
  <c r="F30" i="79" s="1"/>
  <c r="E31" i="79"/>
  <c r="B5" i="76"/>
  <c r="H36" i="79" l="1"/>
  <c r="G24" i="79"/>
  <c r="G30" i="79" s="1"/>
  <c r="G38" i="79"/>
  <c r="H38" i="79" l="1"/>
  <c r="H24" i="79"/>
  <c r="H30" i="79" s="1"/>
  <c r="F31" i="79"/>
  <c r="G31" i="79" l="1"/>
  <c r="H31" i="79"/>
  <c r="E41" i="79" l="1"/>
  <c r="D41" i="79" l="1"/>
  <c r="F41" i="79"/>
  <c r="G41" i="79"/>
  <c r="H41" i="79" l="1"/>
  <c r="D40" i="79" l="1"/>
  <c r="F40" i="79"/>
  <c r="G40" i="79"/>
  <c r="E40" i="79"/>
  <c r="H40" i="79" l="1"/>
  <c r="E42" i="79"/>
  <c r="E43" i="79" s="1"/>
  <c r="E45" i="79" s="1"/>
  <c r="D42" i="79"/>
  <c r="D43" i="79" s="1"/>
  <c r="D45" i="79" s="1"/>
  <c r="F42" i="79"/>
  <c r="F43" i="79" s="1"/>
  <c r="F45" i="79" s="1"/>
  <c r="G42" i="79"/>
  <c r="D47" i="79" l="1"/>
  <c r="D48" i="79"/>
  <c r="E47" i="79"/>
  <c r="E48" i="79"/>
  <c r="F47" i="79"/>
  <c r="F48" i="79" s="1"/>
  <c r="H42" i="79"/>
  <c r="H43" i="79" s="1"/>
  <c r="H45" i="79" s="1"/>
  <c r="G43" i="79"/>
  <c r="G45" i="79" s="1"/>
  <c r="G47" i="79" s="1"/>
  <c r="G48" i="79" s="1"/>
  <c r="H47" i="79" l="1"/>
  <c r="H48" i="79" s="1"/>
</calcChain>
</file>

<file path=xl/sharedStrings.xml><?xml version="1.0" encoding="utf-8"?>
<sst xmlns="http://schemas.openxmlformats.org/spreadsheetml/2006/main" count="198" uniqueCount="168">
  <si>
    <t>Firm Resale</t>
  </si>
  <si>
    <t>Line No.</t>
  </si>
  <si>
    <t>Difference</t>
  </si>
  <si>
    <t>Total</t>
  </si>
  <si>
    <t>Description</t>
  </si>
  <si>
    <t>Temperature Adjustment</t>
  </si>
  <si>
    <t>Schedule 40 Adjustment</t>
  </si>
  <si>
    <t>Sales of Electricity</t>
  </si>
  <si>
    <t>PSE</t>
  </si>
  <si>
    <t>Proforma Revenue Summary</t>
  </si>
  <si>
    <t>Revenue Requirements</t>
  </si>
  <si>
    <t>Retail Customers</t>
  </si>
  <si>
    <t>Proforma Sales of Electricity</t>
  </si>
  <si>
    <t>Decoupling</t>
  </si>
  <si>
    <t>Check</t>
  </si>
  <si>
    <t>(a)</t>
  </si>
  <si>
    <t>(b)</t>
  </si>
  <si>
    <t>(c)</t>
  </si>
  <si>
    <t>(d)</t>
  </si>
  <si>
    <t>(e)</t>
  </si>
  <si>
    <t>LINE</t>
  </si>
  <si>
    <t>NO.</t>
  </si>
  <si>
    <t>DESCRIPTION</t>
  </si>
  <si>
    <t>ADJUSTMENT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</si>
  <si>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</si>
  <si>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</si>
  <si>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</si>
  <si>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</si>
  <si>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 OPERATING REVENUES</t>
  </si>
  <si>
    <t>REMOVE OVEREARNINGS ACCRUALS</t>
  </si>
  <si>
    <t>REMOVE SCHEDULE 95A TREASURY GRANTS AMORTIZATION OF INTEREST AND GRANTS</t>
  </si>
  <si>
    <t>TOTAL INCREASE (DECREASE) EXPENSES</t>
  </si>
  <si>
    <t>UNCOLLECTIBLES @</t>
  </si>
  <si>
    <t>ANNUAL FILING FEE @</t>
  </si>
  <si>
    <t>TOTAL INCREASE (DECREASE) RSI</t>
  </si>
  <si>
    <t>INCREASE (DECREASE) INCOME</t>
  </si>
  <si>
    <t>INCREASE (DECREASE) FIT @</t>
  </si>
  <si>
    <t>INCREASE (DECREASE) NOI</t>
  </si>
  <si>
    <t>Orders</t>
  </si>
  <si>
    <t>40740081  WH US Treasury Grants Amort UE-120277</t>
  </si>
  <si>
    <t>40740082  LSR US Treasury Grant Amort UE-122001</t>
  </si>
  <si>
    <t>40740121  WH US Treasury Interest Amort UE-120277</t>
  </si>
  <si>
    <t>40740122  LSR US Treasury Interest Amort UE-122001</t>
  </si>
  <si>
    <t>OTHER</t>
  </si>
  <si>
    <t>45600338  9900 - Electric ROR Accrual-Commercial</t>
  </si>
  <si>
    <t>45600330  9900 - Electric ROR Accrual-Industrial</t>
  </si>
  <si>
    <t>45600322  9900 - Electric ROR Accrual-Residential</t>
  </si>
  <si>
    <t>45600321  9900-Electric Residential Decoupling Rev</t>
  </si>
  <si>
    <t>45600323  9900-Elec NonResid Decoupl GAAP UnernRev</t>
  </si>
  <si>
    <t>45600325  Electric Schedule 26 Decoupling Revenue</t>
  </si>
  <si>
    <t>45600326  Electric Schedule 31 Decoupling Revenue</t>
  </si>
  <si>
    <t>45600331  9900-Elec Non-Residential Decoupling Rev</t>
  </si>
  <si>
    <t>45600332  9900 - Electric ROR Refund-Commercial</t>
  </si>
  <si>
    <t>45600335  Amort of Sch 142 Electric Sch26 in Rates</t>
  </si>
  <si>
    <t>45600336  Amort of Sch 142 Electric Sch31 in Rates</t>
  </si>
  <si>
    <t>45600337  9900 - Electric ROR Refund-Industrial</t>
  </si>
  <si>
    <t>45600361  9900-Amort of Sch 142 Elec Resid in rate</t>
  </si>
  <si>
    <t>45600371  9900-Amort of Sch 142 Ele NonRes in rate</t>
  </si>
  <si>
    <t>45600381  9900 - Electric ROR Refund-Residential</t>
  </si>
  <si>
    <t>REMOVE CURRENT PERIOD DECOUPLING DEFERRALS</t>
  </si>
  <si>
    <t>Schedule 142 (Estimated Adjustment)</t>
  </si>
  <si>
    <t>FOR THE TWELVE MONTHS ENDED DECEMBER 31, 2018</t>
  </si>
  <si>
    <t>Subtotal Proforma Adjustments</t>
  </si>
  <si>
    <t>Proforma Adjustments:</t>
  </si>
  <si>
    <t>Restated Sales of Electricity</t>
  </si>
  <si>
    <t>Subtotal Restating</t>
  </si>
  <si>
    <t>Other Adjustments for Rate Changes</t>
  </si>
  <si>
    <t xml:space="preserve">Schedule 194 </t>
  </si>
  <si>
    <t xml:space="preserve">Schedule 141 </t>
  </si>
  <si>
    <t xml:space="preserve">Schedule 140 </t>
  </si>
  <si>
    <t xml:space="preserve">Schedule 137 </t>
  </si>
  <si>
    <t>Schedule 135 &amp; 136</t>
  </si>
  <si>
    <t xml:space="preserve">Schedule 133 </t>
  </si>
  <si>
    <t xml:space="preserve">Schedule 132 </t>
  </si>
  <si>
    <t xml:space="preserve">Schedule 129 </t>
  </si>
  <si>
    <t xml:space="preserve">Schedule 120 </t>
  </si>
  <si>
    <t xml:space="preserve">Schedule 95A </t>
  </si>
  <si>
    <t>Schedule 95</t>
  </si>
  <si>
    <t xml:space="preserve">Schedule 81 </t>
  </si>
  <si>
    <t>Delivered Revenue Restating Adjustments:</t>
  </si>
  <si>
    <t>Transportation 449-459-MSSC</t>
  </si>
  <si>
    <t>Twelve Months ended December 2018</t>
  </si>
  <si>
    <t>Act. Costs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</si>
  <si>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</si>
  <si>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</si>
  <si>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</si>
  <si>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</si>
  <si>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</si>
  <si>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</si>
  <si>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45600108  E Decoup Rev Sch 40 FPC</t>
  </si>
  <si>
    <t>45600109  E Decoup Rev Sch 12 &amp; 26 FPC</t>
  </si>
  <si>
    <t>45600110  E Decoup Rev Sch 10 &amp; 31 FPC</t>
  </si>
  <si>
    <t xml:space="preserve">  ZO12                      Orders: Actual 12 Month Ended 12-2018</t>
  </si>
  <si>
    <t>12ME 12-2018</t>
  </si>
  <si>
    <t>Earnings Sharing</t>
  </si>
  <si>
    <t xml:space="preserve">  ZO12                      Orders: Actual 12 Month Ended 12ME 12-2018</t>
  </si>
  <si>
    <t>REMOVE REVENUE DEFERRALS FOR TAX REFORM</t>
  </si>
  <si>
    <t>44910001  Provision for rate refunds - Electric</t>
  </si>
  <si>
    <t>45600154  24M GAAP - E Non-Res Sch 40</t>
  </si>
  <si>
    <t>REMOVE 24 M GAAP</t>
  </si>
  <si>
    <t>40730171  1143 - PTC Deferral Post June 2010</t>
  </si>
  <si>
    <t>40730071  CLSD - 1143-PTC Deferral Post June 2010</t>
  </si>
  <si>
    <t>40730021  Amort to Repurposed PTC Reg Liability</t>
  </si>
  <si>
    <t xml:space="preserve">STATE UTILITY TAX </t>
  </si>
  <si>
    <t>ADJUSTMENTS TO SALES TO CUSTOMERS</t>
  </si>
  <si>
    <t>ADJUSTMENTS TO OTHER OPERATING REVENUES</t>
  </si>
  <si>
    <t>OTHER OPERATING EXPENSES</t>
  </si>
  <si>
    <t>REMOVE ACCRUAL FOR FUTURE PTC LIABILITY</t>
  </si>
  <si>
    <t>RECLASSIFY TRANPORTATION REVENUES FROM OTHER OPERATING</t>
  </si>
  <si>
    <t>RECLASSIFY TRANPORTATION REVENUES TO SALES TO CUSTOMERS</t>
  </si>
  <si>
    <t xml:space="preserve">     45610060  4310-Elec Trans Rev - Network 449 Transm</t>
  </si>
  <si>
    <t xml:space="preserve">     45610121  Elec Trans Rev-Ancillary Svcs Sch. 1 449</t>
  </si>
  <si>
    <t xml:space="preserve">     45610122  Elec Trans Rev-Ancillary Svcs Sch. 2 449</t>
  </si>
  <si>
    <t xml:space="preserve">     45610123  Elec Trans Rev-Ancillary Svcs Sch. 3 449</t>
  </si>
  <si>
    <t xml:space="preserve">     45610124  Elec Trans Rev-Ancillary Svcs Sch. 5 449</t>
  </si>
  <si>
    <t xml:space="preserve">     45610125  Elec Trans Rev-Ancillary Svcs Sch. 6 449</t>
  </si>
  <si>
    <t xml:space="preserve">     45610126  Unreserved Use Penalty-Refundable 449</t>
  </si>
  <si>
    <t xml:space="preserve">     45610127  Elec Trans Rev - WA ST Tax - OASIS 449</t>
  </si>
  <si>
    <t xml:space="preserve">     45610128  Elec Trans Rev - Transm Losses 449</t>
  </si>
  <si>
    <t>Ledger Sign</t>
  </si>
  <si>
    <t>SAP Order</t>
  </si>
  <si>
    <t>Total Tranportation Revenues in Other Operating</t>
  </si>
  <si>
    <t>SCHEDULE 40 ADJUSTMENT</t>
  </si>
  <si>
    <t>45600139  E Decoup Amort of Sch 142 - Sch 8 &amp; 24</t>
  </si>
  <si>
    <t>45600141  E Dcp Amort Sch 142-Sc 7A,11,25,29,35,43</t>
  </si>
  <si>
    <t>45600142  E Decoup Amort of Sch 142 - Sch 40 in Ra</t>
  </si>
  <si>
    <t>45600143  E FPC Decoup Amort Sch 142  - Sch 7 in R</t>
  </si>
  <si>
    <t>45600144  E FPC Decoup Amort Sch 142 - Sch 8 &amp; 24</t>
  </si>
  <si>
    <t>45600146  E FPC Decoup Amort Sch 142 - Sch 40 in R</t>
  </si>
  <si>
    <t>45600147  E FPC Decoup Amort Sch 142 - Sch 12 &amp; 26</t>
  </si>
  <si>
    <t>45600148  E FPC Decoup Amort Sch 142 - Sch 10 &amp; 31</t>
  </si>
  <si>
    <t>45600149  E Decoup Amort Sch 142 - Sch 46 &amp; 49 in</t>
  </si>
  <si>
    <t>45600151  E FPC Decoup Amort Sch 142 - Sch 46&amp;49</t>
  </si>
  <si>
    <t>From Cost of Service Files</t>
  </si>
  <si>
    <t>ledger sign</t>
  </si>
  <si>
    <t>Revenue Recovering Amortization of Prior Decoupling Deferrals</t>
  </si>
  <si>
    <t>Revmove Revenue Recovering Amortization of Prior Decoupling Deferrals</t>
  </si>
  <si>
    <t>Revenue Recovering Current Decoupling Deferrals</t>
  </si>
  <si>
    <t>credit</t>
  </si>
  <si>
    <t>debit</t>
  </si>
  <si>
    <t>(c)=(b)-(a)</t>
  </si>
  <si>
    <t>%'s</t>
  </si>
  <si>
    <t>PROFORMA</t>
  </si>
  <si>
    <t>RESTATED</t>
  </si>
  <si>
    <t>ACTUAL</t>
  </si>
  <si>
    <t>TY</t>
  </si>
  <si>
    <t xml:space="preserve">        2019 GENERAL RATE CASE</t>
  </si>
  <si>
    <t>REVENUE AND EXPENSES - ELECTRIC</t>
  </si>
  <si>
    <t xml:space="preserve">  PUGET SOUND ENERGY-ELECTRIC</t>
  </si>
  <si>
    <t>(e)=(d)-(b)</t>
  </si>
  <si>
    <t>POWEREX TRANSMISSION REVENUE FOR MICROSOFT</t>
  </si>
  <si>
    <t>Total projection</t>
  </si>
  <si>
    <t>Losses    (current estimate)</t>
  </si>
  <si>
    <t>Schedule 6 - Reserves - Supplemental</t>
  </si>
  <si>
    <t>Schedule 5 - Reserves - Spinning</t>
  </si>
  <si>
    <t>Schedule 3 - Regulation &amp; Frequency Response Service</t>
  </si>
  <si>
    <t>Schedule 2 - Reactive Control and Voltage Control</t>
  </si>
  <si>
    <t>Schedule 1 - Scheduling, System Control &amp; Dispatch Service</t>
  </si>
  <si>
    <t>Point to Point Transmission Sales</t>
  </si>
  <si>
    <t>Jan - Dec</t>
  </si>
  <si>
    <t>April - Dec</t>
  </si>
  <si>
    <t xml:space="preserve">Monthly </t>
  </si>
  <si>
    <t>Order</t>
  </si>
  <si>
    <t>Powerex for Microsoft</t>
  </si>
  <si>
    <t>TOTAL INCREASE (DECREASE) RETAIL REVENUES</t>
  </si>
  <si>
    <t>Annualize Tax Reform Rates Eff 5-1-18</t>
  </si>
  <si>
    <t>ANNUALIZE TAX REFORM REVENUES EFFECTIVE 5-1-2019 FROM UE-180282 - SALES TO CUSTOMERS</t>
  </si>
  <si>
    <t>ANNUALIZE TAX REFORM REVENUES EFFECTIVE 5-1-2019 FROM UE-180282 - SALES FOR RESALE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</si>
</sst>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_(* #,##0.000000_);_(* \(#,##0.000000\);_(* &quot;-&quot;??????_);_(@_)"/>
    <numFmt numFmtId="167" formatCode="0.0000%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/>
  </cellStyleXfs>
  <cellXfs count="119">
    <xf numFmtId="0" fontId="0" fillId="0" borderId="0" xfId="0"/>
    <xf numFmtId="0" fontId="5" fillId="2" borderId="0" xfId="0" applyFont="1" applyFill="1"/>
    <xf numFmtId="41" fontId="4" fillId="2" borderId="0" xfId="0" applyNumberFormat="1" applyFont="1" applyFill="1"/>
    <xf numFmtId="0" fontId="11" fillId="2" borderId="0" xfId="0" applyFont="1" applyFill="1"/>
    <xf numFmtId="41" fontId="10" fillId="2" borderId="0" xfId="0" applyNumberFormat="1" applyFont="1" applyFill="1"/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43" fontId="3" fillId="2" borderId="0" xfId="0" applyNumberFormat="1" applyFont="1" applyFill="1"/>
    <xf numFmtId="43" fontId="11" fillId="2" borderId="2" xfId="0" applyNumberFormat="1" applyFont="1" applyFill="1" applyBorder="1"/>
    <xf numFmtId="0" fontId="3" fillId="0" borderId="0" xfId="0" applyFont="1" applyFill="1"/>
    <xf numFmtId="0" fontId="11" fillId="2" borderId="0" xfId="0" applyFont="1" applyFill="1" applyAlignment="1">
      <alignment horizontal="center"/>
    </xf>
    <xf numFmtId="43" fontId="3" fillId="2" borderId="0" xfId="0" applyNumberFormat="1" applyFont="1" applyFill="1" applyBorder="1"/>
    <xf numFmtId="43" fontId="11" fillId="2" borderId="0" xfId="0" applyNumberFormat="1" applyFont="1" applyFill="1"/>
    <xf numFmtId="0" fontId="2" fillId="2" borderId="0" xfId="0" applyFont="1" applyFill="1"/>
    <xf numFmtId="0" fontId="11" fillId="2" borderId="0" xfId="0" applyFont="1" applyFill="1"/>
    <xf numFmtId="43" fontId="2" fillId="2" borderId="0" xfId="0" applyNumberFormat="1" applyFont="1" applyFill="1"/>
    <xf numFmtId="43" fontId="11" fillId="2" borderId="0" xfId="0" applyNumberFormat="1" applyFont="1" applyFill="1"/>
    <xf numFmtId="0" fontId="1" fillId="2" borderId="0" xfId="0" applyFont="1" applyFill="1"/>
    <xf numFmtId="43" fontId="12" fillId="2" borderId="2" xfId="0" applyNumberFormat="1" applyFont="1" applyFill="1" applyBorder="1"/>
    <xf numFmtId="0" fontId="12" fillId="2" borderId="0" xfId="0" applyFont="1" applyFill="1"/>
    <xf numFmtId="43" fontId="0" fillId="2" borderId="0" xfId="0" applyNumberFormat="1" applyFont="1" applyFill="1"/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left" indent="2"/>
    </xf>
    <xf numFmtId="0" fontId="8" fillId="2" borderId="0" xfId="0" applyNumberFormat="1" applyFont="1" applyFill="1" applyAlignment="1">
      <alignment horizontal="left" indent="1"/>
    </xf>
    <xf numFmtId="0" fontId="8" fillId="2" borderId="0" xfId="0" quotePrefix="1" applyNumberFormat="1" applyFont="1" applyFill="1" applyAlignment="1">
      <alignment horizontal="left" indent="2"/>
    </xf>
    <xf numFmtId="0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/>
    </xf>
    <xf numFmtId="0" fontId="13" fillId="0" borderId="0" xfId="0" applyFont="1"/>
    <xf numFmtId="44" fontId="0" fillId="0" borderId="0" xfId="0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14" fillId="0" borderId="1" xfId="0" applyFont="1" applyBorder="1" applyAlignment="1">
      <alignment horizontal="center"/>
    </xf>
    <xf numFmtId="43" fontId="0" fillId="0" borderId="0" xfId="0" applyNumberFormat="1" applyFont="1"/>
    <xf numFmtId="166" fontId="0" fillId="0" borderId="0" xfId="0" applyNumberFormat="1"/>
    <xf numFmtId="44" fontId="0" fillId="0" borderId="4" xfId="0" applyNumberFormat="1" applyFont="1" applyBorder="1"/>
    <xf numFmtId="43" fontId="3" fillId="0" borderId="0" xfId="0" applyNumberFormat="1" applyFont="1" applyFill="1"/>
    <xf numFmtId="0" fontId="8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/>
    <xf numFmtId="49" fontId="8" fillId="2" borderId="0" xfId="0" applyNumberFormat="1" applyFont="1" applyFill="1" applyBorder="1" applyAlignment="1">
      <alignment horizontal="left"/>
    </xf>
    <xf numFmtId="43" fontId="8" fillId="2" borderId="0" xfId="0" applyNumberFormat="1" applyFont="1" applyFill="1" applyBorder="1" applyAlignment="1">
      <alignment horizontal="center"/>
    </xf>
    <xf numFmtId="9" fontId="8" fillId="2" borderId="0" xfId="0" applyNumberFormat="1" applyFont="1" applyFill="1" applyBorder="1" applyAlignment="1"/>
    <xf numFmtId="0" fontId="8" fillId="2" borderId="0" xfId="0" applyNumberFormat="1" applyFont="1" applyFill="1" applyAlignment="1">
      <alignment vertical="center"/>
    </xf>
    <xf numFmtId="41" fontId="8" fillId="2" borderId="0" xfId="0" applyNumberFormat="1" applyFont="1" applyFill="1" applyBorder="1" applyAlignment="1">
      <alignment horizontal="center"/>
    </xf>
    <xf numFmtId="41" fontId="8" fillId="2" borderId="1" xfId="0" applyNumberFormat="1" applyFont="1" applyFill="1" applyBorder="1" applyAlignment="1">
      <alignment horizontal="center"/>
    </xf>
    <xf numFmtId="42" fontId="8" fillId="2" borderId="0" xfId="0" applyNumberFormat="1" applyFont="1" applyFill="1" applyBorder="1"/>
    <xf numFmtId="42" fontId="8" fillId="2" borderId="0" xfId="0" applyNumberFormat="1" applyFont="1" applyFill="1" applyAlignment="1" applyProtection="1">
      <alignment horizontal="right"/>
      <protection locked="0"/>
    </xf>
    <xf numFmtId="0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quotePrefix="1" applyNumberFormat="1" applyFont="1" applyFill="1" applyBorder="1" applyAlignment="1" applyProtection="1">
      <alignment horizontal="center"/>
      <protection locked="0"/>
    </xf>
    <xf numFmtId="0" fontId="9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quotePrefix="1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/>
    <xf numFmtId="0" fontId="9" fillId="2" borderId="1" xfId="0" applyNumberFormat="1" applyFont="1" applyFill="1" applyBorder="1" applyAlignment="1">
      <alignment horizontal="center"/>
    </xf>
    <xf numFmtId="0" fontId="9" fillId="2" borderId="0" xfId="0" applyNumberFormat="1" applyFont="1" applyFill="1" applyAlignment="1"/>
    <xf numFmtId="0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NumberFormat="1" applyFont="1" applyFill="1" applyBorder="1" applyAlignment="1">
      <alignment horizontal="centerContinuous"/>
    </xf>
    <xf numFmtId="0" fontId="9" fillId="2" borderId="0" xfId="0" quotePrefix="1" applyNumberFormat="1" applyFont="1" applyFill="1" applyBorder="1" applyAlignment="1">
      <alignment horizontal="centerContinuous"/>
    </xf>
    <xf numFmtId="0" fontId="9" fillId="2" borderId="0" xfId="0" applyNumberFormat="1" applyFont="1" applyFill="1" applyAlignment="1" applyProtection="1">
      <alignment horizontal="centerContinuous"/>
      <protection locked="0"/>
    </xf>
    <xf numFmtId="0" fontId="9" fillId="2" borderId="0" xfId="0" quotePrefix="1" applyNumberFormat="1" applyFont="1" applyFill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2" borderId="0" xfId="0" quotePrefix="1" applyNumberFormat="1" applyFont="1" applyFill="1" applyBorder="1" applyAlignment="1">
      <alignment horizontal="right"/>
    </xf>
    <xf numFmtId="0" fontId="9" fillId="2" borderId="0" xfId="0" applyNumberFormat="1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>
      <alignment horizontal="left"/>
    </xf>
    <xf numFmtId="0" fontId="9" fillId="2" borderId="0" xfId="0" applyNumberFormat="1" applyFont="1" applyFill="1" applyAlignment="1">
      <alignment horizontal="right"/>
    </xf>
    <xf numFmtId="41" fontId="8" fillId="2" borderId="0" xfId="0" applyNumberFormat="1" applyFont="1" applyFill="1" applyBorder="1" applyAlignment="1" applyProtection="1">
      <alignment horizontal="right"/>
      <protection locked="0"/>
    </xf>
    <xf numFmtId="41" fontId="8" fillId="2" borderId="7" xfId="0" applyNumberFormat="1" applyFont="1" applyFill="1" applyBorder="1" applyAlignment="1">
      <alignment horizontal="center"/>
    </xf>
    <xf numFmtId="0" fontId="7" fillId="2" borderId="0" xfId="0" applyNumberFormat="1" applyFont="1" applyFill="1"/>
    <xf numFmtId="0" fontId="14" fillId="0" borderId="0" xfId="0" applyFont="1"/>
    <xf numFmtId="44" fontId="14" fillId="0" borderId="2" xfId="0" applyNumberFormat="1" applyFont="1" applyBorder="1"/>
    <xf numFmtId="37" fontId="8" fillId="2" borderId="0" xfId="0" applyNumberFormat="1" applyFont="1" applyFill="1" applyAlignment="1"/>
    <xf numFmtId="41" fontId="8" fillId="2" borderId="0" xfId="0" applyNumberFormat="1" applyFont="1" applyFill="1" applyAlignment="1"/>
    <xf numFmtId="37" fontId="8" fillId="2" borderId="6" xfId="0" applyNumberFormat="1" applyFont="1" applyFill="1" applyBorder="1" applyAlignment="1"/>
    <xf numFmtId="41" fontId="8" fillId="2" borderId="1" xfId="0" applyNumberFormat="1" applyFont="1" applyFill="1" applyBorder="1" applyAlignment="1">
      <alignment horizontal="right"/>
    </xf>
    <xf numFmtId="42" fontId="13" fillId="0" borderId="5" xfId="0" applyNumberFormat="1" applyFont="1" applyBorder="1"/>
    <xf numFmtId="0" fontId="15" fillId="2" borderId="0" xfId="0" applyFont="1" applyFill="1"/>
    <xf numFmtId="43" fontId="15" fillId="2" borderId="0" xfId="0" applyNumberFormat="1" applyFont="1" applyFill="1"/>
    <xf numFmtId="164" fontId="15" fillId="2" borderId="0" xfId="0" applyNumberFormat="1" applyFont="1" applyFill="1"/>
    <xf numFmtId="0" fontId="15" fillId="2" borderId="0" xfId="0" applyFont="1" applyFill="1" applyAlignment="1">
      <alignment horizontal="right"/>
    </xf>
    <xf numFmtId="164" fontId="15" fillId="2" borderId="1" xfId="0" applyNumberFormat="1" applyFont="1" applyFill="1" applyBorder="1"/>
    <xf numFmtId="164" fontId="15" fillId="2" borderId="0" xfId="0" applyNumberFormat="1" applyFont="1" applyFill="1" applyBorder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43" fontId="16" fillId="2" borderId="0" xfId="0" applyNumberFormat="1" applyFont="1" applyFill="1"/>
    <xf numFmtId="43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 indent="1"/>
    </xf>
    <xf numFmtId="0" fontId="17" fillId="2" borderId="0" xfId="0" applyFont="1" applyFill="1"/>
    <xf numFmtId="0" fontId="6" fillId="2" borderId="0" xfId="1"/>
    <xf numFmtId="44" fontId="6" fillId="2" borderId="0" xfId="1" applyNumberFormat="1"/>
    <xf numFmtId="164" fontId="6" fillId="2" borderId="0" xfId="1" applyNumberFormat="1"/>
    <xf numFmtId="0" fontId="6" fillId="2" borderId="0" xfId="1" applyAlignment="1">
      <alignment horizontal="center"/>
    </xf>
    <xf numFmtId="164" fontId="0" fillId="2" borderId="0" xfId="1" applyNumberFormat="1" applyFont="1" applyFill="1"/>
    <xf numFmtId="0" fontId="6" fillId="2" borderId="0" xfId="1" applyAlignment="1">
      <alignment horizontal="left"/>
    </xf>
    <xf numFmtId="0" fontId="6" fillId="2" borderId="0" xfId="1" applyAlignment="1">
      <alignment horizontal="left" indent="1"/>
    </xf>
    <xf numFmtId="0" fontId="6" fillId="2" borderId="0" xfId="1" quotePrefix="1" applyAlignment="1">
      <alignment horizontal="left"/>
    </xf>
    <xf numFmtId="164" fontId="0" fillId="2" borderId="0" xfId="1" quotePrefix="1" applyNumberFormat="1" applyFont="1" applyFill="1" applyAlignment="1">
      <alignment horizontal="left" indent="1"/>
    </xf>
    <xf numFmtId="0" fontId="6" fillId="2" borderId="0" xfId="1" quotePrefix="1" applyBorder="1" applyAlignment="1">
      <alignment horizontal="center" wrapText="1"/>
    </xf>
    <xf numFmtId="0" fontId="6" fillId="2" borderId="0" xfId="1" applyBorder="1" applyAlignment="1">
      <alignment horizontal="center" wrapText="1"/>
    </xf>
    <xf numFmtId="0" fontId="6" fillId="2" borderId="0" xfId="1" applyBorder="1" applyAlignment="1">
      <alignment wrapText="1"/>
    </xf>
    <xf numFmtId="0" fontId="6" fillId="2" borderId="1" xfId="1" quotePrefix="1" applyBorder="1" applyAlignment="1">
      <alignment horizontal="center" wrapText="1"/>
    </xf>
    <xf numFmtId="0" fontId="6" fillId="2" borderId="1" xfId="1" applyBorder="1" applyAlignment="1">
      <alignment horizontal="center" wrapText="1"/>
    </xf>
    <xf numFmtId="0" fontId="6" fillId="2" borderId="1" xfId="1" applyBorder="1" applyAlignment="1">
      <alignment wrapText="1"/>
    </xf>
    <xf numFmtId="0" fontId="13" fillId="2" borderId="0" xfId="0" applyFont="1" applyFill="1"/>
    <xf numFmtId="0" fontId="18" fillId="2" borderId="1" xfId="0" applyFont="1" applyFill="1" applyBorder="1" applyAlignment="1">
      <alignment horizontal="center"/>
    </xf>
    <xf numFmtId="41" fontId="13" fillId="2" borderId="0" xfId="0" applyNumberFormat="1" applyFont="1" applyFill="1"/>
    <xf numFmtId="0" fontId="13" fillId="2" borderId="6" xfId="0" applyFont="1" applyFill="1" applyBorder="1"/>
    <xf numFmtId="167" fontId="13" fillId="2" borderId="0" xfId="0" applyNumberFormat="1" applyFont="1" applyFill="1"/>
    <xf numFmtId="37" fontId="8" fillId="2" borderId="1" xfId="0" applyNumberFormat="1" applyFont="1" applyFill="1" applyBorder="1" applyAlignment="1"/>
    <xf numFmtId="43" fontId="8" fillId="2" borderId="1" xfId="0" applyNumberFormat="1" applyFont="1" applyFill="1" applyBorder="1" applyAlignment="1">
      <alignment horizontal="right"/>
    </xf>
    <xf numFmtId="41" fontId="8" fillId="2" borderId="0" xfId="0" applyNumberFormat="1" applyFont="1" applyFill="1" applyAlignment="1">
      <alignment horizontal="left"/>
    </xf>
    <xf numFmtId="43" fontId="13" fillId="2" borderId="0" xfId="0" applyNumberFormat="1" applyFont="1" applyFill="1"/>
    <xf numFmtId="164" fontId="0" fillId="3" borderId="0" xfId="1" applyNumberFormat="1" applyFont="1" applyFill="1"/>
    <xf numFmtId="0" fontId="6" fillId="2" borderId="0" xfId="1" applyAlignment="1">
      <alignment horizontal="center"/>
    </xf>
    <xf numFmtId="0" fontId="6" fillId="2" borderId="0" xfId="1" quotePrefix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M12">
            <v>8.4790000000000004E-3</v>
          </cell>
        </row>
        <row r="13">
          <cell r="M13">
            <v>2E-3</v>
          </cell>
        </row>
        <row r="14">
          <cell r="M14">
            <v>3.8406000000000003E-2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Light Inventory (Annual)"/>
      <sheetName val="Lighting Data"/>
      <sheetName val="Checking Proforma to BW"/>
    </sheetNames>
    <sheetDataSet>
      <sheetData sheetId="0"/>
      <sheetData sheetId="1"/>
      <sheetData sheetId="2">
        <row r="8">
          <cell r="D8">
            <v>2161701872.5900002</v>
          </cell>
          <cell r="E8">
            <v>340431.52</v>
          </cell>
          <cell r="F8">
            <v>13877639.080000002</v>
          </cell>
        </row>
        <row r="11">
          <cell r="D11">
            <v>-84369644.5</v>
          </cell>
          <cell r="E11">
            <v>-16204.59</v>
          </cell>
          <cell r="F11">
            <v>-970094.67</v>
          </cell>
        </row>
        <row r="12">
          <cell r="D12">
            <v>41885179.539999999</v>
          </cell>
          <cell r="E12"/>
          <cell r="F12"/>
        </row>
        <row r="13">
          <cell r="D13">
            <v>-99714917.999999985</v>
          </cell>
          <cell r="E13"/>
          <cell r="F13">
            <v>-2151470.8400000008</v>
          </cell>
        </row>
        <row r="14">
          <cell r="D14">
            <v>-17419735.609999996</v>
          </cell>
          <cell r="E14"/>
          <cell r="F14">
            <v>-570765.76</v>
          </cell>
        </row>
        <row r="15">
          <cell r="D15">
            <v>5925862.4100000001</v>
          </cell>
          <cell r="E15"/>
          <cell r="F15">
            <v>57276.020000000019</v>
          </cell>
        </row>
        <row r="16">
          <cell r="D16">
            <v>1234.0100000000002</v>
          </cell>
          <cell r="E16"/>
          <cell r="F16"/>
        </row>
        <row r="17">
          <cell r="D17">
            <v>-4470609.87</v>
          </cell>
          <cell r="E17"/>
          <cell r="F17"/>
        </row>
        <row r="18">
          <cell r="D18">
            <v>657452.02999999991</v>
          </cell>
          <cell r="E18"/>
          <cell r="F18"/>
        </row>
        <row r="19">
          <cell r="D19">
            <v>-723802.14000000013</v>
          </cell>
          <cell r="E19"/>
          <cell r="F19">
            <v>0</v>
          </cell>
        </row>
        <row r="20">
          <cell r="D20">
            <v>81156080.86999999</v>
          </cell>
          <cell r="E20"/>
          <cell r="F20"/>
        </row>
        <row r="21">
          <cell r="D21">
            <v>14383087</v>
          </cell>
          <cell r="E21">
            <v>3019</v>
          </cell>
          <cell r="F21">
            <v>0</v>
          </cell>
        </row>
        <row r="22">
          <cell r="D22">
            <v>-20838968.918166019</v>
          </cell>
          <cell r="E22">
            <v>114.23000000000138</v>
          </cell>
          <cell r="F22">
            <v>113933.56797</v>
          </cell>
        </row>
        <row r="23">
          <cell r="D23">
            <v>3810955</v>
          </cell>
          <cell r="E23">
            <v>0</v>
          </cell>
          <cell r="F23">
            <v>0</v>
          </cell>
        </row>
        <row r="29">
          <cell r="D29">
            <v>-24471846.07</v>
          </cell>
          <cell r="E29">
            <v>0</v>
          </cell>
          <cell r="F29">
            <v>5493553</v>
          </cell>
        </row>
        <row r="30">
          <cell r="D30">
            <v>1895876.7300000002</v>
          </cell>
          <cell r="E30"/>
          <cell r="F30"/>
        </row>
        <row r="31">
          <cell r="D31">
            <v>-61937606.332030013</v>
          </cell>
          <cell r="E31"/>
          <cell r="F31">
            <v>-242164.61797000002</v>
          </cell>
        </row>
        <row r="32">
          <cell r="D32">
            <v>-16403352.699999999</v>
          </cell>
          <cell r="E32"/>
          <cell r="F32">
            <v>0</v>
          </cell>
        </row>
        <row r="33">
          <cell r="D33">
            <v>-100916928.37203002</v>
          </cell>
          <cell r="E33">
            <v>0</v>
          </cell>
          <cell r="F33">
            <v>5251388.38203</v>
          </cell>
        </row>
        <row r="38">
          <cell r="C38">
            <v>1997002382.391351</v>
          </cell>
          <cell r="D38">
            <v>1981067116.391351</v>
          </cell>
          <cell r="E38">
            <v>327360</v>
          </cell>
          <cell r="F38">
            <v>15607906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U125"/>
  <sheetViews>
    <sheetView tabSelected="1" zoomScaleNormal="100" workbookViewId="0">
      <selection activeCell="A22" sqref="A22"/>
    </sheetView>
  </sheetViews>
  <sheetFormatPr defaultColWidth="8.88671875" defaultRowHeight="13.2" x14ac:dyDescent="0.25"/>
  <cols>
    <col min="1" max="1" width="5.109375" style="107" bestFit="1" customWidth="1"/>
    <col min="2" max="2" width="80.33203125" style="107" customWidth="1"/>
    <col min="3" max="3" width="10.33203125" style="107" customWidth="1"/>
    <col min="4" max="4" width="15" style="107" customWidth="1"/>
    <col min="5" max="5" width="14" style="107" customWidth="1"/>
    <col min="6" max="6" width="13.109375" style="107" customWidth="1"/>
    <col min="7" max="7" width="14.6640625" style="107" customWidth="1"/>
    <col min="8" max="8" width="15.88671875" style="107" customWidth="1"/>
    <col min="9" max="16384" width="8.88671875" style="107"/>
  </cols>
  <sheetData>
    <row r="2" spans="1:21" ht="14.4" x14ac:dyDescent="0.3">
      <c r="A2" s="68"/>
      <c r="B2" s="68"/>
      <c r="C2" s="68"/>
      <c r="D2" s="68"/>
      <c r="E2" s="68"/>
      <c r="F2" s="68"/>
      <c r="G2" s="68"/>
      <c r="H2"/>
    </row>
    <row r="3" spans="1:21" ht="14.4" x14ac:dyDescent="0.3">
      <c r="A3" s="68"/>
      <c r="B3" s="68"/>
      <c r="C3" s="68"/>
      <c r="D3" s="68"/>
      <c r="E3" s="68"/>
      <c r="F3" s="68"/>
      <c r="G3" s="68"/>
      <c r="H3"/>
    </row>
    <row r="4" spans="1:21" ht="14.4" x14ac:dyDescent="0.3">
      <c r="A4" s="65"/>
      <c r="B4" s="67"/>
      <c r="D4" s="66" t="s">
        <v>148</v>
      </c>
      <c r="E4" s="65"/>
      <c r="F4" s="65"/>
      <c r="G4" s="65"/>
      <c r="H4"/>
    </row>
    <row r="5" spans="1:21" x14ac:dyDescent="0.25">
      <c r="D5" s="64" t="s">
        <v>147</v>
      </c>
      <c r="E5" s="63"/>
      <c r="F5" s="63"/>
      <c r="G5" s="63"/>
      <c r="H5" s="63"/>
    </row>
    <row r="6" spans="1:21" x14ac:dyDescent="0.25">
      <c r="C6" s="64" t="s">
        <v>61</v>
      </c>
      <c r="D6" s="62"/>
      <c r="E6" s="62"/>
      <c r="F6" s="62"/>
      <c r="G6" s="62"/>
      <c r="H6" s="62"/>
    </row>
    <row r="7" spans="1:21" x14ac:dyDescent="0.25">
      <c r="D7" s="64" t="s">
        <v>146</v>
      </c>
      <c r="E7" s="62"/>
      <c r="F7" s="62"/>
      <c r="G7" s="62"/>
      <c r="H7" s="62"/>
    </row>
    <row r="8" spans="1:21" x14ac:dyDescent="0.25">
      <c r="C8" s="63"/>
      <c r="D8" s="62"/>
      <c r="E8" s="62"/>
      <c r="F8" s="62"/>
      <c r="G8" s="62"/>
      <c r="H8" s="62"/>
    </row>
    <row r="9" spans="1:21" x14ac:dyDescent="0.25">
      <c r="A9" s="61"/>
      <c r="B9" s="60"/>
      <c r="C9" s="60"/>
      <c r="D9" s="52" t="s">
        <v>145</v>
      </c>
      <c r="E9" s="59"/>
      <c r="F9" s="49" t="s">
        <v>143</v>
      </c>
      <c r="G9" s="59"/>
      <c r="H9" s="49" t="s">
        <v>142</v>
      </c>
    </row>
    <row r="10" spans="1:21" x14ac:dyDescent="0.25">
      <c r="A10" s="58" t="s">
        <v>20</v>
      </c>
      <c r="B10" s="57"/>
      <c r="C10" s="57"/>
      <c r="D10" s="49" t="s">
        <v>144</v>
      </c>
      <c r="E10" s="49" t="s">
        <v>143</v>
      </c>
      <c r="F10" s="49" t="s">
        <v>23</v>
      </c>
      <c r="G10" s="49" t="s">
        <v>142</v>
      </c>
      <c r="H10" s="49" t="s">
        <v>23</v>
      </c>
    </row>
    <row r="11" spans="1:21" x14ac:dyDescent="0.25">
      <c r="A11" s="56" t="s">
        <v>21</v>
      </c>
      <c r="B11" s="55" t="s">
        <v>22</v>
      </c>
      <c r="C11" s="54" t="s">
        <v>141</v>
      </c>
      <c r="D11" s="108" t="s">
        <v>15</v>
      </c>
      <c r="E11" s="53" t="s">
        <v>16</v>
      </c>
      <c r="F11" s="108" t="s">
        <v>140</v>
      </c>
      <c r="G11" s="53" t="s">
        <v>18</v>
      </c>
      <c r="H11" s="108" t="s">
        <v>149</v>
      </c>
    </row>
    <row r="12" spans="1:21" x14ac:dyDescent="0.25">
      <c r="A12" s="52"/>
      <c r="B12" s="51"/>
      <c r="C12" s="51"/>
      <c r="D12" s="50"/>
      <c r="E12" s="50"/>
      <c r="F12" s="50"/>
      <c r="G12" s="50"/>
      <c r="H12" s="48"/>
    </row>
    <row r="13" spans="1:21" ht="14.4" x14ac:dyDescent="0.3">
      <c r="A13" s="39">
        <v>1</v>
      </c>
      <c r="B13" s="24" t="s">
        <v>24</v>
      </c>
      <c r="C13" s="47"/>
      <c r="D13" s="48">
        <v>0</v>
      </c>
      <c r="E13" s="48">
        <f>'Rev Req Summary'!C15</f>
        <v>5983138.4299999997</v>
      </c>
      <c r="F13" s="48">
        <f>E13-D13</f>
        <v>5983138.4299999997</v>
      </c>
      <c r="G13" s="48">
        <f>+F13</f>
        <v>5983138.4299999997</v>
      </c>
      <c r="H13" s="48">
        <f t="shared" ref="H13:H19" si="0">+G13-E13</f>
        <v>0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4.4" x14ac:dyDescent="0.3">
      <c r="A14" s="39">
        <f t="shared" ref="A14:A48" si="1">A13+1</f>
        <v>2</v>
      </c>
      <c r="B14" s="24" t="s">
        <v>25</v>
      </c>
      <c r="C14" s="47"/>
      <c r="D14" s="69">
        <v>0</v>
      </c>
      <c r="E14" s="69">
        <f>'Rev Req Summary'!C12</f>
        <v>41885179.539999999</v>
      </c>
      <c r="F14" s="69">
        <f>E14-D14</f>
        <v>41885179.539999999</v>
      </c>
      <c r="G14" s="69">
        <f>+F14</f>
        <v>41885179.539999999</v>
      </c>
      <c r="H14" s="69">
        <f t="shared" si="0"/>
        <v>0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4.4" x14ac:dyDescent="0.3">
      <c r="A15" s="39">
        <f t="shared" si="1"/>
        <v>3</v>
      </c>
      <c r="B15" s="24" t="s">
        <v>26</v>
      </c>
      <c r="C15" s="47"/>
      <c r="D15" s="69">
        <v>0</v>
      </c>
      <c r="E15" s="69"/>
      <c r="F15" s="69">
        <f t="shared" ref="F15:F21" si="2">E15-D15</f>
        <v>0</v>
      </c>
      <c r="G15" s="69">
        <f>'Rev Req Summary'!C30</f>
        <v>1895876.7300000002</v>
      </c>
      <c r="H15" s="69">
        <f t="shared" si="0"/>
        <v>1895876.7300000002</v>
      </c>
      <c r="J15"/>
      <c r="K15"/>
      <c r="L15"/>
      <c r="M15"/>
      <c r="N15"/>
      <c r="O15"/>
      <c r="P15"/>
      <c r="Q15"/>
      <c r="R15"/>
      <c r="S15"/>
      <c r="T15"/>
      <c r="U15"/>
    </row>
    <row r="16" spans="1:21" ht="14.4" x14ac:dyDescent="0.3">
      <c r="A16" s="39">
        <f t="shared" si="1"/>
        <v>4</v>
      </c>
      <c r="B16" s="24" t="s">
        <v>27</v>
      </c>
      <c r="C16" s="41"/>
      <c r="D16" s="69">
        <v>0</v>
      </c>
      <c r="E16" s="69"/>
      <c r="F16" s="69">
        <f t="shared" si="2"/>
        <v>0</v>
      </c>
      <c r="G16" s="69">
        <f>'Rev Req Summary'!C19</f>
        <v>-723802.14000000013</v>
      </c>
      <c r="H16" s="69">
        <f t="shared" si="0"/>
        <v>-723802.14000000013</v>
      </c>
      <c r="J16"/>
      <c r="K16"/>
      <c r="L16"/>
      <c r="M16"/>
      <c r="N16"/>
      <c r="O16"/>
      <c r="P16"/>
      <c r="Q16"/>
      <c r="R16"/>
      <c r="S16"/>
      <c r="T16"/>
      <c r="U16"/>
    </row>
    <row r="17" spans="1:21" ht="14.4" x14ac:dyDescent="0.3">
      <c r="A17" s="39">
        <f t="shared" si="1"/>
        <v>5</v>
      </c>
      <c r="B17" s="24" t="s">
        <v>166</v>
      </c>
      <c r="C17" s="47"/>
      <c r="D17" s="69"/>
      <c r="E17" s="69">
        <f>'Rev Req Summary'!D22+'Rev Req Summary'!F22</f>
        <v>-20725035.350196019</v>
      </c>
      <c r="F17" s="69">
        <f t="shared" si="2"/>
        <v>-20725035.350196019</v>
      </c>
      <c r="G17" s="69">
        <f>E17</f>
        <v>-20725035.350196019</v>
      </c>
      <c r="H17" s="69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</row>
    <row r="18" spans="1:21" ht="14.4" x14ac:dyDescent="0.3">
      <c r="A18" s="39">
        <f t="shared" si="1"/>
        <v>6</v>
      </c>
      <c r="B18" s="24" t="s">
        <v>108</v>
      </c>
      <c r="D18" s="69">
        <v>0</v>
      </c>
      <c r="E18" s="69">
        <f>-E27</f>
        <v>10345744.779999999</v>
      </c>
      <c r="F18" s="69">
        <f>E18-D18</f>
        <v>10345744.779999999</v>
      </c>
      <c r="G18" s="69">
        <f>E18</f>
        <v>10345744.779999999</v>
      </c>
      <c r="H18" s="69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</row>
    <row r="19" spans="1:21" ht="14.4" x14ac:dyDescent="0.3">
      <c r="A19" s="39">
        <f t="shared" si="1"/>
        <v>7</v>
      </c>
      <c r="B19" s="24" t="s">
        <v>122</v>
      </c>
      <c r="C19" s="40"/>
      <c r="D19" s="69">
        <v>0</v>
      </c>
      <c r="E19" s="69"/>
      <c r="F19" s="69">
        <f t="shared" si="2"/>
        <v>0</v>
      </c>
      <c r="G19" s="69">
        <f>'Rev Req Summary'!C29</f>
        <v>-18978293.07</v>
      </c>
      <c r="H19" s="69">
        <f t="shared" si="0"/>
        <v>-18978293.07</v>
      </c>
      <c r="J19"/>
      <c r="K19"/>
      <c r="L19"/>
      <c r="M19"/>
      <c r="N19"/>
      <c r="O19"/>
      <c r="P19"/>
      <c r="Q19"/>
      <c r="R19"/>
      <c r="S19"/>
      <c r="T19"/>
      <c r="U19"/>
    </row>
    <row r="20" spans="1:21" ht="14.4" x14ac:dyDescent="0.3">
      <c r="A20" s="39">
        <f t="shared" si="1"/>
        <v>8</v>
      </c>
      <c r="B20" s="24" t="s">
        <v>167</v>
      </c>
      <c r="C20" s="44"/>
      <c r="D20" s="69">
        <v>0</v>
      </c>
      <c r="E20" s="69">
        <f>'Rev Req Summary'!E22</f>
        <v>114.23000000000138</v>
      </c>
      <c r="F20" s="69">
        <f t="shared" si="2"/>
        <v>114.23000000000138</v>
      </c>
      <c r="G20" s="69">
        <f>E20</f>
        <v>114.23000000000138</v>
      </c>
      <c r="H20" s="69">
        <f>+G20-E20</f>
        <v>0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ht="14.4" x14ac:dyDescent="0.3">
      <c r="A21" s="39">
        <f t="shared" si="1"/>
        <v>9</v>
      </c>
      <c r="B21" s="24" t="s">
        <v>43</v>
      </c>
      <c r="C21" s="41"/>
      <c r="D21" s="46">
        <v>0</v>
      </c>
      <c r="E21" s="46">
        <f>'Rev Req Summary'!C23</f>
        <v>3810955</v>
      </c>
      <c r="F21" s="46">
        <f t="shared" si="2"/>
        <v>3810955</v>
      </c>
      <c r="G21" s="46">
        <f>E21</f>
        <v>3810955</v>
      </c>
      <c r="H21" s="46">
        <f>+G21-E21</f>
        <v>0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ht="14.4" x14ac:dyDescent="0.3">
      <c r="A22" s="39">
        <f t="shared" si="1"/>
        <v>10</v>
      </c>
      <c r="B22" s="25" t="s">
        <v>104</v>
      </c>
      <c r="D22" s="45">
        <f>SUM(D13:D21)</f>
        <v>0</v>
      </c>
      <c r="E22" s="45">
        <f>SUM(E13:E21)</f>
        <v>41300096.629803978</v>
      </c>
      <c r="F22" s="45">
        <f t="shared" ref="F22:H22" si="3">SUM(F13:F21)</f>
        <v>41300096.629803978</v>
      </c>
      <c r="G22" s="45">
        <f t="shared" si="3"/>
        <v>23493878.149803977</v>
      </c>
      <c r="H22" s="45">
        <f t="shared" si="3"/>
        <v>-17806218.48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ht="14.4" x14ac:dyDescent="0.3">
      <c r="A23" s="39">
        <f t="shared" si="1"/>
        <v>11</v>
      </c>
      <c r="B23" s="57" t="s">
        <v>28</v>
      </c>
      <c r="C23" s="43"/>
      <c r="D23" s="42"/>
      <c r="E23" s="42"/>
      <c r="F23" s="42"/>
      <c r="G23" s="42"/>
      <c r="H23" s="42"/>
      <c r="J23"/>
      <c r="K23"/>
      <c r="L23"/>
      <c r="M23"/>
      <c r="N23"/>
      <c r="O23"/>
      <c r="P23"/>
      <c r="Q23"/>
      <c r="R23"/>
      <c r="S23"/>
      <c r="T23"/>
      <c r="U23"/>
    </row>
    <row r="24" spans="1:21" ht="14.4" x14ac:dyDescent="0.3">
      <c r="A24" s="39">
        <f t="shared" si="1"/>
        <v>12</v>
      </c>
      <c r="B24" s="26" t="s">
        <v>29</v>
      </c>
      <c r="C24" s="41"/>
      <c r="D24" s="69">
        <v>0</v>
      </c>
      <c r="E24" s="75">
        <f>'456 Decoup Rev 12ME 12-2018'!D26</f>
        <v>-10964420.23</v>
      </c>
      <c r="F24" s="69">
        <f t="shared" ref="F24:F28" si="4">E24-D24</f>
        <v>-10964420.23</v>
      </c>
      <c r="G24" s="69">
        <f>+F24</f>
        <v>-10964420.23</v>
      </c>
      <c r="H24" s="69">
        <f t="shared" ref="H24:H29" si="5">+G24-E24</f>
        <v>0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ht="14.4" x14ac:dyDescent="0.3">
      <c r="A25" s="39">
        <f t="shared" si="1"/>
        <v>13</v>
      </c>
      <c r="B25" s="24" t="s">
        <v>59</v>
      </c>
      <c r="C25" s="114"/>
      <c r="D25" s="69">
        <v>0</v>
      </c>
      <c r="F25" s="69">
        <f t="shared" si="4"/>
        <v>0</v>
      </c>
      <c r="G25" s="69">
        <f>'456 Decoup Rev 12ME 12-2018'!C26</f>
        <v>-18227053.410000004</v>
      </c>
      <c r="H25" s="69">
        <f t="shared" si="5"/>
        <v>-18227053.410000004</v>
      </c>
      <c r="J25"/>
      <c r="K25"/>
      <c r="L25"/>
      <c r="M25"/>
      <c r="N25"/>
      <c r="O25"/>
      <c r="P25"/>
      <c r="Q25"/>
      <c r="R25"/>
      <c r="S25"/>
      <c r="T25"/>
      <c r="U25"/>
    </row>
    <row r="26" spans="1:21" ht="14.4" x14ac:dyDescent="0.3">
      <c r="A26" s="39">
        <f t="shared" si="1"/>
        <v>14</v>
      </c>
      <c r="B26" s="26" t="s">
        <v>96</v>
      </c>
      <c r="D26" s="69">
        <v>0</v>
      </c>
      <c r="E26" s="115">
        <f>'FIT Over Coll 12ME 12-2018'!B8</f>
        <v>24054569</v>
      </c>
      <c r="F26" s="69">
        <f t="shared" si="4"/>
        <v>24054569</v>
      </c>
      <c r="G26" s="69">
        <f>E26</f>
        <v>24054569</v>
      </c>
      <c r="H26" s="69">
        <f t="shared" si="5"/>
        <v>0</v>
      </c>
      <c r="J26"/>
      <c r="K26"/>
      <c r="L26"/>
      <c r="M26"/>
      <c r="N26"/>
      <c r="O26"/>
      <c r="P26"/>
      <c r="Q26"/>
      <c r="R26"/>
      <c r="S26"/>
      <c r="T26"/>
      <c r="U26"/>
    </row>
    <row r="27" spans="1:21" ht="14.4" x14ac:dyDescent="0.3">
      <c r="A27" s="39">
        <f t="shared" si="1"/>
        <v>15</v>
      </c>
      <c r="B27" s="26" t="s">
        <v>109</v>
      </c>
      <c r="D27" s="69">
        <v>0</v>
      </c>
      <c r="E27" s="109">
        <f>'Transp Oth Op'!B16</f>
        <v>-10345744.779999999</v>
      </c>
      <c r="F27" s="69">
        <f t="shared" si="4"/>
        <v>-10345744.779999999</v>
      </c>
      <c r="G27" s="69">
        <f>E27</f>
        <v>-10345744.779999999</v>
      </c>
      <c r="H27" s="69">
        <f>+G27-E27</f>
        <v>0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ht="14.4" x14ac:dyDescent="0.3">
      <c r="A28" s="39">
        <f t="shared" si="1"/>
        <v>16</v>
      </c>
      <c r="B28" s="24" t="s">
        <v>99</v>
      </c>
      <c r="D28" s="45">
        <v>0</v>
      </c>
      <c r="F28" s="69">
        <f t="shared" si="4"/>
        <v>0</v>
      </c>
      <c r="G28" s="69">
        <f>'ZO12 45600154 GAAP 12ME 12-2018'!B8</f>
        <v>835357.9</v>
      </c>
      <c r="H28" s="69">
        <f t="shared" si="5"/>
        <v>835357.9</v>
      </c>
      <c r="J28"/>
      <c r="K28"/>
      <c r="L28"/>
      <c r="M28"/>
      <c r="N28"/>
      <c r="O28"/>
      <c r="P28"/>
      <c r="Q28"/>
      <c r="R28"/>
      <c r="S28"/>
      <c r="T28"/>
      <c r="U28"/>
    </row>
    <row r="29" spans="1:21" ht="14.4" x14ac:dyDescent="0.3">
      <c r="A29" s="39"/>
      <c r="B29" s="24"/>
      <c r="D29" s="45"/>
      <c r="F29" s="69"/>
      <c r="G29" s="69">
        <f>SUM('Powerex for Microsoft'!J15:J20)</f>
        <v>1010226.96</v>
      </c>
      <c r="H29" s="69">
        <f t="shared" si="5"/>
        <v>1010226.96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ht="14.4" x14ac:dyDescent="0.3">
      <c r="A30" s="39">
        <f>A28+1</f>
        <v>17</v>
      </c>
      <c r="B30" s="25" t="s">
        <v>105</v>
      </c>
      <c r="D30" s="70">
        <f>SUM(D24:D29)</f>
        <v>0</v>
      </c>
      <c r="E30" s="70">
        <f>SUM(E24:E29)</f>
        <v>2744403.99</v>
      </c>
      <c r="F30" s="70">
        <f>SUM(F24:F29)</f>
        <v>2744403.99</v>
      </c>
      <c r="G30" s="70">
        <f>SUM(G24:G29)</f>
        <v>-13637064.560000002</v>
      </c>
      <c r="H30" s="70">
        <f>SUM(H24:H29)</f>
        <v>-16381468.550000004</v>
      </c>
      <c r="J30"/>
      <c r="K30"/>
      <c r="L30"/>
      <c r="M30"/>
      <c r="N30"/>
      <c r="O30"/>
      <c r="P30"/>
      <c r="Q30"/>
      <c r="R30"/>
      <c r="S30"/>
      <c r="T30"/>
      <c r="U30"/>
    </row>
    <row r="31" spans="1:21" ht="14.4" x14ac:dyDescent="0.3">
      <c r="A31" s="39">
        <f t="shared" si="1"/>
        <v>18</v>
      </c>
      <c r="B31" s="27" t="s">
        <v>164</v>
      </c>
      <c r="D31" s="109">
        <f>D22+D30</f>
        <v>0</v>
      </c>
      <c r="E31" s="109">
        <f>E22+E30</f>
        <v>44044500.61980398</v>
      </c>
      <c r="F31" s="109">
        <f>F22+F30</f>
        <v>44044500.61980398</v>
      </c>
      <c r="G31" s="109">
        <f>G22+G30</f>
        <v>9856813.5898039751</v>
      </c>
      <c r="H31" s="109">
        <f>H22+H30</f>
        <v>-34187687.030000001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ht="14.4" x14ac:dyDescent="0.3">
      <c r="A32" s="39">
        <f t="shared" si="1"/>
        <v>19</v>
      </c>
      <c r="B32" s="27"/>
      <c r="D32" s="109"/>
      <c r="E32" s="109"/>
      <c r="F32" s="109"/>
      <c r="G32" s="109"/>
      <c r="H32" s="109"/>
      <c r="J32"/>
      <c r="K32"/>
      <c r="L32"/>
      <c r="M32"/>
      <c r="N32"/>
      <c r="O32"/>
      <c r="P32"/>
      <c r="Q32"/>
      <c r="R32"/>
      <c r="S32"/>
      <c r="T32"/>
      <c r="U32"/>
    </row>
    <row r="33" spans="1:21" ht="14.4" x14ac:dyDescent="0.3">
      <c r="A33" s="39">
        <f t="shared" si="1"/>
        <v>20</v>
      </c>
      <c r="B33" s="27" t="s">
        <v>150</v>
      </c>
      <c r="D33" s="109"/>
      <c r="E33" s="109">
        <v>0</v>
      </c>
      <c r="F33" s="109">
        <v>0</v>
      </c>
      <c r="G33" s="109"/>
      <c r="H33" s="69">
        <f>+G33-E33</f>
        <v>0</v>
      </c>
      <c r="J33"/>
      <c r="K33"/>
      <c r="L33"/>
      <c r="M33"/>
      <c r="N33"/>
      <c r="O33"/>
      <c r="P33"/>
      <c r="Q33"/>
      <c r="R33"/>
      <c r="S33"/>
      <c r="T33"/>
      <c r="U33"/>
    </row>
    <row r="34" spans="1:21" ht="14.4" x14ac:dyDescent="0.3">
      <c r="A34" s="39">
        <f t="shared" si="1"/>
        <v>21</v>
      </c>
      <c r="D34" s="110"/>
      <c r="E34" s="110"/>
      <c r="F34" s="110"/>
      <c r="G34" s="110"/>
      <c r="H34" s="110"/>
      <c r="J34"/>
      <c r="K34"/>
      <c r="L34"/>
      <c r="M34"/>
      <c r="N34"/>
      <c r="O34"/>
      <c r="P34"/>
      <c r="Q34"/>
      <c r="R34"/>
      <c r="S34"/>
      <c r="T34"/>
      <c r="U34"/>
    </row>
    <row r="35" spans="1:21" ht="14.4" x14ac:dyDescent="0.3">
      <c r="A35" s="39">
        <f t="shared" si="1"/>
        <v>22</v>
      </c>
      <c r="B35" s="57" t="s">
        <v>106</v>
      </c>
      <c r="J35"/>
      <c r="K35"/>
      <c r="L35"/>
      <c r="M35"/>
      <c r="N35"/>
      <c r="O35"/>
      <c r="P35"/>
      <c r="Q35"/>
      <c r="R35"/>
      <c r="S35"/>
      <c r="T35"/>
      <c r="U35"/>
    </row>
    <row r="36" spans="1:21" ht="14.4" x14ac:dyDescent="0.3">
      <c r="A36" s="39">
        <f t="shared" si="1"/>
        <v>23</v>
      </c>
      <c r="B36" s="24" t="s">
        <v>30</v>
      </c>
      <c r="D36" s="69">
        <v>0</v>
      </c>
      <c r="E36" s="69">
        <f>-'SCh 95A Amort 12ME 12-2018'!B10</f>
        <v>31779966.02</v>
      </c>
      <c r="F36" s="69">
        <f>E36-D36</f>
        <v>31779966.02</v>
      </c>
      <c r="G36" s="69">
        <f>+F36</f>
        <v>31779966.02</v>
      </c>
      <c r="H36" s="69">
        <f t="shared" ref="H36:H37" si="6">+G36-E36</f>
        <v>0</v>
      </c>
      <c r="J36"/>
      <c r="K36"/>
      <c r="L36"/>
      <c r="M36"/>
      <c r="N36"/>
      <c r="O36"/>
      <c r="P36"/>
      <c r="Q36"/>
      <c r="R36"/>
      <c r="S36"/>
      <c r="T36"/>
      <c r="U36"/>
    </row>
    <row r="37" spans="1:21" ht="14.4" x14ac:dyDescent="0.3">
      <c r="A37" s="39">
        <f t="shared" si="1"/>
        <v>24</v>
      </c>
      <c r="B37" s="24" t="s">
        <v>107</v>
      </c>
      <c r="D37" s="46">
        <v>0</v>
      </c>
      <c r="E37" s="46">
        <f>-PTC!B9</f>
        <v>-430100</v>
      </c>
      <c r="F37" s="46">
        <f>E37-D37</f>
        <v>-430100</v>
      </c>
      <c r="G37" s="46">
        <f>+F37</f>
        <v>-430100</v>
      </c>
      <c r="H37" s="46">
        <f t="shared" si="6"/>
        <v>0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 ht="14.4" x14ac:dyDescent="0.3">
      <c r="A38" s="39">
        <f t="shared" si="1"/>
        <v>25</v>
      </c>
      <c r="B38" s="27" t="s">
        <v>31</v>
      </c>
      <c r="D38" s="45">
        <f>SUM(D36:D37)</f>
        <v>0</v>
      </c>
      <c r="E38" s="45">
        <f>SUM(E36:E37)</f>
        <v>31349866.02</v>
      </c>
      <c r="F38" s="45">
        <f>SUM(F36:F37)</f>
        <v>31349866.02</v>
      </c>
      <c r="G38" s="45">
        <f t="shared" ref="G38:H38" si="7">SUM(G36:G37)</f>
        <v>31349866.02</v>
      </c>
      <c r="H38" s="45">
        <f t="shared" si="7"/>
        <v>0</v>
      </c>
      <c r="J38"/>
      <c r="K38"/>
      <c r="L38"/>
      <c r="M38"/>
      <c r="N38"/>
      <c r="O38"/>
      <c r="P38"/>
      <c r="Q38"/>
      <c r="R38"/>
      <c r="S38"/>
      <c r="T38"/>
      <c r="U38"/>
    </row>
    <row r="39" spans="1:21" ht="14.4" x14ac:dyDescent="0.3">
      <c r="A39" s="39">
        <f t="shared" si="1"/>
        <v>26</v>
      </c>
      <c r="D39" s="42"/>
      <c r="E39" s="42"/>
      <c r="F39" s="42"/>
      <c r="G39" s="42"/>
      <c r="H39" s="42"/>
      <c r="J39"/>
      <c r="K39"/>
      <c r="L39"/>
      <c r="M39"/>
      <c r="N39"/>
      <c r="O39"/>
      <c r="P39"/>
      <c r="Q39"/>
      <c r="R39"/>
      <c r="S39"/>
      <c r="T39"/>
      <c r="U39"/>
    </row>
    <row r="40" spans="1:21" ht="14.4" x14ac:dyDescent="0.3">
      <c r="A40" s="39">
        <f t="shared" si="1"/>
        <v>27</v>
      </c>
      <c r="B40" s="27" t="s">
        <v>32</v>
      </c>
      <c r="C40" s="111">
        <f>'[1]COC, Def, ConvF'!$M$12</f>
        <v>8.4790000000000004E-3</v>
      </c>
      <c r="D40" s="69">
        <f t="shared" ref="D40:G42" si="8">+D$31*$C40</f>
        <v>0</v>
      </c>
      <c r="E40" s="74">
        <f>+E$31*$C40</f>
        <v>373453.32075531798</v>
      </c>
      <c r="F40" s="74">
        <f>+F$31*$C40</f>
        <v>373453.32075531798</v>
      </c>
      <c r="G40" s="74">
        <f t="shared" si="8"/>
        <v>83575.922427947909</v>
      </c>
      <c r="H40" s="74">
        <f t="shared" ref="H40:H42" si="9">+G40-E40</f>
        <v>-289877.39832737006</v>
      </c>
      <c r="J40"/>
      <c r="K40"/>
      <c r="L40"/>
      <c r="M40"/>
      <c r="N40"/>
      <c r="O40"/>
      <c r="P40"/>
      <c r="Q40"/>
      <c r="R40"/>
      <c r="S40"/>
      <c r="T40"/>
      <c r="U40"/>
    </row>
    <row r="41" spans="1:21" ht="14.4" x14ac:dyDescent="0.3">
      <c r="A41" s="39">
        <f t="shared" si="1"/>
        <v>28</v>
      </c>
      <c r="B41" s="27" t="s">
        <v>33</v>
      </c>
      <c r="C41" s="111">
        <f>'[1]COC, Def, ConvF'!$M$13</f>
        <v>2E-3</v>
      </c>
      <c r="D41" s="69">
        <f t="shared" si="8"/>
        <v>0</v>
      </c>
      <c r="E41" s="74">
        <f>+E$31*$C41</f>
        <v>88089.001239607955</v>
      </c>
      <c r="F41" s="74">
        <f t="shared" si="8"/>
        <v>88089.001239607955</v>
      </c>
      <c r="G41" s="74">
        <f t="shared" si="8"/>
        <v>19713.627179607949</v>
      </c>
      <c r="H41" s="74">
        <f t="shared" si="9"/>
        <v>-68375.374060000002</v>
      </c>
      <c r="J41"/>
      <c r="K41"/>
      <c r="L41"/>
      <c r="M41"/>
      <c r="N41"/>
      <c r="O41"/>
      <c r="P41"/>
      <c r="Q41"/>
      <c r="R41"/>
      <c r="S41"/>
      <c r="T41"/>
      <c r="U41"/>
    </row>
    <row r="42" spans="1:21" ht="14.4" x14ac:dyDescent="0.3">
      <c r="A42" s="39">
        <f t="shared" si="1"/>
        <v>29</v>
      </c>
      <c r="B42" s="28" t="s">
        <v>103</v>
      </c>
      <c r="C42" s="111">
        <f>'[1]COC, Def, ConvF'!$M$14</f>
        <v>3.8406000000000003E-2</v>
      </c>
      <c r="D42" s="69">
        <f t="shared" si="8"/>
        <v>0</v>
      </c>
      <c r="E42" s="112">
        <f>(+E$31+E33)*$C42</f>
        <v>1691573.0908041918</v>
      </c>
      <c r="F42" s="74">
        <f>(+F$31+F33)*$C42</f>
        <v>1691573.0908041918</v>
      </c>
      <c r="G42" s="74">
        <f>(+G$31+G33)*$C42</f>
        <v>378560.7827300115</v>
      </c>
      <c r="H42" s="74">
        <f t="shared" si="9"/>
        <v>-1313012.3080741803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ht="14.4" x14ac:dyDescent="0.3">
      <c r="A43" s="39">
        <f t="shared" si="1"/>
        <v>30</v>
      </c>
      <c r="B43" s="27" t="s">
        <v>34</v>
      </c>
      <c r="D43" s="109">
        <f>SUM(D40:D42)</f>
        <v>0</v>
      </c>
      <c r="E43" s="76">
        <f>SUM(E40:E42)</f>
        <v>2153115.4127991176</v>
      </c>
      <c r="F43" s="76">
        <f t="shared" ref="F43:H43" si="10">SUM(F40:F42)</f>
        <v>2153115.4127991176</v>
      </c>
      <c r="G43" s="76">
        <f t="shared" si="10"/>
        <v>481850.33233756735</v>
      </c>
      <c r="H43" s="76">
        <f t="shared" si="10"/>
        <v>-1671265.0804615503</v>
      </c>
      <c r="J43"/>
      <c r="K43"/>
      <c r="L43"/>
      <c r="M43"/>
      <c r="N43"/>
      <c r="O43"/>
      <c r="P43"/>
      <c r="Q43"/>
      <c r="R43"/>
      <c r="S43"/>
      <c r="T43"/>
      <c r="U43"/>
    </row>
    <row r="44" spans="1:21" ht="14.4" x14ac:dyDescent="0.3">
      <c r="A44" s="39">
        <f t="shared" si="1"/>
        <v>31</v>
      </c>
      <c r="D44" s="74"/>
      <c r="E44" s="74"/>
      <c r="F44" s="74"/>
      <c r="G44" s="74"/>
      <c r="H44" s="74"/>
      <c r="J44"/>
      <c r="K44"/>
      <c r="L44"/>
      <c r="M44"/>
      <c r="N44"/>
      <c r="O44"/>
      <c r="P44"/>
      <c r="Q44"/>
      <c r="R44"/>
      <c r="S44"/>
      <c r="T44"/>
      <c r="U44"/>
    </row>
    <row r="45" spans="1:21" ht="14.4" x14ac:dyDescent="0.3">
      <c r="A45" s="39">
        <f t="shared" si="1"/>
        <v>32</v>
      </c>
      <c r="B45" s="27" t="s">
        <v>35</v>
      </c>
      <c r="D45" s="75">
        <f>+D31-D38-D43</f>
        <v>0</v>
      </c>
      <c r="E45" s="75">
        <f>+E31+E33-E38-E43</f>
        <v>10541519.187004862</v>
      </c>
      <c r="F45" s="75">
        <f>+F31+F33-F38-F43</f>
        <v>10541519.187004862</v>
      </c>
      <c r="G45" s="75">
        <f>+G31+G33-G38-G43</f>
        <v>-21974902.76253359</v>
      </c>
      <c r="H45" s="75">
        <f>+H31+H33-H38-H43</f>
        <v>-32516421.949538451</v>
      </c>
      <c r="J45"/>
      <c r="K45"/>
      <c r="L45"/>
      <c r="M45"/>
      <c r="N45"/>
      <c r="O45"/>
      <c r="P45"/>
      <c r="Q45"/>
      <c r="R45"/>
      <c r="S45"/>
      <c r="T45"/>
      <c r="U45"/>
    </row>
    <row r="46" spans="1:21" ht="14.4" x14ac:dyDescent="0.3">
      <c r="A46" s="39">
        <f t="shared" si="1"/>
        <v>33</v>
      </c>
      <c r="B46" s="40"/>
      <c r="D46" s="40"/>
      <c r="E46" s="40"/>
      <c r="F46" s="40"/>
      <c r="G46" s="40"/>
      <c r="H46" s="40"/>
      <c r="J46"/>
      <c r="K46"/>
      <c r="L46"/>
      <c r="M46"/>
      <c r="N46"/>
      <c r="O46"/>
      <c r="P46"/>
      <c r="Q46"/>
      <c r="R46"/>
      <c r="S46"/>
      <c r="T46"/>
      <c r="U46"/>
    </row>
    <row r="47" spans="1:21" ht="14.4" x14ac:dyDescent="0.3">
      <c r="A47" s="39">
        <f t="shared" si="1"/>
        <v>34</v>
      </c>
      <c r="B47" s="40" t="s">
        <v>36</v>
      </c>
      <c r="C47" s="43">
        <v>0.21</v>
      </c>
      <c r="D47" s="77">
        <f>+$C$47*D45</f>
        <v>0</v>
      </c>
      <c r="E47" s="77">
        <f>+$C$47*E45</f>
        <v>2213719.029271021</v>
      </c>
      <c r="F47" s="113">
        <f>+$C$47*F45</f>
        <v>2213719.029271021</v>
      </c>
      <c r="G47" s="77">
        <f>+$C$47*G45</f>
        <v>-4614729.5801320542</v>
      </c>
      <c r="H47" s="77">
        <f>+$C$47*H45</f>
        <v>-6828448.6094030747</v>
      </c>
      <c r="J47"/>
      <c r="K47"/>
      <c r="L47"/>
      <c r="M47"/>
      <c r="N47"/>
      <c r="O47"/>
      <c r="P47"/>
      <c r="Q47"/>
      <c r="R47"/>
      <c r="S47"/>
      <c r="T47"/>
      <c r="U47"/>
    </row>
    <row r="48" spans="1:21" ht="15" thickBot="1" x14ac:dyDescent="0.35">
      <c r="A48" s="39">
        <f t="shared" si="1"/>
        <v>35</v>
      </c>
      <c r="B48" s="29" t="s">
        <v>37</v>
      </c>
      <c r="D48" s="78">
        <f>D45-D47</f>
        <v>0</v>
      </c>
      <c r="E48" s="78">
        <f>E45-E47</f>
        <v>8327800.1577338409</v>
      </c>
      <c r="F48" s="78">
        <f>F45-F47</f>
        <v>8327800.1577338409</v>
      </c>
      <c r="G48" s="78">
        <f>G45-G47</f>
        <v>-17360173.182401538</v>
      </c>
      <c r="H48" s="78">
        <f>H45-H47</f>
        <v>-25687973.340135377</v>
      </c>
      <c r="J48"/>
      <c r="K48"/>
      <c r="L48"/>
      <c r="M48"/>
      <c r="N48"/>
      <c r="O48"/>
      <c r="P48"/>
      <c r="Q48"/>
      <c r="R48"/>
      <c r="S48"/>
      <c r="T48"/>
      <c r="U48"/>
    </row>
    <row r="49" spans="4:21" ht="15" thickTop="1" x14ac:dyDescent="0.3">
      <c r="J49"/>
      <c r="K49"/>
      <c r="L49"/>
      <c r="M49"/>
      <c r="N49"/>
      <c r="O49"/>
      <c r="P49"/>
      <c r="Q49"/>
      <c r="R49"/>
      <c r="S49"/>
      <c r="T49"/>
      <c r="U49"/>
    </row>
    <row r="50" spans="4:21" ht="14.4" x14ac:dyDescent="0.3">
      <c r="D50" s="109"/>
      <c r="J50"/>
      <c r="K50"/>
      <c r="L50"/>
      <c r="M50"/>
      <c r="N50"/>
      <c r="O50"/>
      <c r="P50"/>
      <c r="Q50"/>
      <c r="R50"/>
      <c r="S50"/>
      <c r="T50"/>
      <c r="U50"/>
    </row>
    <row r="51" spans="4:21" ht="14.4" x14ac:dyDescent="0.3">
      <c r="J51"/>
      <c r="K51"/>
      <c r="L51"/>
      <c r="M51"/>
      <c r="N51"/>
      <c r="O51"/>
      <c r="P51"/>
      <c r="Q51"/>
      <c r="R51"/>
      <c r="S51"/>
      <c r="T51"/>
      <c r="U51"/>
    </row>
    <row r="52" spans="4:21" ht="14.4" x14ac:dyDescent="0.3">
      <c r="J52"/>
      <c r="K52"/>
      <c r="L52"/>
      <c r="M52"/>
      <c r="N52"/>
      <c r="O52"/>
      <c r="P52"/>
      <c r="Q52"/>
      <c r="R52"/>
      <c r="S52"/>
      <c r="T52"/>
      <c r="U52"/>
    </row>
    <row r="53" spans="4:21" ht="14.4" x14ac:dyDescent="0.3">
      <c r="J53"/>
      <c r="K53"/>
      <c r="L53"/>
      <c r="M53"/>
      <c r="N53"/>
      <c r="O53"/>
      <c r="P53"/>
      <c r="Q53"/>
      <c r="R53"/>
      <c r="S53"/>
      <c r="T53"/>
      <c r="U53"/>
    </row>
    <row r="54" spans="4:21" ht="14.4" x14ac:dyDescent="0.3">
      <c r="J54"/>
      <c r="K54"/>
      <c r="L54"/>
      <c r="M54"/>
      <c r="N54"/>
      <c r="O54"/>
      <c r="P54"/>
      <c r="Q54"/>
      <c r="R54"/>
      <c r="S54"/>
      <c r="T54"/>
      <c r="U54"/>
    </row>
    <row r="55" spans="4:21" ht="14.4" x14ac:dyDescent="0.3">
      <c r="J55"/>
      <c r="K55"/>
      <c r="L55"/>
      <c r="M55"/>
      <c r="N55"/>
      <c r="O55"/>
      <c r="P55"/>
      <c r="Q55"/>
      <c r="R55"/>
      <c r="S55"/>
      <c r="T55"/>
      <c r="U55"/>
    </row>
    <row r="56" spans="4:21" ht="14.4" x14ac:dyDescent="0.3">
      <c r="J56"/>
      <c r="K56"/>
      <c r="L56"/>
      <c r="M56"/>
      <c r="N56"/>
      <c r="O56"/>
      <c r="P56"/>
      <c r="Q56"/>
      <c r="R56"/>
      <c r="S56"/>
      <c r="T56"/>
      <c r="U56"/>
    </row>
    <row r="57" spans="4:21" ht="14.4" x14ac:dyDescent="0.3">
      <c r="J57"/>
      <c r="K57"/>
      <c r="L57"/>
      <c r="M57"/>
      <c r="N57"/>
      <c r="O57"/>
      <c r="P57"/>
      <c r="Q57"/>
      <c r="R57"/>
      <c r="S57"/>
      <c r="T57"/>
      <c r="U57"/>
    </row>
    <row r="58" spans="4:21" ht="14.4" x14ac:dyDescent="0.3">
      <c r="J58"/>
      <c r="K58"/>
      <c r="L58"/>
      <c r="M58"/>
      <c r="N58"/>
      <c r="O58"/>
      <c r="P58"/>
      <c r="Q58"/>
      <c r="R58"/>
      <c r="S58"/>
      <c r="T58"/>
      <c r="U58"/>
    </row>
    <row r="59" spans="4:21" ht="14.4" x14ac:dyDescent="0.3">
      <c r="J59"/>
      <c r="K59"/>
      <c r="L59"/>
      <c r="M59"/>
      <c r="N59"/>
      <c r="O59"/>
      <c r="P59"/>
      <c r="Q59"/>
      <c r="R59"/>
      <c r="S59"/>
      <c r="T59"/>
      <c r="U59"/>
    </row>
    <row r="60" spans="4:21" ht="14.4" x14ac:dyDescent="0.3">
      <c r="J60"/>
      <c r="K60"/>
      <c r="L60"/>
      <c r="M60"/>
      <c r="N60"/>
      <c r="O60"/>
      <c r="P60"/>
      <c r="Q60"/>
      <c r="R60"/>
      <c r="S60"/>
      <c r="T60"/>
      <c r="U60"/>
    </row>
    <row r="61" spans="4:21" ht="14.4" x14ac:dyDescent="0.3">
      <c r="J61"/>
      <c r="K61"/>
      <c r="L61"/>
      <c r="M61"/>
      <c r="N61"/>
      <c r="O61"/>
      <c r="P61"/>
      <c r="Q61"/>
      <c r="R61"/>
      <c r="S61"/>
      <c r="T61"/>
      <c r="U61"/>
    </row>
    <row r="62" spans="4:21" ht="14.4" x14ac:dyDescent="0.3">
      <c r="J62"/>
      <c r="K62"/>
      <c r="L62"/>
      <c r="M62"/>
      <c r="N62"/>
      <c r="O62"/>
      <c r="P62"/>
      <c r="Q62"/>
      <c r="R62"/>
      <c r="S62"/>
      <c r="T62"/>
      <c r="U62"/>
    </row>
    <row r="63" spans="4:21" ht="14.4" x14ac:dyDescent="0.3">
      <c r="J63"/>
      <c r="K63"/>
      <c r="L63"/>
      <c r="M63"/>
      <c r="N63"/>
      <c r="O63"/>
      <c r="P63"/>
      <c r="Q63"/>
      <c r="R63"/>
      <c r="S63"/>
      <c r="T63"/>
      <c r="U63"/>
    </row>
    <row r="64" spans="4:21" ht="14.4" x14ac:dyDescent="0.3">
      <c r="J64"/>
      <c r="K64"/>
      <c r="L64"/>
      <c r="M64"/>
      <c r="N64"/>
      <c r="O64"/>
      <c r="P64"/>
      <c r="Q64"/>
      <c r="R64"/>
      <c r="S64"/>
      <c r="T64"/>
      <c r="U64"/>
    </row>
    <row r="65" spans="10:21" ht="14.4" x14ac:dyDescent="0.3">
      <c r="J65"/>
      <c r="K65"/>
      <c r="L65"/>
      <c r="M65"/>
      <c r="N65"/>
      <c r="O65"/>
      <c r="P65"/>
      <c r="Q65"/>
      <c r="R65"/>
      <c r="S65"/>
      <c r="T65"/>
      <c r="U65"/>
    </row>
    <row r="66" spans="10:21" ht="14.4" x14ac:dyDescent="0.3">
      <c r="J66"/>
      <c r="K66"/>
      <c r="L66"/>
      <c r="M66"/>
      <c r="N66"/>
      <c r="O66"/>
      <c r="P66"/>
      <c r="Q66"/>
      <c r="R66"/>
      <c r="S66"/>
      <c r="T66"/>
      <c r="U66"/>
    </row>
    <row r="67" spans="10:21" ht="14.4" x14ac:dyDescent="0.3">
      <c r="J67"/>
      <c r="K67"/>
      <c r="L67"/>
      <c r="M67"/>
      <c r="N67"/>
      <c r="O67"/>
      <c r="P67"/>
      <c r="Q67"/>
      <c r="R67"/>
      <c r="S67"/>
      <c r="T67"/>
      <c r="U67"/>
    </row>
    <row r="68" spans="10:21" ht="14.4" x14ac:dyDescent="0.3">
      <c r="J68"/>
      <c r="K68"/>
      <c r="L68"/>
      <c r="M68"/>
      <c r="N68"/>
      <c r="O68"/>
      <c r="P68"/>
      <c r="Q68"/>
      <c r="R68"/>
      <c r="S68"/>
      <c r="T68"/>
      <c r="U68"/>
    </row>
    <row r="69" spans="10:21" ht="14.4" x14ac:dyDescent="0.3">
      <c r="J69"/>
      <c r="K69"/>
      <c r="L69"/>
      <c r="M69"/>
      <c r="N69"/>
      <c r="O69"/>
      <c r="P69"/>
      <c r="Q69"/>
      <c r="R69"/>
      <c r="S69"/>
      <c r="T69"/>
      <c r="U69"/>
    </row>
    <row r="70" spans="10:21" ht="14.4" x14ac:dyDescent="0.3">
      <c r="J70"/>
      <c r="K70"/>
      <c r="L70"/>
      <c r="M70"/>
      <c r="N70"/>
      <c r="O70"/>
      <c r="P70"/>
      <c r="Q70"/>
      <c r="R70"/>
      <c r="S70"/>
      <c r="T70"/>
      <c r="U70"/>
    </row>
    <row r="71" spans="10:21" ht="14.4" x14ac:dyDescent="0.3">
      <c r="J71"/>
      <c r="K71"/>
      <c r="L71"/>
      <c r="M71"/>
      <c r="N71"/>
      <c r="O71"/>
      <c r="P71"/>
      <c r="Q71"/>
      <c r="R71"/>
      <c r="S71"/>
      <c r="T71"/>
      <c r="U71"/>
    </row>
    <row r="72" spans="10:21" ht="14.4" x14ac:dyDescent="0.3">
      <c r="J72"/>
      <c r="K72"/>
      <c r="L72"/>
      <c r="M72"/>
      <c r="N72"/>
      <c r="O72"/>
      <c r="P72"/>
      <c r="Q72"/>
      <c r="R72"/>
      <c r="S72"/>
      <c r="T72"/>
      <c r="U72"/>
    </row>
    <row r="73" spans="10:21" ht="14.4" x14ac:dyDescent="0.3">
      <c r="J73"/>
      <c r="K73"/>
      <c r="L73"/>
      <c r="M73"/>
      <c r="N73"/>
      <c r="O73"/>
      <c r="P73"/>
      <c r="Q73"/>
      <c r="R73"/>
      <c r="S73"/>
      <c r="T73"/>
      <c r="U73"/>
    </row>
    <row r="74" spans="10:21" ht="14.4" x14ac:dyDescent="0.3">
      <c r="J74"/>
      <c r="K74"/>
      <c r="L74"/>
      <c r="M74"/>
      <c r="N74"/>
      <c r="O74"/>
      <c r="P74"/>
      <c r="Q74"/>
      <c r="R74"/>
      <c r="S74"/>
      <c r="T74"/>
      <c r="U74"/>
    </row>
    <row r="75" spans="10:21" ht="14.4" x14ac:dyDescent="0.3">
      <c r="J75"/>
      <c r="K75"/>
      <c r="L75"/>
      <c r="M75"/>
      <c r="N75"/>
      <c r="O75"/>
      <c r="P75"/>
      <c r="Q75"/>
      <c r="R75"/>
      <c r="S75"/>
      <c r="T75"/>
      <c r="U75"/>
    </row>
    <row r="76" spans="10:21" ht="14.4" x14ac:dyDescent="0.3">
      <c r="J76"/>
      <c r="K76"/>
      <c r="L76"/>
      <c r="M76"/>
      <c r="N76"/>
      <c r="O76"/>
      <c r="P76"/>
      <c r="Q76"/>
      <c r="R76"/>
      <c r="S76"/>
      <c r="T76"/>
      <c r="U76"/>
    </row>
    <row r="77" spans="10:21" ht="14.4" x14ac:dyDescent="0.3">
      <c r="J77"/>
      <c r="K77"/>
      <c r="L77"/>
      <c r="M77"/>
      <c r="N77"/>
      <c r="O77"/>
      <c r="P77"/>
      <c r="Q77"/>
      <c r="R77"/>
      <c r="S77"/>
      <c r="T77"/>
      <c r="U77"/>
    </row>
    <row r="78" spans="10:21" ht="14.4" x14ac:dyDescent="0.3">
      <c r="J78"/>
      <c r="K78"/>
      <c r="L78"/>
      <c r="M78"/>
      <c r="N78"/>
      <c r="O78"/>
      <c r="P78"/>
      <c r="Q78"/>
      <c r="R78"/>
      <c r="S78"/>
      <c r="T78"/>
      <c r="U78"/>
    </row>
    <row r="79" spans="10:21" ht="14.4" x14ac:dyDescent="0.3">
      <c r="J79"/>
      <c r="K79"/>
      <c r="L79"/>
      <c r="M79"/>
      <c r="N79"/>
      <c r="O79"/>
      <c r="P79"/>
      <c r="Q79"/>
      <c r="R79"/>
      <c r="S79"/>
      <c r="T79"/>
      <c r="U79"/>
    </row>
    <row r="80" spans="10:21" ht="14.4" x14ac:dyDescent="0.3">
      <c r="J80"/>
      <c r="K80"/>
      <c r="L80"/>
      <c r="M80"/>
      <c r="N80"/>
      <c r="O80"/>
      <c r="P80"/>
      <c r="Q80"/>
      <c r="R80"/>
      <c r="S80"/>
      <c r="T80"/>
      <c r="U80"/>
    </row>
    <row r="81" spans="10:21" ht="14.4" x14ac:dyDescent="0.3">
      <c r="J81"/>
      <c r="K81"/>
      <c r="L81"/>
      <c r="M81"/>
      <c r="N81"/>
      <c r="O81"/>
      <c r="P81"/>
      <c r="Q81"/>
      <c r="R81"/>
      <c r="S81"/>
      <c r="T81"/>
      <c r="U81"/>
    </row>
    <row r="82" spans="10:21" ht="14.4" x14ac:dyDescent="0.3">
      <c r="J82"/>
      <c r="K82"/>
      <c r="L82"/>
      <c r="M82"/>
      <c r="N82"/>
      <c r="O82"/>
      <c r="P82"/>
      <c r="Q82"/>
      <c r="R82"/>
      <c r="S82"/>
      <c r="T82"/>
      <c r="U82"/>
    </row>
    <row r="83" spans="10:21" ht="14.4" x14ac:dyDescent="0.3">
      <c r="J83"/>
      <c r="K83"/>
      <c r="L83"/>
      <c r="M83"/>
      <c r="N83"/>
      <c r="O83"/>
      <c r="P83"/>
      <c r="Q83"/>
      <c r="R83"/>
      <c r="S83"/>
      <c r="T83"/>
      <c r="U83"/>
    </row>
    <row r="84" spans="10:21" ht="14.4" x14ac:dyDescent="0.3">
      <c r="J84"/>
      <c r="K84"/>
      <c r="L84"/>
      <c r="M84"/>
      <c r="N84"/>
      <c r="O84"/>
      <c r="P84"/>
      <c r="Q84"/>
      <c r="R84"/>
      <c r="S84"/>
      <c r="T84"/>
      <c r="U84"/>
    </row>
    <row r="85" spans="10:21" ht="14.4" x14ac:dyDescent="0.3">
      <c r="J85"/>
      <c r="K85"/>
      <c r="L85"/>
      <c r="M85"/>
      <c r="N85"/>
      <c r="O85"/>
      <c r="P85"/>
      <c r="Q85"/>
      <c r="R85"/>
      <c r="S85"/>
      <c r="T85"/>
      <c r="U85"/>
    </row>
    <row r="86" spans="10:21" ht="14.4" x14ac:dyDescent="0.3">
      <c r="J86"/>
      <c r="K86"/>
      <c r="L86"/>
      <c r="M86"/>
      <c r="N86"/>
      <c r="O86"/>
      <c r="P86"/>
      <c r="Q86"/>
      <c r="R86"/>
      <c r="S86"/>
      <c r="T86"/>
      <c r="U86"/>
    </row>
    <row r="87" spans="10:21" ht="14.4" x14ac:dyDescent="0.3">
      <c r="J87"/>
      <c r="K87"/>
      <c r="L87"/>
      <c r="M87"/>
      <c r="N87"/>
      <c r="O87"/>
      <c r="P87"/>
      <c r="Q87"/>
      <c r="R87"/>
      <c r="S87"/>
      <c r="T87"/>
      <c r="U87"/>
    </row>
    <row r="88" spans="10:21" ht="14.4" x14ac:dyDescent="0.3">
      <c r="J88"/>
      <c r="K88"/>
      <c r="L88"/>
      <c r="M88"/>
      <c r="N88"/>
      <c r="O88"/>
      <c r="P88"/>
      <c r="Q88"/>
      <c r="R88"/>
      <c r="S88"/>
      <c r="T88"/>
      <c r="U88"/>
    </row>
    <row r="89" spans="10:21" ht="14.4" x14ac:dyDescent="0.3">
      <c r="J89"/>
      <c r="K89"/>
      <c r="L89"/>
      <c r="M89"/>
      <c r="N89"/>
      <c r="O89"/>
      <c r="P89"/>
      <c r="Q89"/>
      <c r="R89"/>
      <c r="S89"/>
      <c r="T89"/>
      <c r="U89"/>
    </row>
    <row r="90" spans="10:21" ht="14.4" x14ac:dyDescent="0.3">
      <c r="J90"/>
      <c r="K90"/>
      <c r="L90"/>
      <c r="M90"/>
      <c r="N90"/>
      <c r="O90"/>
      <c r="P90"/>
      <c r="Q90"/>
      <c r="R90"/>
      <c r="S90"/>
      <c r="T90"/>
      <c r="U90"/>
    </row>
    <row r="91" spans="10:21" ht="14.4" x14ac:dyDescent="0.3">
      <c r="J91"/>
      <c r="K91"/>
      <c r="L91"/>
      <c r="M91"/>
      <c r="N91"/>
      <c r="O91"/>
      <c r="P91"/>
      <c r="Q91"/>
      <c r="R91"/>
      <c r="S91"/>
      <c r="T91"/>
      <c r="U91"/>
    </row>
    <row r="92" spans="10:21" ht="14.4" x14ac:dyDescent="0.3">
      <c r="J92"/>
      <c r="K92"/>
      <c r="L92"/>
      <c r="M92"/>
      <c r="N92"/>
      <c r="O92"/>
      <c r="P92"/>
      <c r="Q92"/>
      <c r="R92"/>
      <c r="S92"/>
      <c r="T92"/>
      <c r="U92"/>
    </row>
    <row r="93" spans="10:21" ht="14.4" x14ac:dyDescent="0.3">
      <c r="J93"/>
      <c r="K93"/>
      <c r="L93"/>
      <c r="M93"/>
      <c r="N93"/>
      <c r="O93"/>
      <c r="P93"/>
      <c r="Q93"/>
      <c r="R93"/>
      <c r="S93"/>
      <c r="T93"/>
      <c r="U93"/>
    </row>
    <row r="94" spans="10:21" ht="14.4" x14ac:dyDescent="0.3">
      <c r="J94"/>
      <c r="K94"/>
      <c r="L94"/>
      <c r="M94"/>
      <c r="N94"/>
      <c r="O94"/>
      <c r="P94"/>
      <c r="Q94"/>
      <c r="R94"/>
      <c r="S94"/>
      <c r="T94"/>
      <c r="U94"/>
    </row>
    <row r="95" spans="10:21" ht="14.4" x14ac:dyDescent="0.3">
      <c r="J95"/>
      <c r="K95"/>
      <c r="L95"/>
      <c r="M95"/>
      <c r="N95"/>
      <c r="O95"/>
      <c r="P95"/>
      <c r="Q95"/>
      <c r="R95"/>
      <c r="S95"/>
      <c r="T95"/>
      <c r="U95"/>
    </row>
    <row r="96" spans="10:21" ht="14.4" x14ac:dyDescent="0.3">
      <c r="J96"/>
      <c r="K96"/>
      <c r="L96"/>
      <c r="M96"/>
      <c r="N96"/>
      <c r="O96"/>
      <c r="P96"/>
      <c r="Q96"/>
      <c r="R96"/>
      <c r="S96"/>
      <c r="T96"/>
      <c r="U96"/>
    </row>
    <row r="97" spans="10:21" ht="14.4" x14ac:dyDescent="0.3">
      <c r="J97"/>
      <c r="K97"/>
      <c r="L97"/>
      <c r="M97"/>
      <c r="N97"/>
      <c r="O97"/>
      <c r="P97"/>
      <c r="Q97"/>
      <c r="R97"/>
      <c r="S97"/>
      <c r="T97"/>
      <c r="U97"/>
    </row>
    <row r="98" spans="10:21" ht="14.4" x14ac:dyDescent="0.3">
      <c r="J98"/>
      <c r="K98"/>
      <c r="L98"/>
      <c r="M98"/>
      <c r="N98"/>
      <c r="O98"/>
      <c r="P98"/>
      <c r="Q98"/>
      <c r="R98"/>
      <c r="S98"/>
      <c r="T98"/>
      <c r="U98"/>
    </row>
    <row r="99" spans="10:21" ht="14.4" x14ac:dyDescent="0.3">
      <c r="J99"/>
      <c r="K99"/>
      <c r="L99"/>
      <c r="M99"/>
      <c r="N99"/>
      <c r="O99"/>
      <c r="P99"/>
      <c r="Q99"/>
      <c r="R99"/>
      <c r="S99"/>
      <c r="T99"/>
      <c r="U99"/>
    </row>
    <row r="100" spans="10:21" ht="14.4" x14ac:dyDescent="0.3">
      <c r="J100"/>
      <c r="K100"/>
      <c r="L100"/>
      <c r="M100"/>
      <c r="N100"/>
      <c r="O100"/>
      <c r="P100"/>
      <c r="Q100"/>
      <c r="R100"/>
      <c r="S100"/>
      <c r="T100"/>
      <c r="U100"/>
    </row>
    <row r="101" spans="10:21" ht="14.4" x14ac:dyDescent="0.3">
      <c r="J101"/>
      <c r="K101"/>
      <c r="L101"/>
      <c r="M101"/>
      <c r="N101"/>
      <c r="O101"/>
      <c r="P101"/>
      <c r="Q101"/>
      <c r="R101"/>
      <c r="S101"/>
      <c r="T101"/>
      <c r="U101"/>
    </row>
    <row r="102" spans="10:21" ht="14.4" x14ac:dyDescent="0.3">
      <c r="J102"/>
      <c r="K102"/>
      <c r="L102"/>
      <c r="M102"/>
      <c r="N102"/>
      <c r="O102"/>
      <c r="P102"/>
      <c r="Q102"/>
      <c r="R102"/>
      <c r="S102"/>
      <c r="T102"/>
      <c r="U102"/>
    </row>
    <row r="103" spans="10:21" ht="14.4" x14ac:dyDescent="0.3">
      <c r="J103"/>
      <c r="K103"/>
      <c r="L103"/>
      <c r="M103"/>
      <c r="N103"/>
      <c r="O103"/>
      <c r="P103"/>
      <c r="Q103"/>
      <c r="R103"/>
      <c r="S103"/>
      <c r="T103"/>
      <c r="U103"/>
    </row>
    <row r="104" spans="10:21" ht="14.4" x14ac:dyDescent="0.3">
      <c r="J104"/>
      <c r="K104"/>
      <c r="L104"/>
      <c r="M104"/>
      <c r="N104"/>
      <c r="O104"/>
      <c r="P104"/>
      <c r="Q104"/>
      <c r="R104"/>
      <c r="S104"/>
      <c r="T104"/>
      <c r="U104"/>
    </row>
    <row r="105" spans="10:21" ht="14.4" x14ac:dyDescent="0.3">
      <c r="J105"/>
      <c r="K105"/>
      <c r="L105"/>
      <c r="M105"/>
      <c r="N105"/>
      <c r="O105"/>
      <c r="P105"/>
      <c r="Q105"/>
      <c r="R105"/>
      <c r="S105"/>
      <c r="T105"/>
      <c r="U105"/>
    </row>
    <row r="106" spans="10:21" ht="14.4" x14ac:dyDescent="0.3">
      <c r="J106"/>
      <c r="K106"/>
      <c r="L106"/>
      <c r="M106"/>
      <c r="N106"/>
      <c r="O106"/>
      <c r="P106"/>
      <c r="Q106"/>
      <c r="R106"/>
      <c r="S106"/>
      <c r="T106"/>
      <c r="U106"/>
    </row>
    <row r="107" spans="10:21" ht="14.4" x14ac:dyDescent="0.3">
      <c r="J107"/>
      <c r="K107"/>
      <c r="L107"/>
      <c r="M107"/>
      <c r="N107"/>
      <c r="O107"/>
      <c r="P107"/>
      <c r="Q107"/>
      <c r="R107"/>
      <c r="S107"/>
      <c r="T107"/>
      <c r="U107"/>
    </row>
    <row r="108" spans="10:21" ht="14.4" x14ac:dyDescent="0.3">
      <c r="J108"/>
      <c r="K108"/>
      <c r="L108"/>
      <c r="M108"/>
      <c r="N108"/>
      <c r="O108"/>
      <c r="P108"/>
      <c r="Q108"/>
      <c r="R108"/>
      <c r="S108"/>
      <c r="T108"/>
      <c r="U108"/>
    </row>
    <row r="109" spans="10:21" ht="14.4" x14ac:dyDescent="0.3">
      <c r="J109"/>
      <c r="K109"/>
      <c r="L109"/>
      <c r="M109"/>
      <c r="N109"/>
      <c r="O109"/>
      <c r="P109"/>
      <c r="Q109"/>
      <c r="R109"/>
      <c r="S109"/>
      <c r="T109"/>
      <c r="U109"/>
    </row>
    <row r="110" spans="10:21" ht="14.4" x14ac:dyDescent="0.3">
      <c r="J110"/>
      <c r="K110"/>
      <c r="L110"/>
      <c r="M110"/>
      <c r="N110"/>
      <c r="O110"/>
      <c r="P110"/>
      <c r="Q110"/>
      <c r="R110"/>
      <c r="S110"/>
      <c r="T110"/>
      <c r="U110"/>
    </row>
    <row r="111" spans="10:21" ht="14.4" x14ac:dyDescent="0.3">
      <c r="J111"/>
      <c r="K111"/>
      <c r="L111"/>
      <c r="M111"/>
      <c r="N111"/>
      <c r="O111"/>
      <c r="P111"/>
      <c r="Q111"/>
      <c r="R111"/>
      <c r="S111"/>
      <c r="T111"/>
      <c r="U111"/>
    </row>
    <row r="112" spans="10:21" ht="14.4" x14ac:dyDescent="0.3">
      <c r="J112"/>
      <c r="K112"/>
      <c r="L112"/>
      <c r="M112"/>
      <c r="N112"/>
      <c r="O112"/>
      <c r="P112"/>
      <c r="Q112"/>
      <c r="R112"/>
      <c r="S112"/>
      <c r="T112"/>
      <c r="U112"/>
    </row>
    <row r="113" spans="10:21" ht="14.4" x14ac:dyDescent="0.3">
      <c r="J113"/>
      <c r="K113"/>
      <c r="L113"/>
      <c r="M113"/>
      <c r="N113"/>
      <c r="O113"/>
      <c r="P113"/>
      <c r="Q113"/>
      <c r="R113"/>
      <c r="S113"/>
      <c r="T113"/>
      <c r="U113"/>
    </row>
    <row r="114" spans="10:21" ht="14.4" x14ac:dyDescent="0.3">
      <c r="J114"/>
      <c r="K114"/>
      <c r="L114"/>
      <c r="M114"/>
      <c r="N114"/>
      <c r="O114"/>
      <c r="P114"/>
      <c r="Q114"/>
      <c r="R114"/>
      <c r="S114"/>
      <c r="T114"/>
      <c r="U114"/>
    </row>
    <row r="115" spans="10:21" ht="14.4" x14ac:dyDescent="0.3">
      <c r="J115"/>
      <c r="K115"/>
      <c r="L115"/>
      <c r="M115"/>
      <c r="N115"/>
      <c r="O115"/>
      <c r="P115"/>
      <c r="Q115"/>
      <c r="R115"/>
      <c r="S115"/>
      <c r="T115"/>
      <c r="U115"/>
    </row>
    <row r="116" spans="10:21" ht="14.4" x14ac:dyDescent="0.3">
      <c r="J116"/>
      <c r="K116"/>
      <c r="L116"/>
      <c r="M116"/>
      <c r="N116"/>
      <c r="O116"/>
      <c r="P116"/>
      <c r="Q116"/>
      <c r="R116"/>
      <c r="S116"/>
      <c r="T116"/>
      <c r="U116"/>
    </row>
    <row r="117" spans="10:21" ht="14.4" x14ac:dyDescent="0.3">
      <c r="J117"/>
      <c r="K117"/>
      <c r="L117"/>
      <c r="M117"/>
      <c r="N117"/>
      <c r="O117"/>
      <c r="P117"/>
      <c r="Q117"/>
      <c r="R117"/>
      <c r="S117"/>
      <c r="T117"/>
      <c r="U117"/>
    </row>
    <row r="118" spans="10:21" ht="14.4" x14ac:dyDescent="0.3">
      <c r="J118"/>
      <c r="K118"/>
      <c r="L118"/>
      <c r="M118"/>
      <c r="N118"/>
      <c r="O118"/>
      <c r="P118"/>
      <c r="Q118"/>
      <c r="R118"/>
      <c r="S118"/>
      <c r="T118"/>
      <c r="U118"/>
    </row>
    <row r="119" spans="10:21" ht="14.4" x14ac:dyDescent="0.3">
      <c r="J119"/>
      <c r="K119"/>
      <c r="L119"/>
      <c r="M119"/>
      <c r="N119"/>
      <c r="O119"/>
      <c r="P119"/>
      <c r="Q119"/>
      <c r="R119"/>
      <c r="S119"/>
      <c r="T119"/>
      <c r="U119"/>
    </row>
    <row r="120" spans="10:21" ht="14.4" x14ac:dyDescent="0.3">
      <c r="J120"/>
      <c r="K120"/>
      <c r="L120"/>
      <c r="M120"/>
      <c r="N120"/>
      <c r="O120"/>
      <c r="P120"/>
      <c r="Q120"/>
      <c r="R120"/>
      <c r="S120"/>
      <c r="T120"/>
      <c r="U120"/>
    </row>
    <row r="121" spans="10:21" ht="14.4" x14ac:dyDescent="0.3">
      <c r="J121"/>
      <c r="K121"/>
      <c r="L121"/>
      <c r="M121"/>
      <c r="N121"/>
      <c r="O121"/>
      <c r="P121"/>
      <c r="Q121"/>
      <c r="R121"/>
      <c r="S121"/>
      <c r="T121"/>
      <c r="U121"/>
    </row>
    <row r="122" spans="10:21" ht="14.4" x14ac:dyDescent="0.3">
      <c r="J122"/>
      <c r="K122"/>
      <c r="L122"/>
      <c r="M122"/>
      <c r="N122"/>
      <c r="O122"/>
      <c r="P122"/>
      <c r="Q122"/>
      <c r="R122"/>
      <c r="S122"/>
      <c r="T122"/>
      <c r="U122"/>
    </row>
    <row r="123" spans="10:21" ht="14.4" x14ac:dyDescent="0.3">
      <c r="J123"/>
      <c r="K123"/>
      <c r="L123"/>
      <c r="M123"/>
      <c r="N123"/>
      <c r="O123"/>
      <c r="P123"/>
      <c r="Q123"/>
      <c r="R123"/>
      <c r="S123"/>
      <c r="T123"/>
      <c r="U123"/>
    </row>
    <row r="124" spans="10:21" ht="14.4" x14ac:dyDescent="0.3">
      <c r="J124"/>
      <c r="K124"/>
      <c r="L124"/>
      <c r="M124"/>
      <c r="N124"/>
      <c r="O124"/>
      <c r="P124"/>
      <c r="Q124"/>
      <c r="R124"/>
      <c r="S124"/>
      <c r="T124"/>
      <c r="U124"/>
    </row>
    <row r="125" spans="10:21" ht="14.4" x14ac:dyDescent="0.3">
      <c r="J125"/>
      <c r="K125"/>
      <c r="L125"/>
      <c r="M125"/>
      <c r="N125"/>
      <c r="O125"/>
      <c r="P125"/>
      <c r="Q125"/>
      <c r="R125"/>
      <c r="S125"/>
      <c r="T125"/>
      <c r="U125"/>
    </row>
  </sheetData>
  <pageMargins left="0.7" right="0.7" top="0.75" bottom="0.75" header="0.3" footer="0.3"/>
  <pageSetup scale="72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G33"/>
  <sheetViews>
    <sheetView zoomScaleNormal="100" workbookViewId="0">
      <selection activeCell="L42" sqref="L42"/>
    </sheetView>
  </sheetViews>
  <sheetFormatPr defaultRowHeight="14.4" x14ac:dyDescent="0.3"/>
  <cols>
    <col min="1" max="1" width="67.88671875" bestFit="1" customWidth="1"/>
    <col min="2" max="2" width="16" bestFit="1" customWidth="1"/>
    <col min="3" max="3" width="10.6640625" bestFit="1" customWidth="1"/>
    <col min="7" max="7" width="14.33203125" bestFit="1" customWidth="1"/>
  </cols>
  <sheetData>
    <row r="2" spans="1:4" x14ac:dyDescent="0.3">
      <c r="A2" t="s">
        <v>133</v>
      </c>
      <c r="B2" s="30">
        <f>'Rev Req Summary'!C32</f>
        <v>-16403352.699999999</v>
      </c>
      <c r="C2" t="s">
        <v>134</v>
      </c>
      <c r="D2" t="s">
        <v>138</v>
      </c>
    </row>
    <row r="3" spans="1:4" x14ac:dyDescent="0.3">
      <c r="A3" t="s">
        <v>136</v>
      </c>
      <c r="B3" s="35">
        <f>B32</f>
        <v>-16403352.696571918</v>
      </c>
      <c r="C3" t="s">
        <v>134</v>
      </c>
      <c r="D3" t="s">
        <v>138</v>
      </c>
    </row>
    <row r="4" spans="1:4" x14ac:dyDescent="0.3">
      <c r="B4" s="33"/>
    </row>
    <row r="5" spans="1:4" ht="15" thickBot="1" x14ac:dyDescent="0.35">
      <c r="A5" t="s">
        <v>137</v>
      </c>
      <c r="B5" s="37">
        <f>B2-B3</f>
        <v>-3.4280810505151749E-3</v>
      </c>
      <c r="C5" t="s">
        <v>134</v>
      </c>
      <c r="D5" t="s">
        <v>139</v>
      </c>
    </row>
    <row r="6" spans="1:4" ht="15" thickTop="1" x14ac:dyDescent="0.3"/>
    <row r="9" spans="1:4" x14ac:dyDescent="0.3">
      <c r="A9" t="s">
        <v>92</v>
      </c>
    </row>
    <row r="13" spans="1:4" x14ac:dyDescent="0.3">
      <c r="A13" t="s">
        <v>38</v>
      </c>
      <c r="B13" s="32" t="s">
        <v>82</v>
      </c>
    </row>
    <row r="14" spans="1:4" x14ac:dyDescent="0.3">
      <c r="A14" t="s">
        <v>53</v>
      </c>
      <c r="B14" s="30">
        <v>-448990.33</v>
      </c>
    </row>
    <row r="15" spans="1:4" x14ac:dyDescent="0.3">
      <c r="A15" t="s">
        <v>54</v>
      </c>
      <c r="B15" s="35">
        <v>-199722.53</v>
      </c>
    </row>
    <row r="16" spans="1:4" x14ac:dyDescent="0.3">
      <c r="A16" t="s">
        <v>56</v>
      </c>
      <c r="B16" s="35">
        <v>2866548.56</v>
      </c>
    </row>
    <row r="17" spans="1:3" x14ac:dyDescent="0.3">
      <c r="A17" t="s">
        <v>57</v>
      </c>
      <c r="B17" s="35">
        <v>5112092.95</v>
      </c>
    </row>
    <row r="18" spans="1:3" x14ac:dyDescent="0.3">
      <c r="A18" t="s">
        <v>123</v>
      </c>
      <c r="B18" s="35">
        <v>3385889.2</v>
      </c>
    </row>
    <row r="19" spans="1:3" x14ac:dyDescent="0.3">
      <c r="A19" t="s">
        <v>124</v>
      </c>
      <c r="B19" s="35">
        <v>4115788.19</v>
      </c>
    </row>
    <row r="20" spans="1:3" x14ac:dyDescent="0.3">
      <c r="A20" t="s">
        <v>125</v>
      </c>
      <c r="B20" s="35">
        <v>706816.16</v>
      </c>
    </row>
    <row r="21" spans="1:3" x14ac:dyDescent="0.3">
      <c r="A21" t="s">
        <v>126</v>
      </c>
      <c r="B21" s="35">
        <v>-746789.89</v>
      </c>
    </row>
    <row r="22" spans="1:3" x14ac:dyDescent="0.3">
      <c r="A22" t="s">
        <v>127</v>
      </c>
      <c r="B22" s="35">
        <v>-103174.15</v>
      </c>
    </row>
    <row r="23" spans="1:3" x14ac:dyDescent="0.3">
      <c r="A23" t="s">
        <v>128</v>
      </c>
      <c r="B23" s="35">
        <v>69563.789999999994</v>
      </c>
    </row>
    <row r="24" spans="1:3" x14ac:dyDescent="0.3">
      <c r="A24" t="s">
        <v>129</v>
      </c>
      <c r="B24" s="35">
        <v>104883.57</v>
      </c>
    </row>
    <row r="25" spans="1:3" x14ac:dyDescent="0.3">
      <c r="A25" t="s">
        <v>130</v>
      </c>
      <c r="B25" s="35">
        <v>-46310.12</v>
      </c>
    </row>
    <row r="26" spans="1:3" x14ac:dyDescent="0.3">
      <c r="A26" t="s">
        <v>131</v>
      </c>
      <c r="B26" s="35">
        <v>780538.25</v>
      </c>
    </row>
    <row r="27" spans="1:3" x14ac:dyDescent="0.3">
      <c r="A27" t="s">
        <v>132</v>
      </c>
      <c r="B27" s="35">
        <v>4341.1499999999996</v>
      </c>
    </row>
    <row r="28" spans="1:3" x14ac:dyDescent="0.3">
      <c r="A28" t="s">
        <v>3</v>
      </c>
      <c r="B28" s="30">
        <v>15601474.800000001</v>
      </c>
    </row>
    <row r="30" spans="1:3" x14ac:dyDescent="0.3">
      <c r="B30" s="36">
        <v>0.95111500000000004</v>
      </c>
    </row>
    <row r="32" spans="1:3" x14ac:dyDescent="0.3">
      <c r="A32" t="s">
        <v>135</v>
      </c>
      <c r="B32" s="30">
        <f>B28/-B30</f>
        <v>-16403352.696571918</v>
      </c>
      <c r="C32" t="s">
        <v>134</v>
      </c>
    </row>
    <row r="33" spans="7:7" x14ac:dyDescent="0.3">
      <c r="G33" s="31"/>
    </row>
  </sheetData>
  <pageMargins left="0.7" right="0.7" top="0.75" bottom="0.75" header="0.3" footer="0.3"/>
  <pageSetup scale="8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41"/>
  <sheetViews>
    <sheetView zoomScaleNormal="100" workbookViewId="0">
      <selection sqref="A1:F1"/>
    </sheetView>
  </sheetViews>
  <sheetFormatPr defaultColWidth="13.33203125" defaultRowHeight="14.4" x14ac:dyDescent="0.3"/>
  <cols>
    <col min="1" max="1" width="4.33203125" style="92" bestFit="1" customWidth="1"/>
    <col min="2" max="2" width="38.6640625" style="92" bestFit="1" customWidth="1"/>
    <col min="3" max="3" width="15.33203125" style="92" bestFit="1" customWidth="1"/>
    <col min="4" max="4" width="16" style="92" customWidth="1"/>
    <col min="5" max="5" width="10.33203125" style="92" bestFit="1" customWidth="1"/>
    <col min="6" max="7" width="13.33203125" style="92"/>
    <col min="18" max="16384" width="13.33203125" style="92"/>
  </cols>
  <sheetData>
    <row r="1" spans="1:6" x14ac:dyDescent="0.3">
      <c r="A1" s="117" t="s">
        <v>8</v>
      </c>
      <c r="B1" s="117"/>
      <c r="C1" s="117"/>
      <c r="D1" s="117"/>
      <c r="E1" s="117"/>
      <c r="F1" s="117"/>
    </row>
    <row r="2" spans="1:6" x14ac:dyDescent="0.3">
      <c r="A2" s="117" t="s">
        <v>9</v>
      </c>
      <c r="B2" s="117"/>
      <c r="C2" s="117"/>
      <c r="D2" s="117"/>
      <c r="E2" s="117"/>
      <c r="F2" s="117"/>
    </row>
    <row r="3" spans="1:6" x14ac:dyDescent="0.3">
      <c r="A3" s="117" t="s">
        <v>10</v>
      </c>
      <c r="B3" s="117"/>
      <c r="C3" s="117"/>
      <c r="D3" s="117"/>
      <c r="E3" s="117"/>
      <c r="F3" s="117"/>
    </row>
    <row r="4" spans="1:6" x14ac:dyDescent="0.3">
      <c r="A4" s="118" t="s">
        <v>81</v>
      </c>
      <c r="B4" s="117"/>
      <c r="C4" s="117"/>
      <c r="D4" s="117"/>
      <c r="E4" s="117"/>
      <c r="F4" s="117"/>
    </row>
    <row r="6" spans="1:6" ht="28.8" x14ac:dyDescent="0.3">
      <c r="A6" s="106" t="s">
        <v>1</v>
      </c>
      <c r="B6" s="106" t="s">
        <v>4</v>
      </c>
      <c r="C6" s="105" t="s">
        <v>3</v>
      </c>
      <c r="D6" s="105" t="s">
        <v>11</v>
      </c>
      <c r="E6" s="105" t="s">
        <v>0</v>
      </c>
      <c r="F6" s="104" t="s">
        <v>80</v>
      </c>
    </row>
    <row r="7" spans="1:6" x14ac:dyDescent="0.3">
      <c r="A7" s="103"/>
      <c r="B7" s="102" t="s">
        <v>15</v>
      </c>
      <c r="C7" s="101" t="s">
        <v>16</v>
      </c>
      <c r="D7" s="101" t="s">
        <v>17</v>
      </c>
      <c r="E7" s="101" t="s">
        <v>18</v>
      </c>
      <c r="F7" s="101" t="s">
        <v>19</v>
      </c>
    </row>
    <row r="8" spans="1:6" x14ac:dyDescent="0.3">
      <c r="A8" s="95">
        <v>1</v>
      </c>
      <c r="B8" s="92" t="s">
        <v>7</v>
      </c>
      <c r="C8" s="96">
        <f>SUM(D8:F8)</f>
        <v>2175919943.1900001</v>
      </c>
      <c r="D8" s="116">
        <f>+'[2]Rev Req Summary'!D8</f>
        <v>2161701872.5900002</v>
      </c>
      <c r="E8" s="116">
        <f>+'[2]Rev Req Summary'!E8</f>
        <v>340431.52</v>
      </c>
      <c r="F8" s="116">
        <f>+'[2]Rev Req Summary'!F8</f>
        <v>13877639.080000002</v>
      </c>
    </row>
    <row r="9" spans="1:6" x14ac:dyDescent="0.3">
      <c r="A9" s="95">
        <f t="shared" ref="A9:A39" si="0">+A8+1</f>
        <v>2</v>
      </c>
    </row>
    <row r="10" spans="1:6" x14ac:dyDescent="0.3">
      <c r="A10" s="95">
        <f t="shared" si="0"/>
        <v>3</v>
      </c>
      <c r="B10" s="99" t="s">
        <v>79</v>
      </c>
    </row>
    <row r="11" spans="1:6" x14ac:dyDescent="0.3">
      <c r="A11" s="95">
        <f t="shared" si="0"/>
        <v>4</v>
      </c>
      <c r="B11" s="100" t="s">
        <v>78</v>
      </c>
      <c r="C11" s="96">
        <f t="shared" ref="C11:C23" si="1">SUM(D11:F11)</f>
        <v>-85355943.760000005</v>
      </c>
      <c r="D11" s="116">
        <f>+'[2]Rev Req Summary'!D11</f>
        <v>-84369644.5</v>
      </c>
      <c r="E11" s="116">
        <f>+'[2]Rev Req Summary'!E11</f>
        <v>-16204.59</v>
      </c>
      <c r="F11" s="116">
        <f>+'[2]Rev Req Summary'!F11</f>
        <v>-970094.67</v>
      </c>
    </row>
    <row r="12" spans="1:6" x14ac:dyDescent="0.3">
      <c r="A12" s="95">
        <f t="shared" si="0"/>
        <v>5</v>
      </c>
      <c r="B12" s="100" t="s">
        <v>76</v>
      </c>
      <c r="C12" s="96">
        <f t="shared" si="1"/>
        <v>41885179.539999999</v>
      </c>
      <c r="D12" s="116">
        <f>+'[2]Rev Req Summary'!D12</f>
        <v>41885179.539999999</v>
      </c>
      <c r="E12" s="116">
        <f>+'[2]Rev Req Summary'!E12</f>
        <v>0</v>
      </c>
      <c r="F12" s="116">
        <f>+'[2]Rev Req Summary'!F12</f>
        <v>0</v>
      </c>
    </row>
    <row r="13" spans="1:6" x14ac:dyDescent="0.3">
      <c r="A13" s="95">
        <f t="shared" si="0"/>
        <v>6</v>
      </c>
      <c r="B13" s="100" t="s">
        <v>75</v>
      </c>
      <c r="C13" s="96">
        <f t="shared" si="1"/>
        <v>-101866388.83999999</v>
      </c>
      <c r="D13" s="116">
        <f>+'[2]Rev Req Summary'!D13</f>
        <v>-99714917.999999985</v>
      </c>
      <c r="E13" s="116">
        <f>+'[2]Rev Req Summary'!E13</f>
        <v>0</v>
      </c>
      <c r="F13" s="116">
        <f>+'[2]Rev Req Summary'!F13</f>
        <v>-2151470.8400000008</v>
      </c>
    </row>
    <row r="14" spans="1:6" x14ac:dyDescent="0.3">
      <c r="A14" s="95">
        <f t="shared" si="0"/>
        <v>7</v>
      </c>
      <c r="B14" s="100" t="s">
        <v>74</v>
      </c>
      <c r="C14" s="96">
        <f t="shared" si="1"/>
        <v>-17990501.369999997</v>
      </c>
      <c r="D14" s="116">
        <f>+'[2]Rev Req Summary'!D14</f>
        <v>-17419735.609999996</v>
      </c>
      <c r="E14" s="116">
        <f>+'[2]Rev Req Summary'!E14</f>
        <v>0</v>
      </c>
      <c r="F14" s="116">
        <f>+'[2]Rev Req Summary'!F14</f>
        <v>-570765.76</v>
      </c>
    </row>
    <row r="15" spans="1:6" x14ac:dyDescent="0.3">
      <c r="A15" s="95">
        <f t="shared" si="0"/>
        <v>8</v>
      </c>
      <c r="B15" s="100" t="s">
        <v>73</v>
      </c>
      <c r="C15" s="96">
        <f t="shared" si="1"/>
        <v>5983138.4299999997</v>
      </c>
      <c r="D15" s="116">
        <f>+'[2]Rev Req Summary'!D15</f>
        <v>5925862.4100000001</v>
      </c>
      <c r="E15" s="116">
        <f>+'[2]Rev Req Summary'!E15</f>
        <v>0</v>
      </c>
      <c r="F15" s="116">
        <f>+'[2]Rev Req Summary'!F15</f>
        <v>57276.020000000019</v>
      </c>
    </row>
    <row r="16" spans="1:6" x14ac:dyDescent="0.3">
      <c r="A16" s="95">
        <f t="shared" si="0"/>
        <v>9</v>
      </c>
      <c r="B16" s="100" t="s">
        <v>72</v>
      </c>
      <c r="C16" s="96">
        <f t="shared" si="1"/>
        <v>1234.0100000000002</v>
      </c>
      <c r="D16" s="116">
        <f>+'[2]Rev Req Summary'!D16</f>
        <v>1234.0100000000002</v>
      </c>
      <c r="E16" s="116">
        <f>+'[2]Rev Req Summary'!E16</f>
        <v>0</v>
      </c>
      <c r="F16" s="116">
        <f>+'[2]Rev Req Summary'!F16</f>
        <v>0</v>
      </c>
    </row>
    <row r="17" spans="1:6" x14ac:dyDescent="0.3">
      <c r="A17" s="95">
        <f t="shared" si="0"/>
        <v>10</v>
      </c>
      <c r="B17" s="100" t="s">
        <v>71</v>
      </c>
      <c r="C17" s="96">
        <f t="shared" si="1"/>
        <v>-4470609.87</v>
      </c>
      <c r="D17" s="116">
        <f>+'[2]Rev Req Summary'!D17</f>
        <v>-4470609.87</v>
      </c>
      <c r="E17" s="116">
        <f>+'[2]Rev Req Summary'!E17</f>
        <v>0</v>
      </c>
      <c r="F17" s="116">
        <f>+'[2]Rev Req Summary'!F17</f>
        <v>0</v>
      </c>
    </row>
    <row r="18" spans="1:6" x14ac:dyDescent="0.3">
      <c r="A18" s="95">
        <f t="shared" si="0"/>
        <v>11</v>
      </c>
      <c r="B18" s="100" t="s">
        <v>70</v>
      </c>
      <c r="C18" s="96">
        <f t="shared" si="1"/>
        <v>657452.02999999991</v>
      </c>
      <c r="D18" s="116">
        <f>+'[2]Rev Req Summary'!D18</f>
        <v>657452.02999999991</v>
      </c>
      <c r="E18" s="116">
        <f>+'[2]Rev Req Summary'!E18</f>
        <v>0</v>
      </c>
      <c r="F18" s="116">
        <f>+'[2]Rev Req Summary'!F18</f>
        <v>0</v>
      </c>
    </row>
    <row r="19" spans="1:6" x14ac:dyDescent="0.3">
      <c r="A19" s="95">
        <f t="shared" si="0"/>
        <v>12</v>
      </c>
      <c r="B19" s="100" t="s">
        <v>68</v>
      </c>
      <c r="C19" s="96">
        <f t="shared" si="1"/>
        <v>-723802.14000000013</v>
      </c>
      <c r="D19" s="116">
        <f>+'[2]Rev Req Summary'!D19</f>
        <v>-723802.14000000013</v>
      </c>
      <c r="E19" s="116">
        <f>+'[2]Rev Req Summary'!E19</f>
        <v>0</v>
      </c>
      <c r="F19" s="116">
        <f>+'[2]Rev Req Summary'!F19</f>
        <v>0</v>
      </c>
    </row>
    <row r="20" spans="1:6" x14ac:dyDescent="0.3">
      <c r="A20" s="95">
        <f t="shared" si="0"/>
        <v>13</v>
      </c>
      <c r="B20" s="100" t="s">
        <v>67</v>
      </c>
      <c r="C20" s="96">
        <f t="shared" si="1"/>
        <v>81156080.86999999</v>
      </c>
      <c r="D20" s="116">
        <f>+'[2]Rev Req Summary'!D20</f>
        <v>81156080.86999999</v>
      </c>
      <c r="E20" s="116">
        <f>+'[2]Rev Req Summary'!E20</f>
        <v>0</v>
      </c>
      <c r="F20" s="116">
        <f>+'[2]Rev Req Summary'!F20</f>
        <v>0</v>
      </c>
    </row>
    <row r="21" spans="1:6" x14ac:dyDescent="0.3">
      <c r="A21" s="95">
        <f t="shared" si="0"/>
        <v>14</v>
      </c>
      <c r="B21" s="100" t="s">
        <v>5</v>
      </c>
      <c r="C21" s="96">
        <f t="shared" si="1"/>
        <v>14386106</v>
      </c>
      <c r="D21" s="116">
        <f>+'[2]Rev Req Summary'!D21</f>
        <v>14383087</v>
      </c>
      <c r="E21" s="116">
        <f>+'[2]Rev Req Summary'!E21</f>
        <v>3019</v>
      </c>
      <c r="F21" s="116">
        <f>+'[2]Rev Req Summary'!F21</f>
        <v>0</v>
      </c>
    </row>
    <row r="22" spans="1:6" x14ac:dyDescent="0.3">
      <c r="A22" s="95">
        <f t="shared" si="0"/>
        <v>15</v>
      </c>
      <c r="B22" s="100" t="s">
        <v>165</v>
      </c>
      <c r="C22" s="96">
        <f t="shared" si="1"/>
        <v>-20724921.120196018</v>
      </c>
      <c r="D22" s="116">
        <f>+'[2]Rev Req Summary'!D22</f>
        <v>-20838968.918166019</v>
      </c>
      <c r="E22" s="116">
        <f>+'[2]Rev Req Summary'!E22</f>
        <v>114.23000000000138</v>
      </c>
      <c r="F22" s="116">
        <f>+'[2]Rev Req Summary'!F22</f>
        <v>113933.56797</v>
      </c>
    </row>
    <row r="23" spans="1:6" ht="13.95" customHeight="1" x14ac:dyDescent="0.3">
      <c r="A23" s="95">
        <f t="shared" si="0"/>
        <v>16</v>
      </c>
      <c r="B23" s="100" t="s">
        <v>66</v>
      </c>
      <c r="C23" s="96">
        <f t="shared" si="1"/>
        <v>3810955</v>
      </c>
      <c r="D23" s="116">
        <f>+'[2]Rev Req Summary'!D23</f>
        <v>3810955</v>
      </c>
      <c r="E23" s="116">
        <f>+'[2]Rev Req Summary'!E23</f>
        <v>0</v>
      </c>
      <c r="F23" s="116">
        <f>+'[2]Rev Req Summary'!F23</f>
        <v>0</v>
      </c>
    </row>
    <row r="24" spans="1:6" x14ac:dyDescent="0.3">
      <c r="A24" s="95">
        <f t="shared" si="0"/>
        <v>17</v>
      </c>
      <c r="B24" s="99" t="s">
        <v>65</v>
      </c>
      <c r="C24" s="96">
        <f>SUM(C11:C23)</f>
        <v>-83252021.220196024</v>
      </c>
      <c r="D24" s="96">
        <f>SUM(D11:D23)</f>
        <v>-79717828.178166002</v>
      </c>
      <c r="E24" s="96">
        <f>SUM(E11:E23)</f>
        <v>-13071.359999999999</v>
      </c>
      <c r="F24" s="96">
        <f>SUM(F11:F23)</f>
        <v>-3521121.6820300003</v>
      </c>
    </row>
    <row r="25" spans="1:6" x14ac:dyDescent="0.3">
      <c r="A25" s="95">
        <f t="shared" si="0"/>
        <v>18</v>
      </c>
      <c r="B25" s="97"/>
      <c r="C25" s="96"/>
      <c r="D25" s="96"/>
      <c r="E25" s="96"/>
      <c r="F25" s="96"/>
    </row>
    <row r="26" spans="1:6" x14ac:dyDescent="0.3">
      <c r="A26" s="95">
        <f t="shared" si="0"/>
        <v>19</v>
      </c>
      <c r="B26" s="99" t="s">
        <v>64</v>
      </c>
      <c r="C26" s="96">
        <f>+C8+C24</f>
        <v>2092667921.969804</v>
      </c>
      <c r="D26" s="96">
        <f>+D8+D24</f>
        <v>2081984044.4118342</v>
      </c>
      <c r="E26" s="96">
        <f>+E8+E24</f>
        <v>327360.16000000003</v>
      </c>
      <c r="F26" s="96">
        <f>+F8+F24</f>
        <v>10356517.397970002</v>
      </c>
    </row>
    <row r="27" spans="1:6" x14ac:dyDescent="0.3">
      <c r="A27" s="95">
        <f t="shared" si="0"/>
        <v>20</v>
      </c>
      <c r="B27" s="97"/>
      <c r="C27" s="96"/>
      <c r="D27" s="96"/>
      <c r="E27" s="96"/>
      <c r="F27" s="96"/>
    </row>
    <row r="28" spans="1:6" x14ac:dyDescent="0.3">
      <c r="A28" s="95">
        <f t="shared" si="0"/>
        <v>21</v>
      </c>
      <c r="B28" s="99" t="s">
        <v>63</v>
      </c>
      <c r="C28" s="96"/>
      <c r="D28" s="96"/>
      <c r="E28" s="96"/>
      <c r="F28" s="96"/>
    </row>
    <row r="29" spans="1:6" x14ac:dyDescent="0.3">
      <c r="A29" s="95">
        <f t="shared" si="0"/>
        <v>22</v>
      </c>
      <c r="B29" s="100" t="s">
        <v>6</v>
      </c>
      <c r="C29" s="96">
        <f>SUM(D29:F29)</f>
        <v>-18978293.07</v>
      </c>
      <c r="D29" s="116">
        <f>+'[2]Rev Req Summary'!D29</f>
        <v>-24471846.07</v>
      </c>
      <c r="E29" s="116">
        <f>+'[2]Rev Req Summary'!E29</f>
        <v>0</v>
      </c>
      <c r="F29" s="116">
        <f>+'[2]Rev Req Summary'!F29</f>
        <v>5493553</v>
      </c>
    </row>
    <row r="30" spans="1:6" x14ac:dyDescent="0.3">
      <c r="A30" s="95">
        <f t="shared" si="0"/>
        <v>23</v>
      </c>
      <c r="B30" s="100" t="s">
        <v>77</v>
      </c>
      <c r="C30" s="96">
        <f>SUM(D30:F30)</f>
        <v>1895876.7300000002</v>
      </c>
      <c r="D30" s="116">
        <f>+'[2]Rev Req Summary'!D30</f>
        <v>1895876.7300000002</v>
      </c>
      <c r="E30" s="116">
        <f>+'[2]Rev Req Summary'!E30</f>
        <v>0</v>
      </c>
      <c r="F30" s="116">
        <f>+'[2]Rev Req Summary'!F30</f>
        <v>0</v>
      </c>
    </row>
    <row r="31" spans="1:6" x14ac:dyDescent="0.3">
      <c r="A31" s="95">
        <f t="shared" si="0"/>
        <v>24</v>
      </c>
      <c r="B31" s="100" t="s">
        <v>69</v>
      </c>
      <c r="C31" s="96">
        <f>SUM(D31:F31)</f>
        <v>-62179770.95000001</v>
      </c>
      <c r="D31" s="116">
        <f>+'[2]Rev Req Summary'!D31</f>
        <v>-61937606.332030013</v>
      </c>
      <c r="E31" s="116">
        <f>+'[2]Rev Req Summary'!E31</f>
        <v>0</v>
      </c>
      <c r="F31" s="116">
        <f>+'[2]Rev Req Summary'!F31</f>
        <v>-242164.61797000002</v>
      </c>
    </row>
    <row r="32" spans="1:6" x14ac:dyDescent="0.3">
      <c r="A32" s="95">
        <f t="shared" si="0"/>
        <v>25</v>
      </c>
      <c r="B32" s="100" t="s">
        <v>60</v>
      </c>
      <c r="C32" s="96">
        <f>SUM(D32:F32)</f>
        <v>-16403352.699999999</v>
      </c>
      <c r="D32" s="116">
        <f>+'[2]Rev Req Summary'!D32</f>
        <v>-16403352.699999999</v>
      </c>
      <c r="E32" s="116">
        <f>+'[2]Rev Req Summary'!E32</f>
        <v>0</v>
      </c>
      <c r="F32" s="116">
        <f>+'[2]Rev Req Summary'!F32</f>
        <v>0</v>
      </c>
    </row>
    <row r="33" spans="1:6" x14ac:dyDescent="0.3">
      <c r="A33" s="95">
        <f t="shared" si="0"/>
        <v>26</v>
      </c>
      <c r="B33" s="99" t="s">
        <v>62</v>
      </c>
      <c r="C33" s="96">
        <f>SUM(C29:C32)</f>
        <v>-95665539.99000001</v>
      </c>
      <c r="D33" s="116">
        <f>+'[2]Rev Req Summary'!D33</f>
        <v>-100916928.37203002</v>
      </c>
      <c r="E33" s="116">
        <f>+'[2]Rev Req Summary'!E33</f>
        <v>0</v>
      </c>
      <c r="F33" s="116">
        <f>+'[2]Rev Req Summary'!F33</f>
        <v>5251388.38203</v>
      </c>
    </row>
    <row r="34" spans="1:6" x14ac:dyDescent="0.3">
      <c r="A34" s="95">
        <f t="shared" si="0"/>
        <v>27</v>
      </c>
      <c r="B34" s="99"/>
      <c r="C34" s="96"/>
      <c r="D34" s="94"/>
      <c r="E34" s="94"/>
      <c r="F34" s="94"/>
    </row>
    <row r="35" spans="1:6" x14ac:dyDescent="0.3">
      <c r="A35" s="95">
        <f t="shared" si="0"/>
        <v>28</v>
      </c>
      <c r="B35" s="99"/>
      <c r="C35" s="96"/>
      <c r="D35" s="94"/>
      <c r="E35" s="94"/>
      <c r="F35" s="94"/>
    </row>
    <row r="36" spans="1:6" x14ac:dyDescent="0.3">
      <c r="A36" s="95">
        <f t="shared" si="0"/>
        <v>29</v>
      </c>
      <c r="B36" s="92" t="s">
        <v>12</v>
      </c>
      <c r="C36" s="94">
        <f>SUM(C26,C33)</f>
        <v>1997002381.979804</v>
      </c>
      <c r="D36" s="94">
        <f>SUM(D26,D33)</f>
        <v>1981067116.0398042</v>
      </c>
      <c r="E36" s="94">
        <f>SUM(E26,E33)</f>
        <v>327360.16000000003</v>
      </c>
      <c r="F36" s="94">
        <f>SUM(F26,F33)</f>
        <v>15607905.780000001</v>
      </c>
    </row>
    <row r="37" spans="1:6" x14ac:dyDescent="0.3">
      <c r="A37" s="95">
        <f t="shared" si="0"/>
        <v>30</v>
      </c>
      <c r="B37" s="98"/>
    </row>
    <row r="38" spans="1:6" x14ac:dyDescent="0.3">
      <c r="A38" s="95">
        <f t="shared" si="0"/>
        <v>31</v>
      </c>
      <c r="B38" s="97" t="s">
        <v>14</v>
      </c>
      <c r="C38" s="116">
        <f>+'[2]Rev Req Summary'!C38</f>
        <v>1997002382.391351</v>
      </c>
      <c r="D38" s="116">
        <f>+'[2]Rev Req Summary'!D38</f>
        <v>1981067116.391351</v>
      </c>
      <c r="E38" s="116">
        <f>+'[2]Rev Req Summary'!E38</f>
        <v>327360</v>
      </c>
      <c r="F38" s="116">
        <f>+'[2]Rev Req Summary'!F38</f>
        <v>15607906</v>
      </c>
    </row>
    <row r="39" spans="1:6" x14ac:dyDescent="0.3">
      <c r="A39" s="95">
        <f t="shared" si="0"/>
        <v>32</v>
      </c>
      <c r="B39" s="92" t="s">
        <v>2</v>
      </c>
      <c r="C39" s="94">
        <f>+C36-C38</f>
        <v>-0.41154694557189941</v>
      </c>
      <c r="D39" s="94">
        <f>+D38-D36</f>
        <v>0.3515467643737793</v>
      </c>
      <c r="E39" s="94">
        <f>+E38-E36</f>
        <v>-0.16000000003259629</v>
      </c>
      <c r="F39" s="94">
        <f>+F36-F38</f>
        <v>-0.2199999988079071</v>
      </c>
    </row>
    <row r="40" spans="1:6" x14ac:dyDescent="0.3">
      <c r="C40" s="93"/>
    </row>
    <row r="41" spans="1:6" x14ac:dyDescent="0.3">
      <c r="C41" s="93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92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5"/>
  <sheetViews>
    <sheetView zoomScaleNormal="100" workbookViewId="0">
      <selection activeCell="D42" sqref="D42"/>
    </sheetView>
  </sheetViews>
  <sheetFormatPr defaultRowHeight="14.4" x14ac:dyDescent="0.3"/>
  <cols>
    <col min="5" max="5" width="48.44140625" bestFit="1" customWidth="1"/>
    <col min="6" max="6" width="9.5546875" bestFit="1" customWidth="1"/>
    <col min="8" max="8" width="11" bestFit="1" customWidth="1"/>
    <col min="10" max="10" width="11" bestFit="1" customWidth="1"/>
  </cols>
  <sheetData>
    <row r="1" spans="1:10" ht="18" x14ac:dyDescent="0.35">
      <c r="A1" s="91" t="s">
        <v>163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3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79"/>
      <c r="J3" s="79"/>
    </row>
    <row r="4" spans="1:10" x14ac:dyDescent="0.3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10" x14ac:dyDescent="0.3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x14ac:dyDescent="0.3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79"/>
    </row>
    <row r="8" spans="1:10" x14ac:dyDescent="0.3">
      <c r="A8" s="79"/>
      <c r="B8" s="79"/>
      <c r="C8" s="79"/>
      <c r="D8" s="79"/>
      <c r="E8" s="79"/>
      <c r="F8" s="79"/>
      <c r="G8" s="79"/>
      <c r="H8" s="79">
        <v>9</v>
      </c>
      <c r="I8" s="79"/>
      <c r="J8" s="79">
        <v>12</v>
      </c>
    </row>
    <row r="9" spans="1:10" x14ac:dyDescent="0.3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spans="1:10" x14ac:dyDescent="0.3">
      <c r="A10" s="79"/>
      <c r="B10" s="79"/>
      <c r="C10" s="79"/>
      <c r="D10" s="79"/>
      <c r="E10" s="79"/>
      <c r="F10" s="80"/>
      <c r="G10" s="79"/>
      <c r="H10" s="79"/>
      <c r="I10" s="79"/>
      <c r="J10" s="79"/>
    </row>
    <row r="11" spans="1:10" x14ac:dyDescent="0.3">
      <c r="A11" s="79"/>
      <c r="B11" s="79"/>
      <c r="C11" s="89" t="s">
        <v>162</v>
      </c>
      <c r="D11" s="79"/>
      <c r="E11" s="90" t="s">
        <v>4</v>
      </c>
      <c r="F11" s="89" t="s">
        <v>161</v>
      </c>
      <c r="G11" s="87"/>
      <c r="H11" s="86" t="s">
        <v>160</v>
      </c>
      <c r="I11" s="86"/>
      <c r="J11" s="86" t="s">
        <v>159</v>
      </c>
    </row>
    <row r="12" spans="1:10" x14ac:dyDescent="0.3">
      <c r="A12" s="79"/>
      <c r="B12" s="79"/>
      <c r="C12" s="79"/>
      <c r="D12" s="79"/>
      <c r="E12" s="79"/>
      <c r="F12" s="88"/>
      <c r="G12" s="87"/>
      <c r="H12" s="86">
        <v>2019</v>
      </c>
      <c r="I12" s="86"/>
      <c r="J12" s="86">
        <v>2020</v>
      </c>
    </row>
    <row r="13" spans="1:10" x14ac:dyDescent="0.3">
      <c r="A13" s="79"/>
      <c r="B13" s="79"/>
      <c r="C13" s="79"/>
      <c r="D13" s="79"/>
      <c r="E13" s="79"/>
      <c r="F13" s="80"/>
      <c r="G13" s="79"/>
      <c r="H13" s="85"/>
      <c r="I13" s="85"/>
      <c r="J13" s="85"/>
    </row>
    <row r="14" spans="1:10" x14ac:dyDescent="0.3">
      <c r="A14" s="79"/>
      <c r="B14" s="79"/>
      <c r="C14" s="79">
        <v>45610005</v>
      </c>
      <c r="D14" s="79"/>
      <c r="E14" s="79" t="s">
        <v>158</v>
      </c>
      <c r="F14" s="81">
        <v>183408.13</v>
      </c>
      <c r="G14" s="81"/>
      <c r="H14" s="81">
        <f t="shared" ref="H14:H20" si="0">F14*$H$8</f>
        <v>1650673.17</v>
      </c>
      <c r="I14" s="81"/>
      <c r="J14" s="81">
        <f t="shared" ref="J14:J20" si="1">F14*$J$8</f>
        <v>2200897.56</v>
      </c>
    </row>
    <row r="15" spans="1:10" x14ac:dyDescent="0.3">
      <c r="A15" s="79"/>
      <c r="B15" s="79"/>
      <c r="C15" s="79">
        <v>45610050</v>
      </c>
      <c r="D15" s="79"/>
      <c r="E15" s="79" t="s">
        <v>157</v>
      </c>
      <c r="F15" s="81">
        <v>4771.8</v>
      </c>
      <c r="G15" s="81"/>
      <c r="H15" s="81">
        <f t="shared" si="0"/>
        <v>42946.200000000004</v>
      </c>
      <c r="I15" s="81"/>
      <c r="J15" s="81">
        <f t="shared" si="1"/>
        <v>57261.600000000006</v>
      </c>
    </row>
    <row r="16" spans="1:10" x14ac:dyDescent="0.3">
      <c r="A16" s="79"/>
      <c r="B16" s="79"/>
      <c r="C16" s="79">
        <v>45610052</v>
      </c>
      <c r="D16" s="79"/>
      <c r="E16" s="79" t="s">
        <v>156</v>
      </c>
      <c r="F16" s="81">
        <v>552.41999999999996</v>
      </c>
      <c r="G16" s="81"/>
      <c r="H16" s="81">
        <f t="shared" si="0"/>
        <v>4971.78</v>
      </c>
      <c r="I16" s="81"/>
      <c r="J16" s="81">
        <f t="shared" si="1"/>
        <v>6629.0399999999991</v>
      </c>
    </row>
    <row r="17" spans="1:10" x14ac:dyDescent="0.3">
      <c r="A17" s="79"/>
      <c r="B17" s="79"/>
      <c r="C17" s="79">
        <v>45610054</v>
      </c>
      <c r="D17" s="79"/>
      <c r="E17" s="79" t="s">
        <v>155</v>
      </c>
      <c r="F17" s="81">
        <v>11180.4</v>
      </c>
      <c r="G17" s="81"/>
      <c r="H17" s="81">
        <f t="shared" si="0"/>
        <v>100623.59999999999</v>
      </c>
      <c r="I17" s="81"/>
      <c r="J17" s="81">
        <f t="shared" si="1"/>
        <v>134164.79999999999</v>
      </c>
    </row>
    <row r="18" spans="1:10" x14ac:dyDescent="0.3">
      <c r="A18" s="79"/>
      <c r="B18" s="79"/>
      <c r="C18" s="79">
        <v>45610056</v>
      </c>
      <c r="D18" s="79"/>
      <c r="E18" s="79" t="s">
        <v>154</v>
      </c>
      <c r="F18" s="84">
        <v>12210</v>
      </c>
      <c r="G18" s="84"/>
      <c r="H18" s="84">
        <f t="shared" si="0"/>
        <v>109890</v>
      </c>
      <c r="I18" s="84"/>
      <c r="J18" s="84">
        <f t="shared" si="1"/>
        <v>146520</v>
      </c>
    </row>
    <row r="19" spans="1:10" x14ac:dyDescent="0.3">
      <c r="A19" s="79"/>
      <c r="B19" s="79"/>
      <c r="C19" s="79">
        <v>45610058</v>
      </c>
      <c r="D19" s="79"/>
      <c r="E19" s="79" t="s">
        <v>153</v>
      </c>
      <c r="F19" s="84">
        <v>11880</v>
      </c>
      <c r="G19" s="84"/>
      <c r="H19" s="84">
        <f t="shared" si="0"/>
        <v>106920</v>
      </c>
      <c r="I19" s="84"/>
      <c r="J19" s="84">
        <f t="shared" si="1"/>
        <v>142560</v>
      </c>
    </row>
    <row r="20" spans="1:10" x14ac:dyDescent="0.3">
      <c r="A20" s="79"/>
      <c r="B20" s="79"/>
      <c r="C20" s="79">
        <v>45610090</v>
      </c>
      <c r="D20" s="79"/>
      <c r="E20" s="79" t="s">
        <v>152</v>
      </c>
      <c r="F20" s="83">
        <v>43590.96</v>
      </c>
      <c r="G20" s="81"/>
      <c r="H20" s="83">
        <f t="shared" si="0"/>
        <v>392318.64</v>
      </c>
      <c r="I20" s="81"/>
      <c r="J20" s="83">
        <f t="shared" si="1"/>
        <v>523091.52</v>
      </c>
    </row>
    <row r="21" spans="1:10" x14ac:dyDescent="0.3">
      <c r="A21" s="79"/>
      <c r="B21" s="79"/>
      <c r="C21" s="79"/>
      <c r="D21" s="79"/>
      <c r="E21" s="82" t="s">
        <v>151</v>
      </c>
      <c r="F21" s="81">
        <f>SUM(F14:F20)</f>
        <v>267593.71000000002</v>
      </c>
      <c r="G21" s="81"/>
      <c r="H21" s="81">
        <f>SUM(H14:H20)</f>
        <v>2408343.39</v>
      </c>
      <c r="I21" s="81"/>
      <c r="J21" s="81">
        <f>SUM(J14:J20)</f>
        <v>3211124.52</v>
      </c>
    </row>
    <row r="22" spans="1:10" x14ac:dyDescent="0.3">
      <c r="A22" s="79"/>
      <c r="B22" s="79"/>
      <c r="C22" s="79"/>
      <c r="D22" s="79"/>
      <c r="E22" s="79"/>
      <c r="F22" s="80"/>
      <c r="G22" s="79"/>
      <c r="H22" s="79"/>
      <c r="I22" s="79"/>
      <c r="J22" s="79"/>
    </row>
    <row r="23" spans="1:10" x14ac:dyDescent="0.3">
      <c r="A23" s="79"/>
      <c r="B23" s="79"/>
      <c r="C23" s="79"/>
      <c r="D23" s="79"/>
      <c r="E23" s="79"/>
      <c r="F23" s="80"/>
      <c r="G23" s="79"/>
      <c r="H23" s="79"/>
      <c r="I23" s="79"/>
      <c r="J23" s="79"/>
    </row>
    <row r="24" spans="1:10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5" spans="1:10" x14ac:dyDescent="0.3">
      <c r="A25" s="79"/>
      <c r="B25" s="79"/>
      <c r="C25" s="79"/>
      <c r="D25" s="79"/>
      <c r="E25" s="79"/>
      <c r="F25" s="80"/>
      <c r="G25" s="79"/>
      <c r="H25" s="79"/>
      <c r="I25" s="79"/>
      <c r="J25" s="79"/>
    </row>
  </sheetData>
  <pageMargins left="0.7" right="0.7" top="0.75" bottom="0.75" header="0.3" footer="0.3"/>
  <pageSetup scale="91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0"/>
  <sheetViews>
    <sheetView workbookViewId="0">
      <selection activeCell="B38" sqref="B38"/>
    </sheetView>
  </sheetViews>
  <sheetFormatPr defaultColWidth="8.88671875" defaultRowHeight="14.4" x14ac:dyDescent="0.3"/>
  <cols>
    <col min="1" max="1" width="47" style="5" customWidth="1"/>
    <col min="2" max="2" width="17.33203125" style="5" customWidth="1"/>
    <col min="3" max="16384" width="8.88671875" style="5"/>
  </cols>
  <sheetData>
    <row r="1" spans="1:2" x14ac:dyDescent="0.3">
      <c r="A1" s="5" t="s">
        <v>95</v>
      </c>
    </row>
    <row r="5" spans="1:2" x14ac:dyDescent="0.3">
      <c r="A5" s="6" t="s">
        <v>38</v>
      </c>
      <c r="B5" s="7" t="s">
        <v>82</v>
      </c>
    </row>
    <row r="6" spans="1:2" x14ac:dyDescent="0.3">
      <c r="A6" s="5" t="s">
        <v>39</v>
      </c>
      <c r="B6" s="8">
        <v>-2838186.99</v>
      </c>
    </row>
    <row r="7" spans="1:2" x14ac:dyDescent="0.3">
      <c r="A7" s="5" t="s">
        <v>40</v>
      </c>
      <c r="B7" s="8">
        <v>-20310087.109999999</v>
      </c>
    </row>
    <row r="8" spans="1:2" x14ac:dyDescent="0.3">
      <c r="A8" s="5" t="s">
        <v>41</v>
      </c>
      <c r="B8" s="8">
        <v>-428934.57</v>
      </c>
    </row>
    <row r="9" spans="1:2" x14ac:dyDescent="0.3">
      <c r="A9" s="5" t="s">
        <v>42</v>
      </c>
      <c r="B9" s="8">
        <v>-8202757.3499999996</v>
      </c>
    </row>
    <row r="10" spans="1:2" x14ac:dyDescent="0.3">
      <c r="A10" s="6" t="s">
        <v>3</v>
      </c>
      <c r="B10" s="13">
        <v>-31779966.02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44"/>
  <sheetViews>
    <sheetView zoomScaleNormal="100" workbookViewId="0">
      <selection activeCell="B47" sqref="B47"/>
    </sheetView>
  </sheetViews>
  <sheetFormatPr defaultColWidth="8.88671875" defaultRowHeight="14.4" x14ac:dyDescent="0.3"/>
  <cols>
    <col min="1" max="1" width="49" style="5" customWidth="1"/>
    <col min="2" max="2" width="18" style="5" customWidth="1"/>
    <col min="3" max="3" width="16.109375" style="5" customWidth="1"/>
    <col min="4" max="4" width="15.6640625" style="5" customWidth="1"/>
    <col min="5" max="6" width="8.88671875" style="5"/>
    <col min="7" max="7" width="14.33203125" style="5" bestFit="1" customWidth="1"/>
    <col min="8" max="16384" width="8.88671875" style="5"/>
  </cols>
  <sheetData>
    <row r="1" spans="1:4" x14ac:dyDescent="0.3">
      <c r="A1" s="5" t="s">
        <v>92</v>
      </c>
    </row>
    <row r="5" spans="1:4" x14ac:dyDescent="0.3">
      <c r="A5" s="6" t="s">
        <v>38</v>
      </c>
      <c r="B5" s="6" t="s">
        <v>93</v>
      </c>
      <c r="C5" s="7" t="s">
        <v>13</v>
      </c>
      <c r="D5" s="7" t="s">
        <v>94</v>
      </c>
    </row>
    <row r="6" spans="1:4" x14ac:dyDescent="0.3">
      <c r="A6" s="10" t="s">
        <v>47</v>
      </c>
      <c r="B6" s="8">
        <v>-7972606.4299999997</v>
      </c>
      <c r="C6" s="38">
        <f>B6</f>
        <v>-7972606.4299999997</v>
      </c>
      <c r="D6" s="8"/>
    </row>
    <row r="7" spans="1:4" x14ac:dyDescent="0.3">
      <c r="A7" s="10" t="s">
        <v>46</v>
      </c>
      <c r="B7" s="8">
        <v>-453538.18</v>
      </c>
      <c r="C7" s="8"/>
      <c r="D7" s="8">
        <f>B7</f>
        <v>-453538.18</v>
      </c>
    </row>
    <row r="8" spans="1:4" x14ac:dyDescent="0.3">
      <c r="A8" s="10" t="s">
        <v>48</v>
      </c>
      <c r="B8" s="8">
        <v>0</v>
      </c>
      <c r="C8" s="38">
        <f t="shared" ref="C8:C10" si="0">B8</f>
        <v>0</v>
      </c>
      <c r="D8" s="8"/>
    </row>
    <row r="9" spans="1:4" x14ac:dyDescent="0.3">
      <c r="A9" s="10" t="s">
        <v>49</v>
      </c>
      <c r="B9" s="8">
        <v>-1498426.63</v>
      </c>
      <c r="C9" s="38">
        <f t="shared" si="0"/>
        <v>-1498426.63</v>
      </c>
      <c r="D9" s="8"/>
    </row>
    <row r="10" spans="1:4" x14ac:dyDescent="0.3">
      <c r="A10" s="10" t="s">
        <v>50</v>
      </c>
      <c r="B10" s="8">
        <v>-516633.13</v>
      </c>
      <c r="C10" s="38">
        <f t="shared" si="0"/>
        <v>-516633.13</v>
      </c>
      <c r="D10" s="8"/>
    </row>
    <row r="11" spans="1:4" x14ac:dyDescent="0.3">
      <c r="A11" s="5" t="s">
        <v>45</v>
      </c>
      <c r="B11" s="8">
        <v>-38487.33</v>
      </c>
      <c r="C11" s="8"/>
      <c r="D11" s="8">
        <f>B11</f>
        <v>-38487.33</v>
      </c>
    </row>
    <row r="12" spans="1:4" x14ac:dyDescent="0.3">
      <c r="A12" s="5" t="s">
        <v>51</v>
      </c>
      <c r="B12" s="8">
        <v>0</v>
      </c>
      <c r="C12" s="38">
        <f>B12</f>
        <v>0</v>
      </c>
      <c r="D12" s="8"/>
    </row>
    <row r="13" spans="1:4" x14ac:dyDescent="0.3">
      <c r="A13" s="5" t="s">
        <v>52</v>
      </c>
      <c r="B13" s="8">
        <v>-4524081.3899999997</v>
      </c>
      <c r="C13" s="8"/>
      <c r="D13" s="8">
        <f>B13</f>
        <v>-4524081.3899999997</v>
      </c>
    </row>
    <row r="14" spans="1:4" x14ac:dyDescent="0.3">
      <c r="A14" s="5" t="s">
        <v>55</v>
      </c>
      <c r="B14" s="8">
        <v>-588011.56000000006</v>
      </c>
      <c r="C14" s="8"/>
      <c r="D14" s="8">
        <f t="shared" ref="D14:D15" si="1">B14</f>
        <v>-588011.56000000006</v>
      </c>
    </row>
    <row r="15" spans="1:4" x14ac:dyDescent="0.3">
      <c r="A15" s="5" t="s">
        <v>44</v>
      </c>
      <c r="B15" s="8">
        <v>-331008.08</v>
      </c>
      <c r="C15" s="8"/>
      <c r="D15" s="8">
        <f t="shared" si="1"/>
        <v>-331008.08</v>
      </c>
    </row>
    <row r="16" spans="1:4" x14ac:dyDescent="0.3">
      <c r="A16" s="5" t="s">
        <v>58</v>
      </c>
      <c r="B16" s="12">
        <v>-5029293.6900000004</v>
      </c>
      <c r="C16" s="8"/>
      <c r="D16" s="8">
        <f>B16</f>
        <v>-5029293.6900000004</v>
      </c>
    </row>
    <row r="17" spans="1:4" x14ac:dyDescent="0.3">
      <c r="A17" s="5" t="s">
        <v>83</v>
      </c>
      <c r="B17" s="12">
        <v>-5245012.28</v>
      </c>
      <c r="C17" s="38">
        <f t="shared" ref="C17:C25" si="2">B17</f>
        <v>-5245012.28</v>
      </c>
      <c r="D17" s="12"/>
    </row>
    <row r="18" spans="1:4" x14ac:dyDescent="0.3">
      <c r="A18" s="5" t="s">
        <v>84</v>
      </c>
      <c r="B18" s="12">
        <v>-1472859</v>
      </c>
      <c r="C18" s="38">
        <f t="shared" si="2"/>
        <v>-1472859</v>
      </c>
      <c r="D18" s="12"/>
    </row>
    <row r="19" spans="1:4" x14ac:dyDescent="0.3">
      <c r="A19" s="5" t="s">
        <v>85</v>
      </c>
      <c r="B19" s="12">
        <v>-1866510.07</v>
      </c>
      <c r="C19" s="38">
        <f t="shared" si="2"/>
        <v>-1866510.07</v>
      </c>
      <c r="D19" s="12"/>
    </row>
    <row r="20" spans="1:4" x14ac:dyDescent="0.3">
      <c r="A20" s="5" t="s">
        <v>86</v>
      </c>
      <c r="B20" s="12">
        <v>1431275.08</v>
      </c>
      <c r="C20" s="38">
        <f t="shared" si="2"/>
        <v>1431275.08</v>
      </c>
      <c r="D20" s="12"/>
    </row>
    <row r="21" spans="1:4" x14ac:dyDescent="0.3">
      <c r="A21" s="5" t="s">
        <v>87</v>
      </c>
      <c r="B21" s="12">
        <v>-2468307.36</v>
      </c>
      <c r="C21" s="38">
        <f t="shared" si="2"/>
        <v>-2468307.36</v>
      </c>
      <c r="D21" s="12"/>
    </row>
    <row r="22" spans="1:4" x14ac:dyDescent="0.3">
      <c r="A22" s="5" t="s">
        <v>88</v>
      </c>
      <c r="B22" s="12">
        <v>3615896.98</v>
      </c>
      <c r="C22" s="38">
        <f t="shared" si="2"/>
        <v>3615896.98</v>
      </c>
      <c r="D22" s="12"/>
    </row>
    <row r="23" spans="1:4" x14ac:dyDescent="0.3">
      <c r="A23" s="5" t="s">
        <v>89</v>
      </c>
      <c r="B23" s="12">
        <v>-2784489.89</v>
      </c>
      <c r="C23" s="38">
        <f t="shared" si="2"/>
        <v>-2784489.89</v>
      </c>
      <c r="D23" s="12"/>
    </row>
    <row r="24" spans="1:4" x14ac:dyDescent="0.3">
      <c r="A24" s="5" t="s">
        <v>90</v>
      </c>
      <c r="B24" s="12">
        <v>230971.08</v>
      </c>
      <c r="C24" s="38">
        <f t="shared" si="2"/>
        <v>230971.08</v>
      </c>
      <c r="D24" s="12"/>
    </row>
    <row r="25" spans="1:4" x14ac:dyDescent="0.3">
      <c r="A25" s="5" t="s">
        <v>91</v>
      </c>
      <c r="B25" s="12">
        <v>319648.24</v>
      </c>
      <c r="C25" s="38">
        <f t="shared" si="2"/>
        <v>319648.24</v>
      </c>
      <c r="D25" s="12"/>
    </row>
    <row r="26" spans="1:4" ht="15" thickBot="1" x14ac:dyDescent="0.35">
      <c r="A26" s="6" t="s">
        <v>3</v>
      </c>
      <c r="B26" s="9">
        <f>SUM(B6:B25)</f>
        <v>-29191473.640000008</v>
      </c>
      <c r="C26" s="9">
        <f>SUM(C6:C25)</f>
        <v>-18227053.410000004</v>
      </c>
      <c r="D26" s="9">
        <f>SUM(D6:D25)</f>
        <v>-10964420.23</v>
      </c>
    </row>
    <row r="27" spans="1:4" ht="15" thickTop="1" x14ac:dyDescent="0.3"/>
    <row r="29" spans="1:4" x14ac:dyDescent="0.3">
      <c r="A29" s="3"/>
      <c r="B29" s="11"/>
    </row>
    <row r="30" spans="1:4" x14ac:dyDescent="0.3">
      <c r="A30" s="3"/>
      <c r="B30" s="11"/>
      <c r="C30" s="2"/>
    </row>
    <row r="31" spans="1:4" x14ac:dyDescent="0.3">
      <c r="A31" s="3"/>
      <c r="B31" s="11"/>
      <c r="C31" s="2"/>
    </row>
    <row r="32" spans="1:4" x14ac:dyDescent="0.3">
      <c r="A32" s="3"/>
      <c r="B32" s="11"/>
      <c r="C32" s="2"/>
    </row>
    <row r="33" spans="1:7" x14ac:dyDescent="0.3">
      <c r="A33" s="3"/>
      <c r="B33" s="11"/>
      <c r="C33" s="2"/>
    </row>
    <row r="34" spans="1:7" x14ac:dyDescent="0.3">
      <c r="A34" s="3"/>
      <c r="B34" s="11"/>
      <c r="C34" s="2"/>
    </row>
    <row r="35" spans="1:7" x14ac:dyDescent="0.3">
      <c r="A35" s="3"/>
      <c r="B35" s="11"/>
    </row>
    <row r="36" spans="1:7" x14ac:dyDescent="0.3">
      <c r="A36" s="3"/>
      <c r="B36" s="11"/>
    </row>
    <row r="37" spans="1:7" x14ac:dyDescent="0.3">
      <c r="A37" s="3"/>
      <c r="B37" s="11"/>
    </row>
    <row r="38" spans="1:7" x14ac:dyDescent="0.3">
      <c r="A38" s="3"/>
      <c r="B38" s="11"/>
    </row>
    <row r="39" spans="1:7" x14ac:dyDescent="0.3">
      <c r="A39" s="3"/>
      <c r="B39" s="11"/>
    </row>
    <row r="40" spans="1:7" x14ac:dyDescent="0.3">
      <c r="A40" s="1"/>
      <c r="B40" s="2"/>
    </row>
    <row r="41" spans="1:7" x14ac:dyDescent="0.3">
      <c r="A41" s="1"/>
      <c r="B41" s="2"/>
    </row>
    <row r="42" spans="1:7" x14ac:dyDescent="0.3">
      <c r="A42" s="1"/>
      <c r="B42" s="2"/>
    </row>
    <row r="43" spans="1:7" x14ac:dyDescent="0.3">
      <c r="A43" s="1"/>
      <c r="B43" s="2"/>
    </row>
    <row r="44" spans="1:7" x14ac:dyDescent="0.3">
      <c r="A44" s="3"/>
      <c r="B44" s="4"/>
      <c r="G44" s="8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8"/>
  <sheetViews>
    <sheetView workbookViewId="0"/>
  </sheetViews>
  <sheetFormatPr defaultColWidth="8.88671875" defaultRowHeight="14.4" x14ac:dyDescent="0.3"/>
  <cols>
    <col min="1" max="1" width="45.109375" style="5" customWidth="1"/>
    <col min="2" max="2" width="17.33203125" style="5" customWidth="1"/>
    <col min="3" max="16384" width="8.88671875" style="5"/>
  </cols>
  <sheetData>
    <row r="1" spans="1:2" x14ac:dyDescent="0.3">
      <c r="A1" s="5" t="s">
        <v>95</v>
      </c>
    </row>
    <row r="6" spans="1:2" x14ac:dyDescent="0.3">
      <c r="A6" s="6" t="s">
        <v>38</v>
      </c>
      <c r="B6" s="6" t="s">
        <v>82</v>
      </c>
    </row>
    <row r="7" spans="1:2" x14ac:dyDescent="0.3">
      <c r="A7" s="5" t="s">
        <v>97</v>
      </c>
      <c r="B7" s="8">
        <v>24054569</v>
      </c>
    </row>
    <row r="8" spans="1:2" x14ac:dyDescent="0.3">
      <c r="A8" s="6" t="s">
        <v>3</v>
      </c>
      <c r="B8" s="13">
        <v>24054569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8"/>
  <sheetViews>
    <sheetView workbookViewId="0"/>
  </sheetViews>
  <sheetFormatPr defaultColWidth="8.88671875" defaultRowHeight="14.4" x14ac:dyDescent="0.3"/>
  <cols>
    <col min="1" max="1" width="46.6640625" style="14" customWidth="1"/>
    <col min="2" max="2" width="11.44140625" style="14" bestFit="1" customWidth="1"/>
    <col min="3" max="16384" width="8.88671875" style="14"/>
  </cols>
  <sheetData>
    <row r="1" spans="1:2" x14ac:dyDescent="0.3">
      <c r="A1" s="14" t="s">
        <v>92</v>
      </c>
    </row>
    <row r="6" spans="1:2" x14ac:dyDescent="0.3">
      <c r="A6" s="15" t="s">
        <v>38</v>
      </c>
      <c r="B6" s="15" t="s">
        <v>82</v>
      </c>
    </row>
    <row r="7" spans="1:2" x14ac:dyDescent="0.3">
      <c r="A7" s="14" t="s">
        <v>98</v>
      </c>
      <c r="B7" s="16">
        <v>835357.9</v>
      </c>
    </row>
    <row r="8" spans="1:2" x14ac:dyDescent="0.3">
      <c r="A8" s="15" t="s">
        <v>3</v>
      </c>
      <c r="B8" s="17">
        <v>835357.9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6"/>
  <sheetViews>
    <sheetView workbookViewId="0"/>
  </sheetViews>
  <sheetFormatPr defaultColWidth="8.88671875" defaultRowHeight="14.4" x14ac:dyDescent="0.3"/>
  <cols>
    <col min="1" max="1" width="65.88671875" style="18" customWidth="1"/>
    <col min="2" max="2" width="16.6640625" style="18" customWidth="1"/>
    <col min="3" max="16384" width="8.88671875" style="18"/>
  </cols>
  <sheetData>
    <row r="1" spans="1:2" x14ac:dyDescent="0.3">
      <c r="A1" s="22" t="s">
        <v>92</v>
      </c>
      <c r="B1" s="22"/>
    </row>
    <row r="2" spans="1:2" x14ac:dyDescent="0.3">
      <c r="A2" s="22"/>
      <c r="B2" s="22"/>
    </row>
    <row r="3" spans="1:2" x14ac:dyDescent="0.3">
      <c r="A3" s="22"/>
      <c r="B3" s="22"/>
    </row>
    <row r="4" spans="1:2" x14ac:dyDescent="0.3">
      <c r="A4" s="22"/>
      <c r="B4" s="22"/>
    </row>
    <row r="5" spans="1:2" x14ac:dyDescent="0.3">
      <c r="A5" s="20" t="s">
        <v>38</v>
      </c>
      <c r="B5" s="23" t="s">
        <v>82</v>
      </c>
    </row>
    <row r="6" spans="1:2" x14ac:dyDescent="0.3">
      <c r="A6" s="22" t="s">
        <v>102</v>
      </c>
      <c r="B6" s="21">
        <v>83975685</v>
      </c>
    </row>
    <row r="7" spans="1:2" x14ac:dyDescent="0.3">
      <c r="A7" s="22" t="s">
        <v>101</v>
      </c>
      <c r="B7" s="21">
        <v>0</v>
      </c>
    </row>
    <row r="8" spans="1:2" x14ac:dyDescent="0.3">
      <c r="A8" s="22" t="s">
        <v>100</v>
      </c>
      <c r="B8" s="21">
        <v>-83545585</v>
      </c>
    </row>
    <row r="9" spans="1:2" ht="15" thickBot="1" x14ac:dyDescent="0.35">
      <c r="A9" s="20" t="s">
        <v>3</v>
      </c>
      <c r="B9" s="19">
        <v>430100</v>
      </c>
    </row>
    <row r="10" spans="1:2" ht="15" thickTop="1" x14ac:dyDescent="0.3"/>
    <row r="14" spans="1:2" x14ac:dyDescent="0.3">
      <c r="A14" s="71"/>
    </row>
    <row r="15" spans="1:2" x14ac:dyDescent="0.3">
      <c r="A15" s="71"/>
    </row>
    <row r="16" spans="1:2" x14ac:dyDescent="0.3">
      <c r="A16" s="7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5:B17"/>
  <sheetViews>
    <sheetView workbookViewId="0"/>
  </sheetViews>
  <sheetFormatPr defaultRowHeight="14.4" x14ac:dyDescent="0.3"/>
  <cols>
    <col min="1" max="1" width="50" bestFit="1" customWidth="1"/>
    <col min="2" max="2" width="16" bestFit="1" customWidth="1"/>
  </cols>
  <sheetData>
    <row r="5" spans="1:2" x14ac:dyDescent="0.3">
      <c r="A5" s="34" t="s">
        <v>120</v>
      </c>
      <c r="B5" s="34" t="s">
        <v>119</v>
      </c>
    </row>
    <row r="7" spans="1:2" x14ac:dyDescent="0.3">
      <c r="A7" t="s">
        <v>110</v>
      </c>
      <c r="B7" s="30">
        <v>-6348401.5300000003</v>
      </c>
    </row>
    <row r="8" spans="1:2" x14ac:dyDescent="0.3">
      <c r="A8" t="s">
        <v>111</v>
      </c>
      <c r="B8" s="31">
        <v>-185476.28</v>
      </c>
    </row>
    <row r="9" spans="1:2" x14ac:dyDescent="0.3">
      <c r="A9" t="s">
        <v>112</v>
      </c>
      <c r="B9" s="31">
        <v>-18306.55</v>
      </c>
    </row>
    <row r="10" spans="1:2" x14ac:dyDescent="0.3">
      <c r="A10" t="s">
        <v>113</v>
      </c>
      <c r="B10" s="31">
        <v>-370358.85</v>
      </c>
    </row>
    <row r="11" spans="1:2" x14ac:dyDescent="0.3">
      <c r="A11" t="s">
        <v>114</v>
      </c>
      <c r="B11" s="31">
        <v>-403779.59</v>
      </c>
    </row>
    <row r="12" spans="1:2" x14ac:dyDescent="0.3">
      <c r="A12" t="s">
        <v>115</v>
      </c>
      <c r="B12" s="31">
        <v>-392866.68</v>
      </c>
    </row>
    <row r="13" spans="1:2" x14ac:dyDescent="0.3">
      <c r="A13" t="s">
        <v>116</v>
      </c>
      <c r="B13" s="31">
        <v>-6100.56</v>
      </c>
    </row>
    <row r="14" spans="1:2" x14ac:dyDescent="0.3">
      <c r="A14" t="s">
        <v>117</v>
      </c>
      <c r="B14" s="31">
        <v>-768242.4</v>
      </c>
    </row>
    <row r="15" spans="1:2" x14ac:dyDescent="0.3">
      <c r="A15" t="s">
        <v>118</v>
      </c>
      <c r="B15" s="31">
        <v>-1852212.34</v>
      </c>
    </row>
    <row r="16" spans="1:2" ht="15" thickBot="1" x14ac:dyDescent="0.35">
      <c r="A16" s="72" t="s">
        <v>121</v>
      </c>
      <c r="B16" s="73">
        <f>SUM(B7:B15)</f>
        <v>-10345744.779999999</v>
      </c>
    </row>
    <row r="17" ht="15" thickTop="1" x14ac:dyDescent="0.3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28A95F-092E-431F-9514-0B786ECEFC99}"/>
</file>

<file path=customXml/itemProps2.xml><?xml version="1.0" encoding="utf-8"?>
<ds:datastoreItem xmlns:ds="http://schemas.openxmlformats.org/officeDocument/2006/customXml" ds:itemID="{8CEAF00E-899D-4E79-AE6C-7B0541E4FC09}"/>
</file>

<file path=customXml/itemProps3.xml><?xml version="1.0" encoding="utf-8"?>
<ds:datastoreItem xmlns:ds="http://schemas.openxmlformats.org/officeDocument/2006/customXml" ds:itemID="{4062007E-EA2C-4C8F-97EC-660BBD051FE1}"/>
</file>

<file path=customXml/itemProps4.xml><?xml version="1.0" encoding="utf-8"?>
<ds:datastoreItem xmlns:ds="http://schemas.openxmlformats.org/officeDocument/2006/customXml" ds:itemID="{477B3767-9573-47D9-9C53-78153BAB9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Lead Electric</vt:lpstr>
      <vt:lpstr>Rev Req Summary</vt:lpstr>
      <vt:lpstr>Powerex for Microsoft</vt:lpstr>
      <vt:lpstr>SCh 95A Amort 12ME 12-2018</vt:lpstr>
      <vt:lpstr>456 Decoup Rev 12ME 12-2018</vt:lpstr>
      <vt:lpstr>FIT Over Coll 12ME 12-2018</vt:lpstr>
      <vt:lpstr>ZO12 45600154 GAAP 12ME 12-2018</vt:lpstr>
      <vt:lpstr>PTC</vt:lpstr>
      <vt:lpstr>Transp Oth Op</vt:lpstr>
      <vt:lpstr>Sch 142 break out</vt:lpstr>
      <vt:lpstr>'456 Decoup Rev 12ME 12-2018'!Print_Area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Iov, Marina</cp:lastModifiedBy>
  <cp:lastPrinted>2019-05-31T17:05:06Z</cp:lastPrinted>
  <dcterms:created xsi:type="dcterms:W3CDTF">2015-10-13T17:55:11Z</dcterms:created>
  <dcterms:modified xsi:type="dcterms:W3CDTF">2019-09-20T15:33:47Z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